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4240" windowHeight="12180" tabRatio="947"/>
  </bookViews>
  <sheets>
    <sheet name="Snapshot (Value)" sheetId="2" r:id="rId1"/>
    <sheet name="Snapshot (Volume)" sheetId="3" r:id="rId2"/>
    <sheet name="Sectorwise OI" sheetId="5" state="hidden" r:id="rId3"/>
    <sheet name="OI(Volume)" sheetId="7" r:id="rId4"/>
    <sheet name="OI(Value)" sheetId="6" r:id="rId5"/>
    <sheet name="Nifty Baskets" sheetId="8" r:id="rId6"/>
    <sheet name="Total Value" sheetId="10" r:id="rId7"/>
    <sheet name="Total Valume" sheetId="11" r:id="rId8"/>
    <sheet name="PCR" sheetId="12" r:id="rId9"/>
    <sheet name="Basis" sheetId="13" r:id="rId10"/>
    <sheet name="IV" sheetId="14" r:id="rId11"/>
    <sheet name="Open Interest Position" sheetId="18" r:id="rId12"/>
    <sheet name="Margin" sheetId="19" r:id="rId13"/>
    <sheet name="Rollover" sheetId="15" state="hidden" r:id="rId14"/>
    <sheet name="Disclaimar" sheetId="20" r:id="rId15"/>
    <sheet name="Data Vlaue (Cr)" sheetId="1" r:id="rId16"/>
    <sheet name="Data shares" sheetId="4" r:id="rId17"/>
    <sheet name="NIFTY GRP" sheetId="9" r:id="rId18"/>
    <sheet name="FII" sheetId="16" r:id="rId19"/>
    <sheet name="Sheet1" sheetId="21" r:id="rId20"/>
    <sheet name="Participantwise OI" sheetId="26" r:id="rId21"/>
    <sheet name="Compatibility Report" sheetId="24" r:id="rId22"/>
    <sheet name="snap" sheetId="28" r:id="rId23"/>
    <sheet name="Sheet2" sheetId="27" r:id="rId24"/>
  </sheets>
  <definedNames>
    <definedName name="_xlnm._FilterDatabase" localSheetId="10" hidden="1">IV!$A$4:$G$6</definedName>
    <definedName name="_xlnm._FilterDatabase" localSheetId="12" hidden="1">Margin!$A$5:$N$5</definedName>
    <definedName name="_xlnm._FilterDatabase" localSheetId="4" hidden="1">'OI(Value)'!$A$6:$O$6</definedName>
    <definedName name="_xlnm._FilterDatabase" localSheetId="11" hidden="1">'Open Interest Position'!$A$4:$F$4</definedName>
    <definedName name="_xlnm._FilterDatabase" localSheetId="8" hidden="1">PCR!$A$6:$O$6</definedName>
    <definedName name="_xlnm._FilterDatabase" localSheetId="1" hidden="1">'Snapshot (Volume)'!$A$6:$Q$6</definedName>
    <definedName name="_xlnm._FilterDatabase" localSheetId="6" hidden="1">'Total Value'!$A$6:$O$6</definedName>
    <definedName name="Expry_Roll___19" localSheetId="16">'Data shares'!$A$1:$FA$216</definedName>
    <definedName name="Expry_Roll___20" localSheetId="17">'NIFTY GRP'!$A$1:$EY$51</definedName>
    <definedName name="fii" localSheetId="18">FII!$A$1:$N$16</definedName>
    <definedName name="_xlnm.Print_Area" localSheetId="14">Disclaimar!$A$1:$A$24</definedName>
    <definedName name="stats__2" localSheetId="15">'Data Vlaue (Cr)'!$A$1:$FB$216</definedName>
  </definedNames>
  <calcPr calcId="144525" calcMode="manual"/>
</workbook>
</file>

<file path=xl/calcChain.xml><?xml version="1.0" encoding="utf-8"?>
<calcChain xmlns="http://schemas.openxmlformats.org/spreadsheetml/2006/main">
  <c r="L3" i="21" l="1"/>
  <c r="F64" i="18" l="1"/>
  <c r="F135" i="18"/>
  <c r="F174" i="18"/>
  <c r="F166" i="18"/>
  <c r="F199" i="18"/>
  <c r="F164" i="18"/>
  <c r="F136" i="18"/>
  <c r="F178" i="18"/>
  <c r="F127" i="18"/>
  <c r="F121" i="18"/>
  <c r="F48" i="18"/>
  <c r="F18" i="18"/>
  <c r="F191" i="18"/>
  <c r="F50" i="18"/>
  <c r="F155" i="18"/>
  <c r="F200" i="18"/>
  <c r="F14" i="18"/>
  <c r="F184" i="18"/>
  <c r="F134" i="18"/>
  <c r="F105" i="18"/>
  <c r="F102" i="18"/>
  <c r="F117" i="18"/>
  <c r="F205" i="18"/>
  <c r="F152" i="18"/>
  <c r="F11" i="18"/>
  <c r="F124" i="18"/>
  <c r="F19" i="18"/>
  <c r="F148" i="18"/>
  <c r="F83" i="18"/>
  <c r="F52" i="18"/>
  <c r="F95" i="18"/>
  <c r="F122" i="18"/>
  <c r="F201" i="18"/>
  <c r="F44" i="18"/>
  <c r="F81" i="18"/>
  <c r="F115" i="18"/>
  <c r="F160" i="18"/>
  <c r="F158" i="18"/>
  <c r="F167" i="18"/>
  <c r="F37" i="18"/>
  <c r="F46" i="18"/>
  <c r="F206" i="18"/>
  <c r="F15" i="18"/>
  <c r="F141" i="18"/>
  <c r="F185" i="18"/>
  <c r="F57" i="18"/>
  <c r="F34" i="18"/>
  <c r="F70" i="18"/>
  <c r="F193" i="18"/>
  <c r="F210" i="18"/>
  <c r="F145" i="18"/>
  <c r="F172" i="18"/>
  <c r="F7" i="18"/>
  <c r="F131" i="18"/>
  <c r="F123" i="18"/>
  <c r="F171" i="18"/>
  <c r="F63" i="18"/>
  <c r="F30" i="18"/>
  <c r="F32" i="18"/>
  <c r="F207" i="18"/>
  <c r="F26" i="18"/>
  <c r="F93" i="18"/>
  <c r="F45" i="18"/>
  <c r="F189" i="18"/>
  <c r="F41" i="18"/>
  <c r="F183" i="18"/>
  <c r="F58" i="18"/>
  <c r="F100" i="18"/>
  <c r="F86" i="18"/>
  <c r="F188" i="18"/>
  <c r="F36" i="18"/>
  <c r="F211" i="18"/>
  <c r="F68" i="18"/>
  <c r="F90" i="18"/>
  <c r="F65" i="18"/>
  <c r="F126" i="18"/>
  <c r="F128" i="18"/>
  <c r="F130" i="18"/>
  <c r="F17" i="18"/>
  <c r="F180" i="18"/>
  <c r="F78" i="18"/>
  <c r="F156" i="18"/>
  <c r="F43" i="18"/>
  <c r="F208" i="18"/>
  <c r="F159" i="18"/>
  <c r="F104" i="18"/>
  <c r="F168" i="18"/>
  <c r="F82" i="18"/>
  <c r="F106" i="18"/>
  <c r="F107" i="18"/>
  <c r="F116" i="18"/>
  <c r="F91" i="18"/>
  <c r="F85" i="18"/>
  <c r="F187" i="18"/>
  <c r="F192" i="18"/>
  <c r="F39" i="18"/>
  <c r="F27" i="18"/>
  <c r="F162" i="18"/>
  <c r="F204" i="18"/>
  <c r="F56" i="18"/>
  <c r="F176" i="18"/>
  <c r="F151" i="18"/>
  <c r="F137" i="18"/>
  <c r="F138" i="18"/>
  <c r="F144" i="18"/>
  <c r="F76" i="18"/>
  <c r="F142" i="18"/>
  <c r="F153" i="18"/>
  <c r="F10" i="18"/>
  <c r="F67" i="18"/>
  <c r="F21" i="18"/>
  <c r="F125" i="18"/>
  <c r="F197" i="18"/>
  <c r="F74" i="18"/>
  <c r="F111" i="18"/>
  <c r="F177" i="18"/>
  <c r="F23" i="18"/>
  <c r="F25" i="18"/>
  <c r="F175" i="18"/>
  <c r="F103" i="18"/>
  <c r="F66" i="18"/>
  <c r="F143" i="18"/>
  <c r="F203" i="18"/>
  <c r="F98" i="18"/>
  <c r="F182" i="18"/>
  <c r="F72" i="18"/>
  <c r="F140" i="18"/>
  <c r="F16" i="18"/>
  <c r="F202" i="18"/>
  <c r="F186" i="18"/>
  <c r="F5" i="18"/>
  <c r="F94" i="18"/>
  <c r="F69" i="18"/>
  <c r="F60" i="18"/>
  <c r="F28" i="18"/>
  <c r="F29" i="18"/>
  <c r="F150" i="18"/>
  <c r="F84" i="18"/>
  <c r="F54" i="18"/>
  <c r="F147" i="18"/>
  <c r="F59" i="18"/>
  <c r="F6" i="18"/>
  <c r="F8" i="18"/>
  <c r="F79" i="18"/>
  <c r="F42" i="18"/>
  <c r="F33" i="18"/>
  <c r="F47" i="18"/>
  <c r="F55" i="18"/>
  <c r="F12" i="18"/>
  <c r="F73" i="18"/>
  <c r="F165" i="18"/>
  <c r="F179" i="18"/>
  <c r="F110" i="18"/>
  <c r="F112" i="18"/>
  <c r="F62" i="18"/>
  <c r="F181" i="18"/>
  <c r="F213" i="18"/>
  <c r="F190" i="18"/>
  <c r="F101" i="18"/>
  <c r="F149" i="18"/>
  <c r="F146" i="18"/>
  <c r="F88" i="18"/>
  <c r="F77" i="18"/>
  <c r="F71" i="18"/>
  <c r="F87" i="18"/>
  <c r="F132" i="18"/>
  <c r="F97" i="18"/>
  <c r="F51" i="18"/>
  <c r="F24" i="18"/>
  <c r="F209" i="18"/>
  <c r="F96" i="18"/>
  <c r="F195" i="18"/>
  <c r="F75" i="18"/>
  <c r="F38" i="18"/>
  <c r="F163" i="18"/>
  <c r="F31" i="18"/>
  <c r="F169" i="18"/>
  <c r="F9" i="18"/>
  <c r="F53" i="18"/>
  <c r="F92" i="18"/>
  <c r="F22" i="18"/>
  <c r="F194" i="18"/>
  <c r="F129" i="18"/>
  <c r="F198" i="18"/>
  <c r="F118" i="18"/>
  <c r="F80" i="18"/>
  <c r="F212" i="18"/>
  <c r="F108" i="18"/>
  <c r="F61" i="18"/>
  <c r="F114" i="18"/>
  <c r="F40" i="18"/>
  <c r="F120" i="18"/>
  <c r="F196" i="18"/>
  <c r="F13" i="18"/>
  <c r="F89" i="18"/>
  <c r="F35" i="18"/>
  <c r="F139" i="18"/>
  <c r="F173" i="18"/>
  <c r="F99" i="18"/>
  <c r="F157" i="18"/>
  <c r="F154" i="18"/>
  <c r="F119" i="18"/>
  <c r="F170" i="18"/>
  <c r="F20" i="18"/>
  <c r="F161" i="18"/>
  <c r="F49" i="18"/>
  <c r="F133" i="18"/>
  <c r="F113" i="18"/>
  <c r="L4" i="21" l="1"/>
  <c r="E61" i="18" l="1"/>
  <c r="B20" i="28" l="1"/>
  <c r="B21" i="28"/>
  <c r="B22" i="28"/>
  <c r="V2" i="16"/>
  <c r="V3" i="16"/>
  <c r="FB2" i="4"/>
  <c r="FB3" i="4"/>
  <c r="FB4" i="4"/>
  <c r="FB5" i="4"/>
  <c r="FB6" i="4"/>
  <c r="FB7" i="4"/>
  <c r="FB8" i="4"/>
  <c r="FB9" i="4"/>
  <c r="FB10" i="4"/>
  <c r="FB11" i="4"/>
  <c r="FB12" i="4"/>
  <c r="FB13" i="4"/>
  <c r="FB14" i="4"/>
  <c r="FB15" i="4"/>
  <c r="FB16" i="4"/>
  <c r="FB17" i="4"/>
  <c r="FB18" i="4"/>
  <c r="FB19" i="4"/>
  <c r="FB20" i="4"/>
  <c r="FB21" i="4"/>
  <c r="FB22" i="4"/>
  <c r="FB23" i="4"/>
  <c r="FB24" i="4"/>
  <c r="FB25" i="4"/>
  <c r="FB26" i="4"/>
  <c r="FB27" i="4"/>
  <c r="FB28" i="4"/>
  <c r="FB29" i="4"/>
  <c r="FB30" i="4"/>
  <c r="FB31" i="4"/>
  <c r="FB32" i="4"/>
  <c r="FB33" i="4"/>
  <c r="FB34" i="4"/>
  <c r="FB35" i="4"/>
  <c r="FB36" i="4"/>
  <c r="FB37" i="4"/>
  <c r="FB38" i="4"/>
  <c r="FB39" i="4"/>
  <c r="FB40" i="4"/>
  <c r="FB41" i="4"/>
  <c r="FB42" i="4"/>
  <c r="FB43" i="4"/>
  <c r="FB44" i="4"/>
  <c r="FB45" i="4"/>
  <c r="FB46" i="4"/>
  <c r="FB47" i="4"/>
  <c r="FB48" i="4"/>
  <c r="FB49" i="4"/>
  <c r="FB50" i="4"/>
  <c r="FB51" i="4"/>
  <c r="FB52" i="4"/>
  <c r="FB53" i="4"/>
  <c r="FB54" i="4"/>
  <c r="FB55" i="4"/>
  <c r="FB56" i="4"/>
  <c r="FB57" i="4"/>
  <c r="FB58" i="4"/>
  <c r="FB59" i="4"/>
  <c r="FB60" i="4"/>
  <c r="FB61" i="4"/>
  <c r="FB62" i="4"/>
  <c r="FB63" i="4"/>
  <c r="FB64" i="4"/>
  <c r="FB65" i="4"/>
  <c r="FB66" i="4"/>
  <c r="FB67" i="4"/>
  <c r="FB68" i="4"/>
  <c r="FB69" i="4"/>
  <c r="FB70" i="4"/>
  <c r="FB71" i="4"/>
  <c r="FB72" i="4"/>
  <c r="FB73" i="4"/>
  <c r="FB74" i="4"/>
  <c r="FB75" i="4"/>
  <c r="FB76" i="4"/>
  <c r="FB77" i="4"/>
  <c r="FB78" i="4"/>
  <c r="FB79" i="4"/>
  <c r="FB80" i="4"/>
  <c r="FB81" i="4"/>
  <c r="FB82" i="4"/>
  <c r="FB83" i="4"/>
  <c r="FB84" i="4"/>
  <c r="FB85" i="4"/>
  <c r="FB86" i="4"/>
  <c r="FB87" i="4"/>
  <c r="FB88" i="4"/>
  <c r="FB89" i="4"/>
  <c r="FB90" i="4"/>
  <c r="FB91" i="4"/>
  <c r="FB92" i="4"/>
  <c r="FB93" i="4"/>
  <c r="FB94" i="4"/>
  <c r="FB95" i="4"/>
  <c r="FB96" i="4"/>
  <c r="FB97" i="4"/>
  <c r="FB98" i="4"/>
  <c r="FB99" i="4"/>
  <c r="FB100" i="4"/>
  <c r="FB101" i="4"/>
  <c r="FB102" i="4"/>
  <c r="FB103" i="4"/>
  <c r="FB104" i="4"/>
  <c r="FB105" i="4"/>
  <c r="FB106" i="4"/>
  <c r="FB107" i="4"/>
  <c r="FB108" i="4"/>
  <c r="FB109" i="4"/>
  <c r="FB110" i="4"/>
  <c r="FB111" i="4"/>
  <c r="FB112" i="4"/>
  <c r="FB113" i="4"/>
  <c r="FB114" i="4"/>
  <c r="FB115" i="4"/>
  <c r="FB116" i="4"/>
  <c r="FB117" i="4"/>
  <c r="FB118" i="4"/>
  <c r="FB119" i="4"/>
  <c r="FB120" i="4"/>
  <c r="FB121" i="4"/>
  <c r="FB122" i="4"/>
  <c r="FB123" i="4"/>
  <c r="FB124" i="4"/>
  <c r="FB125" i="4"/>
  <c r="FB126" i="4"/>
  <c r="FB127" i="4"/>
  <c r="FB128" i="4"/>
  <c r="FB129" i="4"/>
  <c r="FB130" i="4"/>
  <c r="FB131" i="4"/>
  <c r="FB132" i="4"/>
  <c r="FB133" i="4"/>
  <c r="FB134" i="4"/>
  <c r="FB135" i="4"/>
  <c r="FB136" i="4"/>
  <c r="FB137" i="4"/>
  <c r="FB138" i="4"/>
  <c r="FB139" i="4"/>
  <c r="FB140" i="4"/>
  <c r="FB141" i="4"/>
  <c r="FB142" i="4"/>
  <c r="FB143" i="4"/>
  <c r="FB144" i="4"/>
  <c r="FB145" i="4"/>
  <c r="FB146" i="4"/>
  <c r="FB147" i="4"/>
  <c r="FB148" i="4"/>
  <c r="FB149" i="4"/>
  <c r="FB150" i="4"/>
  <c r="FB151" i="4"/>
  <c r="FB152" i="4"/>
  <c r="FB153" i="4"/>
  <c r="FB154" i="4"/>
  <c r="FB155" i="4"/>
  <c r="FB156" i="4"/>
  <c r="FB157" i="4"/>
  <c r="FB158" i="4"/>
  <c r="FB159" i="4"/>
  <c r="FB160" i="4"/>
  <c r="FB161" i="4"/>
  <c r="FB162" i="4"/>
  <c r="FB163" i="4"/>
  <c r="FB164" i="4"/>
  <c r="FB165" i="4"/>
  <c r="FB166" i="4"/>
  <c r="FB167" i="4"/>
  <c r="FB168" i="4"/>
  <c r="FB169" i="4"/>
  <c r="FB170" i="4"/>
  <c r="FB171" i="4"/>
  <c r="FB172" i="4"/>
  <c r="FB173" i="4"/>
  <c r="FB174" i="4"/>
  <c r="FB175" i="4"/>
  <c r="FB176" i="4"/>
  <c r="FB177" i="4"/>
  <c r="FB178" i="4"/>
  <c r="FB179" i="4"/>
  <c r="FB180" i="4"/>
  <c r="FB181" i="4"/>
  <c r="FB182" i="4"/>
  <c r="FB183" i="4"/>
  <c r="FB184" i="4"/>
  <c r="FB185" i="4"/>
  <c r="FB186" i="4"/>
  <c r="FB187" i="4"/>
  <c r="FB188" i="4"/>
  <c r="FB189" i="4"/>
  <c r="FB190" i="4"/>
  <c r="FB191" i="4"/>
  <c r="FB192" i="4"/>
  <c r="FB193" i="4"/>
  <c r="FB194" i="4"/>
  <c r="FB195" i="4"/>
  <c r="FB196" i="4"/>
  <c r="FB197" i="4"/>
  <c r="FB198" i="4"/>
  <c r="FB199" i="4"/>
  <c r="FB200" i="4"/>
  <c r="FB201" i="4"/>
  <c r="FB202" i="4"/>
  <c r="FB203" i="4"/>
  <c r="FB204" i="4"/>
  <c r="FB205" i="4"/>
  <c r="FB206" i="4"/>
  <c r="FB207" i="4"/>
  <c r="FB208" i="4"/>
  <c r="FB209" i="4"/>
  <c r="FB210" i="4"/>
  <c r="FB211" i="4"/>
  <c r="FB212" i="4"/>
  <c r="FB213" i="4"/>
  <c r="FB214" i="4"/>
  <c r="FB215" i="4"/>
  <c r="FB216" i="4"/>
  <c r="FB217" i="4"/>
  <c r="FB218" i="4"/>
  <c r="FB219" i="4"/>
  <c r="FB220" i="4"/>
  <c r="FB221" i="4"/>
  <c r="FB222" i="4"/>
  <c r="FB223" i="4"/>
  <c r="FB224" i="4"/>
  <c r="FB225" i="4"/>
  <c r="FB226" i="4"/>
  <c r="FB227" i="4"/>
  <c r="FB228" i="4"/>
  <c r="FB229" i="4"/>
  <c r="FB230" i="4"/>
  <c r="FB231" i="4"/>
  <c r="FB232" i="4"/>
  <c r="FB233" i="4"/>
  <c r="FB234" i="4"/>
  <c r="FB235" i="4"/>
  <c r="FB236" i="4"/>
  <c r="FB237" i="4"/>
  <c r="FB238" i="4"/>
  <c r="FB239" i="4"/>
  <c r="FB240" i="4"/>
  <c r="FB241" i="4"/>
  <c r="FB242" i="4"/>
  <c r="FB243" i="4"/>
  <c r="FB244" i="4"/>
  <c r="FB245" i="4"/>
  <c r="FB246" i="4"/>
  <c r="FB247" i="4"/>
  <c r="FB248" i="4"/>
  <c r="FB249" i="4"/>
  <c r="FB250" i="4"/>
  <c r="FB251" i="4"/>
  <c r="FB252" i="4"/>
  <c r="FB253" i="4"/>
  <c r="FB254" i="4"/>
  <c r="FB255" i="4"/>
  <c r="FB256" i="4"/>
  <c r="FB257" i="4"/>
  <c r="FB258" i="4"/>
  <c r="FB259" i="4"/>
  <c r="FB260" i="4"/>
  <c r="FB261" i="4"/>
  <c r="FB262" i="4"/>
  <c r="FB263" i="4"/>
  <c r="FB264" i="4"/>
  <c r="FB265" i="4"/>
  <c r="FB266" i="4"/>
  <c r="FB267" i="4"/>
  <c r="FB268" i="4"/>
  <c r="FB269" i="4"/>
  <c r="FB270" i="4"/>
  <c r="FB271" i="4"/>
  <c r="FB272" i="4"/>
  <c r="FB273" i="4"/>
  <c r="FB274" i="4"/>
  <c r="FB275" i="4"/>
  <c r="FB276" i="4"/>
  <c r="FB277" i="4"/>
  <c r="FB278" i="4"/>
  <c r="FB279" i="4"/>
  <c r="FB280" i="4"/>
  <c r="FB281" i="4"/>
  <c r="FB282" i="4"/>
  <c r="FB283" i="4"/>
  <c r="FB284" i="4"/>
  <c r="FB285" i="4"/>
  <c r="FB286" i="4"/>
  <c r="FB287" i="4"/>
  <c r="FB288" i="4"/>
  <c r="FB289" i="4"/>
  <c r="FB290" i="4"/>
  <c r="FB291" i="4"/>
  <c r="FB292" i="4"/>
  <c r="FB293" i="4"/>
  <c r="FB294" i="4"/>
  <c r="FB295" i="4"/>
  <c r="FB296" i="4"/>
  <c r="FB297" i="4"/>
  <c r="FB298" i="4"/>
  <c r="FB299" i="4"/>
  <c r="FB300" i="4"/>
  <c r="FB301" i="4"/>
  <c r="FB302" i="4"/>
  <c r="FB303" i="4"/>
  <c r="FB304" i="4"/>
  <c r="FB305" i="4"/>
  <c r="FB306" i="4"/>
  <c r="FB307" i="4"/>
  <c r="FB308" i="4"/>
  <c r="FB309" i="4"/>
  <c r="FB310" i="4"/>
  <c r="FB311" i="4"/>
  <c r="FB312" i="4"/>
  <c r="FB313" i="4"/>
  <c r="FB314" i="4"/>
  <c r="FB315" i="4"/>
  <c r="FB316" i="4"/>
  <c r="FB317" i="4"/>
  <c r="FB318" i="4"/>
  <c r="FB319" i="4"/>
  <c r="FB320" i="4"/>
  <c r="FB321" i="4"/>
  <c r="FB322" i="4"/>
  <c r="FC2" i="1"/>
  <c r="FC3" i="1"/>
  <c r="FC4" i="1"/>
  <c r="FC5" i="1"/>
  <c r="FC6" i="1"/>
  <c r="FC7" i="1"/>
  <c r="FC8" i="1"/>
  <c r="FC9" i="1"/>
  <c r="FC10" i="1"/>
  <c r="FC11" i="1"/>
  <c r="FC12" i="1"/>
  <c r="FC13" i="1"/>
  <c r="FC14" i="1"/>
  <c r="FC15" i="1"/>
  <c r="FC16" i="1"/>
  <c r="FC17" i="1"/>
  <c r="FC18" i="1"/>
  <c r="FC19" i="1"/>
  <c r="FC20" i="1"/>
  <c r="FC21" i="1"/>
  <c r="FC22" i="1"/>
  <c r="FC23" i="1"/>
  <c r="FC24" i="1"/>
  <c r="FC25" i="1"/>
  <c r="FC26" i="1"/>
  <c r="FC27" i="1"/>
  <c r="FC28" i="1"/>
  <c r="FC29" i="1"/>
  <c r="FC30" i="1"/>
  <c r="FC31" i="1"/>
  <c r="FC32" i="1"/>
  <c r="FC33" i="1"/>
  <c r="FC34" i="1"/>
  <c r="FC35" i="1"/>
  <c r="FC36" i="1"/>
  <c r="FC37" i="1"/>
  <c r="FC38" i="1"/>
  <c r="FC39" i="1"/>
  <c r="FC40" i="1"/>
  <c r="FC41" i="1"/>
  <c r="FC42" i="1"/>
  <c r="FC43" i="1"/>
  <c r="FC44" i="1"/>
  <c r="FC45" i="1"/>
  <c r="FC46" i="1"/>
  <c r="FC47" i="1"/>
  <c r="FC48" i="1"/>
  <c r="FC49" i="1"/>
  <c r="FC50" i="1"/>
  <c r="FC51" i="1"/>
  <c r="FC52" i="1"/>
  <c r="FC53" i="1"/>
  <c r="FC54" i="1"/>
  <c r="FC55" i="1"/>
  <c r="FC56" i="1"/>
  <c r="FC57" i="1"/>
  <c r="FC58" i="1"/>
  <c r="FC59" i="1"/>
  <c r="FC60" i="1"/>
  <c r="FC61" i="1"/>
  <c r="FC62" i="1"/>
  <c r="FC63" i="1"/>
  <c r="FC64" i="1"/>
  <c r="FC65" i="1"/>
  <c r="FC66" i="1"/>
  <c r="FC67" i="1"/>
  <c r="FC68" i="1"/>
  <c r="FC69" i="1"/>
  <c r="FC70" i="1"/>
  <c r="FC71" i="1"/>
  <c r="FC72" i="1"/>
  <c r="FC73" i="1"/>
  <c r="FC74" i="1"/>
  <c r="FC75" i="1"/>
  <c r="FC76" i="1"/>
  <c r="FC77" i="1"/>
  <c r="FC78" i="1"/>
  <c r="FC79" i="1"/>
  <c r="FC80" i="1"/>
  <c r="FC81" i="1"/>
  <c r="FC82" i="1"/>
  <c r="FC83" i="1"/>
  <c r="FC84" i="1"/>
  <c r="FC85" i="1"/>
  <c r="FC86" i="1"/>
  <c r="FC87" i="1"/>
  <c r="FC88" i="1"/>
  <c r="FC89" i="1"/>
  <c r="FC90" i="1"/>
  <c r="FC91" i="1"/>
  <c r="FC92" i="1"/>
  <c r="FC93" i="1"/>
  <c r="FC94" i="1"/>
  <c r="FC95" i="1"/>
  <c r="FC96" i="1"/>
  <c r="FC97" i="1"/>
  <c r="FC98" i="1"/>
  <c r="FC99" i="1"/>
  <c r="FC100" i="1"/>
  <c r="FC101" i="1"/>
  <c r="FC102" i="1"/>
  <c r="FC103" i="1"/>
  <c r="FC104" i="1"/>
  <c r="FC105" i="1"/>
  <c r="FC106" i="1"/>
  <c r="FC107" i="1"/>
  <c r="FC108" i="1"/>
  <c r="FC109" i="1"/>
  <c r="FC110" i="1"/>
  <c r="FC111" i="1"/>
  <c r="FC112" i="1"/>
  <c r="FC113" i="1"/>
  <c r="FC114" i="1"/>
  <c r="FC115" i="1"/>
  <c r="FC116" i="1"/>
  <c r="FC117" i="1"/>
  <c r="FC118" i="1"/>
  <c r="FC119" i="1"/>
  <c r="FC120" i="1"/>
  <c r="FC121" i="1"/>
  <c r="FC122" i="1"/>
  <c r="FC123" i="1"/>
  <c r="FC124" i="1"/>
  <c r="FC125" i="1"/>
  <c r="FC126" i="1"/>
  <c r="FC127" i="1"/>
  <c r="FC128" i="1"/>
  <c r="FC129" i="1"/>
  <c r="FC130" i="1"/>
  <c r="FC131" i="1"/>
  <c r="FC132" i="1"/>
  <c r="FC133" i="1"/>
  <c r="FC134" i="1"/>
  <c r="FC135" i="1"/>
  <c r="FC136" i="1"/>
  <c r="FC137" i="1"/>
  <c r="FC138" i="1"/>
  <c r="FC139" i="1"/>
  <c r="FC140" i="1"/>
  <c r="FC141" i="1"/>
  <c r="FC142" i="1"/>
  <c r="FC143" i="1"/>
  <c r="FC144" i="1"/>
  <c r="FC145" i="1"/>
  <c r="FC146" i="1"/>
  <c r="FC147" i="1"/>
  <c r="FC148" i="1"/>
  <c r="FC149" i="1"/>
  <c r="FC150" i="1"/>
  <c r="FC151" i="1"/>
  <c r="FC152" i="1"/>
  <c r="FC153" i="1"/>
  <c r="FC154" i="1"/>
  <c r="FC155" i="1"/>
  <c r="FC156" i="1"/>
  <c r="FC157" i="1"/>
  <c r="FC158" i="1"/>
  <c r="FC159" i="1"/>
  <c r="FC160" i="1"/>
  <c r="FC161" i="1"/>
  <c r="FC162" i="1"/>
  <c r="FC163" i="1"/>
  <c r="FC164" i="1"/>
  <c r="FC165" i="1"/>
  <c r="FC166" i="1"/>
  <c r="FC167" i="1"/>
  <c r="FC168" i="1"/>
  <c r="FC169" i="1"/>
  <c r="FC170" i="1"/>
  <c r="FC171" i="1"/>
  <c r="FC172" i="1"/>
  <c r="FC173" i="1"/>
  <c r="FC174" i="1"/>
  <c r="FC175" i="1"/>
  <c r="FC176" i="1"/>
  <c r="FC177" i="1"/>
  <c r="FC178" i="1"/>
  <c r="FC179" i="1"/>
  <c r="FC180" i="1"/>
  <c r="FC181" i="1"/>
  <c r="FC182" i="1"/>
  <c r="FC183" i="1"/>
  <c r="FC184" i="1"/>
  <c r="FC185" i="1"/>
  <c r="FC186" i="1"/>
  <c r="FC187" i="1"/>
  <c r="FC188" i="1"/>
  <c r="FC189" i="1"/>
  <c r="FC190" i="1"/>
  <c r="FC191" i="1"/>
  <c r="FC192" i="1"/>
  <c r="FC193" i="1"/>
  <c r="FC194" i="1"/>
  <c r="FC195" i="1"/>
  <c r="FC196" i="1"/>
  <c r="FC197" i="1"/>
  <c r="FC198" i="1"/>
  <c r="FC199" i="1"/>
  <c r="FC200" i="1"/>
  <c r="FC201" i="1"/>
  <c r="FC202" i="1"/>
  <c r="FC203" i="1"/>
  <c r="FC204" i="1"/>
  <c r="FC205" i="1"/>
  <c r="FC206" i="1"/>
  <c r="FC207" i="1"/>
  <c r="FC208" i="1"/>
  <c r="FC209" i="1"/>
  <c r="FC210" i="1"/>
  <c r="FC211" i="1"/>
  <c r="FC212" i="1"/>
  <c r="FC213" i="1"/>
  <c r="FC214" i="1"/>
  <c r="FC215" i="1"/>
  <c r="FC216" i="1"/>
  <c r="FC217" i="1"/>
  <c r="FC218" i="1"/>
  <c r="FC219" i="1"/>
  <c r="FC220" i="1"/>
  <c r="FC221" i="1"/>
  <c r="FC222" i="1"/>
  <c r="FC223" i="1"/>
  <c r="FC224" i="1"/>
  <c r="FC225" i="1"/>
  <c r="FC226" i="1"/>
  <c r="FC227" i="1"/>
  <c r="FC228" i="1"/>
  <c r="FC229" i="1"/>
  <c r="FC230" i="1"/>
  <c r="FC231" i="1"/>
  <c r="FC232" i="1"/>
  <c r="FC233" i="1"/>
  <c r="FC234" i="1"/>
  <c r="FC235" i="1"/>
  <c r="FC236" i="1"/>
  <c r="FC237" i="1"/>
  <c r="FC238" i="1"/>
  <c r="FC239" i="1"/>
  <c r="FC240" i="1"/>
  <c r="FC241" i="1"/>
  <c r="FC242" i="1"/>
  <c r="FC243" i="1"/>
  <c r="FC244" i="1"/>
  <c r="FC245" i="1"/>
  <c r="FC246" i="1"/>
  <c r="FC247" i="1"/>
  <c r="FC248" i="1"/>
  <c r="FC249" i="1"/>
  <c r="FC250" i="1"/>
  <c r="FC251" i="1"/>
  <c r="FC252" i="1"/>
  <c r="FC253" i="1"/>
  <c r="FC254" i="1"/>
  <c r="FC255" i="1"/>
  <c r="FC256" i="1"/>
  <c r="FC257" i="1"/>
  <c r="FC258" i="1"/>
  <c r="FC259" i="1"/>
  <c r="FC260" i="1"/>
  <c r="FC261" i="1"/>
  <c r="FC262" i="1"/>
  <c r="FC263" i="1"/>
  <c r="FC264" i="1"/>
  <c r="FC265" i="1"/>
  <c r="FC266" i="1"/>
  <c r="FC267" i="1"/>
  <c r="FC268" i="1"/>
  <c r="FC269" i="1"/>
  <c r="FC270" i="1"/>
  <c r="FC271" i="1"/>
  <c r="FC272" i="1"/>
  <c r="FC273" i="1"/>
  <c r="FC274" i="1"/>
  <c r="FC275" i="1"/>
  <c r="FC276" i="1"/>
  <c r="FC277" i="1"/>
  <c r="FC278" i="1"/>
  <c r="FC279" i="1"/>
  <c r="FC280" i="1"/>
  <c r="FC281" i="1"/>
  <c r="FC282" i="1"/>
  <c r="FC283" i="1"/>
  <c r="FC284" i="1"/>
  <c r="FC285" i="1"/>
  <c r="FC286" i="1"/>
  <c r="FC287" i="1"/>
  <c r="FC288" i="1"/>
  <c r="FC289" i="1"/>
  <c r="FC290" i="1"/>
  <c r="FC291" i="1"/>
  <c r="FC292" i="1"/>
  <c r="FC293" i="1"/>
  <c r="FC294" i="1"/>
  <c r="FC295" i="1"/>
  <c r="FC296" i="1"/>
  <c r="FC297" i="1"/>
  <c r="FC298" i="1"/>
  <c r="FC299" i="1"/>
  <c r="FC300" i="1"/>
  <c r="FC301" i="1"/>
  <c r="FC302" i="1"/>
  <c r="FC303" i="1"/>
  <c r="FC304" i="1"/>
  <c r="FC305" i="1"/>
  <c r="FC306" i="1"/>
  <c r="FC307" i="1"/>
  <c r="FC308" i="1"/>
  <c r="FC309" i="1"/>
  <c r="FC310" i="1"/>
  <c r="FC311" i="1"/>
  <c r="FC312" i="1"/>
  <c r="FC313" i="1"/>
  <c r="FC314" i="1"/>
  <c r="FC315" i="1"/>
  <c r="FC316" i="1"/>
  <c r="FC317" i="1"/>
  <c r="FC318" i="1"/>
  <c r="FC319" i="1"/>
  <c r="FC320" i="1"/>
  <c r="FC321" i="1"/>
  <c r="FC322" i="1"/>
  <c r="FC323" i="1"/>
  <c r="FC324" i="1"/>
  <c r="FC325" i="1"/>
  <c r="FC326" i="1"/>
  <c r="FC327" i="1"/>
  <c r="FC328" i="1"/>
  <c r="FC329" i="1"/>
  <c r="FC330" i="1"/>
  <c r="FC331" i="1"/>
  <c r="FC332" i="1"/>
  <c r="FC333" i="1"/>
  <c r="FC334" i="1"/>
  <c r="FC335" i="1"/>
  <c r="FC336" i="1"/>
  <c r="FC337" i="1"/>
  <c r="FC338" i="1"/>
  <c r="FC339" i="1"/>
  <c r="FC340" i="1"/>
  <c r="FC341" i="1"/>
  <c r="FC342" i="1"/>
  <c r="FC343" i="1"/>
  <c r="FC344" i="1"/>
  <c r="FC345" i="1"/>
  <c r="FC346" i="1"/>
  <c r="FC347" i="1"/>
  <c r="FC348" i="1"/>
  <c r="FC349" i="1"/>
  <c r="FC350" i="1"/>
  <c r="FC351" i="1"/>
  <c r="FC352" i="1"/>
  <c r="FC353" i="1"/>
  <c r="FC354" i="1"/>
  <c r="D6" i="15"/>
  <c r="E6" i="15"/>
  <c r="F6" i="15"/>
  <c r="D7" i="15"/>
  <c r="E7" i="15"/>
  <c r="F7" i="15"/>
  <c r="D8" i="15"/>
  <c r="E8" i="15"/>
  <c r="F8" i="15"/>
  <c r="D9" i="15"/>
  <c r="E9" i="15"/>
  <c r="F9" i="15"/>
  <c r="D10" i="15"/>
  <c r="E10" i="15"/>
  <c r="F10" i="15"/>
  <c r="D11" i="15"/>
  <c r="E11" i="15"/>
  <c r="F11" i="15"/>
  <c r="D12" i="15"/>
  <c r="E12" i="15"/>
  <c r="F12" i="15"/>
  <c r="D13" i="15"/>
  <c r="E13" i="15"/>
  <c r="F13" i="15"/>
  <c r="D14" i="15"/>
  <c r="E14" i="15"/>
  <c r="F14" i="15"/>
  <c r="D15" i="15"/>
  <c r="E15" i="15"/>
  <c r="F15" i="15"/>
  <c r="D16" i="15"/>
  <c r="E16" i="15"/>
  <c r="F16" i="15"/>
  <c r="D17" i="15"/>
  <c r="E17" i="15"/>
  <c r="F17" i="15"/>
  <c r="D18" i="15"/>
  <c r="E18" i="15"/>
  <c r="F18" i="15"/>
  <c r="D19" i="15"/>
  <c r="E19" i="15"/>
  <c r="F19" i="15"/>
  <c r="D20" i="15"/>
  <c r="E20" i="15"/>
  <c r="F20" i="15"/>
  <c r="D21" i="15"/>
  <c r="E21" i="15"/>
  <c r="F21" i="15"/>
  <c r="D22" i="15"/>
  <c r="E22" i="15"/>
  <c r="F22" i="15"/>
  <c r="D23" i="15"/>
  <c r="E23" i="15"/>
  <c r="F23" i="15"/>
  <c r="D24" i="15"/>
  <c r="E24" i="15"/>
  <c r="F24" i="15"/>
  <c r="D25" i="15"/>
  <c r="E25" i="15"/>
  <c r="F25" i="15"/>
  <c r="D26" i="15"/>
  <c r="E26" i="15"/>
  <c r="F26" i="15"/>
  <c r="D27" i="15"/>
  <c r="E27" i="15"/>
  <c r="F27" i="15"/>
  <c r="D28" i="15"/>
  <c r="E28" i="15"/>
  <c r="F28" i="15"/>
  <c r="D29" i="15"/>
  <c r="E29" i="15"/>
  <c r="F29" i="15"/>
  <c r="D30" i="15"/>
  <c r="E30" i="15"/>
  <c r="F30" i="15"/>
  <c r="D31" i="15"/>
  <c r="E31" i="15"/>
  <c r="F31" i="15"/>
  <c r="D32" i="15"/>
  <c r="E32" i="15"/>
  <c r="F32" i="15"/>
  <c r="D33" i="15"/>
  <c r="E33" i="15"/>
  <c r="F33" i="15"/>
  <c r="D34" i="15"/>
  <c r="E34" i="15"/>
  <c r="F34" i="15"/>
  <c r="D35" i="15"/>
  <c r="E35" i="15"/>
  <c r="F35" i="15"/>
  <c r="D36" i="15"/>
  <c r="E36" i="15"/>
  <c r="F36" i="15"/>
  <c r="D37" i="15"/>
  <c r="E37" i="15"/>
  <c r="F37" i="15"/>
  <c r="D38" i="15"/>
  <c r="E38" i="15"/>
  <c r="F38" i="15"/>
  <c r="D39" i="15"/>
  <c r="E39" i="15"/>
  <c r="F39" i="15"/>
  <c r="D40" i="15"/>
  <c r="E40" i="15"/>
  <c r="F40" i="15"/>
  <c r="D41" i="15"/>
  <c r="E41" i="15"/>
  <c r="F41" i="15"/>
  <c r="D42" i="15"/>
  <c r="E42" i="15"/>
  <c r="F42" i="15"/>
  <c r="D43" i="15"/>
  <c r="E43" i="15"/>
  <c r="F43" i="15"/>
  <c r="D44" i="15"/>
  <c r="E44" i="15"/>
  <c r="F44" i="15"/>
  <c r="D45" i="15"/>
  <c r="E45" i="15"/>
  <c r="F45" i="15"/>
  <c r="D46" i="15"/>
  <c r="E46" i="15"/>
  <c r="F46" i="15"/>
  <c r="D47" i="15"/>
  <c r="E47" i="15"/>
  <c r="F47" i="15"/>
  <c r="D48" i="15"/>
  <c r="E48" i="15"/>
  <c r="F48" i="15"/>
  <c r="D49" i="15"/>
  <c r="E49" i="15"/>
  <c r="F49" i="15"/>
  <c r="D50" i="15"/>
  <c r="E50" i="15"/>
  <c r="F50" i="15"/>
  <c r="D51" i="15"/>
  <c r="E51" i="15"/>
  <c r="F51" i="15"/>
  <c r="D52" i="15"/>
  <c r="E52" i="15"/>
  <c r="F52" i="15"/>
  <c r="D53" i="15"/>
  <c r="E53" i="15"/>
  <c r="F53" i="15"/>
  <c r="D54" i="15"/>
  <c r="E54" i="15"/>
  <c r="F54" i="15"/>
  <c r="D55" i="15"/>
  <c r="E55" i="15"/>
  <c r="F55" i="15"/>
  <c r="D56" i="15"/>
  <c r="E56" i="15"/>
  <c r="F56" i="15"/>
  <c r="D57" i="15"/>
  <c r="E57" i="15"/>
  <c r="F57" i="15"/>
  <c r="D58" i="15"/>
  <c r="E58" i="15"/>
  <c r="F58" i="15"/>
  <c r="D59" i="15"/>
  <c r="E59" i="15"/>
  <c r="F59" i="15"/>
  <c r="D60" i="15"/>
  <c r="E60" i="15"/>
  <c r="F60" i="15"/>
  <c r="D61" i="15"/>
  <c r="E61" i="15"/>
  <c r="F61" i="15"/>
  <c r="D62" i="15"/>
  <c r="E62" i="15"/>
  <c r="F62" i="15"/>
  <c r="D63" i="15"/>
  <c r="E63" i="15"/>
  <c r="F63" i="15"/>
  <c r="D64" i="15"/>
  <c r="E64" i="15"/>
  <c r="F64" i="15"/>
  <c r="D65" i="15"/>
  <c r="E65" i="15"/>
  <c r="F65" i="15"/>
  <c r="D66" i="15"/>
  <c r="E66" i="15"/>
  <c r="F66" i="15"/>
  <c r="D67" i="15"/>
  <c r="E67" i="15"/>
  <c r="F67" i="15"/>
  <c r="D68" i="15"/>
  <c r="E68" i="15"/>
  <c r="F68" i="15"/>
  <c r="D69" i="15"/>
  <c r="E69" i="15"/>
  <c r="F69" i="15"/>
  <c r="D70" i="15"/>
  <c r="E70" i="15"/>
  <c r="F70" i="15"/>
  <c r="D71" i="15"/>
  <c r="E71" i="15"/>
  <c r="F71" i="15"/>
  <c r="D72" i="15"/>
  <c r="E72" i="15"/>
  <c r="F72" i="15"/>
  <c r="D73" i="15"/>
  <c r="E73" i="15"/>
  <c r="F73" i="15"/>
  <c r="D74" i="15"/>
  <c r="E74" i="15"/>
  <c r="F74" i="15"/>
  <c r="D75" i="15"/>
  <c r="E75" i="15"/>
  <c r="F75" i="15"/>
  <c r="D76" i="15"/>
  <c r="E76" i="15"/>
  <c r="F76" i="15"/>
  <c r="D77" i="15"/>
  <c r="E77" i="15"/>
  <c r="F77" i="15"/>
  <c r="D78" i="15"/>
  <c r="E78" i="15"/>
  <c r="F78" i="15"/>
  <c r="D79" i="15"/>
  <c r="E79" i="15"/>
  <c r="F79" i="15"/>
  <c r="D80" i="15"/>
  <c r="E80" i="15"/>
  <c r="F80" i="15"/>
  <c r="D81" i="15"/>
  <c r="E81" i="15"/>
  <c r="F81" i="15"/>
  <c r="D82" i="15"/>
  <c r="E82" i="15"/>
  <c r="F82" i="15"/>
  <c r="D83" i="15"/>
  <c r="E83" i="15"/>
  <c r="F83" i="15"/>
  <c r="D84" i="15"/>
  <c r="E84" i="15"/>
  <c r="F84" i="15"/>
  <c r="D85" i="15"/>
  <c r="E85" i="15"/>
  <c r="F85" i="15"/>
  <c r="D86" i="15"/>
  <c r="E86" i="15"/>
  <c r="F86" i="15"/>
  <c r="D87" i="15"/>
  <c r="E87" i="15"/>
  <c r="F87" i="15"/>
  <c r="D88" i="15"/>
  <c r="E88" i="15"/>
  <c r="F88" i="15"/>
  <c r="D89" i="15"/>
  <c r="E89" i="15"/>
  <c r="F89" i="15"/>
  <c r="D90" i="15"/>
  <c r="E90" i="15"/>
  <c r="F90" i="15"/>
  <c r="D91" i="15"/>
  <c r="E91" i="15"/>
  <c r="F91" i="15"/>
  <c r="D92" i="15"/>
  <c r="E92" i="15"/>
  <c r="F92" i="15"/>
  <c r="D93" i="15"/>
  <c r="E93" i="15"/>
  <c r="F93" i="15"/>
  <c r="D94" i="15"/>
  <c r="E94" i="15"/>
  <c r="F94" i="15"/>
  <c r="D95" i="15"/>
  <c r="E95" i="15"/>
  <c r="F95" i="15"/>
  <c r="D96" i="15"/>
  <c r="E96" i="15"/>
  <c r="F96" i="15"/>
  <c r="D97" i="15"/>
  <c r="E97" i="15"/>
  <c r="F97" i="15"/>
  <c r="D98" i="15"/>
  <c r="E98" i="15"/>
  <c r="F98" i="15"/>
  <c r="D99" i="15"/>
  <c r="E99" i="15"/>
  <c r="F99" i="15"/>
  <c r="D100" i="15"/>
  <c r="E100" i="15"/>
  <c r="F100" i="15"/>
  <c r="D101" i="15"/>
  <c r="E101" i="15"/>
  <c r="F101" i="15"/>
  <c r="D102" i="15"/>
  <c r="E102" i="15"/>
  <c r="F102" i="15"/>
  <c r="D103" i="15"/>
  <c r="E103" i="15"/>
  <c r="F103" i="15"/>
  <c r="D104" i="15"/>
  <c r="E104" i="15"/>
  <c r="F104" i="15"/>
  <c r="D105" i="15"/>
  <c r="E105" i="15"/>
  <c r="F105" i="15"/>
  <c r="D106" i="15"/>
  <c r="E106" i="15"/>
  <c r="F106" i="15"/>
  <c r="D107" i="15"/>
  <c r="E107" i="15"/>
  <c r="F107" i="15"/>
  <c r="D108" i="15"/>
  <c r="E108" i="15"/>
  <c r="F108" i="15"/>
  <c r="D109" i="15"/>
  <c r="E109" i="15"/>
  <c r="F109" i="15"/>
  <c r="D110" i="15"/>
  <c r="E110" i="15"/>
  <c r="F110" i="15"/>
  <c r="D111" i="15"/>
  <c r="E111" i="15"/>
  <c r="F111" i="15"/>
  <c r="D112" i="15"/>
  <c r="E112" i="15"/>
  <c r="F112" i="15"/>
  <c r="D113" i="15"/>
  <c r="E113" i="15"/>
  <c r="F113" i="15"/>
  <c r="D114" i="15"/>
  <c r="E114" i="15"/>
  <c r="F114" i="15"/>
  <c r="D115" i="15"/>
  <c r="E115" i="15"/>
  <c r="F115" i="15"/>
  <c r="D116" i="15"/>
  <c r="E116" i="15"/>
  <c r="F116" i="15"/>
  <c r="D117" i="15"/>
  <c r="E117" i="15"/>
  <c r="F117" i="15"/>
  <c r="D118" i="15"/>
  <c r="E118" i="15"/>
  <c r="F118" i="15"/>
  <c r="D119" i="15"/>
  <c r="E119" i="15"/>
  <c r="F119" i="15"/>
  <c r="D120" i="15"/>
  <c r="E120" i="15"/>
  <c r="F120" i="15"/>
  <c r="D121" i="15"/>
  <c r="E121" i="15"/>
  <c r="F121" i="15"/>
  <c r="D122" i="15"/>
  <c r="E122" i="15"/>
  <c r="F122" i="15"/>
  <c r="D123" i="15"/>
  <c r="E123" i="15"/>
  <c r="F123" i="15"/>
  <c r="D124" i="15"/>
  <c r="E124" i="15"/>
  <c r="F124" i="15"/>
  <c r="D125" i="15"/>
  <c r="E125" i="15"/>
  <c r="F125" i="15"/>
  <c r="D126" i="15"/>
  <c r="E126" i="15"/>
  <c r="F126" i="15"/>
  <c r="D127" i="15"/>
  <c r="E127" i="15"/>
  <c r="F127" i="15"/>
  <c r="D128" i="15"/>
  <c r="E128" i="15"/>
  <c r="F128" i="15"/>
  <c r="D129" i="15"/>
  <c r="E129" i="15"/>
  <c r="F129" i="15"/>
  <c r="D130" i="15"/>
  <c r="E130" i="15"/>
  <c r="F130" i="15"/>
  <c r="D131" i="15"/>
  <c r="E131" i="15"/>
  <c r="F131" i="15"/>
  <c r="D132" i="15"/>
  <c r="E132" i="15"/>
  <c r="F132" i="15"/>
  <c r="D133" i="15"/>
  <c r="E133" i="15"/>
  <c r="F133" i="15"/>
  <c r="D134" i="15"/>
  <c r="E134" i="15"/>
  <c r="F134" i="15"/>
  <c r="D135" i="15"/>
  <c r="E135" i="15"/>
  <c r="F135" i="15"/>
  <c r="D136" i="15"/>
  <c r="E136" i="15"/>
  <c r="F136" i="15"/>
  <c r="D137" i="15"/>
  <c r="E137" i="15"/>
  <c r="F137" i="15"/>
  <c r="D138" i="15"/>
  <c r="E138" i="15"/>
  <c r="F138" i="15"/>
  <c r="D139" i="15"/>
  <c r="E139" i="15"/>
  <c r="F139" i="15"/>
  <c r="D140" i="15"/>
  <c r="E140" i="15"/>
  <c r="F140" i="15"/>
  <c r="D141" i="15"/>
  <c r="E141" i="15"/>
  <c r="F141" i="15"/>
  <c r="D142" i="15"/>
  <c r="E142" i="15"/>
  <c r="F142" i="15"/>
  <c r="D143" i="15"/>
  <c r="E143" i="15"/>
  <c r="F143" i="15"/>
  <c r="D144" i="15"/>
  <c r="E144" i="15"/>
  <c r="F144" i="15"/>
  <c r="D145" i="15"/>
  <c r="E145" i="15"/>
  <c r="F145" i="15"/>
  <c r="D146" i="15"/>
  <c r="E146" i="15"/>
  <c r="F146" i="15"/>
  <c r="D147" i="15"/>
  <c r="E147" i="15"/>
  <c r="F147" i="15"/>
  <c r="D148" i="15"/>
  <c r="E148" i="15"/>
  <c r="F148" i="15"/>
  <c r="D149" i="15"/>
  <c r="E149" i="15"/>
  <c r="F149" i="15"/>
  <c r="D150" i="15"/>
  <c r="E150" i="15"/>
  <c r="F150" i="15"/>
  <c r="D151" i="15"/>
  <c r="E151" i="15"/>
  <c r="F151" i="15"/>
  <c r="D152" i="15"/>
  <c r="E152" i="15"/>
  <c r="F152" i="15"/>
  <c r="D153" i="15"/>
  <c r="E153" i="15"/>
  <c r="F153" i="15"/>
  <c r="D154" i="15"/>
  <c r="E154" i="15"/>
  <c r="F154" i="15"/>
  <c r="D155" i="15"/>
  <c r="E155" i="15"/>
  <c r="F155" i="15"/>
  <c r="D156" i="15"/>
  <c r="E156" i="15"/>
  <c r="F156" i="15"/>
  <c r="D157" i="15"/>
  <c r="E157" i="15"/>
  <c r="F157" i="15"/>
  <c r="D158" i="15"/>
  <c r="E158" i="15"/>
  <c r="F158" i="15"/>
  <c r="D159" i="15"/>
  <c r="E159" i="15"/>
  <c r="F159" i="15"/>
  <c r="D160" i="15"/>
  <c r="E160" i="15"/>
  <c r="F160" i="15"/>
  <c r="D161" i="15"/>
  <c r="E161" i="15"/>
  <c r="F161" i="15"/>
  <c r="D162" i="15"/>
  <c r="E162" i="15"/>
  <c r="F162" i="15"/>
  <c r="D163" i="15"/>
  <c r="E163" i="15"/>
  <c r="F163" i="15"/>
  <c r="D164" i="15"/>
  <c r="E164" i="15"/>
  <c r="F164" i="15"/>
  <c r="D165" i="15"/>
  <c r="E165" i="15"/>
  <c r="F165" i="15"/>
  <c r="D166" i="15"/>
  <c r="E166" i="15"/>
  <c r="F166" i="15"/>
  <c r="D167" i="15"/>
  <c r="E167" i="15"/>
  <c r="F167" i="15"/>
  <c r="D168" i="15"/>
  <c r="E168" i="15"/>
  <c r="F168" i="15"/>
  <c r="D169" i="15"/>
  <c r="E169" i="15"/>
  <c r="F169" i="15"/>
  <c r="D170" i="15"/>
  <c r="E170" i="15"/>
  <c r="F170" i="15"/>
  <c r="D171" i="15"/>
  <c r="E171" i="15"/>
  <c r="F171" i="15"/>
  <c r="D172" i="15"/>
  <c r="E172" i="15"/>
  <c r="F172" i="15"/>
  <c r="D173" i="15"/>
  <c r="E173" i="15"/>
  <c r="F173" i="15"/>
  <c r="D174" i="15"/>
  <c r="E174" i="15"/>
  <c r="F174" i="15"/>
  <c r="D175" i="15"/>
  <c r="E175" i="15"/>
  <c r="F175" i="15"/>
  <c r="D176" i="15"/>
  <c r="E176" i="15"/>
  <c r="F176" i="15"/>
  <c r="D177" i="15"/>
  <c r="E177" i="15"/>
  <c r="F177" i="15"/>
  <c r="D178" i="15"/>
  <c r="E178" i="15"/>
  <c r="F178" i="15"/>
  <c r="D179" i="15"/>
  <c r="E179" i="15"/>
  <c r="F179" i="15"/>
  <c r="D180" i="15"/>
  <c r="E180" i="15"/>
  <c r="F180" i="15"/>
  <c r="D181" i="15"/>
  <c r="E181" i="15"/>
  <c r="F181" i="15"/>
  <c r="D182" i="15"/>
  <c r="E182" i="15"/>
  <c r="F182" i="15"/>
  <c r="D183" i="15"/>
  <c r="E183" i="15"/>
  <c r="F183" i="15"/>
  <c r="D184" i="15"/>
  <c r="E184" i="15"/>
  <c r="F184" i="15"/>
  <c r="D185" i="15"/>
  <c r="E185" i="15"/>
  <c r="F185" i="15"/>
  <c r="D186" i="15"/>
  <c r="E186" i="15"/>
  <c r="F186" i="15"/>
  <c r="D187" i="15"/>
  <c r="E187" i="15"/>
  <c r="F187" i="15"/>
  <c r="D188" i="15"/>
  <c r="E188" i="15"/>
  <c r="F188" i="15"/>
  <c r="D189" i="15"/>
  <c r="E189" i="15"/>
  <c r="F189" i="15"/>
  <c r="D190" i="15"/>
  <c r="E190" i="15"/>
  <c r="F190" i="15"/>
  <c r="D191" i="15"/>
  <c r="E191" i="15"/>
  <c r="F191" i="15"/>
  <c r="D192" i="15"/>
  <c r="E192" i="15"/>
  <c r="F192" i="15"/>
  <c r="D193" i="15"/>
  <c r="E193" i="15"/>
  <c r="F193" i="15"/>
  <c r="D194" i="15"/>
  <c r="E194" i="15"/>
  <c r="F194" i="15"/>
  <c r="D195" i="15"/>
  <c r="E195" i="15"/>
  <c r="F195" i="15"/>
  <c r="D196" i="15"/>
  <c r="E196" i="15"/>
  <c r="F196" i="15"/>
  <c r="D197" i="15"/>
  <c r="E197" i="15"/>
  <c r="F197" i="15"/>
  <c r="D198" i="15"/>
  <c r="E198" i="15"/>
  <c r="F198" i="15"/>
  <c r="D199" i="15"/>
  <c r="E199" i="15"/>
  <c r="F199" i="15"/>
  <c r="D200" i="15"/>
  <c r="E200" i="15"/>
  <c r="F200" i="15"/>
  <c r="D201" i="15"/>
  <c r="E201" i="15"/>
  <c r="F201" i="15"/>
  <c r="D202" i="15"/>
  <c r="E202" i="15"/>
  <c r="F202" i="15"/>
  <c r="D203" i="15"/>
  <c r="E203" i="15"/>
  <c r="F203" i="15"/>
  <c r="D204" i="15"/>
  <c r="E204" i="15"/>
  <c r="F204" i="15"/>
  <c r="E117" i="18"/>
  <c r="E128" i="18"/>
  <c r="E185" i="18"/>
  <c r="E50" i="18"/>
  <c r="E156" i="18"/>
  <c r="E139" i="18"/>
  <c r="E41" i="18"/>
  <c r="E198" i="18"/>
  <c r="E123" i="18"/>
  <c r="E208" i="18"/>
  <c r="E91" i="18"/>
  <c r="E207" i="18"/>
  <c r="E202" i="18"/>
  <c r="E68" i="18"/>
  <c r="E13" i="18"/>
  <c r="E211" i="18"/>
  <c r="E24" i="18"/>
  <c r="E56" i="18"/>
  <c r="E134" i="18"/>
  <c r="E133" i="18"/>
  <c r="E182" i="18"/>
  <c r="E212" i="18"/>
  <c r="E46" i="18"/>
  <c r="E64" i="18"/>
  <c r="E118" i="18"/>
  <c r="E209" i="18"/>
  <c r="E33" i="18"/>
  <c r="E190" i="18"/>
  <c r="E111" i="18"/>
  <c r="E169" i="18"/>
  <c r="E153" i="18"/>
  <c r="E45" i="18"/>
  <c r="E162" i="18"/>
  <c r="E140" i="18"/>
  <c r="E199" i="18"/>
  <c r="E187" i="18"/>
  <c r="E28" i="18"/>
  <c r="E63" i="18"/>
  <c r="E204" i="18"/>
  <c r="E113" i="18"/>
  <c r="E142" i="18"/>
  <c r="E203" i="18"/>
  <c r="E30" i="18"/>
  <c r="E197" i="18"/>
  <c r="E160" i="18"/>
  <c r="E129" i="18"/>
  <c r="E206" i="18"/>
  <c r="E11" i="18"/>
  <c r="E15" i="18"/>
  <c r="E141" i="18"/>
  <c r="E58" i="18"/>
  <c r="E57" i="18"/>
  <c r="E114" i="18"/>
  <c r="E210" i="18"/>
  <c r="E175" i="18"/>
  <c r="E92" i="18"/>
  <c r="E10" i="18"/>
  <c r="E125" i="18"/>
  <c r="E159" i="18"/>
  <c r="E25" i="18"/>
  <c r="E23" i="18"/>
  <c r="E163" i="18"/>
  <c r="E83" i="18"/>
  <c r="E59" i="18"/>
  <c r="E104" i="18"/>
  <c r="E80" i="18"/>
  <c r="E106" i="18"/>
  <c r="E43" i="18"/>
  <c r="E154" i="18"/>
  <c r="E73" i="18"/>
  <c r="E172" i="18"/>
  <c r="E131" i="18"/>
  <c r="E42" i="18"/>
  <c r="E19" i="18"/>
  <c r="E149" i="18"/>
  <c r="E22" i="18"/>
  <c r="E164" i="18"/>
  <c r="E120" i="18"/>
  <c r="E40" i="18"/>
  <c r="E105" i="18"/>
  <c r="E74" i="18"/>
  <c r="E47" i="18"/>
  <c r="E130" i="18"/>
  <c r="E189" i="18"/>
  <c r="E201" i="18"/>
  <c r="E170" i="18"/>
  <c r="E171" i="18"/>
  <c r="E151" i="18"/>
  <c r="E121" i="18"/>
  <c r="E124" i="18"/>
  <c r="E98" i="18"/>
  <c r="E122" i="18"/>
  <c r="E115" i="18"/>
  <c r="E88" i="18"/>
  <c r="E144" i="18"/>
  <c r="E183" i="18"/>
  <c r="E107" i="18"/>
  <c r="E49" i="18"/>
  <c r="E188" i="18"/>
  <c r="E32" i="18"/>
  <c r="E54" i="18"/>
  <c r="E137" i="18"/>
  <c r="E147" i="18"/>
  <c r="E35" i="18"/>
  <c r="E95" i="18"/>
  <c r="E81" i="18"/>
  <c r="E85" i="18"/>
  <c r="E174" i="18"/>
  <c r="E87" i="18"/>
  <c r="E60" i="18"/>
  <c r="E100" i="18"/>
  <c r="E38" i="18"/>
  <c r="E44" i="18"/>
  <c r="E96" i="18"/>
  <c r="E14" i="18"/>
  <c r="E34" i="18"/>
  <c r="E66" i="18"/>
  <c r="E86" i="18"/>
  <c r="E116" i="18"/>
  <c r="E97" i="18"/>
  <c r="E76" i="18"/>
  <c r="E143" i="18"/>
  <c r="E166" i="18"/>
  <c r="E108" i="18"/>
  <c r="E36" i="18"/>
  <c r="E152" i="18"/>
  <c r="E99" i="18"/>
  <c r="E39" i="18"/>
  <c r="E94" i="18"/>
  <c r="E18" i="18"/>
  <c r="E146" i="18"/>
  <c r="E177" i="18"/>
  <c r="E119" i="18"/>
  <c r="E67" i="18"/>
  <c r="E51" i="18"/>
  <c r="E180" i="18"/>
  <c r="E16" i="18"/>
  <c r="E82" i="18"/>
  <c r="E27" i="18"/>
  <c r="E109" i="18"/>
  <c r="F109" i="18"/>
  <c r="E192" i="18"/>
  <c r="E135" i="18"/>
  <c r="E72" i="18"/>
  <c r="E65" i="18"/>
  <c r="E20" i="18"/>
  <c r="E48" i="18"/>
  <c r="E90" i="18"/>
  <c r="E84" i="18"/>
  <c r="E55" i="18"/>
  <c r="E62" i="18"/>
  <c r="E69" i="18"/>
  <c r="E29" i="18"/>
  <c r="E110" i="18"/>
  <c r="E93" i="18"/>
  <c r="E26" i="18"/>
  <c r="E150" i="18"/>
  <c r="E213" i="18"/>
  <c r="E176" i="18"/>
  <c r="E78" i="18"/>
  <c r="E79" i="18"/>
  <c r="E6" i="18"/>
  <c r="E8" i="18"/>
  <c r="E126" i="18"/>
  <c r="E21" i="18"/>
  <c r="E148" i="18"/>
  <c r="E77" i="18"/>
  <c r="E184" i="18"/>
  <c r="E157" i="18"/>
  <c r="E31" i="18"/>
  <c r="E181" i="18"/>
  <c r="E193" i="18"/>
  <c r="E161" i="18"/>
  <c r="E37" i="18"/>
  <c r="E132" i="18"/>
  <c r="E12" i="18"/>
  <c r="E200" i="18"/>
  <c r="E138" i="18"/>
  <c r="E167" i="18"/>
  <c r="E179" i="18"/>
  <c r="E127" i="18"/>
  <c r="E136" i="18"/>
  <c r="E102" i="18"/>
  <c r="E165" i="18"/>
  <c r="E52" i="18"/>
  <c r="E191" i="18"/>
  <c r="E112" i="18"/>
  <c r="E17" i="18"/>
  <c r="E158" i="18"/>
  <c r="E178" i="18"/>
  <c r="E75" i="18"/>
  <c r="E7" i="18"/>
  <c r="E195" i="18"/>
  <c r="E186" i="18"/>
  <c r="E168" i="18"/>
  <c r="E194" i="18"/>
  <c r="E89" i="18"/>
  <c r="E71" i="18"/>
  <c r="E70" i="18"/>
  <c r="E196" i="18"/>
  <c r="A7" i="14"/>
  <c r="C7" i="14" s="1"/>
  <c r="A8" i="14"/>
  <c r="B8" i="14" s="1"/>
  <c r="A9" i="14"/>
  <c r="B9" i="14" s="1"/>
  <c r="A10" i="14"/>
  <c r="C10" i="14" s="1"/>
  <c r="A11" i="14"/>
  <c r="C11" i="14" s="1"/>
  <c r="A12" i="14"/>
  <c r="B12" i="14" s="1"/>
  <c r="A13" i="14"/>
  <c r="D13" i="14" s="1"/>
  <c r="A14" i="14"/>
  <c r="C14" i="14" s="1"/>
  <c r="A15" i="14"/>
  <c r="C15" i="14" s="1"/>
  <c r="A16" i="14"/>
  <c r="B16" i="14" s="1"/>
  <c r="A17" i="14"/>
  <c r="D17" i="14" s="1"/>
  <c r="A18" i="14"/>
  <c r="C18" i="14" s="1"/>
  <c r="A19" i="14"/>
  <c r="C19" i="14" s="1"/>
  <c r="A20" i="14"/>
  <c r="B20" i="14" s="1"/>
  <c r="A21" i="14"/>
  <c r="D21" i="14" s="1"/>
  <c r="A22" i="14"/>
  <c r="A23" i="14"/>
  <c r="C23" i="14" s="1"/>
  <c r="A24" i="14"/>
  <c r="C24" i="14" s="1"/>
  <c r="A25" i="14"/>
  <c r="D25" i="14" s="1"/>
  <c r="A26" i="14"/>
  <c r="C26" i="14" s="1"/>
  <c r="A27" i="14"/>
  <c r="C27" i="14" s="1"/>
  <c r="A28" i="14"/>
  <c r="C28" i="14" s="1"/>
  <c r="A29" i="14"/>
  <c r="C29" i="14" s="1"/>
  <c r="A30" i="14"/>
  <c r="E30" i="14" s="1"/>
  <c r="A31" i="14"/>
  <c r="C31" i="14" s="1"/>
  <c r="A32" i="14"/>
  <c r="C32" i="14" s="1"/>
  <c r="A33" i="14"/>
  <c r="C33" i="14" s="1"/>
  <c r="A34" i="14"/>
  <c r="C34" i="14" s="1"/>
  <c r="A35" i="14"/>
  <c r="C35" i="14" s="1"/>
  <c r="A36" i="14"/>
  <c r="A37" i="14"/>
  <c r="D37" i="14" s="1"/>
  <c r="A38" i="14"/>
  <c r="A39" i="14"/>
  <c r="C39" i="14" s="1"/>
  <c r="A40" i="14"/>
  <c r="C40" i="14" s="1"/>
  <c r="A41" i="14"/>
  <c r="B41" i="14" s="1"/>
  <c r="A42" i="14"/>
  <c r="C42" i="14" s="1"/>
  <c r="A43" i="14"/>
  <c r="F43" i="14" s="1"/>
  <c r="A44" i="14"/>
  <c r="E44" i="14" s="1"/>
  <c r="A45" i="14"/>
  <c r="A46" i="14"/>
  <c r="E46" i="14" s="1"/>
  <c r="A47" i="14"/>
  <c r="F47" i="14" s="1"/>
  <c r="A48" i="14"/>
  <c r="D48" i="14" s="1"/>
  <c r="A49" i="14"/>
  <c r="C49" i="14" s="1"/>
  <c r="A50" i="14"/>
  <c r="E50" i="14" s="1"/>
  <c r="A51" i="14"/>
  <c r="C51" i="14" s="1"/>
  <c r="A52" i="14"/>
  <c r="D52" i="14" s="1"/>
  <c r="A53" i="14"/>
  <c r="D53" i="14" s="1"/>
  <c r="A54" i="14"/>
  <c r="C54" i="14" s="1"/>
  <c r="A55" i="14"/>
  <c r="C55" i="14" s="1"/>
  <c r="A56" i="14"/>
  <c r="D56" i="14" s="1"/>
  <c r="A57" i="14"/>
  <c r="D57" i="14" s="1"/>
  <c r="A58" i="14"/>
  <c r="A59" i="14"/>
  <c r="C59" i="14" s="1"/>
  <c r="A60" i="14"/>
  <c r="D60" i="14" s="1"/>
  <c r="A61" i="14"/>
  <c r="C61" i="14" s="1"/>
  <c r="A62" i="14"/>
  <c r="C62" i="14" s="1"/>
  <c r="A63" i="14"/>
  <c r="C63" i="14" s="1"/>
  <c r="A64" i="14"/>
  <c r="A65" i="14"/>
  <c r="C65" i="14" s="1"/>
  <c r="A66" i="14"/>
  <c r="C66" i="14" s="1"/>
  <c r="A67" i="14"/>
  <c r="C67" i="14" s="1"/>
  <c r="A68" i="14"/>
  <c r="A69" i="14"/>
  <c r="C69" i="14" s="1"/>
  <c r="A70" i="14"/>
  <c r="C70" i="14" s="1"/>
  <c r="A71" i="14"/>
  <c r="C71" i="14" s="1"/>
  <c r="A72" i="14"/>
  <c r="A73" i="14"/>
  <c r="C73" i="14" s="1"/>
  <c r="A74" i="14"/>
  <c r="C74" i="14" s="1"/>
  <c r="A75" i="14"/>
  <c r="C75" i="14" s="1"/>
  <c r="A76" i="14"/>
  <c r="A77" i="14"/>
  <c r="C77" i="14" s="1"/>
  <c r="A78" i="14"/>
  <c r="C78" i="14" s="1"/>
  <c r="A79" i="14"/>
  <c r="C79" i="14" s="1"/>
  <c r="A80" i="14"/>
  <c r="A81" i="14"/>
  <c r="E81" i="14" s="1"/>
  <c r="A82" i="14"/>
  <c r="E82" i="14" s="1"/>
  <c r="A83" i="14"/>
  <c r="F83" i="14" s="1"/>
  <c r="A84" i="14"/>
  <c r="B84" i="14" s="1"/>
  <c r="A85" i="14"/>
  <c r="E85" i="14" s="1"/>
  <c r="A86" i="14"/>
  <c r="C86" i="14" s="1"/>
  <c r="A87" i="14"/>
  <c r="C87" i="14" s="1"/>
  <c r="A88" i="14"/>
  <c r="C88" i="14" s="1"/>
  <c r="A89" i="14"/>
  <c r="D89" i="14" s="1"/>
  <c r="A90" i="14"/>
  <c r="A91" i="14"/>
  <c r="C91" i="14" s="1"/>
  <c r="A92" i="14"/>
  <c r="C92" i="14" s="1"/>
  <c r="A93" i="14"/>
  <c r="D93" i="14" s="1"/>
  <c r="A94" i="14"/>
  <c r="C94" i="14" s="1"/>
  <c r="A95" i="14"/>
  <c r="C95" i="14" s="1"/>
  <c r="A96" i="14"/>
  <c r="C96" i="14" s="1"/>
  <c r="A97" i="14"/>
  <c r="D97" i="14" s="1"/>
  <c r="A98" i="14"/>
  <c r="C98" i="14" s="1"/>
  <c r="A99" i="14"/>
  <c r="C99" i="14" s="1"/>
  <c r="A100" i="14"/>
  <c r="C100" i="14" s="1"/>
  <c r="A101" i="14"/>
  <c r="E101" i="14" s="1"/>
  <c r="A102" i="14"/>
  <c r="C102" i="14" s="1"/>
  <c r="A103" i="14"/>
  <c r="C103" i="14" s="1"/>
  <c r="A104" i="14"/>
  <c r="C104" i="14" s="1"/>
  <c r="A105" i="14"/>
  <c r="D105" i="14" s="1"/>
  <c r="A106" i="14"/>
  <c r="A107" i="14"/>
  <c r="C107" i="14" s="1"/>
  <c r="A108" i="14"/>
  <c r="C108" i="14" s="1"/>
  <c r="A109" i="14"/>
  <c r="B109" i="14" s="1"/>
  <c r="A110" i="14"/>
  <c r="A111" i="14"/>
  <c r="C111" i="14" s="1"/>
  <c r="A112" i="14"/>
  <c r="C112" i="14" s="1"/>
  <c r="A113" i="14"/>
  <c r="D113" i="14" s="1"/>
  <c r="A114" i="14"/>
  <c r="C114" i="14" s="1"/>
  <c r="A115" i="14"/>
  <c r="C115" i="14" s="1"/>
  <c r="A116" i="14"/>
  <c r="A117" i="14"/>
  <c r="C117" i="14" s="1"/>
  <c r="A118" i="14"/>
  <c r="C118" i="14" s="1"/>
  <c r="A119" i="14"/>
  <c r="C119" i="14" s="1"/>
  <c r="A120" i="14"/>
  <c r="C120" i="14" s="1"/>
  <c r="A121" i="14"/>
  <c r="A122" i="14"/>
  <c r="A123" i="14"/>
  <c r="C123" i="14" s="1"/>
  <c r="A124" i="14"/>
  <c r="C124" i="14" s="1"/>
  <c r="A125" i="14"/>
  <c r="C125" i="14" s="1"/>
  <c r="A126" i="14"/>
  <c r="C126" i="14" s="1"/>
  <c r="A127" i="14"/>
  <c r="C127" i="14" s="1"/>
  <c r="A128" i="14"/>
  <c r="A129" i="14"/>
  <c r="B129" i="14" s="1"/>
  <c r="A130" i="14"/>
  <c r="C130" i="14" s="1"/>
  <c r="A131" i="14"/>
  <c r="D131" i="14" s="1"/>
  <c r="A132" i="14"/>
  <c r="A133" i="14"/>
  <c r="C133" i="14" s="1"/>
  <c r="A134" i="14"/>
  <c r="A135" i="14"/>
  <c r="D135" i="14" s="1"/>
  <c r="A136" i="14"/>
  <c r="D136" i="14" s="1"/>
  <c r="A137" i="14"/>
  <c r="C137" i="14" s="1"/>
  <c r="A138" i="14"/>
  <c r="C138" i="14" s="1"/>
  <c r="A139" i="14"/>
  <c r="C139" i="14" s="1"/>
  <c r="A140" i="14"/>
  <c r="C140" i="14" s="1"/>
  <c r="A141" i="14"/>
  <c r="C141" i="14" s="1"/>
  <c r="A142" i="14"/>
  <c r="C142" i="14" s="1"/>
  <c r="A143" i="14"/>
  <c r="E143" i="14" s="1"/>
  <c r="A144" i="14"/>
  <c r="F144" i="14" s="1"/>
  <c r="A145" i="14"/>
  <c r="A146" i="14"/>
  <c r="A147" i="14"/>
  <c r="A148" i="14"/>
  <c r="D148" i="14" s="1"/>
  <c r="A149" i="14"/>
  <c r="D149" i="14" s="1"/>
  <c r="A150" i="14"/>
  <c r="A151" i="14"/>
  <c r="F151" i="14" s="1"/>
  <c r="A152" i="14"/>
  <c r="D152" i="14" s="1"/>
  <c r="A153" i="14"/>
  <c r="C153" i="14" s="1"/>
  <c r="A154" i="14"/>
  <c r="A155" i="14"/>
  <c r="A156" i="14"/>
  <c r="D156" i="14" s="1"/>
  <c r="A157" i="14"/>
  <c r="C157" i="14" s="1"/>
  <c r="A158" i="14"/>
  <c r="C158" i="14" s="1"/>
  <c r="A159" i="14"/>
  <c r="B159" i="14" s="1"/>
  <c r="A160" i="14"/>
  <c r="D160" i="14" s="1"/>
  <c r="A161" i="14"/>
  <c r="D161" i="14" s="1"/>
  <c r="A162" i="14"/>
  <c r="A163" i="14"/>
  <c r="A164" i="14"/>
  <c r="A165" i="14"/>
  <c r="B165" i="14" s="1"/>
  <c r="A166" i="14"/>
  <c r="A167" i="14"/>
  <c r="D167" i="14" s="1"/>
  <c r="A168" i="14"/>
  <c r="F168" i="14" s="1"/>
  <c r="A169" i="14"/>
  <c r="C169" i="14" s="1"/>
  <c r="A170" i="14"/>
  <c r="A171" i="14"/>
  <c r="C171" i="14" s="1"/>
  <c r="A172" i="14"/>
  <c r="C172" i="14" s="1"/>
  <c r="A173" i="14"/>
  <c r="E173" i="14" s="1"/>
  <c r="A174" i="14"/>
  <c r="E174" i="14" s="1"/>
  <c r="A175" i="14"/>
  <c r="E175" i="14" s="1"/>
  <c r="A176" i="14"/>
  <c r="E176" i="14" s="1"/>
  <c r="A177" i="14"/>
  <c r="E177" i="14" s="1"/>
  <c r="A178" i="14"/>
  <c r="C178" i="14" s="1"/>
  <c r="A179" i="14"/>
  <c r="A180" i="14"/>
  <c r="C180" i="14" s="1"/>
  <c r="A181" i="14"/>
  <c r="A182" i="14"/>
  <c r="E182" i="14" s="1"/>
  <c r="A183" i="14"/>
  <c r="B183" i="14" s="1"/>
  <c r="A184" i="14"/>
  <c r="C184" i="14" s="1"/>
  <c r="A185" i="14"/>
  <c r="F185" i="14" s="1"/>
  <c r="A186" i="14"/>
  <c r="C186" i="14" s="1"/>
  <c r="A187" i="14"/>
  <c r="B187" i="14" s="1"/>
  <c r="A188" i="14"/>
  <c r="C188" i="14" s="1"/>
  <c r="A189" i="14"/>
  <c r="D189" i="14" s="1"/>
  <c r="A6" i="13"/>
  <c r="C6" i="13" s="1"/>
  <c r="A7" i="13"/>
  <c r="D7" i="13" s="1"/>
  <c r="A8" i="13"/>
  <c r="C8" i="13" s="1"/>
  <c r="A9" i="13"/>
  <c r="D9" i="13" s="1"/>
  <c r="A10" i="13"/>
  <c r="A11" i="13"/>
  <c r="D11" i="13" s="1"/>
  <c r="A12" i="13"/>
  <c r="C12" i="13" s="1"/>
  <c r="A13" i="13"/>
  <c r="D13" i="13" s="1"/>
  <c r="A14" i="13"/>
  <c r="C14" i="13" s="1"/>
  <c r="A15" i="13"/>
  <c r="A16" i="13"/>
  <c r="A17" i="13"/>
  <c r="A18" i="13"/>
  <c r="C18" i="13" s="1"/>
  <c r="A19" i="13"/>
  <c r="E19" i="13" s="1"/>
  <c r="A20" i="13"/>
  <c r="E20" i="13" s="1"/>
  <c r="A21" i="13"/>
  <c r="E21" i="13" s="1"/>
  <c r="A22" i="13"/>
  <c r="C22" i="13" s="1"/>
  <c r="A23" i="13"/>
  <c r="D23" i="13" s="1"/>
  <c r="A24" i="13"/>
  <c r="C24" i="13" s="1"/>
  <c r="A25" i="13"/>
  <c r="C25" i="13" s="1"/>
  <c r="A26" i="13"/>
  <c r="A27" i="13"/>
  <c r="D27" i="13" s="1"/>
  <c r="A28" i="13"/>
  <c r="C28" i="13" s="1"/>
  <c r="A29" i="13"/>
  <c r="D29" i="13" s="1"/>
  <c r="A30" i="13"/>
  <c r="C30" i="13" s="1"/>
  <c r="A31" i="13"/>
  <c r="A32" i="13"/>
  <c r="A33" i="13"/>
  <c r="A34" i="13"/>
  <c r="C34" i="13" s="1"/>
  <c r="A35" i="13"/>
  <c r="F35" i="13" s="1"/>
  <c r="A36" i="13"/>
  <c r="D36" i="13" s="1"/>
  <c r="A37" i="13"/>
  <c r="E37" i="13" s="1"/>
  <c r="A38" i="13"/>
  <c r="D38" i="13" s="1"/>
  <c r="A39" i="13"/>
  <c r="A40" i="13"/>
  <c r="D40" i="13" s="1"/>
  <c r="A41" i="13"/>
  <c r="B41" i="13" s="1"/>
  <c r="A42" i="13"/>
  <c r="C42" i="13" s="1"/>
  <c r="A43" i="13"/>
  <c r="F43" i="13" s="1"/>
  <c r="A44" i="13"/>
  <c r="D44" i="13" s="1"/>
  <c r="A45" i="13"/>
  <c r="D45" i="13" s="1"/>
  <c r="A46" i="13"/>
  <c r="C46" i="13" s="1"/>
  <c r="A47" i="13"/>
  <c r="B47" i="13" s="1"/>
  <c r="A48" i="13"/>
  <c r="D48" i="13" s="1"/>
  <c r="A49" i="13"/>
  <c r="E49" i="13" s="1"/>
  <c r="A50" i="13"/>
  <c r="C50" i="13" s="1"/>
  <c r="A51" i="13"/>
  <c r="D51" i="13" s="1"/>
  <c r="A52" i="13"/>
  <c r="D52" i="13" s="1"/>
  <c r="A53" i="13"/>
  <c r="A54" i="13"/>
  <c r="E54" i="13" s="1"/>
  <c r="A55" i="13"/>
  <c r="D55" i="13" s="1"/>
  <c r="A56" i="13"/>
  <c r="D56" i="13" s="1"/>
  <c r="A57" i="13"/>
  <c r="A58" i="13"/>
  <c r="G58" i="13" s="1"/>
  <c r="A59" i="13"/>
  <c r="F59" i="13" s="1"/>
  <c r="A60" i="13"/>
  <c r="A61" i="13"/>
  <c r="E61" i="13" s="1"/>
  <c r="A62" i="13"/>
  <c r="D62" i="13" s="1"/>
  <c r="A63" i="13"/>
  <c r="F63" i="13" s="1"/>
  <c r="A64" i="13"/>
  <c r="F64" i="13" s="1"/>
  <c r="A65" i="13"/>
  <c r="B65" i="13" s="1"/>
  <c r="A66" i="13"/>
  <c r="D66" i="13" s="1"/>
  <c r="A67" i="13"/>
  <c r="D67" i="13" s="1"/>
  <c r="A68" i="13"/>
  <c r="C68" i="13" s="1"/>
  <c r="A69" i="13"/>
  <c r="D69" i="13" s="1"/>
  <c r="A70" i="13"/>
  <c r="D70" i="13" s="1"/>
  <c r="A71" i="13"/>
  <c r="A72" i="13"/>
  <c r="G72" i="13" s="1"/>
  <c r="A73" i="13"/>
  <c r="E73" i="13" s="1"/>
  <c r="A74" i="13"/>
  <c r="G74" i="13" s="1"/>
  <c r="A75" i="13"/>
  <c r="B75" i="13" s="1"/>
  <c r="A76" i="13"/>
  <c r="F76" i="13" s="1"/>
  <c r="A77" i="13"/>
  <c r="F77" i="13" s="1"/>
  <c r="A78" i="13"/>
  <c r="E78" i="13" s="1"/>
  <c r="A79" i="13"/>
  <c r="D79" i="13" s="1"/>
  <c r="A80" i="13"/>
  <c r="D80" i="13" s="1"/>
  <c r="A81" i="13"/>
  <c r="D81" i="13" s="1"/>
  <c r="A82" i="13"/>
  <c r="D82" i="13" s="1"/>
  <c r="A83" i="13"/>
  <c r="D83" i="13" s="1"/>
  <c r="A84" i="13"/>
  <c r="C84" i="13" s="1"/>
  <c r="A85" i="13"/>
  <c r="C85" i="13" s="1"/>
  <c r="A86" i="13"/>
  <c r="D86" i="13" s="1"/>
  <c r="A87" i="13"/>
  <c r="C87" i="13" s="1"/>
  <c r="A88" i="13"/>
  <c r="A89" i="13"/>
  <c r="E89" i="13" s="1"/>
  <c r="A90" i="13"/>
  <c r="C90" i="13" s="1"/>
  <c r="A91" i="13"/>
  <c r="C91" i="13" s="1"/>
  <c r="A92" i="13"/>
  <c r="C92" i="13" s="1"/>
  <c r="A93" i="13"/>
  <c r="E93" i="13" s="1"/>
  <c r="A94" i="13"/>
  <c r="C94" i="13" s="1"/>
  <c r="A95" i="13"/>
  <c r="C95" i="13" s="1"/>
  <c r="A96" i="13"/>
  <c r="C96" i="13" s="1"/>
  <c r="A97" i="13"/>
  <c r="A98" i="13"/>
  <c r="C98" i="13" s="1"/>
  <c r="A99" i="13"/>
  <c r="C99" i="13" s="1"/>
  <c r="A100" i="13"/>
  <c r="C100" i="13" s="1"/>
  <c r="A101" i="13"/>
  <c r="A102" i="13"/>
  <c r="F102" i="13" s="1"/>
  <c r="A103" i="13"/>
  <c r="C103" i="13" s="1"/>
  <c r="A104" i="13"/>
  <c r="C104" i="13" s="1"/>
  <c r="A105" i="13"/>
  <c r="A106" i="13"/>
  <c r="F106" i="13" s="1"/>
  <c r="A107" i="13"/>
  <c r="C107" i="13" s="1"/>
  <c r="A108" i="13"/>
  <c r="C108" i="13" s="1"/>
  <c r="A109" i="13"/>
  <c r="A110" i="13"/>
  <c r="D110" i="13" s="1"/>
  <c r="A111" i="13"/>
  <c r="C111" i="13" s="1"/>
  <c r="A112" i="13"/>
  <c r="C112" i="13" s="1"/>
  <c r="A113" i="13"/>
  <c r="A114" i="13"/>
  <c r="E114" i="13" s="1"/>
  <c r="A115" i="13"/>
  <c r="C115" i="13" s="1"/>
  <c r="A116" i="13"/>
  <c r="C116" i="13" s="1"/>
  <c r="A117" i="13"/>
  <c r="A118" i="13"/>
  <c r="B118" i="13" s="1"/>
  <c r="A119" i="13"/>
  <c r="C119" i="13" s="1"/>
  <c r="A120" i="13"/>
  <c r="A121" i="13"/>
  <c r="A122" i="13"/>
  <c r="C122" i="13" s="1"/>
  <c r="A123" i="13"/>
  <c r="G123" i="13" s="1"/>
  <c r="A124" i="13"/>
  <c r="B124" i="13" s="1"/>
  <c r="A125" i="13"/>
  <c r="A126" i="13"/>
  <c r="D126" i="13" s="1"/>
  <c r="A127" i="13"/>
  <c r="C127" i="13" s="1"/>
  <c r="A128" i="13"/>
  <c r="F128" i="13" s="1"/>
  <c r="A129" i="13"/>
  <c r="D129" i="13" s="1"/>
  <c r="A130" i="13"/>
  <c r="B130" i="13" s="1"/>
  <c r="A131" i="13"/>
  <c r="A132" i="13"/>
  <c r="A133" i="13"/>
  <c r="E133" i="13" s="1"/>
  <c r="A134" i="13"/>
  <c r="B134" i="13" s="1"/>
  <c r="A135" i="13"/>
  <c r="C135" i="13" s="1"/>
  <c r="A136" i="13"/>
  <c r="A137" i="13"/>
  <c r="A138" i="13"/>
  <c r="B138" i="13" s="1"/>
  <c r="A139" i="13"/>
  <c r="A140" i="13"/>
  <c r="A141" i="13"/>
  <c r="F141" i="13" s="1"/>
  <c r="A142" i="13"/>
  <c r="E142" i="13" s="1"/>
  <c r="A143" i="13"/>
  <c r="A144" i="13"/>
  <c r="D144" i="13" s="1"/>
  <c r="A145" i="13"/>
  <c r="A146" i="13"/>
  <c r="C146" i="13" s="1"/>
  <c r="A147" i="13"/>
  <c r="E147" i="13" s="1"/>
  <c r="A148" i="13"/>
  <c r="F148" i="13" s="1"/>
  <c r="A149" i="13"/>
  <c r="A150" i="13"/>
  <c r="A151" i="13"/>
  <c r="A152" i="13"/>
  <c r="E152" i="13" s="1"/>
  <c r="A153" i="13"/>
  <c r="F153" i="13" s="1"/>
  <c r="A154" i="13"/>
  <c r="C154" i="13" s="1"/>
  <c r="A155" i="13"/>
  <c r="D155" i="13" s="1"/>
  <c r="A156" i="13"/>
  <c r="B156" i="13" s="1"/>
  <c r="A157" i="13"/>
  <c r="A158" i="13"/>
  <c r="A159" i="13"/>
  <c r="C159" i="13" s="1"/>
  <c r="A160" i="13"/>
  <c r="D160" i="13" s="1"/>
  <c r="A161" i="13"/>
  <c r="A162" i="13"/>
  <c r="C162" i="13" s="1"/>
  <c r="A163" i="13"/>
  <c r="E163" i="13" s="1"/>
  <c r="A164" i="13"/>
  <c r="F164" i="13" s="1"/>
  <c r="A165" i="13"/>
  <c r="F165" i="13" s="1"/>
  <c r="A166" i="13"/>
  <c r="C166" i="13" s="1"/>
  <c r="A167" i="13"/>
  <c r="A168" i="13"/>
  <c r="A169" i="13"/>
  <c r="A170" i="13"/>
  <c r="E170" i="13" s="1"/>
  <c r="A171" i="13"/>
  <c r="G171" i="13" s="1"/>
  <c r="A172" i="13"/>
  <c r="F172" i="13" s="1"/>
  <c r="A173" i="13"/>
  <c r="G173" i="13" s="1"/>
  <c r="A174" i="13"/>
  <c r="E174" i="13" s="1"/>
  <c r="A175" i="13"/>
  <c r="D175" i="13" s="1"/>
  <c r="A176" i="13"/>
  <c r="A177" i="13"/>
  <c r="G177" i="13" s="1"/>
  <c r="A178" i="13"/>
  <c r="D178" i="13" s="1"/>
  <c r="A179" i="13"/>
  <c r="A180" i="13"/>
  <c r="E180" i="13" s="1"/>
  <c r="A181" i="13"/>
  <c r="A182" i="13"/>
  <c r="A183" i="13"/>
  <c r="A184" i="13"/>
  <c r="F184" i="13" s="1"/>
  <c r="A185" i="13"/>
  <c r="C185" i="13" s="1"/>
  <c r="A186" i="13"/>
  <c r="E186" i="13" s="1"/>
  <c r="A187" i="13"/>
  <c r="C187" i="13" s="1"/>
  <c r="A188" i="13"/>
  <c r="D188" i="13" s="1"/>
  <c r="A206" i="13"/>
  <c r="A7" i="12"/>
  <c r="D7" i="12" s="1"/>
  <c r="A8" i="12"/>
  <c r="C8" i="12" s="1"/>
  <c r="A9" i="12"/>
  <c r="A10" i="12"/>
  <c r="G10" i="12" s="1"/>
  <c r="A11" i="12"/>
  <c r="D11" i="12" s="1"/>
  <c r="A12" i="12"/>
  <c r="A13" i="12"/>
  <c r="F13" i="12" s="1"/>
  <c r="A14" i="12"/>
  <c r="A15" i="12"/>
  <c r="F15" i="12" s="1"/>
  <c r="A16" i="12"/>
  <c r="C16" i="12" s="1"/>
  <c r="A17" i="12"/>
  <c r="C17" i="12" s="1"/>
  <c r="A18" i="12"/>
  <c r="A19" i="12"/>
  <c r="F19" i="12" s="1"/>
  <c r="A20" i="12"/>
  <c r="C20" i="12" s="1"/>
  <c r="A21" i="12"/>
  <c r="D21" i="12" s="1"/>
  <c r="A22" i="12"/>
  <c r="G22" i="12" s="1"/>
  <c r="A23" i="12"/>
  <c r="A24" i="12"/>
  <c r="C24" i="12" s="1"/>
  <c r="A25" i="12"/>
  <c r="E25" i="12" s="1"/>
  <c r="A26" i="12"/>
  <c r="A27" i="12"/>
  <c r="C27" i="12" s="1"/>
  <c r="A28" i="12"/>
  <c r="A29" i="12"/>
  <c r="F29" i="12" s="1"/>
  <c r="A30" i="12"/>
  <c r="C30" i="12" s="1"/>
  <c r="A31" i="12"/>
  <c r="C31" i="12" s="1"/>
  <c r="A32" i="12"/>
  <c r="C32" i="12" s="1"/>
  <c r="A33" i="12"/>
  <c r="A34" i="12"/>
  <c r="G34" i="12" s="1"/>
  <c r="A35" i="12"/>
  <c r="A36" i="12"/>
  <c r="B36" i="12" s="1"/>
  <c r="A37" i="12"/>
  <c r="A38" i="12"/>
  <c r="D38" i="12" s="1"/>
  <c r="A39" i="12"/>
  <c r="E39" i="12" s="1"/>
  <c r="A40" i="12"/>
  <c r="C40" i="12" s="1"/>
  <c r="A41" i="12"/>
  <c r="A42" i="12"/>
  <c r="A43" i="12"/>
  <c r="B43" i="12" s="1"/>
  <c r="A44" i="12"/>
  <c r="A45" i="12"/>
  <c r="B45" i="12" s="1"/>
  <c r="A46" i="12"/>
  <c r="E46" i="12" s="1"/>
  <c r="A47" i="12"/>
  <c r="D47" i="12" s="1"/>
  <c r="A48" i="12"/>
  <c r="A49" i="12"/>
  <c r="B49" i="12" s="1"/>
  <c r="A50" i="12"/>
  <c r="G50" i="12" s="1"/>
  <c r="A51" i="12"/>
  <c r="D51" i="12" s="1"/>
  <c r="A52" i="12"/>
  <c r="F52" i="12" s="1"/>
  <c r="A53" i="12"/>
  <c r="B53" i="12" s="1"/>
  <c r="A54" i="12"/>
  <c r="D54" i="12" s="1"/>
  <c r="A55" i="12"/>
  <c r="B55" i="12" s="1"/>
  <c r="A56" i="12"/>
  <c r="A57" i="12"/>
  <c r="C57" i="12" s="1"/>
  <c r="A58" i="12"/>
  <c r="A59" i="12"/>
  <c r="D59" i="12" s="1"/>
  <c r="A60" i="12"/>
  <c r="A61" i="12"/>
  <c r="B61" i="12" s="1"/>
  <c r="A62" i="12"/>
  <c r="A63" i="12"/>
  <c r="D63" i="12" s="1"/>
  <c r="A64" i="12"/>
  <c r="B64" i="12" s="1"/>
  <c r="A65" i="12"/>
  <c r="C65" i="12" s="1"/>
  <c r="A66" i="12"/>
  <c r="D66" i="12" s="1"/>
  <c r="A67" i="12"/>
  <c r="F67" i="12" s="1"/>
  <c r="A68" i="12"/>
  <c r="C68" i="12" s="1"/>
  <c r="A69" i="12"/>
  <c r="C69" i="12" s="1"/>
  <c r="A70" i="12"/>
  <c r="D70" i="12" s="1"/>
  <c r="A71" i="12"/>
  <c r="E71" i="12" s="1"/>
  <c r="A72" i="12"/>
  <c r="D72" i="12" s="1"/>
  <c r="A73" i="12"/>
  <c r="F73" i="12" s="1"/>
  <c r="A74" i="12"/>
  <c r="B74" i="12" s="1"/>
  <c r="A75" i="12"/>
  <c r="A76" i="12"/>
  <c r="F76" i="12" s="1"/>
  <c r="A77" i="12"/>
  <c r="B77" i="12" s="1"/>
  <c r="A78" i="12"/>
  <c r="C78" i="12" s="1"/>
  <c r="A79" i="12"/>
  <c r="E79" i="12" s="1"/>
  <c r="A80" i="12"/>
  <c r="A81" i="12"/>
  <c r="A82" i="12"/>
  <c r="C82" i="12" s="1"/>
  <c r="A83" i="12"/>
  <c r="F83" i="12" s="1"/>
  <c r="A84" i="12"/>
  <c r="A85" i="12"/>
  <c r="D85" i="12" s="1"/>
  <c r="A86" i="12"/>
  <c r="C86" i="12" s="1"/>
  <c r="A87" i="12"/>
  <c r="C87" i="12" s="1"/>
  <c r="A88" i="12"/>
  <c r="A89" i="12"/>
  <c r="A90" i="12"/>
  <c r="B90" i="12" s="1"/>
  <c r="A91" i="12"/>
  <c r="F91" i="12" s="1"/>
  <c r="A92" i="12"/>
  <c r="A93" i="12"/>
  <c r="A94" i="12"/>
  <c r="E94" i="12" s="1"/>
  <c r="A95" i="12"/>
  <c r="C95" i="12" s="1"/>
  <c r="A96" i="12"/>
  <c r="E96" i="12" s="1"/>
  <c r="A97" i="12"/>
  <c r="A98" i="12"/>
  <c r="G98" i="12" s="1"/>
  <c r="A99" i="12"/>
  <c r="C99" i="12" s="1"/>
  <c r="A100" i="12"/>
  <c r="C100" i="12" s="1"/>
  <c r="A101" i="12"/>
  <c r="A102" i="12"/>
  <c r="C102" i="12" s="1"/>
  <c r="A103" i="12"/>
  <c r="A104" i="12"/>
  <c r="C104" i="12" s="1"/>
  <c r="A105" i="12"/>
  <c r="E105" i="12" s="1"/>
  <c r="A106" i="12"/>
  <c r="C106" i="12" s="1"/>
  <c r="A107" i="12"/>
  <c r="C107" i="12" s="1"/>
  <c r="A108" i="12"/>
  <c r="C108" i="12" s="1"/>
  <c r="A109" i="12"/>
  <c r="C109" i="12" s="1"/>
  <c r="A110" i="12"/>
  <c r="E110" i="12" s="1"/>
  <c r="A111" i="12"/>
  <c r="C111" i="12" s="1"/>
  <c r="A112" i="12"/>
  <c r="C112" i="12" s="1"/>
  <c r="A113" i="12"/>
  <c r="D113" i="12" s="1"/>
  <c r="A114" i="12"/>
  <c r="E114" i="12" s="1"/>
  <c r="A115" i="12"/>
  <c r="C115" i="12" s="1"/>
  <c r="A116" i="12"/>
  <c r="C116" i="12" s="1"/>
  <c r="A117" i="12"/>
  <c r="F117" i="12" s="1"/>
  <c r="A118" i="12"/>
  <c r="E118" i="12" s="1"/>
  <c r="A119" i="12"/>
  <c r="E119" i="12" s="1"/>
  <c r="A120" i="12"/>
  <c r="C120" i="12" s="1"/>
  <c r="A121" i="12"/>
  <c r="D121" i="12" s="1"/>
  <c r="A122" i="12"/>
  <c r="B122" i="12" s="1"/>
  <c r="A123" i="12"/>
  <c r="C123" i="12" s="1"/>
  <c r="A124" i="12"/>
  <c r="A125" i="12"/>
  <c r="F125" i="12" s="1"/>
  <c r="A126" i="12"/>
  <c r="B126" i="12" s="1"/>
  <c r="A127" i="12"/>
  <c r="C127" i="12" s="1"/>
  <c r="A128" i="12"/>
  <c r="E128" i="12" s="1"/>
  <c r="A129" i="12"/>
  <c r="D129" i="12" s="1"/>
  <c r="A130" i="12"/>
  <c r="G130" i="12" s="1"/>
  <c r="A131" i="12"/>
  <c r="A132" i="12"/>
  <c r="C132" i="12" s="1"/>
  <c r="A133" i="12"/>
  <c r="A134" i="12"/>
  <c r="F134" i="12" s="1"/>
  <c r="A135" i="12"/>
  <c r="F135" i="12" s="1"/>
  <c r="A136" i="12"/>
  <c r="D136" i="12" s="1"/>
  <c r="A137" i="12"/>
  <c r="F137" i="12" s="1"/>
  <c r="A138" i="12"/>
  <c r="B138" i="12" s="1"/>
  <c r="A139" i="12"/>
  <c r="A140" i="12"/>
  <c r="A141" i="12"/>
  <c r="F141" i="12" s="1"/>
  <c r="A142" i="12"/>
  <c r="A143" i="12"/>
  <c r="D143" i="12" s="1"/>
  <c r="A144" i="12"/>
  <c r="E144" i="12" s="1"/>
  <c r="A145" i="12"/>
  <c r="A146" i="12"/>
  <c r="A147" i="12"/>
  <c r="E147" i="12" s="1"/>
  <c r="A148" i="12"/>
  <c r="E148" i="12" s="1"/>
  <c r="A149" i="12"/>
  <c r="C149" i="12" s="1"/>
  <c r="A150" i="12"/>
  <c r="A151" i="12"/>
  <c r="C151" i="12" s="1"/>
  <c r="A152" i="12"/>
  <c r="E152" i="12" s="1"/>
  <c r="A153" i="12"/>
  <c r="G153" i="12" s="1"/>
  <c r="A154" i="12"/>
  <c r="E154" i="12" s="1"/>
  <c r="A155" i="12"/>
  <c r="A156" i="12"/>
  <c r="C156" i="12" s="1"/>
  <c r="A157" i="12"/>
  <c r="F157" i="12" s="1"/>
  <c r="A158" i="12"/>
  <c r="E158" i="12" s="1"/>
  <c r="A159" i="12"/>
  <c r="E159" i="12" s="1"/>
  <c r="A160" i="12"/>
  <c r="A161" i="12"/>
  <c r="A162" i="12"/>
  <c r="E162" i="12" s="1"/>
  <c r="A163" i="12"/>
  <c r="A164" i="12"/>
  <c r="C164" i="12" s="1"/>
  <c r="A165" i="12"/>
  <c r="E165" i="12" s="1"/>
  <c r="A166" i="12"/>
  <c r="C166" i="12" s="1"/>
  <c r="A167" i="12"/>
  <c r="D167" i="12" s="1"/>
  <c r="A168" i="12"/>
  <c r="C168" i="12" s="1"/>
  <c r="A169" i="12"/>
  <c r="G169" i="12" s="1"/>
  <c r="A170" i="12"/>
  <c r="G170" i="12" s="1"/>
  <c r="A171" i="12"/>
  <c r="E171" i="12" s="1"/>
  <c r="A172" i="12"/>
  <c r="C172" i="12" s="1"/>
  <c r="A173" i="12"/>
  <c r="D173" i="12" s="1"/>
  <c r="A174" i="12"/>
  <c r="E174" i="12" s="1"/>
  <c r="A175" i="12"/>
  <c r="A176" i="12"/>
  <c r="A177" i="12"/>
  <c r="D177" i="12" s="1"/>
  <c r="A178" i="12"/>
  <c r="G178" i="12" s="1"/>
  <c r="A179" i="12"/>
  <c r="E179" i="12" s="1"/>
  <c r="A180" i="12"/>
  <c r="A181" i="12"/>
  <c r="A182" i="12"/>
  <c r="E182" i="12" s="1"/>
  <c r="A183" i="12"/>
  <c r="A184" i="12"/>
  <c r="A185" i="12"/>
  <c r="A186" i="12"/>
  <c r="A187" i="12"/>
  <c r="E187" i="12" s="1"/>
  <c r="A188" i="12"/>
  <c r="A189" i="12"/>
  <c r="B189" i="12" s="1"/>
  <c r="A190" i="12"/>
  <c r="G190" i="12" s="1"/>
  <c r="A7" i="11"/>
  <c r="E7" i="11" s="1"/>
  <c r="A8" i="11"/>
  <c r="L8" i="11" s="1"/>
  <c r="A9" i="11"/>
  <c r="A10" i="11"/>
  <c r="L10" i="11" s="1"/>
  <c r="A11" i="11"/>
  <c r="A12" i="11"/>
  <c r="F12" i="11" s="1"/>
  <c r="A13" i="11"/>
  <c r="A14" i="11"/>
  <c r="A15" i="11"/>
  <c r="E15" i="11" s="1"/>
  <c r="A16" i="11"/>
  <c r="A17" i="11"/>
  <c r="C17" i="11" s="1"/>
  <c r="A18" i="11"/>
  <c r="E18" i="11" s="1"/>
  <c r="A19" i="11"/>
  <c r="H19" i="11" s="1"/>
  <c r="A20" i="11"/>
  <c r="L20" i="11" s="1"/>
  <c r="A21" i="11"/>
  <c r="C21" i="11" s="1"/>
  <c r="A22" i="11"/>
  <c r="C22" i="11" s="1"/>
  <c r="A23" i="11"/>
  <c r="C23" i="11" s="1"/>
  <c r="A24" i="11"/>
  <c r="E24" i="11" s="1"/>
  <c r="A25" i="11"/>
  <c r="I25" i="11" s="1"/>
  <c r="A26" i="11"/>
  <c r="A27" i="11"/>
  <c r="G27" i="11" s="1"/>
  <c r="A28" i="11"/>
  <c r="L28" i="11" s="1"/>
  <c r="A29" i="11"/>
  <c r="B29" i="11" s="1"/>
  <c r="A30" i="11"/>
  <c r="A31" i="11"/>
  <c r="D31" i="11" s="1"/>
  <c r="A32" i="11"/>
  <c r="B32" i="11" s="1"/>
  <c r="A33" i="11"/>
  <c r="K33" i="11" s="1"/>
  <c r="A34" i="11"/>
  <c r="B34" i="11" s="1"/>
  <c r="A35" i="11"/>
  <c r="C35" i="11" s="1"/>
  <c r="A36" i="11"/>
  <c r="N36" i="11" s="1"/>
  <c r="A37" i="11"/>
  <c r="A38" i="11"/>
  <c r="C38" i="11" s="1"/>
  <c r="A39" i="11"/>
  <c r="C39" i="11" s="1"/>
  <c r="A40" i="11"/>
  <c r="B40" i="11" s="1"/>
  <c r="A41" i="11"/>
  <c r="B41" i="11" s="1"/>
  <c r="A42" i="11"/>
  <c r="C42" i="11" s="1"/>
  <c r="A43" i="11"/>
  <c r="D43" i="11" s="1"/>
  <c r="A44" i="11"/>
  <c r="B44" i="11" s="1"/>
  <c r="A45" i="11"/>
  <c r="B45" i="11" s="1"/>
  <c r="A46" i="11"/>
  <c r="B46" i="11" s="1"/>
  <c r="A47" i="11"/>
  <c r="A48" i="11"/>
  <c r="C48" i="11" s="1"/>
  <c r="A49" i="11"/>
  <c r="A50" i="11"/>
  <c r="F50" i="11" s="1"/>
  <c r="A51" i="11"/>
  <c r="B51" i="11" s="1"/>
  <c r="A52" i="11"/>
  <c r="I52" i="11" s="1"/>
  <c r="A53" i="11"/>
  <c r="D53" i="11" s="1"/>
  <c r="A54" i="11"/>
  <c r="E54" i="11" s="1"/>
  <c r="A55" i="11"/>
  <c r="B55" i="11" s="1"/>
  <c r="A56" i="11"/>
  <c r="A57" i="11"/>
  <c r="D57" i="11" s="1"/>
  <c r="A58" i="11"/>
  <c r="C58" i="11" s="1"/>
  <c r="A59" i="11"/>
  <c r="A60" i="11"/>
  <c r="C60" i="11" s="1"/>
  <c r="A61" i="11"/>
  <c r="K61" i="11" s="1"/>
  <c r="A62" i="11"/>
  <c r="F62" i="11" s="1"/>
  <c r="A63" i="11"/>
  <c r="E63" i="11" s="1"/>
  <c r="A64" i="11"/>
  <c r="B64" i="11" s="1"/>
  <c r="A65" i="11"/>
  <c r="I65" i="11" s="1"/>
  <c r="A66" i="11"/>
  <c r="E66" i="11" s="1"/>
  <c r="A67" i="11"/>
  <c r="E67" i="11" s="1"/>
  <c r="A68" i="11"/>
  <c r="C68" i="11" s="1"/>
  <c r="A69" i="11"/>
  <c r="I69" i="11" s="1"/>
  <c r="A70" i="11"/>
  <c r="E70" i="11" s="1"/>
  <c r="A71" i="11"/>
  <c r="C71" i="11" s="1"/>
  <c r="A72" i="11"/>
  <c r="C72" i="11" s="1"/>
  <c r="A73" i="11"/>
  <c r="G73" i="11" s="1"/>
  <c r="A74" i="11"/>
  <c r="E74" i="11" s="1"/>
  <c r="A75" i="11"/>
  <c r="C75" i="11" s="1"/>
  <c r="A76" i="11"/>
  <c r="C76" i="11" s="1"/>
  <c r="A77" i="11"/>
  <c r="E77" i="11" s="1"/>
  <c r="A78" i="11"/>
  <c r="A79" i="11"/>
  <c r="A80" i="11"/>
  <c r="C80" i="11" s="1"/>
  <c r="A81" i="11"/>
  <c r="K81" i="11" s="1"/>
  <c r="A82" i="11"/>
  <c r="C82" i="11" s="1"/>
  <c r="A83" i="11"/>
  <c r="C83" i="11" s="1"/>
  <c r="A84" i="11"/>
  <c r="C84" i="11" s="1"/>
  <c r="A85" i="11"/>
  <c r="I85" i="11" s="1"/>
  <c r="A86" i="11"/>
  <c r="E86" i="11" s="1"/>
  <c r="A87" i="11"/>
  <c r="A88" i="11"/>
  <c r="D88" i="11" s="1"/>
  <c r="A89" i="11"/>
  <c r="G89" i="11" s="1"/>
  <c r="A90" i="11"/>
  <c r="E90" i="11" s="1"/>
  <c r="A91" i="11"/>
  <c r="C91" i="11" s="1"/>
  <c r="A92" i="11"/>
  <c r="D92" i="11" s="1"/>
  <c r="A93" i="11"/>
  <c r="K93" i="11" s="1"/>
  <c r="A94" i="11"/>
  <c r="B94" i="11" s="1"/>
  <c r="A95" i="11"/>
  <c r="E95" i="11" s="1"/>
  <c r="A96" i="11"/>
  <c r="F96" i="11" s="1"/>
  <c r="A97" i="11"/>
  <c r="N97" i="11" s="1"/>
  <c r="A98" i="11"/>
  <c r="E98" i="11" s="1"/>
  <c r="A99" i="11"/>
  <c r="C99" i="11" s="1"/>
  <c r="A100" i="11"/>
  <c r="E100" i="11" s="1"/>
  <c r="A101" i="11"/>
  <c r="F101" i="11" s="1"/>
  <c r="A102" i="11"/>
  <c r="G102" i="11" s="1"/>
  <c r="A103" i="11"/>
  <c r="D103" i="11" s="1"/>
  <c r="A104" i="11"/>
  <c r="L104" i="11" s="1"/>
  <c r="A105" i="11"/>
  <c r="F105" i="11" s="1"/>
  <c r="A106" i="11"/>
  <c r="D106" i="11" s="1"/>
  <c r="A107" i="11"/>
  <c r="D107" i="11" s="1"/>
  <c r="A108" i="11"/>
  <c r="I108" i="11" s="1"/>
  <c r="A109" i="11"/>
  <c r="K109" i="11" s="1"/>
  <c r="A110" i="11"/>
  <c r="L110" i="11" s="1"/>
  <c r="A111" i="11"/>
  <c r="E111" i="11" s="1"/>
  <c r="A112" i="11"/>
  <c r="F112" i="11" s="1"/>
  <c r="A113" i="11"/>
  <c r="C113" i="11" s="1"/>
  <c r="A114" i="11"/>
  <c r="E114" i="11" s="1"/>
  <c r="A115" i="11"/>
  <c r="G115" i="11" s="1"/>
  <c r="A116" i="11"/>
  <c r="B116" i="11" s="1"/>
  <c r="A117" i="11"/>
  <c r="C117" i="11" s="1"/>
  <c r="A118" i="11"/>
  <c r="E118" i="11" s="1"/>
  <c r="A119" i="11"/>
  <c r="H119" i="11" s="1"/>
  <c r="A120" i="11"/>
  <c r="A121" i="11"/>
  <c r="G121" i="11" s="1"/>
  <c r="A122" i="11"/>
  <c r="B122" i="11" s="1"/>
  <c r="A123" i="11"/>
  <c r="C123" i="11" s="1"/>
  <c r="A124" i="11"/>
  <c r="B124" i="11" s="1"/>
  <c r="A125" i="11"/>
  <c r="B125" i="11" s="1"/>
  <c r="A126" i="11"/>
  <c r="B126" i="11" s="1"/>
  <c r="A127" i="11"/>
  <c r="E127" i="11" s="1"/>
  <c r="A128" i="11"/>
  <c r="F128" i="11" s="1"/>
  <c r="A129" i="11"/>
  <c r="C129" i="11" s="1"/>
  <c r="A130" i="11"/>
  <c r="I130" i="11" s="1"/>
  <c r="A131" i="11"/>
  <c r="M131" i="11" s="1"/>
  <c r="A132" i="11"/>
  <c r="B132" i="11" s="1"/>
  <c r="A133" i="11"/>
  <c r="E133" i="11" s="1"/>
  <c r="A134" i="11"/>
  <c r="G134" i="11" s="1"/>
  <c r="A135" i="11"/>
  <c r="M135" i="11" s="1"/>
  <c r="A136" i="11"/>
  <c r="B136" i="11" s="1"/>
  <c r="A137" i="11"/>
  <c r="D137" i="11" s="1"/>
  <c r="A138" i="11"/>
  <c r="I138" i="11" s="1"/>
  <c r="A139" i="11"/>
  <c r="M139" i="11" s="1"/>
  <c r="A140" i="11"/>
  <c r="F140" i="11" s="1"/>
  <c r="A141" i="11"/>
  <c r="E141" i="11" s="1"/>
  <c r="A142" i="11"/>
  <c r="C142" i="11" s="1"/>
  <c r="A143" i="11"/>
  <c r="E143" i="11" s="1"/>
  <c r="A144" i="11"/>
  <c r="B144" i="11" s="1"/>
  <c r="A145" i="11"/>
  <c r="D145" i="11" s="1"/>
  <c r="A146" i="11"/>
  <c r="C146" i="11" s="1"/>
  <c r="A147" i="11"/>
  <c r="B147" i="11" s="1"/>
  <c r="A148" i="11"/>
  <c r="B148" i="11" s="1"/>
  <c r="A149" i="11"/>
  <c r="A150" i="11"/>
  <c r="E150" i="11" s="1"/>
  <c r="A151" i="11"/>
  <c r="L151" i="11" s="1"/>
  <c r="A152" i="11"/>
  <c r="B152" i="11" s="1"/>
  <c r="A153" i="11"/>
  <c r="D153" i="11" s="1"/>
  <c r="A154" i="11"/>
  <c r="C154" i="11" s="1"/>
  <c r="A155" i="11"/>
  <c r="B155" i="11" s="1"/>
  <c r="A156" i="11"/>
  <c r="B156" i="11" s="1"/>
  <c r="A157" i="11"/>
  <c r="F157" i="11" s="1"/>
  <c r="A158" i="11"/>
  <c r="A159" i="11"/>
  <c r="L159" i="11" s="1"/>
  <c r="A160" i="11"/>
  <c r="B160" i="11" s="1"/>
  <c r="A161" i="11"/>
  <c r="A162" i="11"/>
  <c r="I162" i="11" s="1"/>
  <c r="A163" i="11"/>
  <c r="H163" i="11" s="1"/>
  <c r="A164" i="11"/>
  <c r="B164" i="11" s="1"/>
  <c r="A165" i="11"/>
  <c r="K165" i="11" s="1"/>
  <c r="A166" i="11"/>
  <c r="I166" i="11" s="1"/>
  <c r="A167" i="11"/>
  <c r="E167" i="11" s="1"/>
  <c r="A168" i="11"/>
  <c r="B168" i="11" s="1"/>
  <c r="A169" i="11"/>
  <c r="D169" i="11" s="1"/>
  <c r="A170" i="11"/>
  <c r="I170" i="11" s="1"/>
  <c r="A171" i="11"/>
  <c r="H171" i="11" s="1"/>
  <c r="A172" i="11"/>
  <c r="E172" i="11" s="1"/>
  <c r="A173" i="11"/>
  <c r="F173" i="11" s="1"/>
  <c r="A174" i="11"/>
  <c r="E174" i="11" s="1"/>
  <c r="A175" i="11"/>
  <c r="D175" i="11" s="1"/>
  <c r="A176" i="11"/>
  <c r="E176" i="11" s="1"/>
  <c r="A177" i="11"/>
  <c r="K177" i="11" s="1"/>
  <c r="A178" i="11"/>
  <c r="A179" i="11"/>
  <c r="D179" i="11" s="1"/>
  <c r="A180" i="11"/>
  <c r="E180" i="11" s="1"/>
  <c r="A181" i="11"/>
  <c r="K181" i="11" s="1"/>
  <c r="A182" i="11"/>
  <c r="I182" i="11" s="1"/>
  <c r="A183" i="11"/>
  <c r="H183" i="11" s="1"/>
  <c r="A184" i="11"/>
  <c r="E184" i="11" s="1"/>
  <c r="A185" i="11"/>
  <c r="A186" i="11"/>
  <c r="C186" i="11" s="1"/>
  <c r="A187" i="11"/>
  <c r="E187" i="11" s="1"/>
  <c r="A188" i="11"/>
  <c r="B188" i="11" s="1"/>
  <c r="A189" i="11"/>
  <c r="D189" i="11" s="1"/>
  <c r="A7" i="10"/>
  <c r="D7" i="10" s="1"/>
  <c r="A8" i="10"/>
  <c r="B8" i="10" s="1"/>
  <c r="A9" i="10"/>
  <c r="E9" i="10" s="1"/>
  <c r="A10" i="10"/>
  <c r="B10" i="10" s="1"/>
  <c r="A11" i="10"/>
  <c r="C11" i="10" s="1"/>
  <c r="A12" i="10"/>
  <c r="G12" i="10" s="1"/>
  <c r="A13" i="10"/>
  <c r="D13" i="10" s="1"/>
  <c r="A14" i="10"/>
  <c r="B14" i="10" s="1"/>
  <c r="A15" i="10"/>
  <c r="B15" i="10" s="1"/>
  <c r="A16" i="10"/>
  <c r="G16" i="10" s="1"/>
  <c r="A17" i="10"/>
  <c r="B17" i="10" s="1"/>
  <c r="A18" i="10"/>
  <c r="F18" i="10" s="1"/>
  <c r="A19" i="10"/>
  <c r="E19" i="10" s="1"/>
  <c r="A20" i="10"/>
  <c r="C20" i="10" s="1"/>
  <c r="A21" i="10"/>
  <c r="F21" i="10" s="1"/>
  <c r="A22" i="10"/>
  <c r="B22" i="10" s="1"/>
  <c r="A23" i="10"/>
  <c r="A24" i="10"/>
  <c r="D24" i="10" s="1"/>
  <c r="A25" i="10"/>
  <c r="C25" i="10" s="1"/>
  <c r="A26" i="10"/>
  <c r="B26" i="10" s="1"/>
  <c r="A27" i="10"/>
  <c r="A28" i="10"/>
  <c r="A29" i="10"/>
  <c r="E29" i="10" s="1"/>
  <c r="A30" i="10"/>
  <c r="B30" i="10" s="1"/>
  <c r="A31" i="10"/>
  <c r="E31" i="10" s="1"/>
  <c r="A32" i="10"/>
  <c r="F32" i="10" s="1"/>
  <c r="A33" i="10"/>
  <c r="E33" i="10" s="1"/>
  <c r="A34" i="10"/>
  <c r="B34" i="10" s="1"/>
  <c r="A35" i="10"/>
  <c r="A36" i="10"/>
  <c r="A37" i="10"/>
  <c r="C37" i="10" s="1"/>
  <c r="A38" i="10"/>
  <c r="B38" i="10" s="1"/>
  <c r="A39" i="10"/>
  <c r="E39" i="10" s="1"/>
  <c r="A40" i="10"/>
  <c r="D40" i="10" s="1"/>
  <c r="A41" i="10"/>
  <c r="B41" i="10" s="1"/>
  <c r="A42" i="10"/>
  <c r="B42" i="10" s="1"/>
  <c r="A43" i="10"/>
  <c r="A44" i="10"/>
  <c r="D44" i="10" s="1"/>
  <c r="A45" i="10"/>
  <c r="D45" i="10" s="1"/>
  <c r="A46" i="10"/>
  <c r="B46" i="10" s="1"/>
  <c r="A47" i="10"/>
  <c r="A48" i="10"/>
  <c r="N48" i="10" s="1"/>
  <c r="A49" i="10"/>
  <c r="B49" i="10" s="1"/>
  <c r="A50" i="10"/>
  <c r="B50" i="10" s="1"/>
  <c r="A51" i="10"/>
  <c r="A52" i="10"/>
  <c r="D52" i="10" s="1"/>
  <c r="A53" i="10"/>
  <c r="B53" i="10" s="1"/>
  <c r="A54" i="10"/>
  <c r="E54" i="10" s="1"/>
  <c r="A55" i="10"/>
  <c r="E55" i="10" s="1"/>
  <c r="A56" i="10"/>
  <c r="D56" i="10" s="1"/>
  <c r="A57" i="10"/>
  <c r="B57" i="10" s="1"/>
  <c r="A58" i="10"/>
  <c r="A59" i="10"/>
  <c r="A60" i="10"/>
  <c r="C60" i="10" s="1"/>
  <c r="A61" i="10"/>
  <c r="B61" i="10" s="1"/>
  <c r="A62" i="10"/>
  <c r="B62" i="10" s="1"/>
  <c r="A63" i="10"/>
  <c r="E63" i="10" s="1"/>
  <c r="A64" i="10"/>
  <c r="A65" i="10"/>
  <c r="B65" i="10" s="1"/>
  <c r="A66" i="10"/>
  <c r="A67" i="10"/>
  <c r="A68" i="10"/>
  <c r="D68" i="10" s="1"/>
  <c r="A69" i="10"/>
  <c r="D69" i="10" s="1"/>
  <c r="A70" i="10"/>
  <c r="B70" i="10" s="1"/>
  <c r="A71" i="10"/>
  <c r="E71" i="10" s="1"/>
  <c r="A72" i="10"/>
  <c r="D72" i="10" s="1"/>
  <c r="A73" i="10"/>
  <c r="A74" i="10"/>
  <c r="A75" i="10"/>
  <c r="A76" i="10"/>
  <c r="K76" i="10" s="1"/>
  <c r="A77" i="10"/>
  <c r="C77" i="10" s="1"/>
  <c r="A78" i="10"/>
  <c r="A79" i="10"/>
  <c r="E79" i="10" s="1"/>
  <c r="A80" i="10"/>
  <c r="D80" i="10" s="1"/>
  <c r="A81" i="10"/>
  <c r="I81" i="10" s="1"/>
  <c r="A82" i="10"/>
  <c r="E82" i="10" s="1"/>
  <c r="A83" i="10"/>
  <c r="A84" i="10"/>
  <c r="C84" i="10" s="1"/>
  <c r="A85" i="10"/>
  <c r="C85" i="10" s="1"/>
  <c r="A86" i="10"/>
  <c r="B86" i="10" s="1"/>
  <c r="A87" i="10"/>
  <c r="E87" i="10" s="1"/>
  <c r="A88" i="10"/>
  <c r="D88" i="10" s="1"/>
  <c r="A89" i="10"/>
  <c r="C89" i="10" s="1"/>
  <c r="A90" i="10"/>
  <c r="I90" i="10" s="1"/>
  <c r="A91" i="10"/>
  <c r="A92" i="10"/>
  <c r="A93" i="10"/>
  <c r="B93" i="10" s="1"/>
  <c r="A94" i="10"/>
  <c r="B94" i="10" s="1"/>
  <c r="A95" i="10"/>
  <c r="A96" i="10"/>
  <c r="D96" i="10" s="1"/>
  <c r="A97" i="10"/>
  <c r="I97" i="10" s="1"/>
  <c r="A98" i="10"/>
  <c r="L98" i="10" s="1"/>
  <c r="A99" i="10"/>
  <c r="A100" i="10"/>
  <c r="B100" i="10" s="1"/>
  <c r="A101" i="10"/>
  <c r="I101" i="10" s="1"/>
  <c r="A102" i="10"/>
  <c r="A103" i="10"/>
  <c r="E103" i="10" s="1"/>
  <c r="A104" i="10"/>
  <c r="E104" i="10" s="1"/>
  <c r="A105" i="10"/>
  <c r="A106" i="10"/>
  <c r="E106" i="10" s="1"/>
  <c r="A107" i="10"/>
  <c r="A108" i="10"/>
  <c r="C108" i="10" s="1"/>
  <c r="A109" i="10"/>
  <c r="C109" i="10" s="1"/>
  <c r="A110" i="10"/>
  <c r="B110" i="10" s="1"/>
  <c r="A111" i="10"/>
  <c r="A112" i="10"/>
  <c r="A113" i="10"/>
  <c r="C113" i="10" s="1"/>
  <c r="A114" i="10"/>
  <c r="B114" i="10" s="1"/>
  <c r="A115" i="10"/>
  <c r="A116" i="10"/>
  <c r="A117" i="10"/>
  <c r="E117" i="10" s="1"/>
  <c r="A118" i="10"/>
  <c r="A119" i="10"/>
  <c r="B119" i="10" s="1"/>
  <c r="A120" i="10"/>
  <c r="D120" i="10" s="1"/>
  <c r="A121" i="10"/>
  <c r="C121" i="10" s="1"/>
  <c r="A122" i="10"/>
  <c r="H122" i="10" s="1"/>
  <c r="A123" i="10"/>
  <c r="I123" i="10" s="1"/>
  <c r="A124" i="10"/>
  <c r="A125" i="10"/>
  <c r="C125" i="10" s="1"/>
  <c r="A126" i="10"/>
  <c r="H126" i="10" s="1"/>
  <c r="A127" i="10"/>
  <c r="I127" i="10" s="1"/>
  <c r="A128" i="10"/>
  <c r="I128" i="10" s="1"/>
  <c r="A129" i="10"/>
  <c r="I129" i="10" s="1"/>
  <c r="A130" i="10"/>
  <c r="A131" i="10"/>
  <c r="A132" i="10"/>
  <c r="D132" i="10" s="1"/>
  <c r="A133" i="10"/>
  <c r="B133" i="10" s="1"/>
  <c r="A134" i="10"/>
  <c r="E134" i="10" s="1"/>
  <c r="A135" i="10"/>
  <c r="A136" i="10"/>
  <c r="B136" i="10" s="1"/>
  <c r="A137" i="10"/>
  <c r="L137" i="10" s="1"/>
  <c r="A138" i="10"/>
  <c r="D138" i="10" s="1"/>
  <c r="A139" i="10"/>
  <c r="A140" i="10"/>
  <c r="A141" i="10"/>
  <c r="E141" i="10" s="1"/>
  <c r="A142" i="10"/>
  <c r="D142" i="10" s="1"/>
  <c r="A143" i="10"/>
  <c r="E143" i="10" s="1"/>
  <c r="A144" i="10"/>
  <c r="C144" i="10" s="1"/>
  <c r="A145" i="10"/>
  <c r="C145" i="10" s="1"/>
  <c r="A146" i="10"/>
  <c r="A147" i="10"/>
  <c r="A148" i="10"/>
  <c r="A149" i="10"/>
  <c r="A150" i="10"/>
  <c r="A151" i="10"/>
  <c r="L151" i="10" s="1"/>
  <c r="A152" i="10"/>
  <c r="A153" i="10"/>
  <c r="B153" i="10" s="1"/>
  <c r="A154" i="10"/>
  <c r="D154" i="10" s="1"/>
  <c r="A155" i="10"/>
  <c r="F155" i="10" s="1"/>
  <c r="A156" i="10"/>
  <c r="C156" i="10" s="1"/>
  <c r="A157" i="10"/>
  <c r="D157" i="10" s="1"/>
  <c r="A158" i="10"/>
  <c r="E158" i="10" s="1"/>
  <c r="A159" i="10"/>
  <c r="L159" i="10" s="1"/>
  <c r="A160" i="10"/>
  <c r="A161" i="10"/>
  <c r="B161" i="10" s="1"/>
  <c r="A162" i="10"/>
  <c r="A163" i="10"/>
  <c r="A164" i="10"/>
  <c r="C164" i="10" s="1"/>
  <c r="A165" i="10"/>
  <c r="A166" i="10"/>
  <c r="L166" i="10" s="1"/>
  <c r="A167" i="10"/>
  <c r="D167" i="10" s="1"/>
  <c r="A168" i="10"/>
  <c r="A169" i="10"/>
  <c r="C169" i="10" s="1"/>
  <c r="A170" i="10"/>
  <c r="A171" i="10"/>
  <c r="D171" i="10" s="1"/>
  <c r="A172" i="10"/>
  <c r="C172" i="10" s="1"/>
  <c r="A173" i="10"/>
  <c r="A174" i="10"/>
  <c r="E174" i="10" s="1"/>
  <c r="A175" i="10"/>
  <c r="A176" i="10"/>
  <c r="B176" i="10" s="1"/>
  <c r="A177" i="10"/>
  <c r="A178" i="10"/>
  <c r="L178" i="10" s="1"/>
  <c r="A179" i="10"/>
  <c r="M179" i="10" s="1"/>
  <c r="A180" i="10"/>
  <c r="C180" i="10" s="1"/>
  <c r="A181" i="10"/>
  <c r="I181" i="10" s="1"/>
  <c r="A182" i="10"/>
  <c r="H182" i="10" s="1"/>
  <c r="A183" i="10"/>
  <c r="A184" i="10"/>
  <c r="M184" i="10" s="1"/>
  <c r="A185" i="10"/>
  <c r="C185" i="10" s="1"/>
  <c r="A186" i="10"/>
  <c r="L186" i="10" s="1"/>
  <c r="A187" i="10"/>
  <c r="F187" i="10" s="1"/>
  <c r="A188" i="10"/>
  <c r="A189" i="10"/>
  <c r="I189" i="10" s="1"/>
  <c r="A7" i="8"/>
  <c r="D7" i="8" s="1"/>
  <c r="A8" i="8"/>
  <c r="F8" i="8" s="1"/>
  <c r="A9" i="8"/>
  <c r="G9" i="8" s="1"/>
  <c r="A10" i="8"/>
  <c r="A11" i="8"/>
  <c r="A12" i="8"/>
  <c r="A13" i="8"/>
  <c r="A14" i="8"/>
  <c r="F14" i="8" s="1"/>
  <c r="A15" i="8"/>
  <c r="A16" i="8"/>
  <c r="I16" i="8" s="1"/>
  <c r="A17" i="8"/>
  <c r="D17" i="8" s="1"/>
  <c r="A18" i="8"/>
  <c r="C18" i="8" s="1"/>
  <c r="A19" i="8"/>
  <c r="D19" i="8" s="1"/>
  <c r="A20" i="8"/>
  <c r="C20" i="8" s="1"/>
  <c r="A21" i="8"/>
  <c r="D21" i="8" s="1"/>
  <c r="A22" i="8"/>
  <c r="C22" i="8" s="1"/>
  <c r="A23" i="8"/>
  <c r="D23" i="8" s="1"/>
  <c r="A24" i="8"/>
  <c r="F24" i="8" s="1"/>
  <c r="A25" i="8"/>
  <c r="G25" i="8" s="1"/>
  <c r="A26" i="8"/>
  <c r="C26" i="8" s="1"/>
  <c r="A27" i="8"/>
  <c r="D27" i="8" s="1"/>
  <c r="A28" i="8"/>
  <c r="A29" i="8"/>
  <c r="A30" i="8"/>
  <c r="G30" i="8" s="1"/>
  <c r="A31" i="8"/>
  <c r="D31" i="8" s="1"/>
  <c r="A32" i="8"/>
  <c r="I32" i="8" s="1"/>
  <c r="A33" i="8"/>
  <c r="D33" i="8" s="1"/>
  <c r="A34" i="8"/>
  <c r="C34" i="8" s="1"/>
  <c r="A35" i="8"/>
  <c r="D35" i="8" s="1"/>
  <c r="A36" i="8"/>
  <c r="A37" i="8"/>
  <c r="G37" i="8" s="1"/>
  <c r="A38" i="8"/>
  <c r="C38" i="8" s="1"/>
  <c r="A39" i="8"/>
  <c r="D39" i="8" s="1"/>
  <c r="A40" i="8"/>
  <c r="C40" i="8" s="1"/>
  <c r="A41" i="8"/>
  <c r="D41" i="8" s="1"/>
  <c r="A42" i="8"/>
  <c r="A43" i="8"/>
  <c r="A44" i="8"/>
  <c r="F44" i="8" s="1"/>
  <c r="A45" i="8"/>
  <c r="A46" i="8"/>
  <c r="A47" i="8"/>
  <c r="G47" i="8" s="1"/>
  <c r="A48" i="8"/>
  <c r="C48" i="8" s="1"/>
  <c r="A49" i="8"/>
  <c r="D49" i="8" s="1"/>
  <c r="A50" i="8"/>
  <c r="C50" i="8" s="1"/>
  <c r="A51" i="8"/>
  <c r="D51" i="8" s="1"/>
  <c r="A52" i="8"/>
  <c r="F52" i="8" s="1"/>
  <c r="A53" i="8"/>
  <c r="A54" i="8"/>
  <c r="G54" i="8" s="1"/>
  <c r="A55" i="8"/>
  <c r="D55" i="8" s="1"/>
  <c r="A56" i="8"/>
  <c r="F56" i="8" s="1"/>
  <c r="A7" i="6"/>
  <c r="A7" i="7" s="1"/>
  <c r="C7" i="7" s="1"/>
  <c r="A8" i="6"/>
  <c r="C8" i="6" s="1"/>
  <c r="A9" i="6"/>
  <c r="E9" i="6" s="1"/>
  <c r="A10" i="6"/>
  <c r="G10" i="6" s="1"/>
  <c r="A11" i="6"/>
  <c r="B11" i="6" s="1"/>
  <c r="A12" i="6"/>
  <c r="A12" i="7" s="1"/>
  <c r="E12" i="7" s="1"/>
  <c r="A13" i="6"/>
  <c r="I13" i="6" s="1"/>
  <c r="A14" i="6"/>
  <c r="A14" i="7" s="1"/>
  <c r="A15" i="6"/>
  <c r="A16" i="6"/>
  <c r="C16" i="6" s="1"/>
  <c r="A17" i="6"/>
  <c r="B17" i="6" s="1"/>
  <c r="A18" i="6"/>
  <c r="A18" i="7" s="1"/>
  <c r="A19" i="6"/>
  <c r="A19" i="7" s="1"/>
  <c r="A20" i="6"/>
  <c r="A20" i="7" s="1"/>
  <c r="I20" i="7" s="1"/>
  <c r="A21" i="6"/>
  <c r="D21" i="6" s="1"/>
  <c r="A22" i="6"/>
  <c r="D22" i="6" s="1"/>
  <c r="A23" i="6"/>
  <c r="I23" i="6" s="1"/>
  <c r="A24" i="6"/>
  <c r="E24" i="6" s="1"/>
  <c r="A25" i="6"/>
  <c r="D25" i="6" s="1"/>
  <c r="A26" i="6"/>
  <c r="G26" i="6" s="1"/>
  <c r="A27" i="6"/>
  <c r="A27" i="7" s="1"/>
  <c r="B27" i="7" s="1"/>
  <c r="A28" i="6"/>
  <c r="A29" i="6"/>
  <c r="F29" i="6" s="1"/>
  <c r="A30" i="6"/>
  <c r="M30" i="6" s="1"/>
  <c r="A31" i="6"/>
  <c r="A31" i="7" s="1"/>
  <c r="B31" i="7" s="1"/>
  <c r="A32" i="6"/>
  <c r="L32" i="6" s="1"/>
  <c r="A33" i="6"/>
  <c r="B33" i="6" s="1"/>
  <c r="A34" i="6"/>
  <c r="C34" i="6" s="1"/>
  <c r="A35" i="6"/>
  <c r="C35" i="6" s="1"/>
  <c r="A36" i="6"/>
  <c r="G36" i="6" s="1"/>
  <c r="A37" i="6"/>
  <c r="L37" i="6" s="1"/>
  <c r="A38" i="6"/>
  <c r="B38" i="6" s="1"/>
  <c r="A39" i="6"/>
  <c r="C39" i="6" s="1"/>
  <c r="A40" i="6"/>
  <c r="L40" i="6" s="1"/>
  <c r="A41" i="6"/>
  <c r="A41" i="7" s="1"/>
  <c r="H41" i="7" s="1"/>
  <c r="A42" i="6"/>
  <c r="A42" i="7" s="1"/>
  <c r="B42" i="7" s="1"/>
  <c r="A43" i="6"/>
  <c r="C43" i="6" s="1"/>
  <c r="A44" i="6"/>
  <c r="L44" i="6" s="1"/>
  <c r="A45" i="6"/>
  <c r="D45" i="6" s="1"/>
  <c r="A46" i="6"/>
  <c r="I46" i="6" s="1"/>
  <c r="A47" i="6"/>
  <c r="D47" i="6" s="1"/>
  <c r="A48" i="6"/>
  <c r="I48" i="6" s="1"/>
  <c r="A49" i="6"/>
  <c r="L49" i="6" s="1"/>
  <c r="A50" i="6"/>
  <c r="K50" i="6" s="1"/>
  <c r="A51" i="6"/>
  <c r="K51" i="6" s="1"/>
  <c r="A52" i="6"/>
  <c r="E52" i="6" s="1"/>
  <c r="A53" i="6"/>
  <c r="I53" i="6" s="1"/>
  <c r="A54" i="6"/>
  <c r="A55" i="6"/>
  <c r="B55" i="6" s="1"/>
  <c r="A56" i="6"/>
  <c r="O56" i="6" s="1"/>
  <c r="A57" i="6"/>
  <c r="F57" i="6" s="1"/>
  <c r="A58" i="6"/>
  <c r="K58" i="6" s="1"/>
  <c r="A59" i="6"/>
  <c r="F59" i="6" s="1"/>
  <c r="A60" i="6"/>
  <c r="E60" i="6" s="1"/>
  <c r="A61" i="6"/>
  <c r="L61" i="6" s="1"/>
  <c r="A62" i="6"/>
  <c r="A63" i="6"/>
  <c r="A63" i="7" s="1"/>
  <c r="A64" i="6"/>
  <c r="A64" i="7" s="1"/>
  <c r="C64" i="7" s="1"/>
  <c r="A65" i="6"/>
  <c r="E65" i="6" s="1"/>
  <c r="A66" i="6"/>
  <c r="A67" i="6"/>
  <c r="E67" i="6" s="1"/>
  <c r="A68" i="6"/>
  <c r="K68" i="6" s="1"/>
  <c r="A69" i="6"/>
  <c r="F69" i="6" s="1"/>
  <c r="A70" i="6"/>
  <c r="I70" i="6" s="1"/>
  <c r="A71" i="6"/>
  <c r="A71" i="7" s="1"/>
  <c r="C71" i="7" s="1"/>
  <c r="A72" i="6"/>
  <c r="A72" i="7" s="1"/>
  <c r="L72" i="7" s="1"/>
  <c r="A73" i="6"/>
  <c r="J73" i="6" s="1"/>
  <c r="A74" i="6"/>
  <c r="I74" i="6" s="1"/>
  <c r="A75" i="6"/>
  <c r="E75" i="6" s="1"/>
  <c r="A76" i="6"/>
  <c r="A77" i="6"/>
  <c r="D77" i="6" s="1"/>
  <c r="A78" i="6"/>
  <c r="I78" i="6" s="1"/>
  <c r="A79" i="6"/>
  <c r="A79" i="7" s="1"/>
  <c r="F79" i="7" s="1"/>
  <c r="A80" i="6"/>
  <c r="C80" i="6" s="1"/>
  <c r="A81" i="6"/>
  <c r="A81" i="7" s="1"/>
  <c r="L81" i="7" s="1"/>
  <c r="A82" i="6"/>
  <c r="I82" i="6" s="1"/>
  <c r="A83" i="6"/>
  <c r="A83" i="7" s="1"/>
  <c r="A84" i="6"/>
  <c r="C84" i="6" s="1"/>
  <c r="A85" i="6"/>
  <c r="F85" i="6" s="1"/>
  <c r="A86" i="6"/>
  <c r="I86" i="6" s="1"/>
  <c r="A87" i="6"/>
  <c r="L87" i="6" s="1"/>
  <c r="A88" i="6"/>
  <c r="C88" i="6" s="1"/>
  <c r="A89" i="6"/>
  <c r="B89" i="6" s="1"/>
  <c r="A90" i="6"/>
  <c r="I90" i="6" s="1"/>
  <c r="A91" i="6"/>
  <c r="C91" i="6" s="1"/>
  <c r="A92" i="6"/>
  <c r="G92" i="6" s="1"/>
  <c r="A93" i="6"/>
  <c r="A93" i="7" s="1"/>
  <c r="O93" i="7" s="1"/>
  <c r="A94" i="6"/>
  <c r="M94" i="6" s="1"/>
  <c r="A95" i="6"/>
  <c r="A95" i="7" s="1"/>
  <c r="B95" i="7" s="1"/>
  <c r="A96" i="6"/>
  <c r="K96" i="6" s="1"/>
  <c r="A97" i="6"/>
  <c r="E97" i="6" s="1"/>
  <c r="A98" i="6"/>
  <c r="I98" i="6" s="1"/>
  <c r="A99" i="6"/>
  <c r="E99" i="6" s="1"/>
  <c r="A100" i="6"/>
  <c r="G100" i="6" s="1"/>
  <c r="A101" i="6"/>
  <c r="L101" i="6" s="1"/>
  <c r="A102" i="6"/>
  <c r="A103" i="6"/>
  <c r="D103" i="6" s="1"/>
  <c r="A104" i="6"/>
  <c r="C104" i="6" s="1"/>
  <c r="A105" i="6"/>
  <c r="B105" i="6" s="1"/>
  <c r="A106" i="6"/>
  <c r="I106" i="6" s="1"/>
  <c r="A107" i="6"/>
  <c r="C107" i="6" s="1"/>
  <c r="A108" i="6"/>
  <c r="G108" i="6" s="1"/>
  <c r="A109" i="6"/>
  <c r="E109" i="6" s="1"/>
  <c r="A110" i="6"/>
  <c r="A111" i="6"/>
  <c r="C111" i="6" s="1"/>
  <c r="A112" i="6"/>
  <c r="A112" i="7" s="1"/>
  <c r="H112" i="7" s="1"/>
  <c r="A113" i="6"/>
  <c r="F113" i="6" s="1"/>
  <c r="A114" i="6"/>
  <c r="J114" i="6" s="1"/>
  <c r="A115" i="6"/>
  <c r="B115" i="6" s="1"/>
  <c r="A116" i="6"/>
  <c r="G116" i="6" s="1"/>
  <c r="A117" i="6"/>
  <c r="D117" i="6" s="1"/>
  <c r="A118" i="6"/>
  <c r="F118" i="6" s="1"/>
  <c r="A119" i="6"/>
  <c r="B119" i="6" s="1"/>
  <c r="A120" i="6"/>
  <c r="E120" i="6" s="1"/>
  <c r="A121" i="6"/>
  <c r="I121" i="6" s="1"/>
  <c r="A122" i="6"/>
  <c r="C122" i="6" s="1"/>
  <c r="A123" i="6"/>
  <c r="B123" i="6" s="1"/>
  <c r="A124" i="6"/>
  <c r="G124" i="6" s="1"/>
  <c r="A125" i="6"/>
  <c r="A126" i="6"/>
  <c r="F126" i="6" s="1"/>
  <c r="A127" i="6"/>
  <c r="C127" i="6" s="1"/>
  <c r="A128" i="6"/>
  <c r="O128" i="6" s="1"/>
  <c r="A129" i="6"/>
  <c r="L129" i="6" s="1"/>
  <c r="A130" i="6"/>
  <c r="B130" i="6" s="1"/>
  <c r="A131" i="6"/>
  <c r="C131" i="6" s="1"/>
  <c r="A132" i="6"/>
  <c r="C132" i="6" s="1"/>
  <c r="A133" i="6"/>
  <c r="D133" i="6" s="1"/>
  <c r="A134" i="6"/>
  <c r="K134" i="6" s="1"/>
  <c r="A135" i="6"/>
  <c r="A136" i="6"/>
  <c r="E136" i="6" s="1"/>
  <c r="A137" i="6"/>
  <c r="B137" i="6" s="1"/>
  <c r="A138" i="6"/>
  <c r="A138" i="7" s="1"/>
  <c r="F138" i="7" s="1"/>
  <c r="A139" i="6"/>
  <c r="B139" i="6" s="1"/>
  <c r="A140" i="6"/>
  <c r="G140" i="6" s="1"/>
  <c r="A141" i="6"/>
  <c r="A142" i="6"/>
  <c r="B142" i="6" s="1"/>
  <c r="A143" i="6"/>
  <c r="A143" i="7" s="1"/>
  <c r="F143" i="7" s="1"/>
  <c r="A144" i="6"/>
  <c r="H144" i="6" s="1"/>
  <c r="A145" i="6"/>
  <c r="F145" i="6" s="1"/>
  <c r="A146" i="6"/>
  <c r="E146" i="6" s="1"/>
  <c r="A147" i="6"/>
  <c r="A148" i="6"/>
  <c r="I148" i="6" s="1"/>
  <c r="A149" i="6"/>
  <c r="E149" i="6" s="1"/>
  <c r="A150" i="6"/>
  <c r="A151" i="6"/>
  <c r="F151" i="6" s="1"/>
  <c r="A152" i="6"/>
  <c r="A152" i="7" s="1"/>
  <c r="G152" i="7" s="1"/>
  <c r="A153" i="6"/>
  <c r="C153" i="6" s="1"/>
  <c r="A154" i="6"/>
  <c r="E154" i="6" s="1"/>
  <c r="A155" i="6"/>
  <c r="B155" i="6" s="1"/>
  <c r="A156" i="6"/>
  <c r="B156" i="6" s="1"/>
  <c r="A157" i="6"/>
  <c r="A157" i="7" s="1"/>
  <c r="A158" i="6"/>
  <c r="E158" i="6" s="1"/>
  <c r="A159" i="6"/>
  <c r="D159" i="6" s="1"/>
  <c r="A160" i="6"/>
  <c r="A161" i="6"/>
  <c r="N161" i="6" s="1"/>
  <c r="A162" i="6"/>
  <c r="E162" i="6" s="1"/>
  <c r="A163" i="6"/>
  <c r="D163" i="6" s="1"/>
  <c r="A164" i="6"/>
  <c r="A165" i="6"/>
  <c r="H165" i="6" s="1"/>
  <c r="A166" i="6"/>
  <c r="E166" i="6" s="1"/>
  <c r="A167" i="6"/>
  <c r="D167" i="6" s="1"/>
  <c r="A168" i="6"/>
  <c r="B168" i="6" s="1"/>
  <c r="A169" i="6"/>
  <c r="B169" i="6" s="1"/>
  <c r="A170" i="6"/>
  <c r="E170" i="6" s="1"/>
  <c r="A171" i="6"/>
  <c r="F171" i="6" s="1"/>
  <c r="A172" i="6"/>
  <c r="A173" i="6"/>
  <c r="G173" i="6" s="1"/>
  <c r="A174" i="6"/>
  <c r="E174" i="6" s="1"/>
  <c r="A175" i="6"/>
  <c r="C175" i="6" s="1"/>
  <c r="A176" i="6"/>
  <c r="C176" i="6" s="1"/>
  <c r="A177" i="6"/>
  <c r="B177" i="6" s="1"/>
  <c r="A178" i="6"/>
  <c r="E178" i="6" s="1"/>
  <c r="A179" i="6"/>
  <c r="D179" i="6" s="1"/>
  <c r="A180" i="6"/>
  <c r="D180" i="6" s="1"/>
  <c r="A181" i="6"/>
  <c r="B181" i="6" s="1"/>
  <c r="A182" i="6"/>
  <c r="E182" i="6" s="1"/>
  <c r="A183" i="6"/>
  <c r="C183" i="6" s="1"/>
  <c r="A184" i="6"/>
  <c r="I184" i="6" s="1"/>
  <c r="A185" i="6"/>
  <c r="A185" i="7" s="1"/>
  <c r="F185" i="7" s="1"/>
  <c r="A186" i="6"/>
  <c r="E186" i="6" s="1"/>
  <c r="A187" i="6"/>
  <c r="A188" i="6"/>
  <c r="I188" i="6" s="1"/>
  <c r="A189" i="6"/>
  <c r="A189" i="7" s="1"/>
  <c r="B189" i="7" s="1"/>
  <c r="A7" i="5"/>
  <c r="B7" i="5"/>
  <c r="A8" i="5"/>
  <c r="B8" i="5"/>
  <c r="D8" i="5" s="1"/>
  <c r="A9" i="5"/>
  <c r="B9" i="5"/>
  <c r="D9" i="5" s="1"/>
  <c r="A10" i="5"/>
  <c r="B10" i="5"/>
  <c r="D10" i="5" s="1"/>
  <c r="A11" i="5"/>
  <c r="B11" i="5"/>
  <c r="D11" i="5" s="1"/>
  <c r="A12" i="5"/>
  <c r="B12" i="5"/>
  <c r="N12" i="5" s="1"/>
  <c r="A13" i="5"/>
  <c r="B13" i="5"/>
  <c r="D13" i="5" s="1"/>
  <c r="A14" i="5"/>
  <c r="B14" i="5"/>
  <c r="D14" i="5" s="1"/>
  <c r="A15" i="5"/>
  <c r="B15" i="5"/>
  <c r="D15" i="5" s="1"/>
  <c r="A16" i="5"/>
  <c r="B16" i="5"/>
  <c r="D16" i="5" s="1"/>
  <c r="A17" i="5"/>
  <c r="B17" i="5"/>
  <c r="D17" i="5" s="1"/>
  <c r="A18" i="5"/>
  <c r="B18" i="5"/>
  <c r="D18" i="5" s="1"/>
  <c r="A19" i="5"/>
  <c r="B19" i="5"/>
  <c r="D19" i="5" s="1"/>
  <c r="A20" i="5"/>
  <c r="B20" i="5"/>
  <c r="D20" i="5" s="1"/>
  <c r="A21" i="5"/>
  <c r="B21" i="5"/>
  <c r="D21" i="5" s="1"/>
  <c r="A22" i="5"/>
  <c r="B22" i="5"/>
  <c r="D22" i="5" s="1"/>
  <c r="A23" i="5"/>
  <c r="B23" i="5"/>
  <c r="D23" i="5" s="1"/>
  <c r="A24" i="5"/>
  <c r="B24" i="5"/>
  <c r="D24" i="5" s="1"/>
  <c r="A25" i="5"/>
  <c r="B25" i="5"/>
  <c r="D25" i="5" s="1"/>
  <c r="A26" i="5"/>
  <c r="B26" i="5"/>
  <c r="D26" i="5" s="1"/>
  <c r="A27" i="5"/>
  <c r="B27" i="5"/>
  <c r="D27" i="5" s="1"/>
  <c r="A28" i="5"/>
  <c r="B28" i="5"/>
  <c r="D28" i="5" s="1"/>
  <c r="A29" i="5"/>
  <c r="B29" i="5"/>
  <c r="D29" i="5" s="1"/>
  <c r="A30" i="5"/>
  <c r="B30" i="5"/>
  <c r="D30" i="5" s="1"/>
  <c r="A31" i="5"/>
  <c r="B31" i="5"/>
  <c r="D31" i="5" s="1"/>
  <c r="A32" i="5"/>
  <c r="B32" i="5"/>
  <c r="D32" i="5" s="1"/>
  <c r="A33" i="5"/>
  <c r="B33" i="5"/>
  <c r="D33" i="5" s="1"/>
  <c r="A34" i="5"/>
  <c r="B34" i="5"/>
  <c r="D34" i="5" s="1"/>
  <c r="A35" i="5"/>
  <c r="B35" i="5"/>
  <c r="D35" i="5" s="1"/>
  <c r="A36" i="5"/>
  <c r="B36" i="5"/>
  <c r="D36" i="5" s="1"/>
  <c r="A37" i="5"/>
  <c r="B37" i="5"/>
  <c r="D37" i="5" s="1"/>
  <c r="A38" i="5"/>
  <c r="B38" i="5"/>
  <c r="D38" i="5" s="1"/>
  <c r="A39" i="5"/>
  <c r="B39" i="5"/>
  <c r="D39" i="5" s="1"/>
  <c r="A40" i="5"/>
  <c r="B40" i="5"/>
  <c r="D40" i="5" s="1"/>
  <c r="A41" i="5"/>
  <c r="B41" i="5"/>
  <c r="D41" i="5" s="1"/>
  <c r="A42" i="5"/>
  <c r="B42" i="5"/>
  <c r="D42" i="5" s="1"/>
  <c r="A43" i="5"/>
  <c r="B43" i="5"/>
  <c r="D43" i="5" s="1"/>
  <c r="A44" i="5"/>
  <c r="B44" i="5"/>
  <c r="D44" i="5" s="1"/>
  <c r="A45" i="5"/>
  <c r="B45" i="5"/>
  <c r="D45" i="5" s="1"/>
  <c r="A46" i="5"/>
  <c r="B46" i="5"/>
  <c r="D46" i="5" s="1"/>
  <c r="A47" i="5"/>
  <c r="B47" i="5"/>
  <c r="D47" i="5" s="1"/>
  <c r="A48" i="5"/>
  <c r="B48" i="5"/>
  <c r="D48" i="5" s="1"/>
  <c r="A49" i="5"/>
  <c r="B49" i="5"/>
  <c r="D49" i="5" s="1"/>
  <c r="A50" i="5"/>
  <c r="B50" i="5"/>
  <c r="O50" i="5" s="1"/>
  <c r="A51" i="5"/>
  <c r="B51" i="5"/>
  <c r="O51" i="5" s="1"/>
  <c r="A52" i="5"/>
  <c r="B52" i="5"/>
  <c r="O52" i="5" s="1"/>
  <c r="A53" i="5"/>
  <c r="B53" i="5"/>
  <c r="O53" i="5" s="1"/>
  <c r="A54" i="5"/>
  <c r="B54" i="5"/>
  <c r="O54" i="5" s="1"/>
  <c r="A55" i="5"/>
  <c r="B55" i="5"/>
  <c r="O55" i="5" s="1"/>
  <c r="A56" i="5"/>
  <c r="B56" i="5"/>
  <c r="O56" i="5" s="1"/>
  <c r="A57" i="5"/>
  <c r="B57" i="5"/>
  <c r="O57" i="5" s="1"/>
  <c r="A58" i="5"/>
  <c r="B58" i="5"/>
  <c r="O58" i="5" s="1"/>
  <c r="A59" i="5"/>
  <c r="B59" i="5"/>
  <c r="O59" i="5" s="1"/>
  <c r="A60" i="5"/>
  <c r="B60" i="5"/>
  <c r="O60" i="5" s="1"/>
  <c r="A61" i="5"/>
  <c r="B61" i="5"/>
  <c r="O61" i="5" s="1"/>
  <c r="A62" i="5"/>
  <c r="B62" i="5"/>
  <c r="A63" i="5"/>
  <c r="B63" i="5"/>
  <c r="I63" i="5" s="1"/>
  <c r="A64" i="5"/>
  <c r="B64" i="5"/>
  <c r="I64" i="5" s="1"/>
  <c r="A65" i="5"/>
  <c r="B65" i="5"/>
  <c r="I65" i="5" s="1"/>
  <c r="A66" i="5"/>
  <c r="B66" i="5"/>
  <c r="C66" i="5" s="1"/>
  <c r="A67" i="5"/>
  <c r="B67" i="5"/>
  <c r="I67" i="5" s="1"/>
  <c r="A68" i="5"/>
  <c r="B68" i="5"/>
  <c r="I68" i="5" s="1"/>
  <c r="A69" i="5"/>
  <c r="B69" i="5"/>
  <c r="I69" i="5" s="1"/>
  <c r="A70" i="5"/>
  <c r="B70" i="5"/>
  <c r="C70" i="5" s="1"/>
  <c r="A71" i="5"/>
  <c r="B71" i="5"/>
  <c r="I71" i="5" s="1"/>
  <c r="A72" i="5"/>
  <c r="B72" i="5"/>
  <c r="I72" i="5" s="1"/>
  <c r="A73" i="5"/>
  <c r="B73" i="5"/>
  <c r="I73" i="5" s="1"/>
  <c r="A74" i="5"/>
  <c r="B74" i="5"/>
  <c r="C74" i="5" s="1"/>
  <c r="A75" i="5"/>
  <c r="B75" i="5"/>
  <c r="I75" i="5" s="1"/>
  <c r="A76" i="5"/>
  <c r="B76" i="5"/>
  <c r="I76" i="5" s="1"/>
  <c r="A77" i="5"/>
  <c r="B77" i="5"/>
  <c r="I77" i="5" s="1"/>
  <c r="A78" i="5"/>
  <c r="B78" i="5"/>
  <c r="C78" i="5" s="1"/>
  <c r="A79" i="5"/>
  <c r="B79" i="5"/>
  <c r="I79" i="5" s="1"/>
  <c r="A80" i="5"/>
  <c r="B80" i="5"/>
  <c r="I80" i="5" s="1"/>
  <c r="A81" i="5"/>
  <c r="B81" i="5"/>
  <c r="I81" i="5" s="1"/>
  <c r="A82" i="5"/>
  <c r="B82" i="5"/>
  <c r="C82" i="5" s="1"/>
  <c r="A83" i="5"/>
  <c r="B83" i="5"/>
  <c r="I83" i="5" s="1"/>
  <c r="A84" i="5"/>
  <c r="B84" i="5"/>
  <c r="I84" i="5" s="1"/>
  <c r="A85" i="5"/>
  <c r="B85" i="5"/>
  <c r="I85" i="5" s="1"/>
  <c r="A86" i="5"/>
  <c r="B86" i="5"/>
  <c r="C86" i="5" s="1"/>
  <c r="A87" i="5"/>
  <c r="B87" i="5"/>
  <c r="I87" i="5" s="1"/>
  <c r="A88" i="5"/>
  <c r="B88" i="5"/>
  <c r="I88" i="5" s="1"/>
  <c r="A89" i="5"/>
  <c r="B89" i="5"/>
  <c r="I89" i="5" s="1"/>
  <c r="A90" i="5"/>
  <c r="B90" i="5"/>
  <c r="C90" i="5" s="1"/>
  <c r="A91" i="5"/>
  <c r="B91" i="5"/>
  <c r="I91" i="5" s="1"/>
  <c r="A92" i="5"/>
  <c r="B92" i="5"/>
  <c r="I92" i="5" s="1"/>
  <c r="A93" i="5"/>
  <c r="B93" i="5"/>
  <c r="I93" i="5" s="1"/>
  <c r="A94" i="5"/>
  <c r="B94" i="5"/>
  <c r="C94" i="5" s="1"/>
  <c r="A95" i="5"/>
  <c r="B95" i="5"/>
  <c r="I95" i="5" s="1"/>
  <c r="A96" i="5"/>
  <c r="B96" i="5"/>
  <c r="I96" i="5" s="1"/>
  <c r="A97" i="5"/>
  <c r="B97" i="5"/>
  <c r="I97" i="5" s="1"/>
  <c r="A98" i="5"/>
  <c r="B98" i="5"/>
  <c r="C98" i="5" s="1"/>
  <c r="A99" i="5"/>
  <c r="B99" i="5"/>
  <c r="I99" i="5" s="1"/>
  <c r="A100" i="5"/>
  <c r="B100" i="5"/>
  <c r="I100" i="5" s="1"/>
  <c r="A101" i="5"/>
  <c r="B101" i="5"/>
  <c r="I101" i="5" s="1"/>
  <c r="A102" i="5"/>
  <c r="B102" i="5"/>
  <c r="C102" i="5" s="1"/>
  <c r="A103" i="5"/>
  <c r="B103" i="5"/>
  <c r="I103" i="5" s="1"/>
  <c r="A104" i="5"/>
  <c r="B104" i="5"/>
  <c r="I104" i="5" s="1"/>
  <c r="A105" i="5"/>
  <c r="B105" i="5"/>
  <c r="I105" i="5" s="1"/>
  <c r="A106" i="5"/>
  <c r="B106" i="5"/>
  <c r="C106" i="5" s="1"/>
  <c r="A107" i="5"/>
  <c r="B107" i="5"/>
  <c r="I107" i="5" s="1"/>
  <c r="A108" i="5"/>
  <c r="B108" i="5"/>
  <c r="I108" i="5" s="1"/>
  <c r="A109" i="5"/>
  <c r="B109" i="5"/>
  <c r="I109" i="5" s="1"/>
  <c r="A110" i="5"/>
  <c r="B110" i="5"/>
  <c r="C110" i="5" s="1"/>
  <c r="A111" i="5"/>
  <c r="B111" i="5"/>
  <c r="I111" i="5" s="1"/>
  <c r="A112" i="5"/>
  <c r="B112" i="5"/>
  <c r="N112" i="5" s="1"/>
  <c r="A113" i="5"/>
  <c r="B113" i="5"/>
  <c r="K113" i="5" s="1"/>
  <c r="A114" i="5"/>
  <c r="B114" i="5"/>
  <c r="C114" i="5" s="1"/>
  <c r="A115" i="5"/>
  <c r="B115" i="5"/>
  <c r="I115" i="5" s="1"/>
  <c r="A116" i="5"/>
  <c r="B116" i="5"/>
  <c r="N116" i="5" s="1"/>
  <c r="A117" i="5"/>
  <c r="B117" i="5"/>
  <c r="O117" i="5" s="1"/>
  <c r="A118" i="5"/>
  <c r="B118" i="5"/>
  <c r="C118" i="5" s="1"/>
  <c r="A119" i="5"/>
  <c r="B119" i="5"/>
  <c r="A120" i="5"/>
  <c r="B120" i="5"/>
  <c r="N120" i="5" s="1"/>
  <c r="A121" i="5"/>
  <c r="B121" i="5"/>
  <c r="C121" i="5" s="1"/>
  <c r="A122" i="5"/>
  <c r="B122" i="5"/>
  <c r="C122" i="5" s="1"/>
  <c r="A123" i="5"/>
  <c r="B123" i="5"/>
  <c r="I123" i="5" s="1"/>
  <c r="A124" i="5"/>
  <c r="B124" i="5"/>
  <c r="N124" i="5" s="1"/>
  <c r="A125" i="5"/>
  <c r="B125" i="5"/>
  <c r="K125" i="5" s="1"/>
  <c r="A126" i="5"/>
  <c r="B126" i="5"/>
  <c r="C126" i="5" s="1"/>
  <c r="A127" i="5"/>
  <c r="B127" i="5"/>
  <c r="I127" i="5" s="1"/>
  <c r="A128" i="5"/>
  <c r="B128" i="5"/>
  <c r="N128" i="5" s="1"/>
  <c r="A129" i="5"/>
  <c r="B129" i="5"/>
  <c r="K129" i="5" s="1"/>
  <c r="A130" i="5"/>
  <c r="B130" i="5"/>
  <c r="C130" i="5" s="1"/>
  <c r="A131" i="5"/>
  <c r="B131" i="5"/>
  <c r="I131" i="5" s="1"/>
  <c r="A132" i="5"/>
  <c r="B132" i="5"/>
  <c r="N132" i="5" s="1"/>
  <c r="A133" i="5"/>
  <c r="B133" i="5"/>
  <c r="I133" i="5" s="1"/>
  <c r="A134" i="5"/>
  <c r="B134" i="5"/>
  <c r="C134" i="5" s="1"/>
  <c r="A135" i="5"/>
  <c r="B135" i="5"/>
  <c r="I135" i="5" s="1"/>
  <c r="A136" i="5"/>
  <c r="B136" i="5"/>
  <c r="N136" i="5" s="1"/>
  <c r="A137" i="5"/>
  <c r="B137" i="5"/>
  <c r="C137" i="5" s="1"/>
  <c r="A138" i="5"/>
  <c r="B138" i="5"/>
  <c r="C138" i="5" s="1"/>
  <c r="A139" i="5"/>
  <c r="B139" i="5"/>
  <c r="I139" i="5" s="1"/>
  <c r="A140" i="5"/>
  <c r="B140" i="5"/>
  <c r="N140" i="5" s="1"/>
  <c r="A141" i="5"/>
  <c r="B141" i="5"/>
  <c r="I141" i="5" s="1"/>
  <c r="A142" i="5"/>
  <c r="B142" i="5"/>
  <c r="C142" i="5" s="1"/>
  <c r="A143" i="5"/>
  <c r="B143" i="5"/>
  <c r="I143" i="5" s="1"/>
  <c r="A144" i="5"/>
  <c r="B144" i="5"/>
  <c r="N144" i="5" s="1"/>
  <c r="A145" i="5"/>
  <c r="B145" i="5"/>
  <c r="K145" i="5" s="1"/>
  <c r="A146" i="5"/>
  <c r="B146" i="5"/>
  <c r="C146" i="5" s="1"/>
  <c r="A147" i="5"/>
  <c r="B147" i="5"/>
  <c r="I147" i="5" s="1"/>
  <c r="A148" i="5"/>
  <c r="B148" i="5"/>
  <c r="I148" i="5" s="1"/>
  <c r="A149" i="5"/>
  <c r="B149" i="5"/>
  <c r="I149" i="5" s="1"/>
  <c r="A150" i="5"/>
  <c r="B150" i="5"/>
  <c r="N150" i="5" s="1"/>
  <c r="A151" i="5"/>
  <c r="B151" i="5"/>
  <c r="I151" i="5" s="1"/>
  <c r="A152" i="5"/>
  <c r="B152" i="5"/>
  <c r="N152" i="5" s="1"/>
  <c r="A153" i="5"/>
  <c r="B153" i="5"/>
  <c r="I153" i="5" s="1"/>
  <c r="A154" i="5"/>
  <c r="B154" i="5"/>
  <c r="I154" i="5" s="1"/>
  <c r="A155" i="5"/>
  <c r="B155" i="5"/>
  <c r="I155" i="5" s="1"/>
  <c r="A156" i="5"/>
  <c r="B156" i="5"/>
  <c r="N156" i="5" s="1"/>
  <c r="A157" i="5"/>
  <c r="B157" i="5"/>
  <c r="K157" i="5" s="1"/>
  <c r="A158" i="5"/>
  <c r="B158" i="5"/>
  <c r="I158" i="5" s="1"/>
  <c r="A159" i="5"/>
  <c r="B159" i="5"/>
  <c r="I159" i="5" s="1"/>
  <c r="A160" i="5"/>
  <c r="B160" i="5"/>
  <c r="N160" i="5" s="1"/>
  <c r="A161" i="5"/>
  <c r="B161" i="5"/>
  <c r="K161" i="5" s="1"/>
  <c r="A162" i="5"/>
  <c r="B162" i="5"/>
  <c r="N162" i="5" s="1"/>
  <c r="A163" i="5"/>
  <c r="B163" i="5"/>
  <c r="I163" i="5" s="1"/>
  <c r="A164" i="5"/>
  <c r="B164" i="5"/>
  <c r="I164" i="5" s="1"/>
  <c r="A165" i="5"/>
  <c r="B165" i="5"/>
  <c r="I165" i="5" s="1"/>
  <c r="A166" i="5"/>
  <c r="B166" i="5"/>
  <c r="I166" i="5" s="1"/>
  <c r="A7" i="3"/>
  <c r="C7" i="3" s="1"/>
  <c r="A8" i="3"/>
  <c r="O8" i="3" s="1"/>
  <c r="A9" i="3"/>
  <c r="C9" i="3" s="1"/>
  <c r="A10" i="3"/>
  <c r="M10" i="3" s="1"/>
  <c r="A11" i="3"/>
  <c r="Q11" i="3" s="1"/>
  <c r="A12" i="3"/>
  <c r="G12" i="3" s="1"/>
  <c r="A13" i="3"/>
  <c r="B13" i="3" s="1"/>
  <c r="A14" i="3"/>
  <c r="I14" i="3" s="1"/>
  <c r="A15" i="3"/>
  <c r="D15" i="3" s="1"/>
  <c r="A16" i="3"/>
  <c r="B16" i="3" s="1"/>
  <c r="A17" i="3"/>
  <c r="Q17" i="3" s="1"/>
  <c r="A18" i="3"/>
  <c r="B18" i="3" s="1"/>
  <c r="A19" i="3"/>
  <c r="D19" i="3" s="1"/>
  <c r="A20" i="3"/>
  <c r="C20" i="3" s="1"/>
  <c r="A21" i="3"/>
  <c r="F21" i="3" s="1"/>
  <c r="A22" i="3"/>
  <c r="F22" i="3" s="1"/>
  <c r="A23" i="3"/>
  <c r="C23" i="3" s="1"/>
  <c r="A24" i="3"/>
  <c r="B24" i="3" s="1"/>
  <c r="A25" i="3"/>
  <c r="N25" i="3" s="1"/>
  <c r="A26" i="3"/>
  <c r="B26" i="3" s="1"/>
  <c r="A27" i="3"/>
  <c r="G27" i="3" s="1"/>
  <c r="A28" i="3"/>
  <c r="B28" i="3" s="1"/>
  <c r="A29" i="3"/>
  <c r="F29" i="3" s="1"/>
  <c r="A30" i="3"/>
  <c r="I30" i="3" s="1"/>
  <c r="A31" i="3"/>
  <c r="C31" i="3" s="1"/>
  <c r="A32" i="3"/>
  <c r="B32" i="3" s="1"/>
  <c r="A33" i="3"/>
  <c r="F33" i="3" s="1"/>
  <c r="A34" i="3"/>
  <c r="B34" i="3" s="1"/>
  <c r="A35" i="3"/>
  <c r="D35" i="3" s="1"/>
  <c r="A36" i="3"/>
  <c r="B36" i="3" s="1"/>
  <c r="A37" i="3"/>
  <c r="C37" i="3" s="1"/>
  <c r="A38" i="3"/>
  <c r="L38" i="3" s="1"/>
  <c r="A39" i="3"/>
  <c r="P39" i="3" s="1"/>
  <c r="A40" i="3"/>
  <c r="B40" i="3" s="1"/>
  <c r="A41" i="3"/>
  <c r="A42" i="3"/>
  <c r="D42" i="3" s="1"/>
  <c r="A43" i="3"/>
  <c r="C43" i="3" s="1"/>
  <c r="A44" i="3"/>
  <c r="D44" i="3" s="1"/>
  <c r="A45" i="3"/>
  <c r="G45" i="3" s="1"/>
  <c r="A46" i="3"/>
  <c r="I46" i="3" s="1"/>
  <c r="A47" i="3"/>
  <c r="D47" i="3" s="1"/>
  <c r="A48" i="3"/>
  <c r="C48" i="3" s="1"/>
  <c r="A49" i="3"/>
  <c r="B49" i="3" s="1"/>
  <c r="A50" i="3"/>
  <c r="A51" i="3"/>
  <c r="I51" i="3" s="1"/>
  <c r="A52" i="3"/>
  <c r="Q52" i="3" s="1"/>
  <c r="A53" i="3"/>
  <c r="F53" i="3" s="1"/>
  <c r="A54" i="3"/>
  <c r="B54" i="3" s="1"/>
  <c r="A55" i="3"/>
  <c r="A56" i="3"/>
  <c r="C56" i="3" s="1"/>
  <c r="A57" i="3"/>
  <c r="I57" i="3" s="1"/>
  <c r="A58" i="3"/>
  <c r="I58" i="3" s="1"/>
  <c r="A59" i="3"/>
  <c r="C59" i="3" s="1"/>
  <c r="A60" i="3"/>
  <c r="G60" i="3" s="1"/>
  <c r="A61" i="3"/>
  <c r="G61" i="3" s="1"/>
  <c r="A62" i="3"/>
  <c r="I62" i="3" s="1"/>
  <c r="A63" i="3"/>
  <c r="I63" i="3" s="1"/>
  <c r="A64" i="3"/>
  <c r="D64" i="3" s="1"/>
  <c r="A65" i="3"/>
  <c r="B65" i="3" s="1"/>
  <c r="A66" i="3"/>
  <c r="F66" i="3" s="1"/>
  <c r="A67" i="3"/>
  <c r="G67" i="3" s="1"/>
  <c r="A68" i="3"/>
  <c r="D68" i="3" s="1"/>
  <c r="A69" i="3"/>
  <c r="F69" i="3" s="1"/>
  <c r="A70" i="3"/>
  <c r="A71" i="3"/>
  <c r="G71" i="3" s="1"/>
  <c r="A72" i="3"/>
  <c r="D72" i="3" s="1"/>
  <c r="A73" i="3"/>
  <c r="I73" i="3" s="1"/>
  <c r="A74" i="3"/>
  <c r="A75" i="3"/>
  <c r="Q75" i="3" s="1"/>
  <c r="A76" i="3"/>
  <c r="O76" i="3" s="1"/>
  <c r="A77" i="3"/>
  <c r="F77" i="3" s="1"/>
  <c r="A78" i="3"/>
  <c r="A79" i="3"/>
  <c r="C79" i="3" s="1"/>
  <c r="A80" i="3"/>
  <c r="L80" i="3" s="1"/>
  <c r="A81" i="3"/>
  <c r="Q81" i="3" s="1"/>
  <c r="A82" i="3"/>
  <c r="B82" i="3" s="1"/>
  <c r="A83" i="3"/>
  <c r="D83" i="3" s="1"/>
  <c r="A84" i="3"/>
  <c r="A85" i="3"/>
  <c r="F85" i="3" s="1"/>
  <c r="A86" i="3"/>
  <c r="A87" i="3"/>
  <c r="L87" i="3" s="1"/>
  <c r="A88" i="3"/>
  <c r="P88" i="3" s="1"/>
  <c r="A89" i="3"/>
  <c r="C89" i="3" s="1"/>
  <c r="A90" i="3"/>
  <c r="I90" i="3" s="1"/>
  <c r="A91" i="3"/>
  <c r="C91" i="3" s="1"/>
  <c r="A92" i="3"/>
  <c r="C92" i="3" s="1"/>
  <c r="A93" i="3"/>
  <c r="B93" i="3" s="1"/>
  <c r="A94" i="3"/>
  <c r="D94" i="3" s="1"/>
  <c r="A95" i="3"/>
  <c r="A96" i="3"/>
  <c r="B96" i="3" s="1"/>
  <c r="A97" i="3"/>
  <c r="F97" i="3" s="1"/>
  <c r="A98" i="3"/>
  <c r="B98" i="3" s="1"/>
  <c r="A99" i="3"/>
  <c r="I99" i="3" s="1"/>
  <c r="A100" i="3"/>
  <c r="F100" i="3" s="1"/>
  <c r="A101" i="3"/>
  <c r="N101" i="3" s="1"/>
  <c r="A102" i="3"/>
  <c r="F102" i="3" s="1"/>
  <c r="A103" i="3"/>
  <c r="G103" i="3" s="1"/>
  <c r="A104" i="3"/>
  <c r="B104" i="3" s="1"/>
  <c r="A105" i="3"/>
  <c r="Q105" i="3" s="1"/>
  <c r="A106" i="3"/>
  <c r="N106" i="3" s="1"/>
  <c r="A107" i="3"/>
  <c r="A108" i="3"/>
  <c r="D108" i="3" s="1"/>
  <c r="A109" i="3"/>
  <c r="G109" i="3" s="1"/>
  <c r="A110" i="3"/>
  <c r="I110" i="3" s="1"/>
  <c r="A111" i="3"/>
  <c r="C111" i="3" s="1"/>
  <c r="A112" i="3"/>
  <c r="D112" i="3" s="1"/>
  <c r="A113" i="3"/>
  <c r="F113" i="3" s="1"/>
  <c r="A114" i="3"/>
  <c r="J114" i="3" s="1"/>
  <c r="A115" i="3"/>
  <c r="I115" i="3" s="1"/>
  <c r="A116" i="3"/>
  <c r="B116" i="3" s="1"/>
  <c r="A117" i="3"/>
  <c r="F117" i="3" s="1"/>
  <c r="A118" i="3"/>
  <c r="F118" i="3" s="1"/>
  <c r="A119" i="3"/>
  <c r="L119" i="3" s="1"/>
  <c r="A120" i="3"/>
  <c r="I120" i="3" s="1"/>
  <c r="A121" i="3"/>
  <c r="Q121" i="3" s="1"/>
  <c r="A122" i="3"/>
  <c r="B122" i="3" s="1"/>
  <c r="A123" i="3"/>
  <c r="D123" i="3" s="1"/>
  <c r="A124" i="3"/>
  <c r="M124" i="3" s="1"/>
  <c r="A125" i="3"/>
  <c r="J125" i="3" s="1"/>
  <c r="A126" i="3"/>
  <c r="A127" i="3"/>
  <c r="F127" i="3" s="1"/>
  <c r="A128" i="3"/>
  <c r="Q128" i="3" s="1"/>
  <c r="A129" i="3"/>
  <c r="F129" i="3" s="1"/>
  <c r="A130" i="3"/>
  <c r="D130" i="3" s="1"/>
  <c r="A131" i="3"/>
  <c r="D131" i="3" s="1"/>
  <c r="A132" i="3"/>
  <c r="B132" i="3" s="1"/>
  <c r="A133" i="3"/>
  <c r="I133" i="3" s="1"/>
  <c r="A134" i="3"/>
  <c r="O134" i="3" s="1"/>
  <c r="A135" i="3"/>
  <c r="C135" i="3" s="1"/>
  <c r="A136" i="3"/>
  <c r="B136" i="3" s="1"/>
  <c r="A137" i="3"/>
  <c r="M137" i="3" s="1"/>
  <c r="A138" i="3"/>
  <c r="C138" i="3" s="1"/>
  <c r="A139" i="3"/>
  <c r="C139" i="3" s="1"/>
  <c r="A140" i="3"/>
  <c r="M140" i="3" s="1"/>
  <c r="A141" i="3"/>
  <c r="A142" i="3"/>
  <c r="P142" i="3" s="1"/>
  <c r="A143" i="3"/>
  <c r="F143" i="3" s="1"/>
  <c r="A144" i="3"/>
  <c r="Q144" i="3" s="1"/>
  <c r="A145" i="3"/>
  <c r="A146" i="3"/>
  <c r="M146" i="3" s="1"/>
  <c r="A147" i="3"/>
  <c r="C147" i="3" s="1"/>
  <c r="A148" i="3"/>
  <c r="Q148" i="3" s="1"/>
  <c r="A149" i="3"/>
  <c r="A150" i="3"/>
  <c r="A151" i="3"/>
  <c r="O151" i="3" s="1"/>
  <c r="A152" i="3"/>
  <c r="I152" i="3" s="1"/>
  <c r="A153" i="3"/>
  <c r="M153" i="3" s="1"/>
  <c r="A154" i="3"/>
  <c r="D154" i="3" s="1"/>
  <c r="A155" i="3"/>
  <c r="J155" i="3" s="1"/>
  <c r="A156" i="3"/>
  <c r="B156" i="3" s="1"/>
  <c r="A157" i="3"/>
  <c r="I157" i="3" s="1"/>
  <c r="A158" i="3"/>
  <c r="A159" i="3"/>
  <c r="G159" i="3" s="1"/>
  <c r="A160" i="3"/>
  <c r="I160" i="3" s="1"/>
  <c r="A161" i="3"/>
  <c r="I161" i="3" s="1"/>
  <c r="A162" i="3"/>
  <c r="D162" i="3" s="1"/>
  <c r="A163" i="3"/>
  <c r="D163" i="3" s="1"/>
  <c r="A164" i="3"/>
  <c r="A165" i="3"/>
  <c r="I165" i="3" s="1"/>
  <c r="A166" i="3"/>
  <c r="G166" i="3" s="1"/>
  <c r="A167" i="3"/>
  <c r="N167" i="3" s="1"/>
  <c r="A168" i="3"/>
  <c r="I168" i="3" s="1"/>
  <c r="A169" i="3"/>
  <c r="I169" i="3" s="1"/>
  <c r="A170" i="3"/>
  <c r="G170" i="3" s="1"/>
  <c r="A171" i="3"/>
  <c r="B171" i="3" s="1"/>
  <c r="A172" i="3"/>
  <c r="Q172" i="3" s="1"/>
  <c r="A173" i="3"/>
  <c r="A174" i="3"/>
  <c r="D174" i="3" s="1"/>
  <c r="A175" i="3"/>
  <c r="D175" i="3" s="1"/>
  <c r="A176" i="3"/>
  <c r="M176" i="3" s="1"/>
  <c r="A177" i="3"/>
  <c r="Q177" i="3" s="1"/>
  <c r="A178" i="3"/>
  <c r="B178" i="3" s="1"/>
  <c r="A179" i="3"/>
  <c r="P179" i="3" s="1"/>
  <c r="A180" i="3"/>
  <c r="Q180" i="3" s="1"/>
  <c r="A181" i="3"/>
  <c r="I181" i="3" s="1"/>
  <c r="A182" i="3"/>
  <c r="C182" i="3" s="1"/>
  <c r="A183" i="3"/>
  <c r="B183" i="3" s="1"/>
  <c r="A184" i="3"/>
  <c r="I184" i="3" s="1"/>
  <c r="A185" i="3"/>
  <c r="I185" i="3" s="1"/>
  <c r="A186" i="3"/>
  <c r="G186" i="3" s="1"/>
  <c r="A187" i="3"/>
  <c r="C187" i="3" s="1"/>
  <c r="A188" i="3"/>
  <c r="G188" i="3" s="1"/>
  <c r="A189" i="3"/>
  <c r="C10" i="2"/>
  <c r="B6" i="3" s="1"/>
  <c r="D6" i="5" s="1"/>
  <c r="D10" i="2"/>
  <c r="R10" i="2" s="1"/>
  <c r="A11" i="2"/>
  <c r="Q11" i="2" s="1"/>
  <c r="A12" i="2"/>
  <c r="D12" i="2" s="1"/>
  <c r="A13" i="2"/>
  <c r="L13" i="2" s="1"/>
  <c r="A14" i="2"/>
  <c r="L14" i="2" s="1"/>
  <c r="A15" i="2"/>
  <c r="I15" i="2" s="1"/>
  <c r="A16" i="2"/>
  <c r="E16" i="2" s="1"/>
  <c r="A17" i="2"/>
  <c r="Q17" i="2" s="1"/>
  <c r="A18" i="2"/>
  <c r="I18" i="2" s="1"/>
  <c r="A19" i="2"/>
  <c r="Q19" i="2" s="1"/>
  <c r="A20" i="2"/>
  <c r="C20" i="2" s="1"/>
  <c r="A21" i="2"/>
  <c r="L21" i="2" s="1"/>
  <c r="A22" i="2"/>
  <c r="Q22" i="2" s="1"/>
  <c r="A23" i="2"/>
  <c r="C23" i="2" s="1"/>
  <c r="A24" i="2"/>
  <c r="A25" i="2"/>
  <c r="A26" i="2"/>
  <c r="L26" i="2" s="1"/>
  <c r="A27" i="2"/>
  <c r="C27" i="2" s="1"/>
  <c r="A28" i="2"/>
  <c r="D28" i="2" s="1"/>
  <c r="A29" i="2"/>
  <c r="I29" i="2" s="1"/>
  <c r="A30" i="2"/>
  <c r="A31" i="2"/>
  <c r="Q31" i="2" s="1"/>
  <c r="A32" i="2"/>
  <c r="E32" i="2" s="1"/>
  <c r="A33" i="2"/>
  <c r="D33" i="2" s="1"/>
  <c r="A34" i="2"/>
  <c r="I34" i="2" s="1"/>
  <c r="A35" i="2"/>
  <c r="S35" i="2" s="1"/>
  <c r="A36" i="2"/>
  <c r="B36" i="2" s="1"/>
  <c r="A37" i="2"/>
  <c r="L37" i="2" s="1"/>
  <c r="A38" i="2"/>
  <c r="D38" i="2" s="1"/>
  <c r="A39" i="2"/>
  <c r="C39" i="2" s="1"/>
  <c r="A40" i="2"/>
  <c r="Q40" i="2" s="1"/>
  <c r="A41" i="2"/>
  <c r="L41" i="2" s="1"/>
  <c r="A42" i="2"/>
  <c r="L42" i="2" s="1"/>
  <c r="A43" i="2"/>
  <c r="I43" i="2" s="1"/>
  <c r="A44" i="2"/>
  <c r="H44" i="2" s="1"/>
  <c r="A45" i="2"/>
  <c r="I45" i="2" s="1"/>
  <c r="A46" i="2"/>
  <c r="A47" i="2"/>
  <c r="C47" i="2" s="1"/>
  <c r="A48" i="2"/>
  <c r="B48" i="2" s="1"/>
  <c r="A49" i="2"/>
  <c r="A50" i="2"/>
  <c r="I50" i="2" s="1"/>
  <c r="A51" i="2"/>
  <c r="S51" i="2" s="1"/>
  <c r="A52" i="2"/>
  <c r="B52" i="2" s="1"/>
  <c r="A53" i="2"/>
  <c r="D53" i="2" s="1"/>
  <c r="A54" i="2"/>
  <c r="D54" i="2" s="1"/>
  <c r="A55" i="2"/>
  <c r="C55" i="2" s="1"/>
  <c r="A56" i="2"/>
  <c r="B56" i="2" s="1"/>
  <c r="A57" i="2"/>
  <c r="Q57" i="2" s="1"/>
  <c r="A58" i="2"/>
  <c r="D58" i="2" s="1"/>
  <c r="A59" i="2"/>
  <c r="C59" i="2" s="1"/>
  <c r="A60" i="2"/>
  <c r="P60" i="2" s="1"/>
  <c r="A61" i="2"/>
  <c r="I61" i="2" s="1"/>
  <c r="A62" i="2"/>
  <c r="D62" i="2" s="1"/>
  <c r="A63" i="2"/>
  <c r="Q63" i="2" s="1"/>
  <c r="A64" i="2"/>
  <c r="B64" i="2" s="1"/>
  <c r="A65" i="2"/>
  <c r="D65" i="2" s="1"/>
  <c r="A66" i="2"/>
  <c r="Q66" i="2" s="1"/>
  <c r="A67" i="2"/>
  <c r="C67" i="2" s="1"/>
  <c r="A68" i="2"/>
  <c r="B68" i="2" s="1"/>
  <c r="A69" i="2"/>
  <c r="L69" i="2" s="1"/>
  <c r="A70" i="2"/>
  <c r="D70" i="2" s="1"/>
  <c r="A71" i="2"/>
  <c r="C71" i="2" s="1"/>
  <c r="A72" i="2"/>
  <c r="D72" i="2" s="1"/>
  <c r="A73" i="2"/>
  <c r="A74" i="2"/>
  <c r="A75" i="2"/>
  <c r="C75" i="2" s="1"/>
  <c r="A76" i="2"/>
  <c r="D76" i="2" s="1"/>
  <c r="A77" i="2"/>
  <c r="D77" i="2" s="1"/>
  <c r="A78" i="2"/>
  <c r="A79" i="2"/>
  <c r="A80" i="2"/>
  <c r="C80" i="2" s="1"/>
  <c r="A81" i="2"/>
  <c r="I81" i="2" s="1"/>
  <c r="A82" i="2"/>
  <c r="I82" i="2" s="1"/>
  <c r="A83" i="2"/>
  <c r="A84" i="2"/>
  <c r="I84" i="2" s="1"/>
  <c r="A85" i="2"/>
  <c r="D85" i="2" s="1"/>
  <c r="A86" i="2"/>
  <c r="D86" i="2" s="1"/>
  <c r="A87" i="2"/>
  <c r="I87" i="2" s="1"/>
  <c r="A88" i="2"/>
  <c r="C88" i="2" s="1"/>
  <c r="A89" i="2"/>
  <c r="I89" i="2" s="1"/>
  <c r="A90" i="2"/>
  <c r="A91" i="2"/>
  <c r="C91" i="2" s="1"/>
  <c r="A92" i="2"/>
  <c r="H92" i="2" s="1"/>
  <c r="A93" i="2"/>
  <c r="A94" i="2"/>
  <c r="D94" i="2" s="1"/>
  <c r="A95" i="2"/>
  <c r="I95" i="2" s="1"/>
  <c r="A96" i="2"/>
  <c r="D96" i="2" s="1"/>
  <c r="A97" i="2"/>
  <c r="I97" i="2" s="1"/>
  <c r="A98" i="2"/>
  <c r="I98" i="2" s="1"/>
  <c r="A99" i="2"/>
  <c r="I99" i="2" s="1"/>
  <c r="A100" i="2"/>
  <c r="C100" i="2" s="1"/>
  <c r="A101" i="2"/>
  <c r="D101" i="2" s="1"/>
  <c r="A102" i="2"/>
  <c r="D102" i="2" s="1"/>
  <c r="A103" i="2"/>
  <c r="I103" i="2" s="1"/>
  <c r="A104" i="2"/>
  <c r="D104" i="2" s="1"/>
  <c r="A105" i="2"/>
  <c r="I105" i="2" s="1"/>
  <c r="A106" i="2"/>
  <c r="I106" i="2" s="1"/>
  <c r="A107" i="2"/>
  <c r="A108" i="2"/>
  <c r="E108" i="2" s="1"/>
  <c r="A109" i="2"/>
  <c r="D109" i="2" s="1"/>
  <c r="A110" i="2"/>
  <c r="D110" i="2" s="1"/>
  <c r="A111" i="2"/>
  <c r="I111" i="2" s="1"/>
  <c r="A112" i="2"/>
  <c r="E112" i="2" s="1"/>
  <c r="A113" i="2"/>
  <c r="D113" i="2" s="1"/>
  <c r="A114" i="2"/>
  <c r="L114" i="2" s="1"/>
  <c r="A115" i="2"/>
  <c r="C115" i="2" s="1"/>
  <c r="A116" i="2"/>
  <c r="R116" i="2" s="1"/>
  <c r="A117" i="2"/>
  <c r="D117" i="2" s="1"/>
  <c r="A118" i="2"/>
  <c r="D118" i="2" s="1"/>
  <c r="A119" i="2"/>
  <c r="A120" i="2"/>
  <c r="D120" i="2" s="1"/>
  <c r="A121" i="2"/>
  <c r="I121" i="2" s="1"/>
  <c r="A122" i="2"/>
  <c r="L122" i="2" s="1"/>
  <c r="A123" i="2"/>
  <c r="C123" i="2" s="1"/>
  <c r="A124" i="2"/>
  <c r="D124" i="2" s="1"/>
  <c r="A125" i="2"/>
  <c r="D125" i="2" s="1"/>
  <c r="A126" i="2"/>
  <c r="D126" i="2" s="1"/>
  <c r="A127" i="2"/>
  <c r="I127" i="2" s="1"/>
  <c r="A128" i="2"/>
  <c r="D128" i="2" s="1"/>
  <c r="A129" i="2"/>
  <c r="I129" i="2" s="1"/>
  <c r="A130" i="2"/>
  <c r="I130" i="2" s="1"/>
  <c r="A131" i="2"/>
  <c r="C131" i="2" s="1"/>
  <c r="A132" i="2"/>
  <c r="C132" i="2" s="1"/>
  <c r="A133" i="2"/>
  <c r="D133" i="2" s="1"/>
  <c r="A134" i="2"/>
  <c r="A135" i="2"/>
  <c r="I135" i="2" s="1"/>
  <c r="A136" i="2"/>
  <c r="D136" i="2" s="1"/>
  <c r="A137" i="2"/>
  <c r="I137" i="2" s="1"/>
  <c r="A138" i="2"/>
  <c r="Q138" i="2" s="1"/>
  <c r="A139" i="2"/>
  <c r="C139" i="2" s="1"/>
  <c r="A140" i="2"/>
  <c r="C140" i="2" s="1"/>
  <c r="A141" i="2"/>
  <c r="D141" i="2" s="1"/>
  <c r="A142" i="2"/>
  <c r="A143" i="2"/>
  <c r="I143" i="2" s="1"/>
  <c r="A144" i="2"/>
  <c r="I144" i="2" s="1"/>
  <c r="A145" i="2"/>
  <c r="D145" i="2" s="1"/>
  <c r="A146" i="2"/>
  <c r="C146" i="2" s="1"/>
  <c r="A147" i="2"/>
  <c r="D147" i="2" s="1"/>
  <c r="A148" i="2"/>
  <c r="D148" i="2" s="1"/>
  <c r="A149" i="2"/>
  <c r="I149" i="2" s="1"/>
  <c r="A150" i="2"/>
  <c r="I150" i="2" s="1"/>
  <c r="A151" i="2"/>
  <c r="I151" i="2" s="1"/>
  <c r="A152" i="2"/>
  <c r="Q152" i="2" s="1"/>
  <c r="A153" i="2"/>
  <c r="A154" i="2"/>
  <c r="C154" i="2" s="1"/>
  <c r="A155" i="2"/>
  <c r="E155" i="2" s="1"/>
  <c r="A156" i="2"/>
  <c r="A157" i="2"/>
  <c r="I157" i="2" s="1"/>
  <c r="A158" i="2"/>
  <c r="A159" i="2"/>
  <c r="I159" i="2" s="1"/>
  <c r="A160" i="2"/>
  <c r="Q160" i="2" s="1"/>
  <c r="A161" i="2"/>
  <c r="D161" i="2" s="1"/>
  <c r="A162" i="2"/>
  <c r="C162" i="2" s="1"/>
  <c r="A163" i="2"/>
  <c r="A164" i="2"/>
  <c r="A165" i="2"/>
  <c r="I165" i="2" s="1"/>
  <c r="A166" i="2"/>
  <c r="Q166" i="2" s="1"/>
  <c r="A167" i="2"/>
  <c r="I167" i="2" s="1"/>
  <c r="A168" i="2"/>
  <c r="Q168" i="2" s="1"/>
  <c r="A169" i="2"/>
  <c r="D169" i="2" s="1"/>
  <c r="A170" i="2"/>
  <c r="Q170" i="2" s="1"/>
  <c r="A171" i="2"/>
  <c r="C171" i="2" s="1"/>
  <c r="A172" i="2"/>
  <c r="C172" i="2" s="1"/>
  <c r="A173" i="2"/>
  <c r="B173" i="2" s="1"/>
  <c r="A174" i="2"/>
  <c r="E174" i="2" s="1"/>
  <c r="A175" i="2"/>
  <c r="C175" i="2" s="1"/>
  <c r="A176" i="2"/>
  <c r="I176" i="2" s="1"/>
  <c r="A177" i="2"/>
  <c r="D177" i="2" s="1"/>
  <c r="A178" i="2"/>
  <c r="C178" i="2" s="1"/>
  <c r="A179" i="2"/>
  <c r="H179" i="2" s="1"/>
  <c r="A180" i="2"/>
  <c r="A181" i="2"/>
  <c r="D181" i="2" s="1"/>
  <c r="A182" i="2"/>
  <c r="E182" i="2" s="1"/>
  <c r="A183" i="2"/>
  <c r="A184" i="2"/>
  <c r="E184" i="2" s="1"/>
  <c r="A185" i="2"/>
  <c r="E185" i="2" s="1"/>
  <c r="A186" i="2"/>
  <c r="C186" i="2" s="1"/>
  <c r="A187" i="2"/>
  <c r="C187" i="2" s="1"/>
  <c r="A188" i="2"/>
  <c r="C188" i="2" s="1"/>
  <c r="A189" i="2"/>
  <c r="D189" i="2" s="1"/>
  <c r="A190" i="2"/>
  <c r="I190" i="2" s="1"/>
  <c r="A191" i="2"/>
  <c r="C191" i="2" s="1"/>
  <c r="A192" i="2"/>
  <c r="E192" i="2" s="1"/>
  <c r="A193" i="2"/>
  <c r="Q193" i="2" s="1"/>
  <c r="G240" i="2"/>
  <c r="C241" i="2"/>
  <c r="D241" i="2"/>
  <c r="F241" i="2"/>
  <c r="G241" i="2"/>
  <c r="C242" i="2"/>
  <c r="D242" i="2"/>
  <c r="F242" i="2"/>
  <c r="G242" i="2"/>
  <c r="C243" i="2"/>
  <c r="D243" i="2"/>
  <c r="F243" i="2"/>
  <c r="G243" i="2"/>
  <c r="C244" i="2"/>
  <c r="D244" i="2"/>
  <c r="F244" i="2"/>
  <c r="G244" i="2"/>
  <c r="A101" i="7" l="1"/>
  <c r="A29" i="7"/>
  <c r="L29" i="7" s="1"/>
  <c r="A159" i="7"/>
  <c r="A119" i="7"/>
  <c r="N119" i="7" s="1"/>
  <c r="A148" i="7"/>
  <c r="I148" i="7" s="1"/>
  <c r="A136" i="7"/>
  <c r="O136" i="7" s="1"/>
  <c r="A114" i="7"/>
  <c r="D114" i="7" s="1"/>
  <c r="A183" i="7"/>
  <c r="I183" i="7" s="1"/>
  <c r="A173" i="7"/>
  <c r="L173" i="7" s="1"/>
  <c r="A90" i="7"/>
  <c r="F90" i="7" s="1"/>
  <c r="A60" i="7"/>
  <c r="D60" i="7" s="1"/>
  <c r="A52" i="7"/>
  <c r="F52" i="7" s="1"/>
  <c r="A171" i="7"/>
  <c r="D171" i="7" s="1"/>
  <c r="A78" i="7"/>
  <c r="J78" i="7" s="1"/>
  <c r="A30" i="7"/>
  <c r="B30" i="7" s="1"/>
  <c r="A163" i="7"/>
  <c r="B163" i="7" s="1"/>
  <c r="A131" i="7"/>
  <c r="B131" i="7" s="1"/>
  <c r="A107" i="7"/>
  <c r="N107" i="7" s="1"/>
  <c r="A47" i="7"/>
  <c r="H47" i="7" s="1"/>
  <c r="A155" i="7"/>
  <c r="J155" i="7" s="1"/>
  <c r="A59" i="7"/>
  <c r="C59" i="7" s="1"/>
  <c r="A35" i="7"/>
  <c r="B35" i="7" s="1"/>
  <c r="A11" i="7"/>
  <c r="I11" i="7" s="1"/>
  <c r="A181" i="7"/>
  <c r="H181" i="7" s="1"/>
  <c r="A94" i="7"/>
  <c r="F94" i="7" s="1"/>
  <c r="A178" i="7"/>
  <c r="B178" i="7" s="1"/>
  <c r="A46" i="7"/>
  <c r="J46" i="7" s="1"/>
  <c r="A177" i="7"/>
  <c r="E177" i="7" s="1"/>
  <c r="A82" i="7"/>
  <c r="F82" i="7" s="1"/>
  <c r="B104" i="13"/>
  <c r="A130" i="7"/>
  <c r="B130" i="7" s="1"/>
  <c r="A80" i="7"/>
  <c r="K80" i="7" s="1"/>
  <c r="A34" i="7"/>
  <c r="G34" i="7" s="1"/>
  <c r="C240" i="2"/>
  <c r="F240" i="2" s="1"/>
  <c r="A169" i="7"/>
  <c r="F169" i="7" s="1"/>
  <c r="A127" i="7"/>
  <c r="B127" i="7" s="1"/>
  <c r="A67" i="7"/>
  <c r="O67" i="7" s="1"/>
  <c r="A16" i="7"/>
  <c r="H16" i="7" s="1"/>
  <c r="F19" i="14"/>
  <c r="A97" i="7"/>
  <c r="G97" i="7" s="1"/>
  <c r="L155" i="6"/>
  <c r="J155" i="6"/>
  <c r="E155" i="6"/>
  <c r="A146" i="7"/>
  <c r="D146" i="7" s="1"/>
  <c r="A122" i="7"/>
  <c r="A96" i="7"/>
  <c r="G96" i="7" s="1"/>
  <c r="A50" i="7"/>
  <c r="F50" i="7" s="1"/>
  <c r="A170" i="7"/>
  <c r="B170" i="7" s="1"/>
  <c r="A145" i="7"/>
  <c r="A121" i="7"/>
  <c r="E121" i="7" s="1"/>
  <c r="A74" i="7"/>
  <c r="F74" i="7" s="1"/>
  <c r="A49" i="7"/>
  <c r="E49" i="7" s="1"/>
  <c r="A26" i="7"/>
  <c r="B26" i="7" s="1"/>
  <c r="A144" i="7"/>
  <c r="I144" i="7" s="1"/>
  <c r="A120" i="7"/>
  <c r="K120" i="7" s="1"/>
  <c r="A73" i="7"/>
  <c r="G73" i="7" s="1"/>
  <c r="A48" i="7"/>
  <c r="K48" i="7" s="1"/>
  <c r="A25" i="7"/>
  <c r="K25" i="7" s="1"/>
  <c r="A167" i="7"/>
  <c r="E167" i="7" s="1"/>
  <c r="A24" i="7"/>
  <c r="E24" i="7" s="1"/>
  <c r="A166" i="7"/>
  <c r="I166" i="7" s="1"/>
  <c r="A89" i="7"/>
  <c r="G89" i="7" s="1"/>
  <c r="A23" i="7"/>
  <c r="C23" i="7" s="1"/>
  <c r="A182" i="7"/>
  <c r="M182" i="7" s="1"/>
  <c r="A165" i="7"/>
  <c r="N165" i="7" s="1"/>
  <c r="A113" i="7"/>
  <c r="C113" i="7" s="1"/>
  <c r="A85" i="7"/>
  <c r="C85" i="7" s="1"/>
  <c r="A68" i="7"/>
  <c r="D68" i="7" s="1"/>
  <c r="A17" i="7"/>
  <c r="A134" i="7"/>
  <c r="E134" i="7" s="1"/>
  <c r="A84" i="7"/>
  <c r="O84" i="7" s="1"/>
  <c r="A38" i="7"/>
  <c r="B38" i="7" s="1"/>
  <c r="A180" i="7"/>
  <c r="C180" i="7" s="1"/>
  <c r="A133" i="7"/>
  <c r="C133" i="7" s="1"/>
  <c r="A111" i="7"/>
  <c r="B111" i="7" s="1"/>
  <c r="A37" i="7"/>
  <c r="O37" i="7" s="1"/>
  <c r="A179" i="7"/>
  <c r="K179" i="7" s="1"/>
  <c r="A132" i="7"/>
  <c r="J132" i="7" s="1"/>
  <c r="A108" i="7"/>
  <c r="B108" i="7" s="1"/>
  <c r="A61" i="7"/>
  <c r="C61" i="7" s="1"/>
  <c r="A36" i="7"/>
  <c r="D36" i="7" s="1"/>
  <c r="A13" i="7"/>
  <c r="K13" i="7" s="1"/>
  <c r="A129" i="7"/>
  <c r="G129" i="7" s="1"/>
  <c r="A33" i="7"/>
  <c r="C33" i="7" s="1"/>
  <c r="A162" i="7"/>
  <c r="E162" i="7" s="1"/>
  <c r="A123" i="7"/>
  <c r="J123" i="7" s="1"/>
  <c r="A45" i="7"/>
  <c r="I45" i="7" s="1"/>
  <c r="A175" i="7"/>
  <c r="I175" i="7" s="1"/>
  <c r="A161" i="7"/>
  <c r="L161" i="7" s="1"/>
  <c r="A92" i="7"/>
  <c r="C92" i="7" s="1"/>
  <c r="A75" i="7"/>
  <c r="C75" i="7" s="1"/>
  <c r="A44" i="7"/>
  <c r="A174" i="7"/>
  <c r="A142" i="7"/>
  <c r="A106" i="7"/>
  <c r="B106" i="7" s="1"/>
  <c r="A91" i="7"/>
  <c r="C91" i="7" s="1"/>
  <c r="A58" i="7"/>
  <c r="A43" i="7"/>
  <c r="K43" i="7" s="1"/>
  <c r="A105" i="7"/>
  <c r="C105" i="7" s="1"/>
  <c r="A57" i="7"/>
  <c r="H57" i="7" s="1"/>
  <c r="A10" i="7"/>
  <c r="C10" i="7" s="1"/>
  <c r="A184" i="7"/>
  <c r="A156" i="7"/>
  <c r="E156" i="7" s="1"/>
  <c r="A104" i="7"/>
  <c r="A56" i="7"/>
  <c r="A39" i="7"/>
  <c r="O39" i="7" s="1"/>
  <c r="A8" i="7"/>
  <c r="I8" i="7" s="1"/>
  <c r="A117" i="7"/>
  <c r="L117" i="7" s="1"/>
  <c r="A103" i="7"/>
  <c r="C103" i="7" s="1"/>
  <c r="A55" i="7"/>
  <c r="F55" i="7" s="1"/>
  <c r="A154" i="7"/>
  <c r="L154" i="7" s="1"/>
  <c r="A116" i="7"/>
  <c r="D116" i="7" s="1"/>
  <c r="A70" i="7"/>
  <c r="B70" i="7" s="1"/>
  <c r="A22" i="7"/>
  <c r="F22" i="7" s="1"/>
  <c r="E165" i="5"/>
  <c r="A168" i="7"/>
  <c r="A153" i="7"/>
  <c r="A115" i="7"/>
  <c r="A99" i="7"/>
  <c r="C99" i="7" s="1"/>
  <c r="A69" i="7"/>
  <c r="L69" i="7" s="1"/>
  <c r="A21" i="7"/>
  <c r="E21" i="7" s="1"/>
  <c r="L23" i="6"/>
  <c r="O23" i="12" s="1"/>
  <c r="E243" i="2"/>
  <c r="O32" i="3"/>
  <c r="N69" i="3"/>
  <c r="O93" i="5"/>
  <c r="L145" i="10"/>
  <c r="I33" i="10"/>
  <c r="D73" i="13"/>
  <c r="I18" i="8"/>
  <c r="C84" i="14"/>
  <c r="O73" i="5"/>
  <c r="F167" i="12"/>
  <c r="F161" i="14"/>
  <c r="M167" i="6"/>
  <c r="K132" i="10"/>
  <c r="M109" i="6"/>
  <c r="H244" i="2"/>
  <c r="K73" i="5"/>
  <c r="E137" i="14"/>
  <c r="B67" i="14"/>
  <c r="N77" i="5"/>
  <c r="H141" i="10"/>
  <c r="I177" i="6"/>
  <c r="J167" i="6"/>
  <c r="L76" i="2"/>
  <c r="L57" i="2"/>
  <c r="L183" i="3"/>
  <c r="K71" i="7"/>
  <c r="M161" i="10"/>
  <c r="O141" i="10"/>
  <c r="M89" i="10"/>
  <c r="L128" i="2"/>
  <c r="L170" i="3"/>
  <c r="N53" i="3"/>
  <c r="B42" i="3"/>
  <c r="J183" i="6"/>
  <c r="B167" i="6"/>
  <c r="O119" i="6"/>
  <c r="G39" i="6"/>
  <c r="K161" i="10"/>
  <c r="H89" i="10"/>
  <c r="K119" i="6"/>
  <c r="J8" i="6"/>
  <c r="C161" i="10"/>
  <c r="L110" i="10"/>
  <c r="Q111" i="2"/>
  <c r="D89" i="2"/>
  <c r="O171" i="3"/>
  <c r="M113" i="7"/>
  <c r="J119" i="6"/>
  <c r="H18" i="7"/>
  <c r="M18" i="7"/>
  <c r="Q143" i="3"/>
  <c r="C165" i="5"/>
  <c r="A137" i="7"/>
  <c r="A77" i="7"/>
  <c r="L77" i="7" s="1"/>
  <c r="A53" i="7"/>
  <c r="L53" i="7" s="1"/>
  <c r="H167" i="6"/>
  <c r="L109" i="6"/>
  <c r="M8" i="6"/>
  <c r="K120" i="10"/>
  <c r="E110" i="10"/>
  <c r="K113" i="11"/>
  <c r="E78" i="12"/>
  <c r="F13" i="13"/>
  <c r="I161" i="2"/>
  <c r="I36" i="5"/>
  <c r="A151" i="7"/>
  <c r="I151" i="7" s="1"/>
  <c r="A88" i="7"/>
  <c r="B88" i="7" s="1"/>
  <c r="A65" i="7"/>
  <c r="G65" i="7" s="1"/>
  <c r="A51" i="7"/>
  <c r="L51" i="7" s="1"/>
  <c r="O56" i="10"/>
  <c r="M146" i="11"/>
  <c r="C170" i="12"/>
  <c r="C161" i="14"/>
  <c r="E70" i="14"/>
  <c r="P140" i="2"/>
  <c r="C56" i="2"/>
  <c r="A176" i="7"/>
  <c r="O176" i="7" s="1"/>
  <c r="A149" i="7"/>
  <c r="G149" i="7" s="1"/>
  <c r="C3" i="21" s="1"/>
  <c r="A98" i="7"/>
  <c r="L98" i="7" s="1"/>
  <c r="A86" i="7"/>
  <c r="L86" i="7" s="1"/>
  <c r="E16" i="6"/>
  <c r="K93" i="5"/>
  <c r="A188" i="7"/>
  <c r="E188" i="7" s="1"/>
  <c r="M165" i="6"/>
  <c r="I96" i="10"/>
  <c r="K74" i="11"/>
  <c r="D125" i="14"/>
  <c r="E193" i="2"/>
  <c r="R147" i="2"/>
  <c r="L32" i="2"/>
  <c r="I171" i="3"/>
  <c r="M37" i="3"/>
  <c r="N163" i="5"/>
  <c r="A186" i="7"/>
  <c r="E186" i="7" s="1"/>
  <c r="A118" i="7"/>
  <c r="H118" i="7" s="1"/>
  <c r="A109" i="7"/>
  <c r="D109" i="7" s="1"/>
  <c r="N35" i="6"/>
  <c r="H242" i="2"/>
  <c r="B56" i="3"/>
  <c r="O165" i="5"/>
  <c r="A158" i="7"/>
  <c r="H158" i="7" s="1"/>
  <c r="F71" i="7"/>
  <c r="A9" i="7"/>
  <c r="B9" i="7" s="1"/>
  <c r="F131" i="6"/>
  <c r="L120" i="6"/>
  <c r="E103" i="6"/>
  <c r="O80" i="6"/>
  <c r="F104" i="10"/>
  <c r="K84" i="10"/>
  <c r="I62" i="10"/>
  <c r="N72" i="11"/>
  <c r="F87" i="14"/>
  <c r="C44" i="14"/>
  <c r="I40" i="2"/>
  <c r="M178" i="3"/>
  <c r="O12" i="3"/>
  <c r="N165" i="5"/>
  <c r="A128" i="7"/>
  <c r="K128" i="7" s="1"/>
  <c r="F111" i="6"/>
  <c r="I84" i="10"/>
  <c r="L72" i="11"/>
  <c r="G173" i="12"/>
  <c r="F47" i="12"/>
  <c r="Q144" i="2"/>
  <c r="L124" i="2"/>
  <c r="L92" i="2"/>
  <c r="Q60" i="2"/>
  <c r="F187" i="3"/>
  <c r="L135" i="3"/>
  <c r="L12" i="3"/>
  <c r="K165" i="5"/>
  <c r="L38" i="10"/>
  <c r="F173" i="12"/>
  <c r="A100" i="7"/>
  <c r="F100" i="7" s="1"/>
  <c r="D144" i="2"/>
  <c r="Q16" i="2"/>
  <c r="I64" i="3"/>
  <c r="B12" i="3"/>
  <c r="K101" i="5"/>
  <c r="A139" i="7"/>
  <c r="I139" i="7" s="1"/>
  <c r="A126" i="7"/>
  <c r="H126" i="7" s="1"/>
  <c r="F153" i="10"/>
  <c r="E173" i="12"/>
  <c r="B52" i="14"/>
  <c r="G19" i="8"/>
  <c r="O163" i="5"/>
  <c r="O109" i="5"/>
  <c r="O83" i="5"/>
  <c r="O65" i="5"/>
  <c r="C18" i="5"/>
  <c r="E18" i="13"/>
  <c r="E13" i="14"/>
  <c r="L123" i="11"/>
  <c r="B173" i="12"/>
  <c r="C163" i="5"/>
  <c r="F80" i="11"/>
  <c r="N60" i="11"/>
  <c r="E177" i="13"/>
  <c r="E154" i="13"/>
  <c r="D112" i="13"/>
  <c r="E86" i="13"/>
  <c r="E113" i="14"/>
  <c r="B63" i="14"/>
  <c r="D50" i="14"/>
  <c r="E28" i="14"/>
  <c r="E25" i="14"/>
  <c r="N129" i="5"/>
  <c r="F122" i="13"/>
  <c r="B177" i="14"/>
  <c r="G177" i="14" s="1"/>
  <c r="F125" i="14"/>
  <c r="E119" i="14"/>
  <c r="B79" i="14"/>
  <c r="F55" i="14"/>
  <c r="I188" i="2"/>
  <c r="B109" i="6"/>
  <c r="I96" i="6"/>
  <c r="M96" i="12" s="1"/>
  <c r="H21" i="6"/>
  <c r="M133" i="10"/>
  <c r="M121" i="10"/>
  <c r="J100" i="10"/>
  <c r="E72" i="10"/>
  <c r="D62" i="10"/>
  <c r="I37" i="10"/>
  <c r="L34" i="10"/>
  <c r="I25" i="10"/>
  <c r="J12" i="3"/>
  <c r="D10" i="3"/>
  <c r="M7" i="3"/>
  <c r="K95" i="7"/>
  <c r="L132" i="6"/>
  <c r="G130" i="6"/>
  <c r="E119" i="6"/>
  <c r="I133" i="10"/>
  <c r="E121" i="10"/>
  <c r="E109" i="10"/>
  <c r="F88" i="10"/>
  <c r="H25" i="10"/>
  <c r="L187" i="2"/>
  <c r="J135" i="3"/>
  <c r="P36" i="3"/>
  <c r="F95" i="7"/>
  <c r="C27" i="7"/>
  <c r="L179" i="6"/>
  <c r="F177" i="6"/>
  <c r="M36" i="6"/>
  <c r="O16" i="6"/>
  <c r="L11" i="6"/>
  <c r="O11" i="12" s="1"/>
  <c r="F8" i="6"/>
  <c r="O176" i="10"/>
  <c r="I157" i="10"/>
  <c r="E133" i="10"/>
  <c r="M13" i="10"/>
  <c r="D187" i="2"/>
  <c r="F187" i="2" s="1"/>
  <c r="Q140" i="2"/>
  <c r="L116" i="2"/>
  <c r="E80" i="2"/>
  <c r="L56" i="2"/>
  <c r="I28" i="2"/>
  <c r="L187" i="3"/>
  <c r="P182" i="3"/>
  <c r="L179" i="3"/>
  <c r="I68" i="3"/>
  <c r="G52" i="3"/>
  <c r="E52" i="5" s="1"/>
  <c r="O36" i="3"/>
  <c r="F30" i="3"/>
  <c r="M15" i="3"/>
  <c r="F109" i="6"/>
  <c r="M38" i="6"/>
  <c r="J16" i="6"/>
  <c r="H11" i="6"/>
  <c r="P11" i="12" s="1"/>
  <c r="E176" i="10"/>
  <c r="N25" i="10"/>
  <c r="I19" i="8"/>
  <c r="F18" i="8"/>
  <c r="O141" i="5"/>
  <c r="I122" i="5"/>
  <c r="O101" i="5"/>
  <c r="N85" i="5"/>
  <c r="K65" i="5"/>
  <c r="I13" i="5"/>
  <c r="F78" i="12"/>
  <c r="F77" i="12"/>
  <c r="E134" i="13"/>
  <c r="E116" i="13"/>
  <c r="G110" i="13"/>
  <c r="F98" i="13"/>
  <c r="C69" i="13"/>
  <c r="B29" i="13"/>
  <c r="G9" i="13"/>
  <c r="E172" i="14"/>
  <c r="E169" i="14"/>
  <c r="B161" i="14"/>
  <c r="D139" i="14"/>
  <c r="E129" i="14"/>
  <c r="G129" i="14" s="1"/>
  <c r="B125" i="14"/>
  <c r="F115" i="14"/>
  <c r="F77" i="14"/>
  <c r="E74" i="14"/>
  <c r="F65" i="14"/>
  <c r="L155" i="11"/>
  <c r="I72" i="11"/>
  <c r="N62" i="11"/>
  <c r="K43" i="11"/>
  <c r="C34" i="12"/>
  <c r="F110" i="13"/>
  <c r="K79" i="5"/>
  <c r="K71" i="5"/>
  <c r="I29" i="5"/>
  <c r="L108" i="11"/>
  <c r="I97" i="11"/>
  <c r="O94" i="11"/>
  <c r="D72" i="11"/>
  <c r="H62" i="11"/>
  <c r="D60" i="11"/>
  <c r="O53" i="11"/>
  <c r="G43" i="11"/>
  <c r="L32" i="11"/>
  <c r="B107" i="12"/>
  <c r="B78" i="12"/>
  <c r="B110" i="13"/>
  <c r="G40" i="13"/>
  <c r="B37" i="13"/>
  <c r="G20" i="13"/>
  <c r="E161" i="14"/>
  <c r="F152" i="14"/>
  <c r="E125" i="14"/>
  <c r="D111" i="14"/>
  <c r="F61" i="14"/>
  <c r="C30" i="14"/>
  <c r="B7" i="14"/>
  <c r="K150" i="11"/>
  <c r="D147" i="11"/>
  <c r="F29" i="13"/>
  <c r="S192" i="2"/>
  <c r="B181" i="2"/>
  <c r="M174" i="2"/>
  <c r="C143" i="2"/>
  <c r="H120" i="2"/>
  <c r="Q76" i="2"/>
  <c r="C76" i="2"/>
  <c r="F76" i="2" s="1"/>
  <c r="D50" i="2"/>
  <c r="H48" i="2"/>
  <c r="D41" i="2"/>
  <c r="I21" i="2"/>
  <c r="E20" i="2"/>
  <c r="C16" i="2"/>
  <c r="C186" i="3"/>
  <c r="P183" i="3"/>
  <c r="C183" i="3"/>
  <c r="Q127" i="3"/>
  <c r="Q85" i="3"/>
  <c r="G81" i="7"/>
  <c r="N31" i="7"/>
  <c r="O27" i="7"/>
  <c r="O181" i="6"/>
  <c r="L175" i="6"/>
  <c r="E168" i="6"/>
  <c r="L107" i="6"/>
  <c r="K104" i="6"/>
  <c r="I94" i="6"/>
  <c r="N77" i="6"/>
  <c r="I25" i="6"/>
  <c r="G16" i="6"/>
  <c r="E171" i="10"/>
  <c r="N164" i="10"/>
  <c r="J157" i="10"/>
  <c r="I156" i="10"/>
  <c r="I141" i="10"/>
  <c r="C141" i="10"/>
  <c r="I121" i="10"/>
  <c r="F120" i="10"/>
  <c r="I110" i="10"/>
  <c r="K96" i="10"/>
  <c r="L94" i="10"/>
  <c r="I86" i="10"/>
  <c r="K56" i="10"/>
  <c r="O112" i="7"/>
  <c r="H181" i="6"/>
  <c r="G122" i="6"/>
  <c r="O114" i="6"/>
  <c r="L69" i="6"/>
  <c r="M72" i="10"/>
  <c r="I61" i="10"/>
  <c r="F56" i="10"/>
  <c r="I34" i="10"/>
  <c r="M140" i="2"/>
  <c r="S104" i="2"/>
  <c r="I76" i="2"/>
  <c r="R20" i="2"/>
  <c r="M16" i="2"/>
  <c r="J183" i="3"/>
  <c r="G143" i="3"/>
  <c r="H143" i="3" s="1"/>
  <c r="Q135" i="3"/>
  <c r="G135" i="3"/>
  <c r="N108" i="3"/>
  <c r="O56" i="3"/>
  <c r="P42" i="3"/>
  <c r="L36" i="3"/>
  <c r="N152" i="7"/>
  <c r="G112" i="7"/>
  <c r="C181" i="6"/>
  <c r="F155" i="6"/>
  <c r="K128" i="6"/>
  <c r="F122" i="6"/>
  <c r="F119" i="6"/>
  <c r="O111" i="6"/>
  <c r="L103" i="6"/>
  <c r="M55" i="6"/>
  <c r="O48" i="6"/>
  <c r="O36" i="6"/>
  <c r="I21" i="6"/>
  <c r="K16" i="6"/>
  <c r="S16" i="12" s="1"/>
  <c r="B16" i="6"/>
  <c r="I185" i="10"/>
  <c r="E161" i="10"/>
  <c r="B157" i="10"/>
  <c r="H155" i="10"/>
  <c r="D153" i="10"/>
  <c r="M141" i="10"/>
  <c r="G141" i="10"/>
  <c r="F132" i="10"/>
  <c r="C129" i="10"/>
  <c r="K72" i="10"/>
  <c r="E56" i="10"/>
  <c r="O49" i="10"/>
  <c r="Q187" i="2"/>
  <c r="D140" i="2"/>
  <c r="Q137" i="2"/>
  <c r="Q120" i="2"/>
  <c r="B104" i="2"/>
  <c r="Q98" i="2"/>
  <c r="I85" i="2"/>
  <c r="S76" i="2"/>
  <c r="E76" i="2"/>
  <c r="G76" i="2" s="1"/>
  <c r="P56" i="2"/>
  <c r="Q48" i="2"/>
  <c r="Q36" i="2"/>
  <c r="Q21" i="2"/>
  <c r="Q20" i="2"/>
  <c r="I16" i="2"/>
  <c r="O187" i="3"/>
  <c r="O186" i="3"/>
  <c r="I183" i="3"/>
  <c r="O170" i="3"/>
  <c r="I156" i="3"/>
  <c r="B152" i="3"/>
  <c r="Q147" i="3"/>
  <c r="I144" i="3"/>
  <c r="D143" i="3"/>
  <c r="I140" i="3"/>
  <c r="I137" i="3"/>
  <c r="P135" i="3"/>
  <c r="B135" i="3"/>
  <c r="J117" i="3"/>
  <c r="Q114" i="3"/>
  <c r="G108" i="3"/>
  <c r="E108" i="5" s="1"/>
  <c r="Q68" i="3"/>
  <c r="L56" i="3"/>
  <c r="F44" i="3"/>
  <c r="N42" i="3"/>
  <c r="D36" i="3"/>
  <c r="P16" i="3"/>
  <c r="N14" i="3"/>
  <c r="H171" i="10"/>
  <c r="L141" i="10"/>
  <c r="D141" i="10"/>
  <c r="B25" i="10"/>
  <c r="M15" i="10"/>
  <c r="L13" i="10"/>
  <c r="J27" i="7"/>
  <c r="I27" i="7"/>
  <c r="H94" i="7"/>
  <c r="J30" i="7"/>
  <c r="H55" i="8"/>
  <c r="I48" i="8"/>
  <c r="I138" i="5"/>
  <c r="K133" i="5"/>
  <c r="O103" i="5"/>
  <c r="O95" i="5"/>
  <c r="K87" i="5"/>
  <c r="K81" i="5"/>
  <c r="O67" i="5"/>
  <c r="N47" i="5"/>
  <c r="N42" i="5"/>
  <c r="N10" i="5"/>
  <c r="H175" i="11"/>
  <c r="E166" i="11"/>
  <c r="M150" i="11"/>
  <c r="I122" i="11"/>
  <c r="C94" i="11"/>
  <c r="F92" i="11"/>
  <c r="I90" i="11"/>
  <c r="F88" i="11"/>
  <c r="L64" i="11"/>
  <c r="L62" i="11"/>
  <c r="I61" i="11"/>
  <c r="K57" i="11"/>
  <c r="C53" i="11"/>
  <c r="I46" i="11"/>
  <c r="L44" i="11"/>
  <c r="H43" i="11"/>
  <c r="F143" i="12"/>
  <c r="C119" i="12"/>
  <c r="C74" i="12"/>
  <c r="E64" i="12"/>
  <c r="E61" i="12"/>
  <c r="G134" i="13"/>
  <c r="E110" i="13"/>
  <c r="B108" i="13"/>
  <c r="B98" i="13"/>
  <c r="B96" i="13"/>
  <c r="B90" i="13"/>
  <c r="B81" i="13"/>
  <c r="E72" i="13"/>
  <c r="E69" i="13"/>
  <c r="G29" i="13"/>
  <c r="D21" i="13"/>
  <c r="F19" i="13"/>
  <c r="G13" i="13"/>
  <c r="B13" i="13"/>
  <c r="C160" i="14"/>
  <c r="F157" i="14"/>
  <c r="D151" i="14"/>
  <c r="E112" i="14"/>
  <c r="D95" i="14"/>
  <c r="B75" i="14"/>
  <c r="F73" i="14"/>
  <c r="E66" i="14"/>
  <c r="C53" i="14"/>
  <c r="F51" i="14"/>
  <c r="F49" i="14"/>
  <c r="C41" i="14"/>
  <c r="B23" i="14"/>
  <c r="N157" i="5"/>
  <c r="I146" i="5"/>
  <c r="O123" i="5"/>
  <c r="O34" i="5"/>
  <c r="I174" i="11"/>
  <c r="I165" i="11"/>
  <c r="D155" i="11"/>
  <c r="C150" i="11"/>
  <c r="L147" i="11"/>
  <c r="G123" i="11"/>
  <c r="O121" i="11"/>
  <c r="K94" i="11"/>
  <c r="L91" i="11"/>
  <c r="H76" i="11"/>
  <c r="D62" i="11"/>
  <c r="F58" i="11"/>
  <c r="K53" i="11"/>
  <c r="J45" i="11"/>
  <c r="M43" i="11"/>
  <c r="C43" i="11"/>
  <c r="L18" i="11"/>
  <c r="G138" i="12"/>
  <c r="G119" i="12"/>
  <c r="G73" i="12"/>
  <c r="E187" i="13"/>
  <c r="G170" i="13"/>
  <c r="C134" i="13"/>
  <c r="D127" i="13"/>
  <c r="F124" i="13"/>
  <c r="D122" i="13"/>
  <c r="B116" i="13"/>
  <c r="B100" i="13"/>
  <c r="E98" i="13"/>
  <c r="B86" i="13"/>
  <c r="F80" i="13"/>
  <c r="E13" i="13"/>
  <c r="F15" i="14"/>
  <c r="O151" i="5"/>
  <c r="O133" i="5"/>
  <c r="C123" i="5"/>
  <c r="I114" i="5"/>
  <c r="K107" i="5"/>
  <c r="O97" i="5"/>
  <c r="O89" i="5"/>
  <c r="O81" i="5"/>
  <c r="O75" i="5"/>
  <c r="N69" i="5"/>
  <c r="K63" i="5"/>
  <c r="N44" i="5"/>
  <c r="C34" i="5"/>
  <c r="N23" i="5"/>
  <c r="K166" i="11"/>
  <c r="I94" i="11"/>
  <c r="J92" i="11"/>
  <c r="L88" i="11"/>
  <c r="G53" i="11"/>
  <c r="G74" i="12"/>
  <c r="D98" i="13"/>
  <c r="F96" i="13"/>
  <c r="F90" i="13"/>
  <c r="C13" i="13"/>
  <c r="E141" i="14"/>
  <c r="F99" i="14"/>
  <c r="F93" i="14"/>
  <c r="E78" i="14"/>
  <c r="B71" i="14"/>
  <c r="F69" i="14"/>
  <c r="D62" i="14"/>
  <c r="F60" i="14"/>
  <c r="E41" i="14"/>
  <c r="G41" i="14" s="1"/>
  <c r="B31" i="14"/>
  <c r="F29" i="14"/>
  <c r="D15" i="14"/>
  <c r="C13" i="14"/>
  <c r="I168" i="2"/>
  <c r="C166" i="2"/>
  <c r="D157" i="2"/>
  <c r="C147" i="2"/>
  <c r="F147" i="2" s="1"/>
  <c r="D137" i="2"/>
  <c r="P128" i="2"/>
  <c r="L80" i="2"/>
  <c r="P76" i="2"/>
  <c r="I75" i="2"/>
  <c r="R68" i="2"/>
  <c r="D66" i="2"/>
  <c r="H52" i="2"/>
  <c r="H40" i="2"/>
  <c r="J40" i="2" s="1"/>
  <c r="K40" i="2" s="1"/>
  <c r="I32" i="2"/>
  <c r="S16" i="2"/>
  <c r="J188" i="3"/>
  <c r="M187" i="3"/>
  <c r="D187" i="3"/>
  <c r="E187" i="3" s="1"/>
  <c r="O183" i="3"/>
  <c r="D183" i="3"/>
  <c r="B179" i="3"/>
  <c r="D178" i="3"/>
  <c r="O175" i="3"/>
  <c r="I172" i="3"/>
  <c r="N171" i="3"/>
  <c r="F171" i="3"/>
  <c r="Q168" i="3"/>
  <c r="O166" i="3"/>
  <c r="I163" i="3"/>
  <c r="P157" i="3"/>
  <c r="O135" i="3"/>
  <c r="D135" i="3"/>
  <c r="E135" i="3" s="1"/>
  <c r="J129" i="3"/>
  <c r="P127" i="3"/>
  <c r="M122" i="3"/>
  <c r="Q108" i="3"/>
  <c r="C108" i="3"/>
  <c r="E108" i="3" s="1"/>
  <c r="P103" i="3"/>
  <c r="J93" i="3"/>
  <c r="P87" i="3"/>
  <c r="I85" i="3"/>
  <c r="J82" i="3"/>
  <c r="M79" i="3"/>
  <c r="M71" i="3"/>
  <c r="G68" i="3"/>
  <c r="G64" i="3"/>
  <c r="F56" i="3"/>
  <c r="L48" i="3"/>
  <c r="N46" i="3"/>
  <c r="I42" i="3"/>
  <c r="F36" i="3"/>
  <c r="G32" i="3"/>
  <c r="E32" i="5" s="1"/>
  <c r="F32" i="5" s="1"/>
  <c r="G32" i="5" s="1"/>
  <c r="N20" i="3"/>
  <c r="Q12" i="3"/>
  <c r="D12" i="3"/>
  <c r="M180" i="7"/>
  <c r="L171" i="7"/>
  <c r="R191" i="2"/>
  <c r="Q173" i="2"/>
  <c r="L171" i="3"/>
  <c r="D171" i="3"/>
  <c r="G127" i="3"/>
  <c r="Q72" i="3"/>
  <c r="L189" i="7"/>
  <c r="I171" i="7"/>
  <c r="G113" i="7"/>
  <c r="M112" i="7"/>
  <c r="B90" i="7"/>
  <c r="I191" i="2"/>
  <c r="Q188" i="2"/>
  <c r="S181" i="2"/>
  <c r="C173" i="2"/>
  <c r="R167" i="2"/>
  <c r="D165" i="2"/>
  <c r="E140" i="2"/>
  <c r="M136" i="2"/>
  <c r="I133" i="2"/>
  <c r="B128" i="2"/>
  <c r="Q106" i="2"/>
  <c r="R104" i="2"/>
  <c r="H96" i="2"/>
  <c r="C87" i="2"/>
  <c r="B12" i="2"/>
  <c r="Q187" i="3"/>
  <c r="G187" i="3"/>
  <c r="O178" i="3"/>
  <c r="P171" i="3"/>
  <c r="J171" i="3"/>
  <c r="C171" i="3"/>
  <c r="L162" i="3"/>
  <c r="Q156" i="3"/>
  <c r="B127" i="3"/>
  <c r="I112" i="3"/>
  <c r="Q109" i="3"/>
  <c r="L108" i="3"/>
  <c r="Q104" i="3"/>
  <c r="L94" i="3"/>
  <c r="L92" i="3"/>
  <c r="G72" i="3"/>
  <c r="E72" i="5" s="1"/>
  <c r="P68" i="3"/>
  <c r="L67" i="3"/>
  <c r="Q64" i="3"/>
  <c r="G59" i="3"/>
  <c r="P47" i="3"/>
  <c r="J28" i="3"/>
  <c r="H189" i="7"/>
  <c r="E171" i="7"/>
  <c r="E113" i="7"/>
  <c r="S75" i="2"/>
  <c r="I100" i="7"/>
  <c r="I96" i="7"/>
  <c r="G72" i="7"/>
  <c r="C72" i="7"/>
  <c r="O72" i="7"/>
  <c r="D72" i="7"/>
  <c r="I72" i="7"/>
  <c r="I12" i="10"/>
  <c r="L18" i="7"/>
  <c r="I183" i="6"/>
  <c r="K169" i="6"/>
  <c r="L52" i="6"/>
  <c r="O52" i="12" s="1"/>
  <c r="M187" i="10"/>
  <c r="L133" i="10"/>
  <c r="H133" i="10"/>
  <c r="D133" i="10"/>
  <c r="O132" i="10"/>
  <c r="J132" i="10"/>
  <c r="E132" i="10"/>
  <c r="J125" i="10"/>
  <c r="N69" i="10"/>
  <c r="O68" i="10"/>
  <c r="L57" i="10"/>
  <c r="M49" i="10"/>
  <c r="F18" i="7"/>
  <c r="E183" i="6"/>
  <c r="I169" i="6"/>
  <c r="O130" i="6"/>
  <c r="J97" i="6"/>
  <c r="I77" i="6"/>
  <c r="K52" i="6"/>
  <c r="R52" i="12" s="1"/>
  <c r="D48" i="6"/>
  <c r="L45" i="6"/>
  <c r="N43" i="6"/>
  <c r="O24" i="6"/>
  <c r="D23" i="6"/>
  <c r="H187" i="10"/>
  <c r="N157" i="10"/>
  <c r="F157" i="10"/>
  <c r="O133" i="10"/>
  <c r="K133" i="10"/>
  <c r="G133" i="10"/>
  <c r="C133" i="10"/>
  <c r="N132" i="10"/>
  <c r="I132" i="10"/>
  <c r="C132" i="10"/>
  <c r="I125" i="10"/>
  <c r="M104" i="10"/>
  <c r="O93" i="10"/>
  <c r="O85" i="10"/>
  <c r="G72" i="10"/>
  <c r="L69" i="10"/>
  <c r="M68" i="10"/>
  <c r="I57" i="10"/>
  <c r="M50" i="10"/>
  <c r="G49" i="10"/>
  <c r="N44" i="10"/>
  <c r="M25" i="10"/>
  <c r="F25" i="10"/>
  <c r="K24" i="10"/>
  <c r="I11" i="10"/>
  <c r="L9" i="10"/>
  <c r="I64" i="7"/>
  <c r="I21" i="7"/>
  <c r="B18" i="7"/>
  <c r="L183" i="6"/>
  <c r="D183" i="6"/>
  <c r="I181" i="6"/>
  <c r="N177" i="6"/>
  <c r="K176" i="6"/>
  <c r="I170" i="6"/>
  <c r="C169" i="6"/>
  <c r="L131" i="6"/>
  <c r="K130" i="6"/>
  <c r="N122" i="6"/>
  <c r="H109" i="6"/>
  <c r="I108" i="6"/>
  <c r="M103" i="6"/>
  <c r="L99" i="6"/>
  <c r="H97" i="6"/>
  <c r="G52" i="6"/>
  <c r="M49" i="6"/>
  <c r="K43" i="6"/>
  <c r="M29" i="6"/>
  <c r="G24" i="6"/>
  <c r="H17" i="6"/>
  <c r="J171" i="10"/>
  <c r="I161" i="10"/>
  <c r="M157" i="10"/>
  <c r="E157" i="10"/>
  <c r="N153" i="10"/>
  <c r="K141" i="10"/>
  <c r="N133" i="10"/>
  <c r="J133" i="10"/>
  <c r="F133" i="10"/>
  <c r="M132" i="10"/>
  <c r="G132" i="10"/>
  <c r="B132" i="10"/>
  <c r="O129" i="10"/>
  <c r="D125" i="10"/>
  <c r="K104" i="10"/>
  <c r="N96" i="10"/>
  <c r="I93" i="10"/>
  <c r="O88" i="10"/>
  <c r="M86" i="10"/>
  <c r="I85" i="10"/>
  <c r="O72" i="10"/>
  <c r="F72" i="10"/>
  <c r="I70" i="10"/>
  <c r="F69" i="10"/>
  <c r="G68" i="10"/>
  <c r="G65" i="10"/>
  <c r="L62" i="10"/>
  <c r="K61" i="10"/>
  <c r="D57" i="10"/>
  <c r="J56" i="10"/>
  <c r="I55" i="10"/>
  <c r="K52" i="10"/>
  <c r="F49" i="10"/>
  <c r="E46" i="10"/>
  <c r="F44" i="10"/>
  <c r="M33" i="10"/>
  <c r="L25" i="10"/>
  <c r="D25" i="10"/>
  <c r="L12" i="10"/>
  <c r="F11" i="10"/>
  <c r="G34" i="8"/>
  <c r="G35" i="8"/>
  <c r="O153" i="5"/>
  <c r="I145" i="5"/>
  <c r="N141" i="5"/>
  <c r="O125" i="5"/>
  <c r="I113" i="5"/>
  <c r="N109" i="5"/>
  <c r="O105" i="5"/>
  <c r="K103" i="5"/>
  <c r="C101" i="5"/>
  <c r="N97" i="5"/>
  <c r="K95" i="5"/>
  <c r="C93" i="5"/>
  <c r="N89" i="5"/>
  <c r="O85" i="5"/>
  <c r="K83" i="5"/>
  <c r="C81" i="5"/>
  <c r="C77" i="5"/>
  <c r="N73" i="5"/>
  <c r="O69" i="5"/>
  <c r="K67" i="5"/>
  <c r="C65" i="5"/>
  <c r="I45" i="5"/>
  <c r="I44" i="5"/>
  <c r="N39" i="5"/>
  <c r="N31" i="5"/>
  <c r="I28" i="5"/>
  <c r="O143" i="5"/>
  <c r="K141" i="5"/>
  <c r="O111" i="5"/>
  <c r="K109" i="5"/>
  <c r="N105" i="5"/>
  <c r="P105" i="5" s="1"/>
  <c r="O99" i="5"/>
  <c r="K97" i="5"/>
  <c r="O91" i="5"/>
  <c r="K89" i="5"/>
  <c r="O166" i="5"/>
  <c r="I161" i="5"/>
  <c r="O149" i="5"/>
  <c r="K143" i="5"/>
  <c r="C141" i="5"/>
  <c r="N131" i="5"/>
  <c r="N123" i="5"/>
  <c r="N122" i="5"/>
  <c r="K117" i="5"/>
  <c r="K111" i="5"/>
  <c r="C109" i="5"/>
  <c r="C105" i="5"/>
  <c r="N101" i="5"/>
  <c r="K99" i="5"/>
  <c r="C97" i="5"/>
  <c r="N93" i="5"/>
  <c r="K91" i="5"/>
  <c r="C89" i="5"/>
  <c r="C85" i="5"/>
  <c r="N81" i="5"/>
  <c r="O77" i="5"/>
  <c r="K75" i="5"/>
  <c r="C73" i="5"/>
  <c r="C69" i="5"/>
  <c r="N65" i="5"/>
  <c r="P65" i="5" s="1"/>
  <c r="I20" i="5"/>
  <c r="N15" i="5"/>
  <c r="D7" i="5"/>
  <c r="N7" i="5"/>
  <c r="D12" i="5"/>
  <c r="I12" i="5"/>
  <c r="F186" i="13"/>
  <c r="F138" i="13"/>
  <c r="E94" i="13"/>
  <c r="E92" i="13"/>
  <c r="E62" i="13"/>
  <c r="D54" i="13"/>
  <c r="E40" i="13"/>
  <c r="E183" i="14"/>
  <c r="E107" i="14"/>
  <c r="E105" i="14"/>
  <c r="C93" i="14"/>
  <c r="M166" i="11"/>
  <c r="C166" i="11"/>
  <c r="F165" i="11"/>
  <c r="M141" i="11"/>
  <c r="E135" i="11"/>
  <c r="E121" i="11"/>
  <c r="H118" i="11"/>
  <c r="H106" i="11"/>
  <c r="G103" i="11"/>
  <c r="G94" i="11"/>
  <c r="E83" i="11"/>
  <c r="E76" i="11"/>
  <c r="G70" i="11"/>
  <c r="L34" i="11"/>
  <c r="F32" i="11"/>
  <c r="F18" i="11"/>
  <c r="J12" i="11"/>
  <c r="F107" i="12"/>
  <c r="G90" i="12"/>
  <c r="D87" i="12"/>
  <c r="D78" i="12"/>
  <c r="E74" i="12"/>
  <c r="E15" i="12"/>
  <c r="D186" i="13"/>
  <c r="B173" i="13"/>
  <c r="D134" i="13"/>
  <c r="F129" i="13"/>
  <c r="F112" i="13"/>
  <c r="C110" i="13"/>
  <c r="E108" i="13"/>
  <c r="B94" i="13"/>
  <c r="B92" i="13"/>
  <c r="D90" i="13"/>
  <c r="B83" i="13"/>
  <c r="F81" i="13"/>
  <c r="E70" i="13"/>
  <c r="E65" i="13"/>
  <c r="C62" i="13"/>
  <c r="B59" i="13"/>
  <c r="C54" i="13"/>
  <c r="F51" i="13"/>
  <c r="B40" i="13"/>
  <c r="F37" i="13"/>
  <c r="C29" i="13"/>
  <c r="E189" i="14"/>
  <c r="E180" i="14"/>
  <c r="F177" i="14"/>
  <c r="F156" i="14"/>
  <c r="F139" i="14"/>
  <c r="F137" i="14"/>
  <c r="F136" i="14"/>
  <c r="C109" i="14"/>
  <c r="B107" i="14"/>
  <c r="C105" i="14"/>
  <c r="F95" i="14"/>
  <c r="B93" i="14"/>
  <c r="B87" i="14"/>
  <c r="E84" i="14"/>
  <c r="F79" i="14"/>
  <c r="F75" i="14"/>
  <c r="F71" i="14"/>
  <c r="F67" i="14"/>
  <c r="F63" i="14"/>
  <c r="C60" i="14"/>
  <c r="E57" i="14"/>
  <c r="B55" i="14"/>
  <c r="F33" i="14"/>
  <c r="F23" i="14"/>
  <c r="C21" i="14"/>
  <c r="B15" i="14"/>
  <c r="F13" i="14"/>
  <c r="B13" i="14"/>
  <c r="F7" i="14"/>
  <c r="M167" i="11"/>
  <c r="M42" i="11"/>
  <c r="F151" i="12"/>
  <c r="D167" i="11"/>
  <c r="I164" i="11"/>
  <c r="I147" i="11"/>
  <c r="K142" i="11"/>
  <c r="H140" i="11"/>
  <c r="M130" i="11"/>
  <c r="N117" i="11"/>
  <c r="K98" i="11"/>
  <c r="H84" i="11"/>
  <c r="M82" i="11"/>
  <c r="L76" i="11"/>
  <c r="L60" i="11"/>
  <c r="L58" i="11"/>
  <c r="E42" i="11"/>
  <c r="I17" i="11"/>
  <c r="B151" i="12"/>
  <c r="F129" i="12"/>
  <c r="D91" i="12"/>
  <c r="E57" i="12"/>
  <c r="G185" i="13"/>
  <c r="C170" i="13"/>
  <c r="D159" i="13"/>
  <c r="F156" i="13"/>
  <c r="F134" i="13"/>
  <c r="B112" i="13"/>
  <c r="F94" i="13"/>
  <c r="F84" i="13"/>
  <c r="G82" i="13"/>
  <c r="E64" i="13"/>
  <c r="G62" i="13"/>
  <c r="G54" i="13"/>
  <c r="D50" i="13"/>
  <c r="F40" i="13"/>
  <c r="E11" i="13"/>
  <c r="C9" i="13"/>
  <c r="E6" i="13"/>
  <c r="D157" i="14"/>
  <c r="E149" i="14"/>
  <c r="F3" i="21" s="1"/>
  <c r="B137" i="14"/>
  <c r="C129" i="14"/>
  <c r="E126" i="14"/>
  <c r="E123" i="14"/>
  <c r="B95" i="14"/>
  <c r="E93" i="14"/>
  <c r="E17" i="14"/>
  <c r="E15" i="14"/>
  <c r="E14" i="14"/>
  <c r="E12" i="14"/>
  <c r="C165" i="6"/>
  <c r="E165" i="6"/>
  <c r="B138" i="6"/>
  <c r="K138" i="6"/>
  <c r="P120" i="2"/>
  <c r="E120" i="2"/>
  <c r="G120" i="2" s="1"/>
  <c r="P48" i="2"/>
  <c r="E48" i="2"/>
  <c r="Q34" i="2"/>
  <c r="L182" i="3"/>
  <c r="M166" i="3"/>
  <c r="M157" i="3"/>
  <c r="N147" i="3"/>
  <c r="Q133" i="3"/>
  <c r="O104" i="3"/>
  <c r="I94" i="3"/>
  <c r="Q93" i="3"/>
  <c r="G93" i="3"/>
  <c r="Q92" i="3"/>
  <c r="G92" i="3"/>
  <c r="O85" i="3"/>
  <c r="G85" i="3"/>
  <c r="E85" i="5" s="1"/>
  <c r="L47" i="3"/>
  <c r="P40" i="3"/>
  <c r="Q39" i="3"/>
  <c r="I91" i="7"/>
  <c r="O61" i="7"/>
  <c r="L165" i="6"/>
  <c r="F165" i="6"/>
  <c r="C161" i="6"/>
  <c r="I161" i="6"/>
  <c r="F161" i="6"/>
  <c r="E112" i="6"/>
  <c r="L112" i="6"/>
  <c r="I112" i="6"/>
  <c r="C95" i="6"/>
  <c r="L95" i="5" s="1"/>
  <c r="L95" i="6"/>
  <c r="O95" i="12" s="1"/>
  <c r="E73" i="6"/>
  <c r="H73" i="6"/>
  <c r="L73" i="12" s="1"/>
  <c r="B73" i="6"/>
  <c r="L73" i="6"/>
  <c r="I12" i="6"/>
  <c r="N12" i="6"/>
  <c r="L146" i="10"/>
  <c r="D146" i="10"/>
  <c r="R175" i="2"/>
  <c r="M173" i="2"/>
  <c r="Q184" i="2"/>
  <c r="Q182" i="2"/>
  <c r="M175" i="2"/>
  <c r="R143" i="2"/>
  <c r="S128" i="2"/>
  <c r="H128" i="2"/>
  <c r="M120" i="2"/>
  <c r="C120" i="2"/>
  <c r="M104" i="2"/>
  <c r="L81" i="2"/>
  <c r="M48" i="2"/>
  <c r="C48" i="2"/>
  <c r="L34" i="2"/>
  <c r="S28" i="2"/>
  <c r="L20" i="2"/>
  <c r="I182" i="3"/>
  <c r="I178" i="3"/>
  <c r="I166" i="3"/>
  <c r="L157" i="3"/>
  <c r="Q152" i="3"/>
  <c r="I147" i="3"/>
  <c r="L133" i="3"/>
  <c r="O131" i="3"/>
  <c r="I104" i="3"/>
  <c r="Q96" i="3"/>
  <c r="Q94" i="3"/>
  <c r="F94" i="3"/>
  <c r="O93" i="3"/>
  <c r="F93" i="3"/>
  <c r="P92" i="3"/>
  <c r="F92" i="3"/>
  <c r="N85" i="3"/>
  <c r="C85" i="3"/>
  <c r="P72" i="3"/>
  <c r="L66" i="3"/>
  <c r="I47" i="3"/>
  <c r="L40" i="3"/>
  <c r="M39" i="3"/>
  <c r="Q24" i="3"/>
  <c r="I93" i="7"/>
  <c r="N27" i="7"/>
  <c r="F27" i="7"/>
  <c r="M181" i="6"/>
  <c r="G181" i="6"/>
  <c r="M180" i="6"/>
  <c r="O169" i="6"/>
  <c r="G169" i="6"/>
  <c r="M168" i="6"/>
  <c r="F167" i="6"/>
  <c r="J165" i="6"/>
  <c r="D165" i="6"/>
  <c r="E128" i="6"/>
  <c r="H128" i="6"/>
  <c r="G128" i="6"/>
  <c r="B101" i="6"/>
  <c r="F101" i="6"/>
  <c r="I101" i="6"/>
  <c r="E101" i="6"/>
  <c r="N101" i="6"/>
  <c r="I72" i="6"/>
  <c r="M72" i="12" s="1"/>
  <c r="K72" i="6"/>
  <c r="S72" i="12" s="1"/>
  <c r="G72" i="6"/>
  <c r="C44" i="6"/>
  <c r="G44" i="6"/>
  <c r="H44" i="6"/>
  <c r="E44" i="6"/>
  <c r="M44" i="6"/>
  <c r="I31" i="6"/>
  <c r="Q31" i="12" s="1"/>
  <c r="O31" i="6"/>
  <c r="G31" i="6"/>
  <c r="I177" i="10"/>
  <c r="H177" i="10"/>
  <c r="B149" i="10"/>
  <c r="K149" i="10"/>
  <c r="F149" i="10"/>
  <c r="I173" i="2"/>
  <c r="M147" i="2"/>
  <c r="L144" i="2"/>
  <c r="I184" i="2"/>
  <c r="I182" i="2"/>
  <c r="D175" i="2"/>
  <c r="F175" i="2" s="1"/>
  <c r="S173" i="2"/>
  <c r="E173" i="2"/>
  <c r="H147" i="2"/>
  <c r="L145" i="2"/>
  <c r="L143" i="2"/>
  <c r="H140" i="2"/>
  <c r="R128" i="2"/>
  <c r="E128" i="2"/>
  <c r="G128" i="2" s="1"/>
  <c r="L126" i="2"/>
  <c r="S120" i="2"/>
  <c r="I120" i="2"/>
  <c r="J120" i="2" s="1"/>
  <c r="K120" i="2" s="1"/>
  <c r="B120" i="2"/>
  <c r="L117" i="2"/>
  <c r="E104" i="2"/>
  <c r="G104" i="2" s="1"/>
  <c r="R96" i="2"/>
  <c r="M88" i="2"/>
  <c r="D81" i="2"/>
  <c r="I59" i="2"/>
  <c r="P52" i="2"/>
  <c r="L50" i="2"/>
  <c r="S48" i="2"/>
  <c r="I48" i="2"/>
  <c r="D34" i="2"/>
  <c r="Q32" i="2"/>
  <c r="P28" i="2"/>
  <c r="H20" i="2"/>
  <c r="P12" i="2"/>
  <c r="N183" i="3"/>
  <c r="F183" i="3"/>
  <c r="Q182" i="3"/>
  <c r="G182" i="3"/>
  <c r="P178" i="3"/>
  <c r="G178" i="3"/>
  <c r="D166" i="3"/>
  <c r="O163" i="3"/>
  <c r="D157" i="3"/>
  <c r="N152" i="3"/>
  <c r="O143" i="3"/>
  <c r="M135" i="3"/>
  <c r="F135" i="3"/>
  <c r="D133" i="3"/>
  <c r="I131" i="3"/>
  <c r="L127" i="3"/>
  <c r="O122" i="3"/>
  <c r="N117" i="3"/>
  <c r="L112" i="3"/>
  <c r="G104" i="3"/>
  <c r="M98" i="3"/>
  <c r="I96" i="3"/>
  <c r="N94" i="3"/>
  <c r="M93" i="3"/>
  <c r="M92" i="3"/>
  <c r="B92" i="3"/>
  <c r="J85" i="3"/>
  <c r="B85" i="3"/>
  <c r="M82" i="3"/>
  <c r="I72" i="3"/>
  <c r="B66" i="3"/>
  <c r="P64" i="3"/>
  <c r="Q57" i="3"/>
  <c r="J56" i="3"/>
  <c r="Q47" i="3"/>
  <c r="C47" i="3"/>
  <c r="E47" i="3" s="1"/>
  <c r="F40" i="3"/>
  <c r="C39" i="3"/>
  <c r="J36" i="3"/>
  <c r="Q35" i="3"/>
  <c r="Q28" i="3"/>
  <c r="I24" i="3"/>
  <c r="N21" i="3"/>
  <c r="H183" i="7"/>
  <c r="H113" i="7"/>
  <c r="J94" i="7"/>
  <c r="D93" i="7"/>
  <c r="K91" i="7"/>
  <c r="H72" i="7"/>
  <c r="N71" i="7"/>
  <c r="K27" i="7"/>
  <c r="E27" i="7"/>
  <c r="K21" i="7"/>
  <c r="L181" i="6"/>
  <c r="D181" i="6"/>
  <c r="I180" i="6"/>
  <c r="M180" i="12" s="1"/>
  <c r="M169" i="6"/>
  <c r="E169" i="6"/>
  <c r="I168" i="6"/>
  <c r="Q168" i="12" s="1"/>
  <c r="L167" i="6"/>
  <c r="E167" i="6"/>
  <c r="N165" i="6"/>
  <c r="I165" i="6"/>
  <c r="B165" i="6"/>
  <c r="B114" i="6"/>
  <c r="G114" i="6"/>
  <c r="E114" i="6"/>
  <c r="C71" i="6"/>
  <c r="K71" i="6"/>
  <c r="S71" i="12" s="1"/>
  <c r="O71" i="6"/>
  <c r="G71" i="6"/>
  <c r="D69" i="6"/>
  <c r="I69" i="6"/>
  <c r="N69" i="6"/>
  <c r="E69" i="6"/>
  <c r="J69" i="6"/>
  <c r="B69" i="6"/>
  <c r="H69" i="6"/>
  <c r="M69" i="6"/>
  <c r="B41" i="6"/>
  <c r="I41" i="6"/>
  <c r="Q41" i="12" s="1"/>
  <c r="N41" i="6"/>
  <c r="H41" i="6"/>
  <c r="E27" i="6"/>
  <c r="I27" i="6"/>
  <c r="K27" i="6"/>
  <c r="N27" i="12" s="1"/>
  <c r="G27" i="6"/>
  <c r="C166" i="10"/>
  <c r="G166" i="10"/>
  <c r="K166" i="10"/>
  <c r="E166" i="10"/>
  <c r="B148" i="10"/>
  <c r="G148" i="10"/>
  <c r="N148" i="10"/>
  <c r="C148" i="10"/>
  <c r="I122" i="6"/>
  <c r="I111" i="6"/>
  <c r="N109" i="6"/>
  <c r="I109" i="6"/>
  <c r="D109" i="6"/>
  <c r="K108" i="6"/>
  <c r="G103" i="6"/>
  <c r="L39" i="6"/>
  <c r="N23" i="6"/>
  <c r="I17" i="6"/>
  <c r="M16" i="6"/>
  <c r="F16" i="6"/>
  <c r="F176" i="10"/>
  <c r="O157" i="10"/>
  <c r="K157" i="10"/>
  <c r="G157" i="10"/>
  <c r="C157" i="10"/>
  <c r="K156" i="10"/>
  <c r="M155" i="10"/>
  <c r="J136" i="10"/>
  <c r="G129" i="10"/>
  <c r="L125" i="10"/>
  <c r="E125" i="10"/>
  <c r="N121" i="10"/>
  <c r="J121" i="10"/>
  <c r="F121" i="10"/>
  <c r="B121" i="10"/>
  <c r="M120" i="10"/>
  <c r="G120" i="10"/>
  <c r="B120" i="10"/>
  <c r="E119" i="10"/>
  <c r="I113" i="10"/>
  <c r="I109" i="10"/>
  <c r="N89" i="10"/>
  <c r="I89" i="10"/>
  <c r="D89" i="10"/>
  <c r="G88" i="10"/>
  <c r="I65" i="10"/>
  <c r="N60" i="10"/>
  <c r="M57" i="10"/>
  <c r="E57" i="10"/>
  <c r="M53" i="10"/>
  <c r="I46" i="10"/>
  <c r="I45" i="10"/>
  <c r="G44" i="10"/>
  <c r="L42" i="10"/>
  <c r="M37" i="10"/>
  <c r="M24" i="10"/>
  <c r="E24" i="10"/>
  <c r="L121" i="10"/>
  <c r="H121" i="10"/>
  <c r="D121" i="10"/>
  <c r="O120" i="10"/>
  <c r="J120" i="10"/>
  <c r="E120" i="10"/>
  <c r="M119" i="10"/>
  <c r="L89" i="10"/>
  <c r="F89" i="10"/>
  <c r="G24" i="10"/>
  <c r="I19" i="10"/>
  <c r="J111" i="6"/>
  <c r="J109" i="6"/>
  <c r="O108" i="6"/>
  <c r="H103" i="6"/>
  <c r="O39" i="6"/>
  <c r="N17" i="6"/>
  <c r="K176" i="10"/>
  <c r="L171" i="10"/>
  <c r="B171" i="10"/>
  <c r="L157" i="10"/>
  <c r="H157" i="10"/>
  <c r="N156" i="10"/>
  <c r="N155" i="10"/>
  <c r="I145" i="10"/>
  <c r="M134" i="10"/>
  <c r="K129" i="10"/>
  <c r="N125" i="10"/>
  <c r="F125" i="10"/>
  <c r="O121" i="10"/>
  <c r="K121" i="10"/>
  <c r="G121" i="10"/>
  <c r="N120" i="10"/>
  <c r="I120" i="10"/>
  <c r="C120" i="10"/>
  <c r="I119" i="10"/>
  <c r="O104" i="10"/>
  <c r="C96" i="10"/>
  <c r="I94" i="10"/>
  <c r="G93" i="10"/>
  <c r="J89" i="10"/>
  <c r="E89" i="10"/>
  <c r="M88" i="10"/>
  <c r="I87" i="10"/>
  <c r="E86" i="10"/>
  <c r="G85" i="10"/>
  <c r="J72" i="10"/>
  <c r="B72" i="10"/>
  <c r="F68" i="10"/>
  <c r="K65" i="10"/>
  <c r="H57" i="10"/>
  <c r="M46" i="10"/>
  <c r="K45" i="10"/>
  <c r="I44" i="10"/>
  <c r="K40" i="10"/>
  <c r="D34" i="10"/>
  <c r="J25" i="10"/>
  <c r="E25" i="10"/>
  <c r="O24" i="10"/>
  <c r="F24" i="10"/>
  <c r="O14" i="10"/>
  <c r="N11" i="10"/>
  <c r="M10" i="10"/>
  <c r="M8" i="10"/>
  <c r="E34" i="8"/>
  <c r="H35" i="8"/>
  <c r="J34" i="8"/>
  <c r="B34" i="8"/>
  <c r="H31" i="8"/>
  <c r="C35" i="8"/>
  <c r="F34" i="8"/>
  <c r="F22" i="8"/>
  <c r="C151" i="5"/>
  <c r="C149" i="5"/>
  <c r="C139" i="5"/>
  <c r="N133" i="5"/>
  <c r="K127" i="5"/>
  <c r="I119" i="5"/>
  <c r="O119" i="5"/>
  <c r="K166" i="5"/>
  <c r="N161" i="5"/>
  <c r="N158" i="5"/>
  <c r="I157" i="5"/>
  <c r="I152" i="5"/>
  <c r="N151" i="5"/>
  <c r="N149" i="5"/>
  <c r="N145" i="5"/>
  <c r="O139" i="5"/>
  <c r="O135" i="5"/>
  <c r="C133" i="5"/>
  <c r="I130" i="5"/>
  <c r="I129" i="5"/>
  <c r="I117" i="5"/>
  <c r="N117" i="5"/>
  <c r="P117" i="5" s="1"/>
  <c r="C117" i="5"/>
  <c r="K151" i="5"/>
  <c r="K149" i="5"/>
  <c r="N139" i="5"/>
  <c r="O127" i="5"/>
  <c r="I125" i="5"/>
  <c r="C125" i="5"/>
  <c r="N125" i="5"/>
  <c r="O87" i="5"/>
  <c r="K85" i="5"/>
  <c r="O79" i="5"/>
  <c r="K77" i="5"/>
  <c r="O71" i="5"/>
  <c r="K69" i="5"/>
  <c r="O63" i="5"/>
  <c r="N46" i="5"/>
  <c r="O42" i="5"/>
  <c r="N32" i="5"/>
  <c r="N28" i="5"/>
  <c r="C26" i="5"/>
  <c r="I21" i="5"/>
  <c r="O18" i="5"/>
  <c r="N14" i="5"/>
  <c r="O10" i="5"/>
  <c r="P10" i="5" s="1"/>
  <c r="L187" i="11"/>
  <c r="K153" i="11"/>
  <c r="E146" i="11"/>
  <c r="L144" i="11"/>
  <c r="H136" i="11"/>
  <c r="O123" i="11"/>
  <c r="D123" i="11"/>
  <c r="E113" i="11"/>
  <c r="D108" i="11"/>
  <c r="L106" i="11"/>
  <c r="L80" i="11"/>
  <c r="J76" i="11"/>
  <c r="B76" i="11"/>
  <c r="G74" i="11"/>
  <c r="J64" i="11"/>
  <c r="I62" i="11"/>
  <c r="B62" i="11"/>
  <c r="G61" i="11"/>
  <c r="F60" i="11"/>
  <c r="G57" i="11"/>
  <c r="L54" i="11"/>
  <c r="I51" i="11"/>
  <c r="F48" i="11"/>
  <c r="I34" i="11"/>
  <c r="J32" i="11"/>
  <c r="E32" i="11"/>
  <c r="F21" i="11"/>
  <c r="L19" i="11"/>
  <c r="C165" i="12"/>
  <c r="B127" i="12"/>
  <c r="B109" i="12"/>
  <c r="E107" i="12"/>
  <c r="B99" i="12"/>
  <c r="C90" i="12"/>
  <c r="F87" i="12"/>
  <c r="G64" i="12"/>
  <c r="B63" i="12"/>
  <c r="B40" i="12"/>
  <c r="E21" i="12"/>
  <c r="B19" i="12"/>
  <c r="C10" i="12"/>
  <c r="F7" i="12"/>
  <c r="C188" i="13"/>
  <c r="G188" i="13"/>
  <c r="E185" i="13"/>
  <c r="B182" i="13"/>
  <c r="F182" i="13"/>
  <c r="F178" i="13"/>
  <c r="C138" i="13"/>
  <c r="D138" i="13"/>
  <c r="E138" i="13"/>
  <c r="G126" i="13"/>
  <c r="F118" i="13"/>
  <c r="D102" i="13"/>
  <c r="E102" i="13"/>
  <c r="B102" i="13"/>
  <c r="G102" i="13"/>
  <c r="C102" i="13"/>
  <c r="L183" i="11"/>
  <c r="L163" i="11"/>
  <c r="M154" i="11"/>
  <c r="H144" i="11"/>
  <c r="O134" i="11"/>
  <c r="K129" i="11"/>
  <c r="L127" i="11"/>
  <c r="H64" i="11"/>
  <c r="F34" i="11"/>
  <c r="N32" i="11"/>
  <c r="I32" i="11"/>
  <c r="D32" i="11"/>
  <c r="E178" i="13"/>
  <c r="C130" i="13"/>
  <c r="G130" i="13"/>
  <c r="D130" i="13"/>
  <c r="E118" i="13"/>
  <c r="F114" i="13"/>
  <c r="N113" i="5"/>
  <c r="O107" i="5"/>
  <c r="K105" i="5"/>
  <c r="N48" i="5"/>
  <c r="C42" i="5"/>
  <c r="I37" i="5"/>
  <c r="N30" i="5"/>
  <c r="O26" i="5"/>
  <c r="N16" i="5"/>
  <c r="C10" i="5"/>
  <c r="F188" i="11"/>
  <c r="L167" i="11"/>
  <c r="I155" i="11"/>
  <c r="E154" i="11"/>
  <c r="I150" i="11"/>
  <c r="K145" i="11"/>
  <c r="E144" i="11"/>
  <c r="M140" i="11"/>
  <c r="I134" i="11"/>
  <c r="F129" i="11"/>
  <c r="G127" i="11"/>
  <c r="H124" i="11"/>
  <c r="I123" i="11"/>
  <c r="N122" i="11"/>
  <c r="K121" i="11"/>
  <c r="O113" i="11"/>
  <c r="N108" i="11"/>
  <c r="O107" i="11"/>
  <c r="E106" i="11"/>
  <c r="L103" i="11"/>
  <c r="G98" i="11"/>
  <c r="M94" i="11"/>
  <c r="E94" i="11"/>
  <c r="I86" i="11"/>
  <c r="M76" i="11"/>
  <c r="F76" i="11"/>
  <c r="F72" i="11"/>
  <c r="K70" i="11"/>
  <c r="H68" i="11"/>
  <c r="M62" i="11"/>
  <c r="L43" i="11"/>
  <c r="E43" i="11"/>
  <c r="I42" i="11"/>
  <c r="H40" i="11"/>
  <c r="N34" i="11"/>
  <c r="D34" i="11"/>
  <c r="M32" i="11"/>
  <c r="H32" i="11"/>
  <c r="F20" i="11"/>
  <c r="D157" i="12"/>
  <c r="D151" i="12"/>
  <c r="E149" i="12"/>
  <c r="D135" i="12"/>
  <c r="D132" i="12"/>
  <c r="F127" i="12"/>
  <c r="D117" i="12"/>
  <c r="F99" i="12"/>
  <c r="B87" i="12"/>
  <c r="E65" i="12"/>
  <c r="F59" i="12"/>
  <c r="E49" i="12"/>
  <c r="B47" i="12"/>
  <c r="G40" i="12"/>
  <c r="F39" i="12"/>
  <c r="F36" i="12"/>
  <c r="D15" i="12"/>
  <c r="C186" i="13"/>
  <c r="B186" i="13"/>
  <c r="D177" i="13"/>
  <c r="C177" i="13"/>
  <c r="C171" i="13"/>
  <c r="D171" i="13"/>
  <c r="E171" i="13"/>
  <c r="E146" i="13"/>
  <c r="G146" i="13"/>
  <c r="F130" i="13"/>
  <c r="D125" i="13"/>
  <c r="B125" i="13"/>
  <c r="G125" i="13"/>
  <c r="C106" i="13"/>
  <c r="E106" i="13"/>
  <c r="B106" i="13"/>
  <c r="D106" i="13"/>
  <c r="N26" i="5"/>
  <c r="E127" i="12"/>
  <c r="E109" i="12"/>
  <c r="D99" i="12"/>
  <c r="E63" i="12"/>
  <c r="F40" i="12"/>
  <c r="D19" i="12"/>
  <c r="C178" i="13"/>
  <c r="B178" i="13"/>
  <c r="E130" i="13"/>
  <c r="C118" i="13"/>
  <c r="G118" i="13"/>
  <c r="D118" i="13"/>
  <c r="C114" i="13"/>
  <c r="B114" i="13"/>
  <c r="D114" i="13"/>
  <c r="F104" i="13"/>
  <c r="F100" i="13"/>
  <c r="E96" i="13"/>
  <c r="D94" i="13"/>
  <c r="C80" i="13"/>
  <c r="G56" i="13"/>
  <c r="E38" i="13"/>
  <c r="G34" i="13"/>
  <c r="G25" i="13"/>
  <c r="C156" i="14"/>
  <c r="C149" i="14"/>
  <c r="E148" i="14"/>
  <c r="E127" i="14"/>
  <c r="G125" i="14"/>
  <c r="D115" i="14"/>
  <c r="C113" i="14"/>
  <c r="E55" i="14"/>
  <c r="F52" i="14"/>
  <c r="E39" i="14"/>
  <c r="E37" i="14"/>
  <c r="D33" i="14"/>
  <c r="F31" i="14"/>
  <c r="D29" i="14"/>
  <c r="F11" i="14"/>
  <c r="E9" i="14"/>
  <c r="F116" i="13"/>
  <c r="E112" i="13"/>
  <c r="D104" i="13"/>
  <c r="E100" i="13"/>
  <c r="D96" i="13"/>
  <c r="G94" i="13"/>
  <c r="F92" i="13"/>
  <c r="G86" i="13"/>
  <c r="E83" i="13"/>
  <c r="G80" i="13"/>
  <c r="B80" i="13"/>
  <c r="F73" i="13"/>
  <c r="G69" i="13"/>
  <c r="E56" i="13"/>
  <c r="G50" i="13"/>
  <c r="C38" i="13"/>
  <c r="D34" i="13"/>
  <c r="E29" i="13"/>
  <c r="F23" i="13"/>
  <c r="F187" i="14"/>
  <c r="F160" i="14"/>
  <c r="B156" i="14"/>
  <c r="D153" i="14"/>
  <c r="F149" i="14"/>
  <c r="B149" i="14"/>
  <c r="G3" i="21" s="1"/>
  <c r="B148" i="14"/>
  <c r="B127" i="14"/>
  <c r="B115" i="14"/>
  <c r="F113" i="14"/>
  <c r="B113" i="14"/>
  <c r="G113" i="14" s="1"/>
  <c r="F111" i="14"/>
  <c r="E109" i="14"/>
  <c r="G109" i="14" s="1"/>
  <c r="F107" i="14"/>
  <c r="E97" i="14"/>
  <c r="E95" i="14"/>
  <c r="E94" i="14"/>
  <c r="D59" i="14"/>
  <c r="D55" i="14"/>
  <c r="E53" i="14"/>
  <c r="E52" i="14"/>
  <c r="B39" i="14"/>
  <c r="C37" i="14"/>
  <c r="B33" i="14"/>
  <c r="E31" i="14"/>
  <c r="B29" i="14"/>
  <c r="F27" i="14"/>
  <c r="E20" i="14"/>
  <c r="D11" i="14"/>
  <c r="C9" i="14"/>
  <c r="E7" i="14"/>
  <c r="E80" i="13"/>
  <c r="G38" i="13"/>
  <c r="E156" i="14"/>
  <c r="F148" i="14"/>
  <c r="F127" i="14"/>
  <c r="E115" i="14"/>
  <c r="F39" i="14"/>
  <c r="E33" i="14"/>
  <c r="E29" i="14"/>
  <c r="P191" i="2"/>
  <c r="H191" i="2"/>
  <c r="Q190" i="2"/>
  <c r="S189" i="2"/>
  <c r="C184" i="2"/>
  <c r="M182" i="2"/>
  <c r="S177" i="2"/>
  <c r="C177" i="2"/>
  <c r="F177" i="2" s="1"/>
  <c r="R173" i="2"/>
  <c r="L173" i="2"/>
  <c r="D173" i="2"/>
  <c r="Q172" i="2"/>
  <c r="I158" i="2"/>
  <c r="C158" i="2"/>
  <c r="S158" i="2"/>
  <c r="L155" i="2"/>
  <c r="D134" i="2"/>
  <c r="L134" i="2"/>
  <c r="I131" i="2"/>
  <c r="C127" i="2"/>
  <c r="I119" i="2"/>
  <c r="Q119" i="2"/>
  <c r="C112" i="2"/>
  <c r="L112" i="2"/>
  <c r="R112" i="2"/>
  <c r="R92" i="2"/>
  <c r="Q88" i="2"/>
  <c r="I65" i="2"/>
  <c r="L65" i="2"/>
  <c r="Q65" i="2"/>
  <c r="R36" i="2"/>
  <c r="E4" i="21" s="1"/>
  <c r="I33" i="2"/>
  <c r="Q33" i="2"/>
  <c r="I27" i="2"/>
  <c r="Q181" i="3"/>
  <c r="I154" i="3"/>
  <c r="M154" i="3"/>
  <c r="P154" i="3"/>
  <c r="D145" i="3"/>
  <c r="I145" i="3"/>
  <c r="Q145" i="3"/>
  <c r="B144" i="3"/>
  <c r="M144" i="3"/>
  <c r="F144" i="3"/>
  <c r="N144" i="3"/>
  <c r="L141" i="3"/>
  <c r="I141" i="3"/>
  <c r="P141" i="3"/>
  <c r="I134" i="3"/>
  <c r="C134" i="3"/>
  <c r="P134" i="3"/>
  <c r="G134" i="3"/>
  <c r="E134" i="5" s="1"/>
  <c r="L134" i="3"/>
  <c r="C121" i="3"/>
  <c r="D121" i="3"/>
  <c r="J121" i="3"/>
  <c r="N121" i="3"/>
  <c r="F106" i="3"/>
  <c r="D106" i="3"/>
  <c r="Q106" i="3"/>
  <c r="I106" i="3"/>
  <c r="L106" i="3"/>
  <c r="L84" i="3"/>
  <c r="P84" i="3"/>
  <c r="D76" i="3"/>
  <c r="J76" i="3"/>
  <c r="L76" i="3"/>
  <c r="I138" i="2"/>
  <c r="D138" i="2"/>
  <c r="L138" i="2"/>
  <c r="L90" i="2"/>
  <c r="D90" i="2"/>
  <c r="Q90" i="2"/>
  <c r="C72" i="2"/>
  <c r="F72" i="2" s="1"/>
  <c r="I72" i="2"/>
  <c r="Q72" i="2"/>
  <c r="I39" i="2"/>
  <c r="Q39" i="2"/>
  <c r="C36" i="2"/>
  <c r="H4" i="21" s="1"/>
  <c r="D36" i="2"/>
  <c r="I4" i="21" s="1"/>
  <c r="M36" i="2"/>
  <c r="E36" i="2"/>
  <c r="J4" i="21" s="1"/>
  <c r="P36" i="2"/>
  <c r="D4" i="21" s="1"/>
  <c r="L189" i="3"/>
  <c r="F189" i="3"/>
  <c r="Q189" i="3"/>
  <c r="C188" i="3"/>
  <c r="M188" i="3"/>
  <c r="F188" i="3"/>
  <c r="H188" i="3" s="1"/>
  <c r="N188" i="3"/>
  <c r="C125" i="3"/>
  <c r="B125" i="3"/>
  <c r="M125" i="3"/>
  <c r="F125" i="3"/>
  <c r="N125" i="3"/>
  <c r="I125" i="3"/>
  <c r="K125" i="3" s="1"/>
  <c r="P125" i="3"/>
  <c r="D78" i="3"/>
  <c r="L78" i="3"/>
  <c r="M191" i="2"/>
  <c r="D191" i="2"/>
  <c r="F191" i="2" s="1"/>
  <c r="M190" i="2"/>
  <c r="M189" i="2"/>
  <c r="Q178" i="2"/>
  <c r="Q177" i="2"/>
  <c r="L191" i="2"/>
  <c r="B191" i="2"/>
  <c r="C190" i="2"/>
  <c r="E189" i="2"/>
  <c r="M184" i="2"/>
  <c r="C182" i="2"/>
  <c r="I178" i="2"/>
  <c r="M177" i="2"/>
  <c r="C176" i="2"/>
  <c r="I175" i="2"/>
  <c r="P173" i="2"/>
  <c r="H173" i="2"/>
  <c r="D163" i="2"/>
  <c r="E163" i="2"/>
  <c r="D142" i="2"/>
  <c r="L142" i="2"/>
  <c r="D116" i="2"/>
  <c r="C116" i="2"/>
  <c r="H116" i="2"/>
  <c r="I113" i="2"/>
  <c r="L113" i="2"/>
  <c r="C108" i="2"/>
  <c r="L108" i="2"/>
  <c r="Q108" i="2"/>
  <c r="C99" i="2"/>
  <c r="S99" i="2"/>
  <c r="B84" i="2"/>
  <c r="Q84" i="2"/>
  <c r="L74" i="2"/>
  <c r="D74" i="2"/>
  <c r="I66" i="2"/>
  <c r="L66" i="2"/>
  <c r="B44" i="2"/>
  <c r="L44" i="2"/>
  <c r="L36" i="2"/>
  <c r="I23" i="2"/>
  <c r="Q23" i="2"/>
  <c r="S23" i="2"/>
  <c r="Q188" i="3"/>
  <c r="F184" i="3"/>
  <c r="F179" i="3"/>
  <c r="G179" i="3"/>
  <c r="Q179" i="3"/>
  <c r="J179" i="3"/>
  <c r="D155" i="3"/>
  <c r="Q155" i="3"/>
  <c r="L149" i="3"/>
  <c r="D149" i="3"/>
  <c r="J144" i="3"/>
  <c r="I142" i="3"/>
  <c r="F86" i="3"/>
  <c r="L86" i="3"/>
  <c r="B74" i="3"/>
  <c r="Q74" i="3"/>
  <c r="I177" i="2"/>
  <c r="D153" i="2"/>
  <c r="I3" i="21" s="1"/>
  <c r="I153" i="2"/>
  <c r="C107" i="2"/>
  <c r="I107" i="2"/>
  <c r="S107" i="2"/>
  <c r="D93" i="2"/>
  <c r="I93" i="2"/>
  <c r="L93" i="2"/>
  <c r="D92" i="2"/>
  <c r="B92" i="2"/>
  <c r="M92" i="2"/>
  <c r="E92" i="2"/>
  <c r="Q92" i="2"/>
  <c r="B88" i="2"/>
  <c r="E88" i="2"/>
  <c r="S88" i="2"/>
  <c r="I88" i="2"/>
  <c r="I79" i="2"/>
  <c r="Q79" i="2"/>
  <c r="D60" i="2"/>
  <c r="C60" i="2"/>
  <c r="I60" i="2"/>
  <c r="Q49" i="2"/>
  <c r="D49" i="2"/>
  <c r="H36" i="2"/>
  <c r="B4" i="21" s="1"/>
  <c r="L10" i="2"/>
  <c r="P10" i="2"/>
  <c r="M126" i="3"/>
  <c r="I126" i="3"/>
  <c r="Q126" i="3"/>
  <c r="D119" i="3"/>
  <c r="C119" i="3"/>
  <c r="N119" i="3"/>
  <c r="F119" i="3"/>
  <c r="P119" i="3"/>
  <c r="I119" i="3"/>
  <c r="B101" i="3"/>
  <c r="I101" i="3"/>
  <c r="J101" i="3"/>
  <c r="C157" i="7"/>
  <c r="L157" i="7"/>
  <c r="D152" i="7"/>
  <c r="E152" i="7"/>
  <c r="J152" i="7"/>
  <c r="O152" i="7"/>
  <c r="C145" i="7"/>
  <c r="G145" i="7"/>
  <c r="C136" i="7"/>
  <c r="C109" i="7"/>
  <c r="B107" i="7"/>
  <c r="I13" i="7"/>
  <c r="B187" i="6"/>
  <c r="M187" i="6"/>
  <c r="F187" i="6"/>
  <c r="H187" i="6"/>
  <c r="M172" i="6"/>
  <c r="A172" i="7"/>
  <c r="I172" i="7" s="1"/>
  <c r="I164" i="6"/>
  <c r="Q164" i="12" s="1"/>
  <c r="K164" i="6"/>
  <c r="A164" i="7"/>
  <c r="E164" i="7" s="1"/>
  <c r="B147" i="6"/>
  <c r="F147" i="6"/>
  <c r="I147" i="6"/>
  <c r="M147" i="12" s="1"/>
  <c r="L147" i="6"/>
  <c r="B135" i="6"/>
  <c r="F135" i="6"/>
  <c r="J135" i="6"/>
  <c r="N135" i="6"/>
  <c r="C135" i="6"/>
  <c r="G135" i="6"/>
  <c r="K135" i="6"/>
  <c r="O135" i="6"/>
  <c r="D135" i="6"/>
  <c r="H135" i="6"/>
  <c r="L135" i="6"/>
  <c r="B125" i="6"/>
  <c r="E125" i="6"/>
  <c r="H125" i="6"/>
  <c r="J125" i="6"/>
  <c r="A125" i="7"/>
  <c r="E54" i="6"/>
  <c r="J54" i="6"/>
  <c r="A54" i="7"/>
  <c r="D173" i="10"/>
  <c r="C173" i="10"/>
  <c r="I173" i="10"/>
  <c r="N173" i="10"/>
  <c r="E173" i="10"/>
  <c r="J173" i="10"/>
  <c r="O173" i="10"/>
  <c r="B173" i="10"/>
  <c r="M173" i="10"/>
  <c r="F173" i="10"/>
  <c r="G173" i="10"/>
  <c r="D170" i="10"/>
  <c r="L170" i="10"/>
  <c r="B160" i="10"/>
  <c r="K160" i="10"/>
  <c r="I160" i="10"/>
  <c r="B78" i="10"/>
  <c r="D78" i="10"/>
  <c r="H78" i="10"/>
  <c r="I78" i="10"/>
  <c r="L78" i="10"/>
  <c r="D168" i="2"/>
  <c r="R140" i="2"/>
  <c r="L140" i="2"/>
  <c r="B140" i="2"/>
  <c r="H68" i="2"/>
  <c r="R56" i="2"/>
  <c r="I53" i="2"/>
  <c r="S32" i="2"/>
  <c r="B32" i="2"/>
  <c r="D21" i="2"/>
  <c r="P20" i="2"/>
  <c r="B20" i="2"/>
  <c r="L17" i="2"/>
  <c r="D13" i="2"/>
  <c r="P187" i="3"/>
  <c r="J187" i="3"/>
  <c r="B187" i="3"/>
  <c r="Q183" i="3"/>
  <c r="M183" i="3"/>
  <c r="G183" i="3"/>
  <c r="O182" i="3"/>
  <c r="Q178" i="3"/>
  <c r="L178" i="3"/>
  <c r="C178" i="3"/>
  <c r="Q171" i="3"/>
  <c r="M171" i="3"/>
  <c r="G171" i="3"/>
  <c r="C170" i="3"/>
  <c r="F168" i="3"/>
  <c r="I122" i="3"/>
  <c r="G117" i="3"/>
  <c r="L115" i="3"/>
  <c r="L114" i="3"/>
  <c r="P112" i="3"/>
  <c r="F112" i="3"/>
  <c r="L110" i="3"/>
  <c r="J109" i="3"/>
  <c r="C105" i="3"/>
  <c r="N104" i="3"/>
  <c r="F104" i="3"/>
  <c r="F98" i="3"/>
  <c r="O83" i="3"/>
  <c r="J77" i="3"/>
  <c r="N73" i="3"/>
  <c r="N72" i="3"/>
  <c r="C72" i="3"/>
  <c r="E72" i="3" s="1"/>
  <c r="C71" i="3"/>
  <c r="G69" i="3"/>
  <c r="H69" i="3" s="1"/>
  <c r="N68" i="3"/>
  <c r="C68" i="3"/>
  <c r="E68" i="3" s="1"/>
  <c r="D67" i="3"/>
  <c r="N64" i="3"/>
  <c r="C64" i="3"/>
  <c r="E64" i="3" s="1"/>
  <c r="F57" i="3"/>
  <c r="M53" i="3"/>
  <c r="Q48" i="3"/>
  <c r="G48" i="3"/>
  <c r="E48" i="5" s="1"/>
  <c r="F48" i="5" s="1"/>
  <c r="G48" i="5" s="1"/>
  <c r="L46" i="3"/>
  <c r="O45" i="3"/>
  <c r="O40" i="3"/>
  <c r="J40" i="3"/>
  <c r="D40" i="3"/>
  <c r="N36" i="3"/>
  <c r="I36" i="3"/>
  <c r="C36" i="3"/>
  <c r="E36" i="3" s="1"/>
  <c r="O35" i="3"/>
  <c r="P34" i="3"/>
  <c r="M32" i="3"/>
  <c r="F32" i="3"/>
  <c r="O31" i="3"/>
  <c r="P28" i="3"/>
  <c r="G28" i="3"/>
  <c r="I25" i="3"/>
  <c r="P24" i="3"/>
  <c r="G24" i="3"/>
  <c r="I20" i="3"/>
  <c r="O19" i="3"/>
  <c r="N16" i="3"/>
  <c r="L14" i="3"/>
  <c r="O13" i="3"/>
  <c r="L7" i="3"/>
  <c r="F189" i="7"/>
  <c r="A187" i="7"/>
  <c r="C187" i="7" s="1"/>
  <c r="E180" i="7"/>
  <c r="M171" i="7"/>
  <c r="I161" i="7"/>
  <c r="M152" i="7"/>
  <c r="F152" i="7"/>
  <c r="J148" i="7"/>
  <c r="F136" i="7"/>
  <c r="A135" i="7"/>
  <c r="B135" i="7" s="1"/>
  <c r="F114" i="7"/>
  <c r="E112" i="7"/>
  <c r="C112" i="7"/>
  <c r="I112" i="7"/>
  <c r="D112" i="7"/>
  <c r="L112" i="7"/>
  <c r="J83" i="7"/>
  <c r="B83" i="7"/>
  <c r="C81" i="7"/>
  <c r="H81" i="7"/>
  <c r="M81" i="7"/>
  <c r="D81" i="7"/>
  <c r="I81" i="7"/>
  <c r="O81" i="7"/>
  <c r="E81" i="7"/>
  <c r="K81" i="7"/>
  <c r="B63" i="7"/>
  <c r="F63" i="7"/>
  <c r="K63" i="7"/>
  <c r="E46" i="7"/>
  <c r="B46" i="7"/>
  <c r="M46" i="7"/>
  <c r="F46" i="7"/>
  <c r="H46" i="7"/>
  <c r="E150" i="6"/>
  <c r="A150" i="7"/>
  <c r="I150" i="7" s="1"/>
  <c r="M135" i="6"/>
  <c r="I66" i="6"/>
  <c r="A66" i="7"/>
  <c r="M66" i="7" s="1"/>
  <c r="C62" i="6"/>
  <c r="A62" i="7"/>
  <c r="K62" i="7" s="1"/>
  <c r="B13" i="6"/>
  <c r="F13" i="6"/>
  <c r="J13" i="6"/>
  <c r="N13" i="6"/>
  <c r="C13" i="6"/>
  <c r="G13" i="6"/>
  <c r="K13" i="6"/>
  <c r="O13" i="6"/>
  <c r="D13" i="6"/>
  <c r="L13" i="6"/>
  <c r="E13" i="6"/>
  <c r="M13" i="6"/>
  <c r="H13" i="6"/>
  <c r="P13" i="12" s="1"/>
  <c r="D175" i="10"/>
  <c r="N175" i="10"/>
  <c r="I175" i="10"/>
  <c r="G162" i="10"/>
  <c r="D162" i="10"/>
  <c r="I162" i="10"/>
  <c r="O162" i="10"/>
  <c r="C105" i="10"/>
  <c r="B105" i="10"/>
  <c r="H105" i="10"/>
  <c r="M105" i="10"/>
  <c r="D105" i="10"/>
  <c r="I105" i="10"/>
  <c r="N105" i="10"/>
  <c r="E105" i="10"/>
  <c r="F105" i="10"/>
  <c r="J105" i="10"/>
  <c r="L105" i="10"/>
  <c r="M102" i="10"/>
  <c r="E102" i="10"/>
  <c r="R120" i="2"/>
  <c r="L120" i="2"/>
  <c r="L104" i="2"/>
  <c r="N104" i="2" s="1"/>
  <c r="O104" i="2" s="1"/>
  <c r="R80" i="2"/>
  <c r="L143" i="3"/>
  <c r="N136" i="3"/>
  <c r="P133" i="3"/>
  <c r="L130" i="3"/>
  <c r="J127" i="3"/>
  <c r="C122" i="3"/>
  <c r="Q117" i="3"/>
  <c r="C117" i="3"/>
  <c r="N112" i="3"/>
  <c r="C112" i="3"/>
  <c r="E112" i="3" s="1"/>
  <c r="M104" i="3"/>
  <c r="O99" i="3"/>
  <c r="B77" i="3"/>
  <c r="L72" i="3"/>
  <c r="B72" i="3"/>
  <c r="L68" i="3"/>
  <c r="B68" i="3"/>
  <c r="L64" i="3"/>
  <c r="B64" i="3"/>
  <c r="C57" i="3"/>
  <c r="Q49" i="3"/>
  <c r="P48" i="3"/>
  <c r="F48" i="3"/>
  <c r="F46" i="3"/>
  <c r="M45" i="3"/>
  <c r="J42" i="3"/>
  <c r="N40" i="3"/>
  <c r="I40" i="3"/>
  <c r="C40" i="3"/>
  <c r="Q36" i="3"/>
  <c r="M36" i="3"/>
  <c r="G36" i="3"/>
  <c r="L35" i="3"/>
  <c r="Q32" i="3"/>
  <c r="L32" i="3"/>
  <c r="D32" i="3"/>
  <c r="O29" i="3"/>
  <c r="O28" i="3"/>
  <c r="D28" i="3"/>
  <c r="F25" i="3"/>
  <c r="N24" i="3"/>
  <c r="C24" i="3"/>
  <c r="Q22" i="3"/>
  <c r="G20" i="3"/>
  <c r="I19" i="3"/>
  <c r="I16" i="3"/>
  <c r="F14" i="3"/>
  <c r="M13" i="3"/>
  <c r="P12" i="3"/>
  <c r="Q9" i="3"/>
  <c r="Q7" i="3"/>
  <c r="G7" i="3"/>
  <c r="M189" i="7"/>
  <c r="E189" i="7"/>
  <c r="B171" i="7"/>
  <c r="H171" i="7"/>
  <c r="B158" i="7"/>
  <c r="K152" i="7"/>
  <c r="C152" i="7"/>
  <c r="B151" i="7"/>
  <c r="K151" i="7"/>
  <c r="A147" i="7"/>
  <c r="L147" i="7" s="1"/>
  <c r="E136" i="7"/>
  <c r="C119" i="7"/>
  <c r="F119" i="7"/>
  <c r="C77" i="7"/>
  <c r="D77" i="7"/>
  <c r="O77" i="7"/>
  <c r="G77" i="7"/>
  <c r="I77" i="7"/>
  <c r="E185" i="6"/>
  <c r="I185" i="6"/>
  <c r="M185" i="6"/>
  <c r="B141" i="6"/>
  <c r="L141" i="6"/>
  <c r="A141" i="7"/>
  <c r="I135" i="6"/>
  <c r="C76" i="6"/>
  <c r="L76" i="5" s="1"/>
  <c r="O76" i="6"/>
  <c r="A76" i="7"/>
  <c r="I76" i="7" s="1"/>
  <c r="F15" i="6"/>
  <c r="L15" i="6"/>
  <c r="A15" i="7"/>
  <c r="C15" i="7" s="1"/>
  <c r="C168" i="10"/>
  <c r="B168" i="10"/>
  <c r="K168" i="10"/>
  <c r="E168" i="10"/>
  <c r="O168" i="10"/>
  <c r="G168" i="10"/>
  <c r="J168" i="10"/>
  <c r="L51" i="3"/>
  <c r="F49" i="3"/>
  <c r="M48" i="3"/>
  <c r="B48" i="3"/>
  <c r="Q46" i="3"/>
  <c r="D46" i="3"/>
  <c r="B45" i="3"/>
  <c r="Q40" i="3"/>
  <c r="M40" i="3"/>
  <c r="G40" i="3"/>
  <c r="P32" i="3"/>
  <c r="J32" i="3"/>
  <c r="L28" i="3"/>
  <c r="L26" i="3"/>
  <c r="L24" i="3"/>
  <c r="P20" i="3"/>
  <c r="B20" i="3"/>
  <c r="Q14" i="3"/>
  <c r="D14" i="3"/>
  <c r="P7" i="3"/>
  <c r="B180" i="7"/>
  <c r="K180" i="7"/>
  <c r="I152" i="7"/>
  <c r="B152" i="7"/>
  <c r="E148" i="7"/>
  <c r="B148" i="7"/>
  <c r="L145" i="7"/>
  <c r="D144" i="7"/>
  <c r="L134" i="7"/>
  <c r="F132" i="7"/>
  <c r="B14" i="7"/>
  <c r="H14" i="7"/>
  <c r="L187" i="6"/>
  <c r="K160" i="6"/>
  <c r="A160" i="7"/>
  <c r="I160" i="7" s="1"/>
  <c r="B152" i="6"/>
  <c r="I152" i="6"/>
  <c r="E135" i="6"/>
  <c r="F110" i="6"/>
  <c r="I110" i="6"/>
  <c r="K110" i="6"/>
  <c r="A110" i="7"/>
  <c r="C110" i="7" s="1"/>
  <c r="I102" i="6"/>
  <c r="A102" i="7"/>
  <c r="C87" i="6"/>
  <c r="H87" i="6"/>
  <c r="M87" i="6"/>
  <c r="D87" i="6"/>
  <c r="I87" i="6"/>
  <c r="Q87" i="12" s="1"/>
  <c r="O87" i="6"/>
  <c r="E87" i="6"/>
  <c r="G87" i="6"/>
  <c r="A87" i="7"/>
  <c r="F87" i="7" s="1"/>
  <c r="K87" i="6"/>
  <c r="R87" i="12" s="1"/>
  <c r="E83" i="6"/>
  <c r="G83" i="6"/>
  <c r="I83" i="6"/>
  <c r="Q83" i="12" s="1"/>
  <c r="C83" i="6"/>
  <c r="L83" i="5" s="1"/>
  <c r="M83" i="5" s="1"/>
  <c r="K83" i="6"/>
  <c r="O83" i="6"/>
  <c r="B51" i="6"/>
  <c r="G51" i="6"/>
  <c r="M51" i="6"/>
  <c r="C51" i="6"/>
  <c r="I51" i="6"/>
  <c r="M51" i="12" s="1"/>
  <c r="N51" i="6"/>
  <c r="E51" i="6"/>
  <c r="O51" i="6"/>
  <c r="F51" i="6"/>
  <c r="J51" i="6"/>
  <c r="E28" i="6"/>
  <c r="A28" i="7"/>
  <c r="K173" i="10"/>
  <c r="E94" i="7"/>
  <c r="C73" i="7"/>
  <c r="D61" i="7"/>
  <c r="F42" i="7"/>
  <c r="O33" i="7"/>
  <c r="D33" i="7"/>
  <c r="K31" i="7"/>
  <c r="M27" i="7"/>
  <c r="G27" i="7"/>
  <c r="O21" i="7"/>
  <c r="C21" i="7"/>
  <c r="M12" i="7"/>
  <c r="N10" i="7"/>
  <c r="K7" i="7"/>
  <c r="G180" i="6"/>
  <c r="M177" i="6"/>
  <c r="E177" i="6"/>
  <c r="I176" i="6"/>
  <c r="M176" i="12" s="1"/>
  <c r="I175" i="6"/>
  <c r="O173" i="6"/>
  <c r="H171" i="6"/>
  <c r="L163" i="6"/>
  <c r="L161" i="6"/>
  <c r="E161" i="6"/>
  <c r="N155" i="6"/>
  <c r="I155" i="6"/>
  <c r="D155" i="6"/>
  <c r="M153" i="6"/>
  <c r="L151" i="6"/>
  <c r="M149" i="6"/>
  <c r="I138" i="6"/>
  <c r="G132" i="6"/>
  <c r="E130" i="6"/>
  <c r="M128" i="6"/>
  <c r="C128" i="6"/>
  <c r="M122" i="6"/>
  <c r="B122" i="6"/>
  <c r="H120" i="6"/>
  <c r="N119" i="6"/>
  <c r="I119" i="6"/>
  <c r="C119" i="6"/>
  <c r="G112" i="6"/>
  <c r="N111" i="6"/>
  <c r="C96" i="6"/>
  <c r="O96" i="6"/>
  <c r="G96" i="6"/>
  <c r="G80" i="6"/>
  <c r="K80" i="6"/>
  <c r="E59" i="6"/>
  <c r="J59" i="6"/>
  <c r="L59" i="6"/>
  <c r="L56" i="6"/>
  <c r="D56" i="6"/>
  <c r="I56" i="6"/>
  <c r="Q56" i="12" s="1"/>
  <c r="F42" i="6"/>
  <c r="I42" i="6"/>
  <c r="H36" i="6"/>
  <c r="C31" i="6"/>
  <c r="L31" i="5" s="1"/>
  <c r="K31" i="6"/>
  <c r="S31" i="12" s="1"/>
  <c r="E31" i="6"/>
  <c r="M31" i="6"/>
  <c r="H29" i="6"/>
  <c r="G18" i="6"/>
  <c r="L18" i="6"/>
  <c r="C9" i="6"/>
  <c r="L9" i="5" s="1"/>
  <c r="I9" i="6"/>
  <c r="Q9" i="12" s="1"/>
  <c r="M9" i="6"/>
  <c r="F188" i="10"/>
  <c r="K188" i="10"/>
  <c r="D187" i="10"/>
  <c r="B187" i="10"/>
  <c r="J187" i="10"/>
  <c r="E187" i="10"/>
  <c r="L187" i="10"/>
  <c r="O184" i="10"/>
  <c r="D179" i="10"/>
  <c r="F179" i="10"/>
  <c r="H179" i="10"/>
  <c r="B177" i="10"/>
  <c r="D177" i="10"/>
  <c r="L177" i="10"/>
  <c r="E177" i="10"/>
  <c r="M177" i="10"/>
  <c r="F144" i="10"/>
  <c r="O144" i="10"/>
  <c r="I144" i="10"/>
  <c r="J144" i="10"/>
  <c r="N144" i="10"/>
  <c r="E130" i="10"/>
  <c r="L130" i="10"/>
  <c r="B97" i="10"/>
  <c r="C97" i="10"/>
  <c r="K97" i="10"/>
  <c r="E97" i="10"/>
  <c r="M97" i="10"/>
  <c r="G97" i="10"/>
  <c r="O97" i="10"/>
  <c r="L94" i="7"/>
  <c r="B94" i="7"/>
  <c r="B52" i="7"/>
  <c r="L49" i="7"/>
  <c r="I31" i="7"/>
  <c r="I12" i="7"/>
  <c r="N183" i="6"/>
  <c r="F183" i="6"/>
  <c r="K181" i="6"/>
  <c r="E181" i="6"/>
  <c r="O180" i="6"/>
  <c r="E180" i="6"/>
  <c r="J177" i="6"/>
  <c r="F175" i="6"/>
  <c r="J161" i="6"/>
  <c r="D161" i="6"/>
  <c r="M155" i="6"/>
  <c r="H155" i="6"/>
  <c r="I139" i="6"/>
  <c r="F138" i="6"/>
  <c r="L133" i="6"/>
  <c r="K123" i="6"/>
  <c r="G120" i="6"/>
  <c r="M119" i="6"/>
  <c r="G119" i="6"/>
  <c r="O112" i="6"/>
  <c r="B111" i="6"/>
  <c r="E111" i="6"/>
  <c r="K111" i="6"/>
  <c r="C99" i="6"/>
  <c r="G99" i="6"/>
  <c r="K99" i="6"/>
  <c r="B93" i="6"/>
  <c r="F93" i="6"/>
  <c r="L93" i="6"/>
  <c r="E81" i="6"/>
  <c r="L81" i="6"/>
  <c r="I68" i="6"/>
  <c r="O68" i="6"/>
  <c r="C52" i="6"/>
  <c r="H52" i="6"/>
  <c r="M52" i="6"/>
  <c r="D52" i="6"/>
  <c r="I52" i="6"/>
  <c r="O52" i="6"/>
  <c r="F50" i="6"/>
  <c r="I50" i="6"/>
  <c r="M50" i="12" s="1"/>
  <c r="E41" i="6"/>
  <c r="D41" i="6"/>
  <c r="L41" i="6"/>
  <c r="F41" i="6"/>
  <c r="M41" i="6"/>
  <c r="F34" i="6"/>
  <c r="C17" i="6"/>
  <c r="D17" i="6"/>
  <c r="L17" i="6"/>
  <c r="O17" i="12" s="1"/>
  <c r="F17" i="6"/>
  <c r="M17" i="6"/>
  <c r="D174" i="10"/>
  <c r="H174" i="10"/>
  <c r="L174" i="10"/>
  <c r="D163" i="10"/>
  <c r="H163" i="10"/>
  <c r="E135" i="10"/>
  <c r="M135" i="10"/>
  <c r="L118" i="10"/>
  <c r="H118" i="10"/>
  <c r="C112" i="10"/>
  <c r="F112" i="10"/>
  <c r="K112" i="10"/>
  <c r="D64" i="10"/>
  <c r="C64" i="10"/>
  <c r="N64" i="10"/>
  <c r="F64" i="10"/>
  <c r="I64" i="10"/>
  <c r="K64" i="10"/>
  <c r="E58" i="10"/>
  <c r="M58" i="10"/>
  <c r="D36" i="10"/>
  <c r="K36" i="10"/>
  <c r="D119" i="6"/>
  <c r="H119" i="6"/>
  <c r="L119" i="12" s="1"/>
  <c r="L119" i="6"/>
  <c r="C112" i="6"/>
  <c r="D112" i="6"/>
  <c r="K112" i="6"/>
  <c r="D85" i="6"/>
  <c r="I85" i="6"/>
  <c r="N85" i="6"/>
  <c r="I63" i="6"/>
  <c r="Q63" i="12" s="1"/>
  <c r="M63" i="6"/>
  <c r="H60" i="6"/>
  <c r="L60" i="6"/>
  <c r="E36" i="6"/>
  <c r="C36" i="6"/>
  <c r="I36" i="6"/>
  <c r="M36" i="12" s="1"/>
  <c r="D36" i="6"/>
  <c r="L36" i="6"/>
  <c r="E30" i="6"/>
  <c r="I30" i="6"/>
  <c r="C29" i="6"/>
  <c r="B29" i="6"/>
  <c r="J29" i="6"/>
  <c r="E29" i="6"/>
  <c r="L29" i="6"/>
  <c r="I20" i="6"/>
  <c r="Q20" i="12" s="1"/>
  <c r="N20" i="6"/>
  <c r="C184" i="10"/>
  <c r="F184" i="10"/>
  <c r="G184" i="10"/>
  <c r="C165" i="10"/>
  <c r="M165" i="10"/>
  <c r="B152" i="10"/>
  <c r="J152" i="10"/>
  <c r="C140" i="10"/>
  <c r="O140" i="10"/>
  <c r="K140" i="10"/>
  <c r="B137" i="10"/>
  <c r="D137" i="10"/>
  <c r="F137" i="10"/>
  <c r="N137" i="10"/>
  <c r="D124" i="10"/>
  <c r="F124" i="10"/>
  <c r="G124" i="10"/>
  <c r="M124" i="10"/>
  <c r="O124" i="10"/>
  <c r="D92" i="10"/>
  <c r="C92" i="10"/>
  <c r="I92" i="10"/>
  <c r="K92" i="10"/>
  <c r="N92" i="10"/>
  <c r="B18" i="10"/>
  <c r="G18" i="10"/>
  <c r="M18" i="10"/>
  <c r="C18" i="10"/>
  <c r="I18" i="10"/>
  <c r="N18" i="10"/>
  <c r="E18" i="10"/>
  <c r="J18" i="10"/>
  <c r="O18" i="10"/>
  <c r="J101" i="6"/>
  <c r="D101" i="6"/>
  <c r="I95" i="6"/>
  <c r="M95" i="12" s="1"/>
  <c r="O84" i="6"/>
  <c r="F77" i="6"/>
  <c r="M75" i="6"/>
  <c r="M67" i="6"/>
  <c r="F45" i="6"/>
  <c r="K44" i="6"/>
  <c r="D39" i="6"/>
  <c r="K35" i="6"/>
  <c r="R35" i="12" s="1"/>
  <c r="O27" i="6"/>
  <c r="C27" i="6"/>
  <c r="H25" i="6"/>
  <c r="P25" i="12" s="1"/>
  <c r="F11" i="6"/>
  <c r="O8" i="6"/>
  <c r="B8" i="6"/>
  <c r="B117" i="10"/>
  <c r="I117" i="10"/>
  <c r="M117" i="10"/>
  <c r="D101" i="10"/>
  <c r="J101" i="10"/>
  <c r="E101" i="10"/>
  <c r="L101" i="10"/>
  <c r="F101" i="10"/>
  <c r="N101" i="10"/>
  <c r="B74" i="10"/>
  <c r="I74" i="10"/>
  <c r="B66" i="10"/>
  <c r="D66" i="10"/>
  <c r="I66" i="10"/>
  <c r="L66" i="10"/>
  <c r="D48" i="10"/>
  <c r="C48" i="10"/>
  <c r="G48" i="10"/>
  <c r="K48" i="10"/>
  <c r="F28" i="10"/>
  <c r="K28" i="10"/>
  <c r="B19" i="10"/>
  <c r="F19" i="10"/>
  <c r="J19" i="10"/>
  <c r="N19" i="10"/>
  <c r="C19" i="10"/>
  <c r="G19" i="10"/>
  <c r="K19" i="10"/>
  <c r="O19" i="10"/>
  <c r="D19" i="10"/>
  <c r="H19" i="10"/>
  <c r="L19" i="10"/>
  <c r="J176" i="10"/>
  <c r="M171" i="10"/>
  <c r="F171" i="10"/>
  <c r="E155" i="10"/>
  <c r="B155" i="10"/>
  <c r="I155" i="10"/>
  <c r="D155" i="10"/>
  <c r="L155" i="10"/>
  <c r="C150" i="10"/>
  <c r="G150" i="10"/>
  <c r="L150" i="10"/>
  <c r="C128" i="10"/>
  <c r="K128" i="10"/>
  <c r="D116" i="10"/>
  <c r="F116" i="10"/>
  <c r="K116" i="10"/>
  <c r="B98" i="10"/>
  <c r="D98" i="10"/>
  <c r="H98" i="10"/>
  <c r="I98" i="10"/>
  <c r="D73" i="10"/>
  <c r="F73" i="10"/>
  <c r="I73" i="10"/>
  <c r="L73" i="10"/>
  <c r="E23" i="10"/>
  <c r="I23" i="10"/>
  <c r="M19" i="10"/>
  <c r="K18" i="10"/>
  <c r="I134" i="10"/>
  <c r="M125" i="10"/>
  <c r="H125" i="10"/>
  <c r="B125" i="10"/>
  <c r="I114" i="10"/>
  <c r="M110" i="10"/>
  <c r="D110" i="10"/>
  <c r="H94" i="10"/>
  <c r="M93" i="10"/>
  <c r="E93" i="10"/>
  <c r="B89" i="10"/>
  <c r="K88" i="10"/>
  <c r="E88" i="10"/>
  <c r="F84" i="10"/>
  <c r="M82" i="10"/>
  <c r="F80" i="10"/>
  <c r="M77" i="10"/>
  <c r="K68" i="10"/>
  <c r="E68" i="10"/>
  <c r="O65" i="10"/>
  <c r="C65" i="10"/>
  <c r="G61" i="10"/>
  <c r="O57" i="10"/>
  <c r="K57" i="10"/>
  <c r="G57" i="10"/>
  <c r="C57" i="10"/>
  <c r="N56" i="10"/>
  <c r="I56" i="10"/>
  <c r="C56" i="10"/>
  <c r="I53" i="10"/>
  <c r="F52" i="10"/>
  <c r="I50" i="10"/>
  <c r="K49" i="10"/>
  <c r="E49" i="10"/>
  <c r="F45" i="10"/>
  <c r="M44" i="10"/>
  <c r="B44" i="10"/>
  <c r="E42" i="10"/>
  <c r="F40" i="10"/>
  <c r="E38" i="10"/>
  <c r="E37" i="10"/>
  <c r="J24" i="10"/>
  <c r="B24" i="10"/>
  <c r="M22" i="10"/>
  <c r="N17" i="10"/>
  <c r="I15" i="10"/>
  <c r="F14" i="10"/>
  <c r="F13" i="10"/>
  <c r="H12" i="10"/>
  <c r="M11" i="10"/>
  <c r="E11" i="10"/>
  <c r="G10" i="10"/>
  <c r="I9" i="10"/>
  <c r="I8" i="10"/>
  <c r="L153" i="10"/>
  <c r="D94" i="10"/>
  <c r="K93" i="10"/>
  <c r="C93" i="10"/>
  <c r="J88" i="10"/>
  <c r="B88" i="10"/>
  <c r="N84" i="10"/>
  <c r="I82" i="10"/>
  <c r="E77" i="10"/>
  <c r="I71" i="10"/>
  <c r="J68" i="10"/>
  <c r="B68" i="10"/>
  <c r="O61" i="10"/>
  <c r="C61" i="10"/>
  <c r="N57" i="10"/>
  <c r="J57" i="10"/>
  <c r="F57" i="10"/>
  <c r="M56" i="10"/>
  <c r="G56" i="10"/>
  <c r="B56" i="10"/>
  <c r="M54" i="10"/>
  <c r="E53" i="10"/>
  <c r="J49" i="10"/>
  <c r="N45" i="10"/>
  <c r="C45" i="10"/>
  <c r="G22" i="10"/>
  <c r="E15" i="10"/>
  <c r="C12" i="10"/>
  <c r="J11" i="10"/>
  <c r="B11" i="10"/>
  <c r="F10" i="10"/>
  <c r="D9" i="10"/>
  <c r="E8" i="10"/>
  <c r="C166" i="5"/>
  <c r="O161" i="5"/>
  <c r="C161" i="5"/>
  <c r="O157" i="5"/>
  <c r="C157" i="5"/>
  <c r="N153" i="5"/>
  <c r="O147" i="5"/>
  <c r="K139" i="5"/>
  <c r="N138" i="5"/>
  <c r="N137" i="5"/>
  <c r="C131" i="5"/>
  <c r="N126" i="5"/>
  <c r="O115" i="5"/>
  <c r="I49" i="5"/>
  <c r="I48" i="5"/>
  <c r="C46" i="5"/>
  <c r="O38" i="5"/>
  <c r="N36" i="5"/>
  <c r="N35" i="5"/>
  <c r="N34" i="5"/>
  <c r="P34" i="5" s="1"/>
  <c r="I33" i="5"/>
  <c r="I32" i="5"/>
  <c r="C30" i="5"/>
  <c r="O22" i="5"/>
  <c r="N20" i="5"/>
  <c r="N19" i="5"/>
  <c r="N18" i="5"/>
  <c r="I17" i="5"/>
  <c r="I16" i="5"/>
  <c r="C14" i="5"/>
  <c r="I56" i="8"/>
  <c r="C19" i="8"/>
  <c r="H19" i="8"/>
  <c r="E19" i="8"/>
  <c r="B18" i="8"/>
  <c r="G18" i="8"/>
  <c r="E18" i="8"/>
  <c r="J18" i="8"/>
  <c r="D11" i="8"/>
  <c r="G11" i="8"/>
  <c r="M178" i="11"/>
  <c r="E178" i="11"/>
  <c r="C162" i="11"/>
  <c r="M162" i="11"/>
  <c r="E162" i="11"/>
  <c r="D159" i="11"/>
  <c r="E159" i="11"/>
  <c r="O159" i="5"/>
  <c r="O155" i="5"/>
  <c r="K153" i="5"/>
  <c r="N147" i="5"/>
  <c r="N115" i="5"/>
  <c r="N40" i="5"/>
  <c r="N38" i="5"/>
  <c r="N24" i="5"/>
  <c r="N22" i="5"/>
  <c r="P22" i="5" s="1"/>
  <c r="N8" i="5"/>
  <c r="C54" i="8"/>
  <c r="E54" i="8"/>
  <c r="C30" i="8"/>
  <c r="E30" i="8"/>
  <c r="C14" i="8"/>
  <c r="E14" i="8"/>
  <c r="G14" i="8"/>
  <c r="C10" i="8"/>
  <c r="F10" i="8"/>
  <c r="D181" i="11"/>
  <c r="F181" i="11"/>
  <c r="L171" i="11"/>
  <c r="C170" i="11"/>
  <c r="M170" i="11"/>
  <c r="E170" i="11"/>
  <c r="D161" i="11"/>
  <c r="F161" i="11"/>
  <c r="C158" i="11"/>
  <c r="K158" i="11"/>
  <c r="I149" i="11"/>
  <c r="K149" i="11"/>
  <c r="F149" i="11"/>
  <c r="N166" i="5"/>
  <c r="K159" i="5"/>
  <c r="K155" i="5"/>
  <c r="C153" i="5"/>
  <c r="C147" i="5"/>
  <c r="N142" i="5"/>
  <c r="O131" i="5"/>
  <c r="K123" i="5"/>
  <c r="N121" i="5"/>
  <c r="C115" i="5"/>
  <c r="N110" i="5"/>
  <c r="N106" i="5"/>
  <c r="N102" i="5"/>
  <c r="N98" i="5"/>
  <c r="N94" i="5"/>
  <c r="N90" i="5"/>
  <c r="N86" i="5"/>
  <c r="N82" i="5"/>
  <c r="N78" i="5"/>
  <c r="N74" i="5"/>
  <c r="N70" i="5"/>
  <c r="N66" i="5"/>
  <c r="H62" i="5"/>
  <c r="O46" i="5"/>
  <c r="N43" i="5"/>
  <c r="I41" i="5"/>
  <c r="I40" i="5"/>
  <c r="C38" i="5"/>
  <c r="O30" i="5"/>
  <c r="N27" i="5"/>
  <c r="I25" i="5"/>
  <c r="I24" i="5"/>
  <c r="C22" i="5"/>
  <c r="O14" i="5"/>
  <c r="N11" i="5"/>
  <c r="I9" i="5"/>
  <c r="I8" i="5"/>
  <c r="D47" i="8"/>
  <c r="H47" i="8"/>
  <c r="E47" i="8"/>
  <c r="C43" i="8"/>
  <c r="G43" i="8"/>
  <c r="D185" i="11"/>
  <c r="F185" i="11"/>
  <c r="B183" i="11"/>
  <c r="I183" i="11"/>
  <c r="D183" i="11"/>
  <c r="B163" i="11"/>
  <c r="I163" i="11"/>
  <c r="D163" i="11"/>
  <c r="C46" i="8"/>
  <c r="G46" i="8"/>
  <c r="B42" i="8"/>
  <c r="F42" i="8"/>
  <c r="D15" i="8"/>
  <c r="H15" i="8"/>
  <c r="B171" i="11"/>
  <c r="I171" i="11"/>
  <c r="D171" i="11"/>
  <c r="E151" i="11"/>
  <c r="I151" i="11"/>
  <c r="D151" i="11"/>
  <c r="M151" i="11"/>
  <c r="M144" i="11"/>
  <c r="F144" i="11"/>
  <c r="J140" i="11"/>
  <c r="L136" i="11"/>
  <c r="K134" i="11"/>
  <c r="M133" i="11"/>
  <c r="F126" i="11"/>
  <c r="K122" i="11"/>
  <c r="J116" i="11"/>
  <c r="C111" i="11"/>
  <c r="M106" i="11"/>
  <c r="G106" i="11"/>
  <c r="I103" i="11"/>
  <c r="K102" i="11"/>
  <c r="G99" i="11"/>
  <c r="I98" i="11"/>
  <c r="L94" i="11"/>
  <c r="H94" i="11"/>
  <c r="D94" i="11"/>
  <c r="H92" i="11"/>
  <c r="O91" i="11"/>
  <c r="D91" i="11"/>
  <c r="K90" i="11"/>
  <c r="C90" i="11"/>
  <c r="M86" i="11"/>
  <c r="J84" i="11"/>
  <c r="B84" i="11"/>
  <c r="G81" i="11"/>
  <c r="I80" i="11"/>
  <c r="E75" i="11"/>
  <c r="I74" i="11"/>
  <c r="J72" i="11"/>
  <c r="E72" i="11"/>
  <c r="I71" i="11"/>
  <c r="I70" i="11"/>
  <c r="M69" i="11"/>
  <c r="J68" i="11"/>
  <c r="B68" i="11"/>
  <c r="I66" i="11"/>
  <c r="C64" i="11"/>
  <c r="F64" i="11"/>
  <c r="M64" i="11"/>
  <c r="B59" i="11"/>
  <c r="I59" i="11"/>
  <c r="M45" i="11"/>
  <c r="C37" i="11"/>
  <c r="F37" i="11"/>
  <c r="K37" i="11"/>
  <c r="O31" i="11"/>
  <c r="J18" i="11"/>
  <c r="D14" i="11"/>
  <c r="H14" i="11"/>
  <c r="L14" i="11"/>
  <c r="F175" i="12"/>
  <c r="D175" i="12"/>
  <c r="G166" i="12"/>
  <c r="C150" i="12"/>
  <c r="E150" i="12"/>
  <c r="C131" i="12"/>
  <c r="E131" i="12"/>
  <c r="C101" i="12"/>
  <c r="B101" i="12"/>
  <c r="F101" i="12"/>
  <c r="G58" i="12"/>
  <c r="D58" i="12"/>
  <c r="B48" i="12"/>
  <c r="E48" i="12"/>
  <c r="C42" i="12"/>
  <c r="G42" i="12"/>
  <c r="C35" i="12"/>
  <c r="F35" i="12"/>
  <c r="C29" i="12"/>
  <c r="B29" i="12"/>
  <c r="D29" i="12"/>
  <c r="E29" i="12"/>
  <c r="D9" i="12"/>
  <c r="F9" i="12"/>
  <c r="E150" i="13"/>
  <c r="C150" i="13"/>
  <c r="G150" i="13"/>
  <c r="C54" i="11"/>
  <c r="B54" i="11"/>
  <c r="H54" i="11"/>
  <c r="M54" i="11"/>
  <c r="D54" i="11"/>
  <c r="I54" i="11"/>
  <c r="N54" i="11"/>
  <c r="C52" i="11"/>
  <c r="D52" i="11"/>
  <c r="N52" i="11"/>
  <c r="F52" i="11"/>
  <c r="C50" i="11"/>
  <c r="L50" i="11"/>
  <c r="C47" i="11"/>
  <c r="K47" i="11"/>
  <c r="E35" i="11"/>
  <c r="H35" i="11"/>
  <c r="K35" i="11"/>
  <c r="D189" i="12"/>
  <c r="F189" i="12"/>
  <c r="G189" i="12"/>
  <c r="C181" i="12"/>
  <c r="F181" i="12"/>
  <c r="C122" i="12"/>
  <c r="F122" i="12"/>
  <c r="G122" i="12"/>
  <c r="B86" i="12"/>
  <c r="G86" i="12"/>
  <c r="C73" i="12"/>
  <c r="B73" i="12"/>
  <c r="E73" i="12"/>
  <c r="C70" i="12"/>
  <c r="F70" i="12"/>
  <c r="F60" i="12"/>
  <c r="C60" i="12"/>
  <c r="B41" i="12"/>
  <c r="C41" i="12"/>
  <c r="E41" i="12"/>
  <c r="G41" i="12"/>
  <c r="C37" i="12"/>
  <c r="B37" i="12"/>
  <c r="E37" i="12"/>
  <c r="F37" i="12"/>
  <c r="C14" i="12"/>
  <c r="G14" i="12"/>
  <c r="D149" i="13"/>
  <c r="B149" i="13"/>
  <c r="F149" i="13"/>
  <c r="G149" i="13"/>
  <c r="E35" i="8"/>
  <c r="I167" i="11"/>
  <c r="H155" i="11"/>
  <c r="I154" i="11"/>
  <c r="I148" i="11"/>
  <c r="H147" i="11"/>
  <c r="I146" i="11"/>
  <c r="F145" i="11"/>
  <c r="J144" i="11"/>
  <c r="G142" i="11"/>
  <c r="B140" i="11"/>
  <c r="E136" i="11"/>
  <c r="C134" i="11"/>
  <c r="J132" i="11"/>
  <c r="C122" i="11"/>
  <c r="F117" i="11"/>
  <c r="I113" i="11"/>
  <c r="L111" i="11"/>
  <c r="I107" i="11"/>
  <c r="K106" i="11"/>
  <c r="C106" i="11"/>
  <c r="O103" i="11"/>
  <c r="O98" i="11"/>
  <c r="C98" i="11"/>
  <c r="N94" i="11"/>
  <c r="J94" i="11"/>
  <c r="F94" i="11"/>
  <c r="M92" i="11"/>
  <c r="B92" i="11"/>
  <c r="I91" i="11"/>
  <c r="O90" i="11"/>
  <c r="G90" i="11"/>
  <c r="K89" i="11"/>
  <c r="M84" i="11"/>
  <c r="F84" i="11"/>
  <c r="M83" i="11"/>
  <c r="E82" i="11"/>
  <c r="N80" i="11"/>
  <c r="D80" i="11"/>
  <c r="O74" i="11"/>
  <c r="C74" i="11"/>
  <c r="M72" i="11"/>
  <c r="H72" i="11"/>
  <c r="B72" i="11"/>
  <c r="O70" i="11"/>
  <c r="C70" i="11"/>
  <c r="M68" i="11"/>
  <c r="F68" i="11"/>
  <c r="I67" i="11"/>
  <c r="E64" i="11"/>
  <c r="C62" i="11"/>
  <c r="E62" i="11"/>
  <c r="J62" i="11"/>
  <c r="D61" i="11"/>
  <c r="C61" i="11"/>
  <c r="O61" i="11"/>
  <c r="J54" i="11"/>
  <c r="D49" i="11"/>
  <c r="G49" i="11"/>
  <c r="K49" i="11"/>
  <c r="K41" i="11"/>
  <c r="F36" i="11"/>
  <c r="D36" i="11"/>
  <c r="L36" i="11"/>
  <c r="D30" i="11"/>
  <c r="G30" i="11"/>
  <c r="L30" i="11"/>
  <c r="D27" i="11"/>
  <c r="L27" i="11"/>
  <c r="F24" i="11"/>
  <c r="L24" i="11"/>
  <c r="M24" i="11"/>
  <c r="D16" i="11"/>
  <c r="L16" i="11"/>
  <c r="E10" i="11"/>
  <c r="H10" i="11"/>
  <c r="K190" i="12"/>
  <c r="C138" i="12"/>
  <c r="E138" i="12"/>
  <c r="F138" i="12"/>
  <c r="C130" i="12"/>
  <c r="B130" i="12"/>
  <c r="F130" i="12"/>
  <c r="F126" i="12"/>
  <c r="E123" i="12"/>
  <c r="D103" i="12"/>
  <c r="F103" i="12"/>
  <c r="F89" i="12"/>
  <c r="D89" i="12"/>
  <c r="E62" i="12"/>
  <c r="G62" i="12"/>
  <c r="B44" i="12"/>
  <c r="C44" i="12"/>
  <c r="F44" i="12"/>
  <c r="D23" i="12"/>
  <c r="B23" i="12"/>
  <c r="F23" i="12"/>
  <c r="C158" i="13"/>
  <c r="E158" i="13"/>
  <c r="K126" i="11"/>
  <c r="K111" i="11"/>
  <c r="G91" i="11"/>
  <c r="M90" i="11"/>
  <c r="L84" i="11"/>
  <c r="E84" i="11"/>
  <c r="M75" i="11"/>
  <c r="L68" i="11"/>
  <c r="E68" i="11"/>
  <c r="C56" i="11"/>
  <c r="F56" i="11"/>
  <c r="F54" i="11"/>
  <c r="L52" i="11"/>
  <c r="E45" i="11"/>
  <c r="F45" i="11"/>
  <c r="O45" i="11"/>
  <c r="G45" i="11"/>
  <c r="L35" i="11"/>
  <c r="C26" i="11"/>
  <c r="F26" i="11"/>
  <c r="K26" i="11"/>
  <c r="C18" i="11"/>
  <c r="B18" i="11"/>
  <c r="H18" i="11"/>
  <c r="M18" i="11"/>
  <c r="D18" i="11"/>
  <c r="I18" i="11"/>
  <c r="N18" i="11"/>
  <c r="D183" i="12"/>
  <c r="F183" i="12"/>
  <c r="C161" i="12"/>
  <c r="E161" i="12"/>
  <c r="B156" i="12"/>
  <c r="G156" i="12"/>
  <c r="C139" i="12"/>
  <c r="E139" i="12"/>
  <c r="C81" i="12"/>
  <c r="F81" i="12"/>
  <c r="B56" i="12"/>
  <c r="F56" i="12"/>
  <c r="C33" i="12"/>
  <c r="E33" i="12"/>
  <c r="D176" i="13"/>
  <c r="F176" i="13"/>
  <c r="D157" i="13"/>
  <c r="B157" i="13"/>
  <c r="F157" i="13"/>
  <c r="G157" i="13"/>
  <c r="C49" i="12"/>
  <c r="F43" i="12"/>
  <c r="E122" i="13"/>
  <c r="F108" i="13"/>
  <c r="E104" i="13"/>
  <c r="E90" i="13"/>
  <c r="F86" i="13"/>
  <c r="F83" i="13"/>
  <c r="I60" i="11"/>
  <c r="I53" i="11"/>
  <c r="E151" i="12"/>
  <c r="F109" i="12"/>
  <c r="E99" i="12"/>
  <c r="E87" i="12"/>
  <c r="F63" i="12"/>
  <c r="G49" i="12"/>
  <c r="E40" i="12"/>
  <c r="C126" i="13"/>
  <c r="B122" i="13"/>
  <c r="G9" i="14"/>
  <c r="G183" i="14"/>
  <c r="Q189" i="2"/>
  <c r="I189" i="2"/>
  <c r="C189" i="2"/>
  <c r="F189" i="2" s="1"/>
  <c r="Q163" i="2"/>
  <c r="I152" i="2"/>
  <c r="S150" i="2"/>
  <c r="S139" i="2"/>
  <c r="S136" i="2"/>
  <c r="E136" i="2"/>
  <c r="G136" i="2" s="1"/>
  <c r="Q124" i="2"/>
  <c r="P189" i="2"/>
  <c r="H189" i="2"/>
  <c r="B189" i="2"/>
  <c r="I187" i="2"/>
  <c r="I186" i="2"/>
  <c r="S184" i="2"/>
  <c r="S182" i="2"/>
  <c r="M181" i="2"/>
  <c r="H177" i="2"/>
  <c r="Q176" i="2"/>
  <c r="P175" i="2"/>
  <c r="H175" i="2"/>
  <c r="Q174" i="2"/>
  <c r="R171" i="2"/>
  <c r="I169" i="2"/>
  <c r="S166" i="2"/>
  <c r="L163" i="2"/>
  <c r="D160" i="2"/>
  <c r="E159" i="2"/>
  <c r="R155" i="2"/>
  <c r="D152" i="2"/>
  <c r="C150" i="2"/>
  <c r="L148" i="2"/>
  <c r="Q147" i="2"/>
  <c r="E147" i="2"/>
  <c r="G147" i="2" s="1"/>
  <c r="S140" i="2"/>
  <c r="I140" i="2"/>
  <c r="I139" i="2"/>
  <c r="L137" i="2"/>
  <c r="R136" i="2"/>
  <c r="B136" i="2"/>
  <c r="S131" i="2"/>
  <c r="M128" i="2"/>
  <c r="C128" i="2"/>
  <c r="F128" i="2" s="1"/>
  <c r="I125" i="2"/>
  <c r="M124" i="2"/>
  <c r="B124" i="2"/>
  <c r="D122" i="2"/>
  <c r="S116" i="2"/>
  <c r="M116" i="2"/>
  <c r="N116" i="2" s="1"/>
  <c r="O116" i="2" s="1"/>
  <c r="E116" i="2"/>
  <c r="I115" i="2"/>
  <c r="D114" i="2"/>
  <c r="L110" i="2"/>
  <c r="R108" i="2"/>
  <c r="M108" i="2"/>
  <c r="H108" i="2"/>
  <c r="B108" i="2"/>
  <c r="D106" i="2"/>
  <c r="D105" i="2"/>
  <c r="I101" i="2"/>
  <c r="E100" i="2"/>
  <c r="S96" i="2"/>
  <c r="L96" i="2"/>
  <c r="B96" i="2"/>
  <c r="L94" i="2"/>
  <c r="R88" i="2"/>
  <c r="L88" i="2"/>
  <c r="N88" i="2" s="1"/>
  <c r="O88" i="2" s="1"/>
  <c r="D88" i="2"/>
  <c r="F88" i="2" s="1"/>
  <c r="Q87" i="2"/>
  <c r="L85" i="2"/>
  <c r="R84" i="2"/>
  <c r="L84" i="2"/>
  <c r="D78" i="2"/>
  <c r="L78" i="2"/>
  <c r="B76" i="2"/>
  <c r="H76" i="2"/>
  <c r="M76" i="2"/>
  <c r="R76" i="2"/>
  <c r="I74" i="2"/>
  <c r="R72" i="2"/>
  <c r="H72" i="2"/>
  <c r="S68" i="2"/>
  <c r="L68" i="2"/>
  <c r="Q64" i="2"/>
  <c r="S59" i="2"/>
  <c r="E56" i="2"/>
  <c r="H56" i="2"/>
  <c r="S56" i="2"/>
  <c r="D48" i="2"/>
  <c r="G48" i="2" s="1"/>
  <c r="L48" i="2"/>
  <c r="R48" i="2"/>
  <c r="I44" i="2"/>
  <c r="J44" i="2" s="1"/>
  <c r="K44" i="2" s="1"/>
  <c r="D40" i="2"/>
  <c r="C40" i="2"/>
  <c r="R40" i="2"/>
  <c r="L38" i="2"/>
  <c r="E28" i="2"/>
  <c r="G28" i="2" s="1"/>
  <c r="Q28" i="2"/>
  <c r="C28" i="2"/>
  <c r="F28" i="2" s="1"/>
  <c r="L28" i="2"/>
  <c r="D26" i="2"/>
  <c r="I26" i="2"/>
  <c r="D16" i="2"/>
  <c r="G16" i="2" s="1"/>
  <c r="L16" i="2"/>
  <c r="R16" i="2"/>
  <c r="B16" i="2"/>
  <c r="H16" i="2"/>
  <c r="P16" i="2"/>
  <c r="D177" i="3"/>
  <c r="I177" i="3"/>
  <c r="L175" i="3"/>
  <c r="P174" i="3"/>
  <c r="D173" i="3"/>
  <c r="P173" i="3"/>
  <c r="Q165" i="3"/>
  <c r="B164" i="3"/>
  <c r="I164" i="3"/>
  <c r="J160" i="3"/>
  <c r="K160" i="3" s="1"/>
  <c r="Q160" i="3"/>
  <c r="F160" i="3"/>
  <c r="D158" i="3"/>
  <c r="M158" i="3"/>
  <c r="D153" i="3"/>
  <c r="I153" i="3"/>
  <c r="Q153" i="3"/>
  <c r="F147" i="3"/>
  <c r="B147" i="3"/>
  <c r="L147" i="3"/>
  <c r="G147" i="3"/>
  <c r="P147" i="3"/>
  <c r="D84" i="2"/>
  <c r="E84" i="2"/>
  <c r="L82" i="2"/>
  <c r="D82" i="2"/>
  <c r="I71" i="2"/>
  <c r="Q71" i="2"/>
  <c r="C68" i="2"/>
  <c r="I68" i="2"/>
  <c r="Q68" i="2"/>
  <c r="D45" i="2"/>
  <c r="L45" i="2"/>
  <c r="Q25" i="2"/>
  <c r="L25" i="2"/>
  <c r="B180" i="3"/>
  <c r="I180" i="3"/>
  <c r="I175" i="3"/>
  <c r="L174" i="3"/>
  <c r="M165" i="3"/>
  <c r="C163" i="3"/>
  <c r="E163" i="3" s="1"/>
  <c r="J163" i="3"/>
  <c r="P163" i="3"/>
  <c r="F163" i="3"/>
  <c r="N163" i="3"/>
  <c r="C162" i="3"/>
  <c r="E162" i="3" s="1"/>
  <c r="M162" i="3"/>
  <c r="I162" i="3"/>
  <c r="Q162" i="3"/>
  <c r="N159" i="3"/>
  <c r="F155" i="3"/>
  <c r="G155" i="3"/>
  <c r="P155" i="3"/>
  <c r="B155" i="3"/>
  <c r="L155" i="3"/>
  <c r="C192" i="2"/>
  <c r="R189" i="2"/>
  <c r="L189" i="2"/>
  <c r="P187" i="2"/>
  <c r="B187" i="2"/>
  <c r="L185" i="2"/>
  <c r="R177" i="2"/>
  <c r="L177" i="2"/>
  <c r="B177" i="2"/>
  <c r="L175" i="2"/>
  <c r="B175" i="2"/>
  <c r="C174" i="2"/>
  <c r="I172" i="2"/>
  <c r="M167" i="2"/>
  <c r="R163" i="2"/>
  <c r="B163" i="2"/>
  <c r="R159" i="2"/>
  <c r="B155" i="2"/>
  <c r="D149" i="2"/>
  <c r="S147" i="2"/>
  <c r="L147" i="2"/>
  <c r="B147" i="2"/>
  <c r="I145" i="2"/>
  <c r="L136" i="2"/>
  <c r="R124" i="2"/>
  <c r="H124" i="2"/>
  <c r="D121" i="2"/>
  <c r="C119" i="2"/>
  <c r="I117" i="2"/>
  <c r="Q116" i="2"/>
  <c r="I116" i="2"/>
  <c r="B116" i="2"/>
  <c r="Q114" i="2"/>
  <c r="C111" i="2"/>
  <c r="P108" i="2"/>
  <c r="D108" i="2"/>
  <c r="G108" i="2" s="1"/>
  <c r="L106" i="2"/>
  <c r="Q105" i="2"/>
  <c r="L102" i="2"/>
  <c r="Q100" i="2"/>
  <c r="P96" i="2"/>
  <c r="E96" i="2"/>
  <c r="G96" i="2" s="1"/>
  <c r="C95" i="2"/>
  <c r="P88" i="2"/>
  <c r="H88" i="2"/>
  <c r="H84" i="2"/>
  <c r="J84" i="2" s="1"/>
  <c r="K84" i="2" s="1"/>
  <c r="C83" i="2"/>
  <c r="I83" i="2"/>
  <c r="C79" i="2"/>
  <c r="L72" i="2"/>
  <c r="P68" i="2"/>
  <c r="E68" i="2"/>
  <c r="L54" i="2"/>
  <c r="I47" i="2"/>
  <c r="Q47" i="2"/>
  <c r="R44" i="2"/>
  <c r="D30" i="2"/>
  <c r="L30" i="2"/>
  <c r="B24" i="2"/>
  <c r="P24" i="2"/>
  <c r="B15" i="2"/>
  <c r="S15" i="2"/>
  <c r="C15" i="2"/>
  <c r="F176" i="3"/>
  <c r="N176" i="3"/>
  <c r="B176" i="3"/>
  <c r="B167" i="3"/>
  <c r="G167" i="3"/>
  <c r="L163" i="3"/>
  <c r="P162" i="3"/>
  <c r="O155" i="3"/>
  <c r="B154" i="3"/>
  <c r="C154" i="3"/>
  <c r="E154" i="3" s="1"/>
  <c r="L154" i="3"/>
  <c r="Q154" i="3"/>
  <c r="G154" i="3"/>
  <c r="E154" i="5" s="1"/>
  <c r="O154" i="3"/>
  <c r="C151" i="3"/>
  <c r="I151" i="3"/>
  <c r="G146" i="3"/>
  <c r="D146" i="3"/>
  <c r="O146" i="3"/>
  <c r="B142" i="3"/>
  <c r="C142" i="3"/>
  <c r="L142" i="3"/>
  <c r="Q142" i="3"/>
  <c r="D142" i="3"/>
  <c r="M142" i="3"/>
  <c r="G142" i="3"/>
  <c r="E142" i="5" s="1"/>
  <c r="O142" i="3"/>
  <c r="I160" i="2"/>
  <c r="M159" i="2"/>
  <c r="L125" i="2"/>
  <c r="E124" i="2"/>
  <c r="G124" i="2" s="1"/>
  <c r="Q122" i="2"/>
  <c r="I114" i="2"/>
  <c r="S108" i="2"/>
  <c r="I108" i="2"/>
  <c r="L105" i="2"/>
  <c r="L100" i="2"/>
  <c r="M96" i="2"/>
  <c r="C96" i="2"/>
  <c r="F96" i="2" s="1"/>
  <c r="S84" i="2"/>
  <c r="M84" i="2"/>
  <c r="C84" i="2"/>
  <c r="Q82" i="2"/>
  <c r="L73" i="2"/>
  <c r="D73" i="2"/>
  <c r="E72" i="2"/>
  <c r="G72" i="2" s="1"/>
  <c r="P72" i="2"/>
  <c r="M68" i="2"/>
  <c r="D68" i="2"/>
  <c r="E44" i="2"/>
  <c r="C44" i="2"/>
  <c r="Q44" i="2"/>
  <c r="C35" i="2"/>
  <c r="I35" i="2"/>
  <c r="B18" i="2"/>
  <c r="Q18" i="2"/>
  <c r="D18" i="2"/>
  <c r="C175" i="3"/>
  <c r="E175" i="3" s="1"/>
  <c r="J175" i="3"/>
  <c r="P175" i="3"/>
  <c r="F175" i="3"/>
  <c r="N175" i="3"/>
  <c r="C174" i="3"/>
  <c r="E174" i="3" s="1"/>
  <c r="M174" i="3"/>
  <c r="I174" i="3"/>
  <c r="Q174" i="3"/>
  <c r="D165" i="3"/>
  <c r="P165" i="3"/>
  <c r="L165" i="3"/>
  <c r="C159" i="3"/>
  <c r="B159" i="3"/>
  <c r="P159" i="3"/>
  <c r="I159" i="3"/>
  <c r="C150" i="3"/>
  <c r="L150" i="3"/>
  <c r="P143" i="3"/>
  <c r="J143" i="3"/>
  <c r="B143" i="3"/>
  <c r="Q141" i="3"/>
  <c r="D141" i="3"/>
  <c r="L138" i="3"/>
  <c r="P131" i="3"/>
  <c r="C131" i="3"/>
  <c r="E131" i="3" s="1"/>
  <c r="C130" i="3"/>
  <c r="E130" i="3" s="1"/>
  <c r="B129" i="3"/>
  <c r="G126" i="3"/>
  <c r="L123" i="3"/>
  <c r="L121" i="3"/>
  <c r="B121" i="3"/>
  <c r="Q119" i="3"/>
  <c r="M119" i="3"/>
  <c r="G119" i="3"/>
  <c r="B119" i="3"/>
  <c r="O117" i="3"/>
  <c r="I117" i="3"/>
  <c r="B117" i="3"/>
  <c r="Q112" i="3"/>
  <c r="M112" i="3"/>
  <c r="G112" i="3"/>
  <c r="B112" i="3"/>
  <c r="P108" i="3"/>
  <c r="I108" i="3"/>
  <c r="B108" i="3"/>
  <c r="P106" i="3"/>
  <c r="J106" i="3"/>
  <c r="B106" i="3"/>
  <c r="D104" i="3"/>
  <c r="J104" i="3"/>
  <c r="L103" i="3"/>
  <c r="C103" i="3"/>
  <c r="Q103" i="3"/>
  <c r="F101" i="3"/>
  <c r="G101" i="3"/>
  <c r="O101" i="3"/>
  <c r="L99" i="3"/>
  <c r="P98" i="3"/>
  <c r="P96" i="3"/>
  <c r="G96" i="3"/>
  <c r="I95" i="3"/>
  <c r="P95" i="3"/>
  <c r="G91" i="3"/>
  <c r="Q89" i="3"/>
  <c r="M87" i="3"/>
  <c r="L83" i="3"/>
  <c r="Q82" i="3"/>
  <c r="F80" i="3"/>
  <c r="L79" i="3"/>
  <c r="B76" i="3"/>
  <c r="G76" i="3"/>
  <c r="E76" i="5" s="1"/>
  <c r="M76" i="3"/>
  <c r="Q76" i="3"/>
  <c r="C76" i="3"/>
  <c r="I76" i="3"/>
  <c r="N76" i="3"/>
  <c r="L74" i="3"/>
  <c r="G63" i="3"/>
  <c r="P63" i="3"/>
  <c r="Q61" i="3"/>
  <c r="Q60" i="3"/>
  <c r="B53" i="3"/>
  <c r="I53" i="3"/>
  <c r="O53" i="3"/>
  <c r="C53" i="3"/>
  <c r="J53" i="3"/>
  <c r="Q53" i="3"/>
  <c r="C52" i="3"/>
  <c r="B52" i="3"/>
  <c r="M52" i="3"/>
  <c r="F52" i="3"/>
  <c r="P52" i="3"/>
  <c r="F41" i="3"/>
  <c r="N41" i="3"/>
  <c r="C41" i="3"/>
  <c r="Q41" i="3"/>
  <c r="O139" i="3"/>
  <c r="Q132" i="3"/>
  <c r="Q124" i="3"/>
  <c r="G99" i="3"/>
  <c r="E99" i="5" s="1"/>
  <c r="J98" i="3"/>
  <c r="Q98" i="3"/>
  <c r="N96" i="3"/>
  <c r="C96" i="3"/>
  <c r="N89" i="3"/>
  <c r="G87" i="3"/>
  <c r="I83" i="3"/>
  <c r="F82" i="3"/>
  <c r="P82" i="3"/>
  <c r="D79" i="3"/>
  <c r="E79" i="3" s="1"/>
  <c r="J74" i="3"/>
  <c r="L62" i="3"/>
  <c r="J61" i="3"/>
  <c r="L60" i="3"/>
  <c r="S36" i="2"/>
  <c r="I36" i="2"/>
  <c r="L33" i="2"/>
  <c r="R32" i="2"/>
  <c r="D32" i="2"/>
  <c r="G32" i="2" s="1"/>
  <c r="S27" i="2"/>
  <c r="M20" i="2"/>
  <c r="I12" i="2"/>
  <c r="N187" i="3"/>
  <c r="I187" i="3"/>
  <c r="K187" i="3" s="1"/>
  <c r="L186" i="3"/>
  <c r="Q184" i="3"/>
  <c r="O179" i="3"/>
  <c r="D179" i="3"/>
  <c r="P166" i="3"/>
  <c r="Q157" i="3"/>
  <c r="M156" i="3"/>
  <c r="F152" i="3"/>
  <c r="P149" i="3"/>
  <c r="M143" i="3"/>
  <c r="M141" i="3"/>
  <c r="I139" i="3"/>
  <c r="N135" i="3"/>
  <c r="I135" i="3"/>
  <c r="I132" i="3"/>
  <c r="J131" i="3"/>
  <c r="M130" i="3"/>
  <c r="M129" i="3"/>
  <c r="O127" i="3"/>
  <c r="D127" i="3"/>
  <c r="Q125" i="3"/>
  <c r="L125" i="3"/>
  <c r="D125" i="3"/>
  <c r="Q122" i="3"/>
  <c r="G122" i="3"/>
  <c r="P121" i="3"/>
  <c r="I121" i="3"/>
  <c r="O119" i="3"/>
  <c r="J119" i="3"/>
  <c r="M117" i="3"/>
  <c r="L116" i="3"/>
  <c r="O112" i="3"/>
  <c r="J112" i="3"/>
  <c r="K112" i="3" s="1"/>
  <c r="P111" i="3"/>
  <c r="M108" i="3"/>
  <c r="F108" i="3"/>
  <c r="H108" i="3" s="1"/>
  <c r="M106" i="3"/>
  <c r="N105" i="3"/>
  <c r="P104" i="3"/>
  <c r="L104" i="3"/>
  <c r="C104" i="3"/>
  <c r="M103" i="3"/>
  <c r="Q101" i="3"/>
  <c r="C101" i="3"/>
  <c r="Q99" i="3"/>
  <c r="D99" i="3"/>
  <c r="L98" i="3"/>
  <c r="L96" i="3"/>
  <c r="N90" i="3"/>
  <c r="Q87" i="3"/>
  <c r="C87" i="3"/>
  <c r="B86" i="3"/>
  <c r="Q86" i="3"/>
  <c r="L82" i="3"/>
  <c r="P79" i="3"/>
  <c r="F78" i="3"/>
  <c r="N78" i="3"/>
  <c r="P76" i="3"/>
  <c r="F76" i="3"/>
  <c r="C75" i="3"/>
  <c r="G75" i="3"/>
  <c r="L75" i="3"/>
  <c r="B70" i="3"/>
  <c r="F70" i="3"/>
  <c r="L55" i="3"/>
  <c r="M55" i="3"/>
  <c r="G53" i="3"/>
  <c r="E53" i="5" s="1"/>
  <c r="L52" i="3"/>
  <c r="D96" i="3"/>
  <c r="F96" i="3"/>
  <c r="M96" i="3"/>
  <c r="I89" i="3"/>
  <c r="F89" i="3"/>
  <c r="G83" i="3"/>
  <c r="Q83" i="3"/>
  <c r="B81" i="3"/>
  <c r="F81" i="3"/>
  <c r="G79" i="3"/>
  <c r="I79" i="3"/>
  <c r="Q79" i="3"/>
  <c r="F74" i="3"/>
  <c r="D74" i="3"/>
  <c r="N74" i="3"/>
  <c r="I74" i="3"/>
  <c r="P74" i="3"/>
  <c r="D62" i="3"/>
  <c r="N62" i="3"/>
  <c r="F62" i="3"/>
  <c r="Q62" i="3"/>
  <c r="B61" i="3"/>
  <c r="M61" i="3"/>
  <c r="F61" i="3"/>
  <c r="O61" i="3"/>
  <c r="C60" i="3"/>
  <c r="B60" i="3"/>
  <c r="M60" i="3"/>
  <c r="F60" i="3"/>
  <c r="H60" i="3" s="1"/>
  <c r="P60" i="3"/>
  <c r="F58" i="3"/>
  <c r="N58" i="3"/>
  <c r="J50" i="3"/>
  <c r="L50" i="3"/>
  <c r="B38" i="3"/>
  <c r="F38" i="3"/>
  <c r="J37" i="3"/>
  <c r="C27" i="3"/>
  <c r="L27" i="3"/>
  <c r="J26" i="3"/>
  <c r="P23" i="3"/>
  <c r="M21" i="3"/>
  <c r="G13" i="3"/>
  <c r="Q13" i="3"/>
  <c r="J189" i="7"/>
  <c r="B183" i="7"/>
  <c r="D183" i="7"/>
  <c r="L183" i="7"/>
  <c r="E183" i="7"/>
  <c r="M183" i="7"/>
  <c r="I162" i="7"/>
  <c r="M162" i="7"/>
  <c r="J158" i="7"/>
  <c r="K155" i="7"/>
  <c r="N148" i="7"/>
  <c r="F148" i="7"/>
  <c r="O47" i="3"/>
  <c r="G47" i="3"/>
  <c r="J45" i="3"/>
  <c r="P44" i="3"/>
  <c r="M42" i="3"/>
  <c r="F42" i="3"/>
  <c r="Q37" i="3"/>
  <c r="G37" i="3"/>
  <c r="F34" i="3"/>
  <c r="M34" i="3"/>
  <c r="G31" i="3"/>
  <c r="E31" i="5" s="1"/>
  <c r="F31" i="5" s="1"/>
  <c r="G31" i="5" s="1"/>
  <c r="L31" i="3"/>
  <c r="C28" i="3"/>
  <c r="E28" i="3" s="1"/>
  <c r="I28" i="3"/>
  <c r="N28" i="3"/>
  <c r="Q26" i="3"/>
  <c r="D26" i="3"/>
  <c r="M23" i="3"/>
  <c r="J21" i="3"/>
  <c r="J13" i="3"/>
  <c r="I9" i="3"/>
  <c r="F9" i="3"/>
  <c r="C189" i="7"/>
  <c r="D189" i="7"/>
  <c r="I189" i="7"/>
  <c r="N189" i="7"/>
  <c r="J163" i="7"/>
  <c r="M148" i="7"/>
  <c r="M77" i="3"/>
  <c r="M72" i="3"/>
  <c r="F72" i="3"/>
  <c r="P71" i="3"/>
  <c r="M68" i="3"/>
  <c r="F68" i="3"/>
  <c r="O67" i="3"/>
  <c r="M66" i="3"/>
  <c r="M64" i="3"/>
  <c r="F64" i="3"/>
  <c r="N57" i="3"/>
  <c r="P56" i="3"/>
  <c r="G56" i="3"/>
  <c r="M47" i="3"/>
  <c r="F45" i="3"/>
  <c r="H45" i="3" s="1"/>
  <c r="L44" i="3"/>
  <c r="Q42" i="3"/>
  <c r="L42" i="3"/>
  <c r="L39" i="3"/>
  <c r="G39" i="3"/>
  <c r="O37" i="3"/>
  <c r="I35" i="3"/>
  <c r="G35" i="3"/>
  <c r="E35" i="5" s="1"/>
  <c r="F35" i="5" s="1"/>
  <c r="G35" i="5" s="1"/>
  <c r="C32" i="3"/>
  <c r="I32" i="3"/>
  <c r="N32" i="3"/>
  <c r="Q30" i="3"/>
  <c r="M28" i="3"/>
  <c r="F28" i="3"/>
  <c r="Q27" i="3"/>
  <c r="N26" i="3"/>
  <c r="L23" i="3"/>
  <c r="C21" i="3"/>
  <c r="M18" i="3"/>
  <c r="C16" i="3"/>
  <c r="G16" i="3"/>
  <c r="F13" i="3"/>
  <c r="G11" i="3"/>
  <c r="F10" i="3"/>
  <c r="L10" i="3"/>
  <c r="D167" i="7"/>
  <c r="C163" i="7"/>
  <c r="H163" i="7"/>
  <c r="B155" i="7"/>
  <c r="E155" i="7"/>
  <c r="O155" i="7"/>
  <c r="F155" i="7"/>
  <c r="F37" i="3"/>
  <c r="N37" i="3"/>
  <c r="I26" i="3"/>
  <c r="P26" i="3"/>
  <c r="C8" i="3"/>
  <c r="I8" i="3"/>
  <c r="N163" i="7"/>
  <c r="E158" i="7"/>
  <c r="L158" i="7"/>
  <c r="F158" i="7"/>
  <c r="M158" i="7"/>
  <c r="C148" i="7"/>
  <c r="G148" i="7"/>
  <c r="K148" i="7"/>
  <c r="O148" i="7"/>
  <c r="D148" i="7"/>
  <c r="H148" i="7"/>
  <c r="L148" i="7"/>
  <c r="H144" i="7"/>
  <c r="J134" i="7"/>
  <c r="N132" i="7"/>
  <c r="I132" i="7"/>
  <c r="C132" i="7"/>
  <c r="N114" i="7"/>
  <c r="I107" i="7"/>
  <c r="O68" i="7"/>
  <c r="G67" i="7"/>
  <c r="E67" i="7"/>
  <c r="J54" i="7"/>
  <c r="L45" i="7"/>
  <c r="E35" i="7"/>
  <c r="F35" i="7"/>
  <c r="O35" i="7"/>
  <c r="G35" i="7"/>
  <c r="E30" i="7"/>
  <c r="F30" i="7"/>
  <c r="H30" i="7"/>
  <c r="E25" i="7"/>
  <c r="G25" i="7"/>
  <c r="H25" i="7"/>
  <c r="H22" i="7"/>
  <c r="C14" i="7"/>
  <c r="E14" i="7"/>
  <c r="L14" i="7"/>
  <c r="F14" i="7"/>
  <c r="M14" i="7"/>
  <c r="B7" i="7"/>
  <c r="G7" i="7"/>
  <c r="I7" i="7"/>
  <c r="C179" i="6"/>
  <c r="F179" i="6"/>
  <c r="I179" i="6"/>
  <c r="I173" i="6"/>
  <c r="B172" i="6"/>
  <c r="E172" i="6"/>
  <c r="I172" i="6"/>
  <c r="D171" i="6"/>
  <c r="B171" i="6"/>
  <c r="J171" i="6"/>
  <c r="E171" i="6"/>
  <c r="L171" i="6"/>
  <c r="I149" i="6"/>
  <c r="B148" i="6"/>
  <c r="C148" i="6"/>
  <c r="K148" i="6"/>
  <c r="E148" i="6"/>
  <c r="M148" i="6"/>
  <c r="G148" i="6"/>
  <c r="O148" i="6"/>
  <c r="D144" i="6"/>
  <c r="C144" i="6"/>
  <c r="K144" i="6"/>
  <c r="E144" i="6"/>
  <c r="L144" i="6"/>
  <c r="G144" i="6"/>
  <c r="M144" i="6"/>
  <c r="I180" i="7"/>
  <c r="M144" i="7"/>
  <c r="E144" i="7"/>
  <c r="L136" i="7"/>
  <c r="H136" i="7"/>
  <c r="K135" i="7"/>
  <c r="F134" i="7"/>
  <c r="M132" i="7"/>
  <c r="G132" i="7"/>
  <c r="B132" i="7"/>
  <c r="L114" i="7"/>
  <c r="K112" i="7"/>
  <c r="K111" i="7"/>
  <c r="G107" i="7"/>
  <c r="M105" i="7"/>
  <c r="M97" i="7"/>
  <c r="M94" i="7"/>
  <c r="L92" i="7"/>
  <c r="K88" i="7"/>
  <c r="M72" i="7"/>
  <c r="N68" i="7"/>
  <c r="F68" i="7"/>
  <c r="K41" i="7"/>
  <c r="M35" i="7"/>
  <c r="M30" i="7"/>
  <c r="M25" i="7"/>
  <c r="C18" i="7"/>
  <c r="D18" i="7"/>
  <c r="I18" i="7"/>
  <c r="N18" i="7"/>
  <c r="E18" i="7"/>
  <c r="J18" i="7"/>
  <c r="J14" i="7"/>
  <c r="O7" i="7"/>
  <c r="E189" i="6"/>
  <c r="I189" i="6"/>
  <c r="M190" i="12" s="1"/>
  <c r="M189" i="6"/>
  <c r="C187" i="6"/>
  <c r="D187" i="6"/>
  <c r="I187" i="6"/>
  <c r="M187" i="12" s="1"/>
  <c r="N187" i="6"/>
  <c r="E187" i="6"/>
  <c r="J187" i="6"/>
  <c r="N179" i="6"/>
  <c r="C177" i="6"/>
  <c r="G177" i="6"/>
  <c r="K177" i="6"/>
  <c r="O177" i="6"/>
  <c r="D177" i="6"/>
  <c r="H177" i="6"/>
  <c r="L177" i="6"/>
  <c r="D176" i="6"/>
  <c r="E176" i="6"/>
  <c r="M176" i="6"/>
  <c r="G176" i="6"/>
  <c r="O176" i="6"/>
  <c r="M171" i="6"/>
  <c r="B164" i="6"/>
  <c r="C164" i="6"/>
  <c r="L164" i="5" s="1"/>
  <c r="O164" i="6"/>
  <c r="G164" i="6"/>
  <c r="C157" i="6"/>
  <c r="E157" i="6"/>
  <c r="I157" i="6"/>
  <c r="M157" i="6"/>
  <c r="B151" i="6"/>
  <c r="H151" i="6"/>
  <c r="M151" i="6"/>
  <c r="D151" i="6"/>
  <c r="I151" i="6"/>
  <c r="M151" i="12" s="1"/>
  <c r="N151" i="6"/>
  <c r="E151" i="6"/>
  <c r="J151" i="6"/>
  <c r="C143" i="6"/>
  <c r="L143" i="5" s="1"/>
  <c r="E143" i="6"/>
  <c r="I143" i="6"/>
  <c r="M143" i="6"/>
  <c r="D49" i="7"/>
  <c r="C45" i="7"/>
  <c r="D45" i="7"/>
  <c r="O45" i="7"/>
  <c r="G45" i="7"/>
  <c r="C22" i="7"/>
  <c r="B22" i="7"/>
  <c r="J22" i="7"/>
  <c r="E22" i="7"/>
  <c r="L22" i="7"/>
  <c r="E20" i="7"/>
  <c r="M20" i="7"/>
  <c r="B173" i="6"/>
  <c r="C173" i="6"/>
  <c r="K173" i="6"/>
  <c r="E173" i="6"/>
  <c r="M173" i="6"/>
  <c r="B160" i="6"/>
  <c r="C160" i="6"/>
  <c r="L160" i="5" s="1"/>
  <c r="O160" i="6"/>
  <c r="G160" i="6"/>
  <c r="I160" i="6"/>
  <c r="B149" i="6"/>
  <c r="F149" i="6"/>
  <c r="J149" i="6"/>
  <c r="N149" i="6"/>
  <c r="C149" i="6"/>
  <c r="G149" i="6"/>
  <c r="K149" i="6"/>
  <c r="O149" i="6"/>
  <c r="D149" i="6"/>
  <c r="H149" i="6"/>
  <c r="L149" i="6"/>
  <c r="B58" i="7"/>
  <c r="F58" i="7"/>
  <c r="L58" i="7"/>
  <c r="C57" i="7"/>
  <c r="B54" i="7"/>
  <c r="H54" i="7"/>
  <c r="M54" i="7"/>
  <c r="D54" i="7"/>
  <c r="I54" i="7"/>
  <c r="N54" i="7"/>
  <c r="N52" i="7"/>
  <c r="J52" i="7"/>
  <c r="E41" i="7"/>
  <c r="C41" i="7"/>
  <c r="M41" i="7"/>
  <c r="G41" i="7"/>
  <c r="M22" i="7"/>
  <c r="C31" i="7"/>
  <c r="O13" i="7"/>
  <c r="C13" i="7"/>
  <c r="I186" i="6"/>
  <c r="M186" i="12" s="1"/>
  <c r="M183" i="6"/>
  <c r="H183" i="6"/>
  <c r="B183" i="6"/>
  <c r="N181" i="6"/>
  <c r="J181" i="6"/>
  <c r="F181" i="6"/>
  <c r="K180" i="6"/>
  <c r="N180" i="12" s="1"/>
  <c r="C180" i="6"/>
  <c r="N175" i="6"/>
  <c r="D175" i="6"/>
  <c r="F163" i="6"/>
  <c r="M161" i="6"/>
  <c r="H161" i="6"/>
  <c r="B161" i="6"/>
  <c r="L159" i="6"/>
  <c r="I156" i="6"/>
  <c r="Q156" i="12" s="1"/>
  <c r="I153" i="6"/>
  <c r="N147" i="6"/>
  <c r="D147" i="6"/>
  <c r="K142" i="6"/>
  <c r="H141" i="6"/>
  <c r="O139" i="6"/>
  <c r="G139" i="6"/>
  <c r="N138" i="6"/>
  <c r="C138" i="6"/>
  <c r="H136" i="6"/>
  <c r="F133" i="6"/>
  <c r="J131" i="6"/>
  <c r="E131" i="6"/>
  <c r="N126" i="6"/>
  <c r="L125" i="6"/>
  <c r="F123" i="6"/>
  <c r="M120" i="6"/>
  <c r="O116" i="6"/>
  <c r="L115" i="6"/>
  <c r="K114" i="6"/>
  <c r="M112" i="6"/>
  <c r="H112" i="6"/>
  <c r="M111" i="6"/>
  <c r="G111" i="6"/>
  <c r="C108" i="6"/>
  <c r="I107" i="6"/>
  <c r="M107" i="12" s="1"/>
  <c r="G104" i="6"/>
  <c r="K103" i="6"/>
  <c r="C103" i="6"/>
  <c r="M101" i="6"/>
  <c r="H101" i="6"/>
  <c r="O99" i="6"/>
  <c r="I99" i="6"/>
  <c r="D99" i="6"/>
  <c r="F97" i="6"/>
  <c r="G95" i="6"/>
  <c r="J93" i="6"/>
  <c r="E93" i="6"/>
  <c r="O92" i="6"/>
  <c r="L91" i="6"/>
  <c r="L89" i="6"/>
  <c r="K88" i="6"/>
  <c r="L85" i="6"/>
  <c r="E85" i="6"/>
  <c r="K84" i="6"/>
  <c r="R84" i="12" s="1"/>
  <c r="H81" i="6"/>
  <c r="E80" i="6"/>
  <c r="I80" i="6"/>
  <c r="M80" i="12" s="1"/>
  <c r="L77" i="6"/>
  <c r="O77" i="12" s="1"/>
  <c r="E77" i="6"/>
  <c r="K76" i="6"/>
  <c r="D73" i="6"/>
  <c r="F73" i="6"/>
  <c r="M73" i="6"/>
  <c r="E72" i="6"/>
  <c r="C72" i="6"/>
  <c r="L72" i="5" s="1"/>
  <c r="O72" i="6"/>
  <c r="I67" i="6"/>
  <c r="F61" i="6"/>
  <c r="I55" i="6"/>
  <c r="F49" i="6"/>
  <c r="E49" i="6"/>
  <c r="H49" i="6"/>
  <c r="O47" i="6"/>
  <c r="J46" i="6"/>
  <c r="J38" i="6"/>
  <c r="M33" i="6"/>
  <c r="M25" i="6"/>
  <c r="E25" i="6"/>
  <c r="M21" i="6"/>
  <c r="E21" i="6"/>
  <c r="M11" i="6"/>
  <c r="F159" i="6"/>
  <c r="I154" i="6"/>
  <c r="Q154" i="12" s="1"/>
  <c r="E153" i="6"/>
  <c r="F142" i="6"/>
  <c r="E141" i="6"/>
  <c r="M139" i="6"/>
  <c r="E139" i="6"/>
  <c r="F134" i="6"/>
  <c r="N131" i="6"/>
  <c r="I131" i="6"/>
  <c r="D131" i="6"/>
  <c r="L127" i="6"/>
  <c r="K126" i="6"/>
  <c r="L121" i="6"/>
  <c r="L116" i="6"/>
  <c r="F115" i="6"/>
  <c r="G107" i="6"/>
  <c r="H105" i="6"/>
  <c r="M99" i="6"/>
  <c r="H99" i="6"/>
  <c r="L99" i="12" s="1"/>
  <c r="M97" i="6"/>
  <c r="B97" i="6"/>
  <c r="O95" i="6"/>
  <c r="D95" i="6"/>
  <c r="N93" i="6"/>
  <c r="I93" i="6"/>
  <c r="M93" i="12" s="1"/>
  <c r="D93" i="6"/>
  <c r="K92" i="6"/>
  <c r="G91" i="6"/>
  <c r="H89" i="6"/>
  <c r="J85" i="6"/>
  <c r="F81" i="6"/>
  <c r="C79" i="6"/>
  <c r="I79" i="6"/>
  <c r="J77" i="6"/>
  <c r="C75" i="6"/>
  <c r="I75" i="6"/>
  <c r="Q75" i="12" s="1"/>
  <c r="E71" i="6"/>
  <c r="I71" i="6"/>
  <c r="G68" i="6"/>
  <c r="C68" i="6"/>
  <c r="L68" i="5" s="1"/>
  <c r="G67" i="6"/>
  <c r="C63" i="6"/>
  <c r="E63" i="6"/>
  <c r="C59" i="6"/>
  <c r="B59" i="6"/>
  <c r="H59" i="6"/>
  <c r="M59" i="6"/>
  <c r="D59" i="6"/>
  <c r="I59" i="6"/>
  <c r="Q59" i="12" s="1"/>
  <c r="N59" i="6"/>
  <c r="D57" i="6"/>
  <c r="L57" i="6"/>
  <c r="O57" i="12" s="1"/>
  <c r="G55" i="6"/>
  <c r="L47" i="6"/>
  <c r="B43" i="6"/>
  <c r="F43" i="6"/>
  <c r="I43" i="6"/>
  <c r="Q43" i="12" s="1"/>
  <c r="E35" i="6"/>
  <c r="G35" i="6"/>
  <c r="O35" i="6"/>
  <c r="I35" i="6"/>
  <c r="Q35" i="12" s="1"/>
  <c r="J33" i="6"/>
  <c r="L25" i="6"/>
  <c r="L21" i="6"/>
  <c r="E19" i="6"/>
  <c r="H19" i="6"/>
  <c r="H14" i="6"/>
  <c r="L14" i="12" s="1"/>
  <c r="E14" i="6"/>
  <c r="L14" i="6"/>
  <c r="D11" i="6"/>
  <c r="I11" i="6"/>
  <c r="N11" i="6"/>
  <c r="E11" i="6"/>
  <c r="J11" i="6"/>
  <c r="B181" i="10"/>
  <c r="C181" i="10"/>
  <c r="K181" i="10"/>
  <c r="E181" i="10"/>
  <c r="M181" i="10"/>
  <c r="G181" i="10"/>
  <c r="O181" i="10"/>
  <c r="K139" i="6"/>
  <c r="C139" i="6"/>
  <c r="L137" i="6"/>
  <c r="M131" i="6"/>
  <c r="H131" i="6"/>
  <c r="B131" i="6"/>
  <c r="G127" i="6"/>
  <c r="C126" i="6"/>
  <c r="F121" i="6"/>
  <c r="I117" i="6"/>
  <c r="D116" i="6"/>
  <c r="O107" i="6"/>
  <c r="D107" i="6"/>
  <c r="O100" i="6"/>
  <c r="M93" i="6"/>
  <c r="H93" i="6"/>
  <c r="P93" i="12" s="1"/>
  <c r="C92" i="6"/>
  <c r="L92" i="5" s="1"/>
  <c r="E89" i="6"/>
  <c r="B85" i="6"/>
  <c r="H85" i="6"/>
  <c r="M85" i="6"/>
  <c r="G84" i="6"/>
  <c r="I84" i="6"/>
  <c r="Q84" i="12" s="1"/>
  <c r="M81" i="6"/>
  <c r="B77" i="6"/>
  <c r="H77" i="6"/>
  <c r="M77" i="6"/>
  <c r="G76" i="6"/>
  <c r="I76" i="6"/>
  <c r="O67" i="6"/>
  <c r="D64" i="6"/>
  <c r="G64" i="6"/>
  <c r="K62" i="6"/>
  <c r="N55" i="6"/>
  <c r="E46" i="6"/>
  <c r="C46" i="6"/>
  <c r="L46" i="5" s="1"/>
  <c r="N46" i="6"/>
  <c r="F46" i="6"/>
  <c r="O46" i="6"/>
  <c r="F38" i="6"/>
  <c r="O38" i="6"/>
  <c r="G38" i="6"/>
  <c r="I28" i="6"/>
  <c r="L26" i="6"/>
  <c r="B25" i="6"/>
  <c r="F25" i="6"/>
  <c r="J25" i="6"/>
  <c r="N25" i="6"/>
  <c r="C25" i="6"/>
  <c r="G25" i="6"/>
  <c r="K25" i="6"/>
  <c r="S25" i="12" s="1"/>
  <c r="O25" i="6"/>
  <c r="L22" i="6"/>
  <c r="B21" i="6"/>
  <c r="F21" i="6"/>
  <c r="J21" i="6"/>
  <c r="N21" i="6"/>
  <c r="C21" i="6"/>
  <c r="G21" i="6"/>
  <c r="K21" i="6"/>
  <c r="S21" i="12" s="1"/>
  <c r="O21" i="6"/>
  <c r="C189" i="10"/>
  <c r="K189" i="10"/>
  <c r="E189" i="10"/>
  <c r="M189" i="10"/>
  <c r="G189" i="10"/>
  <c r="O189" i="10"/>
  <c r="D81" i="6"/>
  <c r="B81" i="6"/>
  <c r="J81" i="6"/>
  <c r="C67" i="6"/>
  <c r="L67" i="5" s="1"/>
  <c r="K67" i="6"/>
  <c r="N67" i="12" s="1"/>
  <c r="C55" i="6"/>
  <c r="L55" i="5" s="1"/>
  <c r="E55" i="6"/>
  <c r="J55" i="6"/>
  <c r="O55" i="6"/>
  <c r="F55" i="6"/>
  <c r="K55" i="6"/>
  <c r="C47" i="6"/>
  <c r="L47" i="5" s="1"/>
  <c r="G47" i="6"/>
  <c r="I47" i="6"/>
  <c r="E33" i="6"/>
  <c r="F33" i="6"/>
  <c r="H33" i="6"/>
  <c r="D182" i="10"/>
  <c r="C182" i="10"/>
  <c r="K182" i="10"/>
  <c r="E182" i="10"/>
  <c r="L182" i="10"/>
  <c r="G182" i="10"/>
  <c r="M182" i="10"/>
  <c r="K184" i="10"/>
  <c r="E184" i="10"/>
  <c r="K180" i="10"/>
  <c r="L179" i="10"/>
  <c r="E179" i="10"/>
  <c r="O177" i="10"/>
  <c r="K177" i="10"/>
  <c r="G177" i="10"/>
  <c r="C177" i="10"/>
  <c r="N176" i="10"/>
  <c r="I176" i="10"/>
  <c r="C176" i="10"/>
  <c r="I170" i="10"/>
  <c r="M169" i="10"/>
  <c r="O166" i="10"/>
  <c r="I166" i="10"/>
  <c r="D166" i="10"/>
  <c r="I165" i="10"/>
  <c r="K164" i="10"/>
  <c r="M163" i="10"/>
  <c r="F163" i="10"/>
  <c r="F160" i="10"/>
  <c r="L158" i="10"/>
  <c r="G152" i="10"/>
  <c r="K150" i="10"/>
  <c r="E150" i="10"/>
  <c r="O149" i="10"/>
  <c r="J149" i="10"/>
  <c r="E149" i="10"/>
  <c r="G145" i="10"/>
  <c r="L142" i="10"/>
  <c r="I140" i="10"/>
  <c r="L138" i="10"/>
  <c r="G136" i="10"/>
  <c r="H134" i="10"/>
  <c r="I130" i="10"/>
  <c r="F128" i="10"/>
  <c r="K124" i="10"/>
  <c r="E124" i="10"/>
  <c r="L117" i="10"/>
  <c r="H117" i="10"/>
  <c r="D117" i="10"/>
  <c r="O116" i="10"/>
  <c r="J116" i="10"/>
  <c r="E116" i="10"/>
  <c r="H114" i="10"/>
  <c r="M106" i="10"/>
  <c r="D104" i="10"/>
  <c r="B104" i="10"/>
  <c r="J104" i="10"/>
  <c r="C101" i="10"/>
  <c r="B101" i="10"/>
  <c r="H101" i="10"/>
  <c r="M101" i="10"/>
  <c r="G100" i="10"/>
  <c r="B90" i="10"/>
  <c r="E90" i="10"/>
  <c r="M90" i="10"/>
  <c r="M85" i="10"/>
  <c r="E85" i="10"/>
  <c r="D84" i="10"/>
  <c r="B84" i="10"/>
  <c r="G84" i="10"/>
  <c r="M84" i="10"/>
  <c r="E84" i="10"/>
  <c r="J84" i="10"/>
  <c r="O84" i="10"/>
  <c r="D76" i="10"/>
  <c r="F76" i="10"/>
  <c r="N73" i="10"/>
  <c r="C69" i="10"/>
  <c r="B69" i="10"/>
  <c r="H69" i="10"/>
  <c r="M69" i="10"/>
  <c r="E69" i="10"/>
  <c r="J69" i="10"/>
  <c r="J41" i="6"/>
  <c r="I39" i="6"/>
  <c r="M39" i="12" s="1"/>
  <c r="K36" i="6"/>
  <c r="J17" i="6"/>
  <c r="E17" i="6"/>
  <c r="G8" i="6"/>
  <c r="J184" i="10"/>
  <c r="B184" i="10"/>
  <c r="F180" i="10"/>
  <c r="J179" i="10"/>
  <c r="B179" i="10"/>
  <c r="N177" i="10"/>
  <c r="J177" i="10"/>
  <c r="F177" i="10"/>
  <c r="M176" i="10"/>
  <c r="G176" i="10"/>
  <c r="L173" i="10"/>
  <c r="H173" i="10"/>
  <c r="G170" i="10"/>
  <c r="I169" i="10"/>
  <c r="M168" i="10"/>
  <c r="F168" i="10"/>
  <c r="N167" i="10"/>
  <c r="M166" i="10"/>
  <c r="H166" i="10"/>
  <c r="E165" i="10"/>
  <c r="I164" i="10"/>
  <c r="L163" i="10"/>
  <c r="E163" i="10"/>
  <c r="L162" i="10"/>
  <c r="O161" i="10"/>
  <c r="G161" i="10"/>
  <c r="N160" i="10"/>
  <c r="C160" i="10"/>
  <c r="G158" i="10"/>
  <c r="J155" i="10"/>
  <c r="G154" i="10"/>
  <c r="I153" i="10"/>
  <c r="O152" i="10"/>
  <c r="E152" i="10"/>
  <c r="O150" i="10"/>
  <c r="I150" i="10"/>
  <c r="D150" i="10"/>
  <c r="N149" i="10"/>
  <c r="I149" i="10"/>
  <c r="C149" i="10"/>
  <c r="K148" i="10"/>
  <c r="O145" i="10"/>
  <c r="D145" i="10"/>
  <c r="H142" i="10"/>
  <c r="E140" i="10"/>
  <c r="I137" i="10"/>
  <c r="O136" i="10"/>
  <c r="F136" i="10"/>
  <c r="D130" i="10"/>
  <c r="N128" i="10"/>
  <c r="L126" i="10"/>
  <c r="J124" i="10"/>
  <c r="B124" i="10"/>
  <c r="O117" i="10"/>
  <c r="K117" i="10"/>
  <c r="G117" i="10"/>
  <c r="C117" i="10"/>
  <c r="N116" i="10"/>
  <c r="I116" i="10"/>
  <c r="C116" i="10"/>
  <c r="M114" i="10"/>
  <c r="E114" i="10"/>
  <c r="H110" i="10"/>
  <c r="M109" i="10"/>
  <c r="K108" i="10"/>
  <c r="I106" i="10"/>
  <c r="G104" i="10"/>
  <c r="I103" i="10"/>
  <c r="O100" i="10"/>
  <c r="F100" i="10"/>
  <c r="K85" i="10"/>
  <c r="B82" i="10"/>
  <c r="D82" i="10"/>
  <c r="L82" i="10"/>
  <c r="H82" i="10"/>
  <c r="C73" i="10"/>
  <c r="B73" i="10"/>
  <c r="H73" i="10"/>
  <c r="M73" i="10"/>
  <c r="E73" i="10"/>
  <c r="J73" i="10"/>
  <c r="I69" i="10"/>
  <c r="O170" i="10"/>
  <c r="E169" i="10"/>
  <c r="I167" i="10"/>
  <c r="J163" i="10"/>
  <c r="B163" i="10"/>
  <c r="K152" i="10"/>
  <c r="M150" i="10"/>
  <c r="H150" i="10"/>
  <c r="M149" i="10"/>
  <c r="G149" i="10"/>
  <c r="I143" i="10"/>
  <c r="M136" i="10"/>
  <c r="N117" i="10"/>
  <c r="J117" i="10"/>
  <c r="F117" i="10"/>
  <c r="M116" i="10"/>
  <c r="G116" i="10"/>
  <c r="B116" i="10"/>
  <c r="L114" i="10"/>
  <c r="D114" i="10"/>
  <c r="M100" i="10"/>
  <c r="B85" i="10"/>
  <c r="F85" i="10"/>
  <c r="J85" i="10"/>
  <c r="N85" i="10"/>
  <c r="D85" i="10"/>
  <c r="H85" i="10"/>
  <c r="L85" i="10"/>
  <c r="D100" i="10"/>
  <c r="E100" i="10"/>
  <c r="K100" i="10"/>
  <c r="C81" i="10"/>
  <c r="E81" i="10"/>
  <c r="M81" i="10"/>
  <c r="K7" i="10"/>
  <c r="F96" i="10"/>
  <c r="F92" i="10"/>
  <c r="O89" i="10"/>
  <c r="K89" i="10"/>
  <c r="G89" i="10"/>
  <c r="N88" i="10"/>
  <c r="I88" i="10"/>
  <c r="C88" i="10"/>
  <c r="K80" i="10"/>
  <c r="M78" i="10"/>
  <c r="E78" i="10"/>
  <c r="I77" i="10"/>
  <c r="H66" i="10"/>
  <c r="M65" i="10"/>
  <c r="E65" i="10"/>
  <c r="H62" i="10"/>
  <c r="M61" i="10"/>
  <c r="E61" i="10"/>
  <c r="I60" i="10"/>
  <c r="H58" i="10"/>
  <c r="L53" i="10"/>
  <c r="H53" i="10"/>
  <c r="D53" i="10"/>
  <c r="O52" i="10"/>
  <c r="J52" i="10"/>
  <c r="E52" i="10"/>
  <c r="H50" i="10"/>
  <c r="I48" i="10"/>
  <c r="B48" i="10"/>
  <c r="L46" i="10"/>
  <c r="D46" i="10"/>
  <c r="M45" i="10"/>
  <c r="G45" i="10"/>
  <c r="B45" i="10"/>
  <c r="K44" i="10"/>
  <c r="C44" i="10"/>
  <c r="M42" i="10"/>
  <c r="D42" i="10"/>
  <c r="M40" i="10"/>
  <c r="B40" i="10"/>
  <c r="M38" i="10"/>
  <c r="D38" i="10"/>
  <c r="J37" i="10"/>
  <c r="B37" i="10"/>
  <c r="G36" i="10"/>
  <c r="L30" i="10"/>
  <c r="I29" i="10"/>
  <c r="O25" i="10"/>
  <c r="K25" i="10"/>
  <c r="G25" i="10"/>
  <c r="N24" i="10"/>
  <c r="I24" i="10"/>
  <c r="C24" i="10"/>
  <c r="L20" i="10"/>
  <c r="E14" i="10"/>
  <c r="H13" i="10"/>
  <c r="O12" i="10"/>
  <c r="D12" i="10"/>
  <c r="F7" i="10"/>
  <c r="O53" i="10"/>
  <c r="K53" i="10"/>
  <c r="G53" i="10"/>
  <c r="C53" i="10"/>
  <c r="N52" i="10"/>
  <c r="I52" i="10"/>
  <c r="C52" i="10"/>
  <c r="E50" i="10"/>
  <c r="F36" i="10"/>
  <c r="I30" i="10"/>
  <c r="L21" i="10"/>
  <c r="N53" i="10"/>
  <c r="J53" i="10"/>
  <c r="F53" i="10"/>
  <c r="M52" i="10"/>
  <c r="G52" i="10"/>
  <c r="B52" i="10"/>
  <c r="L50" i="10"/>
  <c r="D50" i="10"/>
  <c r="M48" i="10"/>
  <c r="F48" i="10"/>
  <c r="H46" i="10"/>
  <c r="O45" i="10"/>
  <c r="J45" i="10"/>
  <c r="E45" i="10"/>
  <c r="I42" i="10"/>
  <c r="I41" i="10"/>
  <c r="G40" i="10"/>
  <c r="I39" i="10"/>
  <c r="I38" i="10"/>
  <c r="N37" i="10"/>
  <c r="F37" i="10"/>
  <c r="M36" i="10"/>
  <c r="B36" i="10"/>
  <c r="I31" i="10"/>
  <c r="D30" i="10"/>
  <c r="I26" i="10"/>
  <c r="H17" i="10"/>
  <c r="K14" i="10"/>
  <c r="B13" i="10"/>
  <c r="H243" i="2"/>
  <c r="F245" i="2"/>
  <c r="F54" i="8"/>
  <c r="J50" i="8"/>
  <c r="I49" i="8"/>
  <c r="E43" i="8"/>
  <c r="J42" i="8"/>
  <c r="E42" i="8"/>
  <c r="I41" i="8"/>
  <c r="I40" i="8"/>
  <c r="H39" i="8"/>
  <c r="G38" i="8"/>
  <c r="I35" i="8"/>
  <c r="I34" i="8"/>
  <c r="F30" i="8"/>
  <c r="J26" i="8"/>
  <c r="I25" i="8"/>
  <c r="H23" i="8"/>
  <c r="E22" i="8"/>
  <c r="J10" i="8"/>
  <c r="I9" i="8"/>
  <c r="H7" i="8"/>
  <c r="G51" i="8"/>
  <c r="F50" i="8"/>
  <c r="I43" i="8"/>
  <c r="D43" i="8"/>
  <c r="I42" i="8"/>
  <c r="C42" i="8"/>
  <c r="G41" i="8"/>
  <c r="F40" i="8"/>
  <c r="G39" i="8"/>
  <c r="G27" i="8"/>
  <c r="F26" i="8"/>
  <c r="E51" i="8"/>
  <c r="E50" i="8"/>
  <c r="H43" i="8"/>
  <c r="G42" i="8"/>
  <c r="E39" i="8"/>
  <c r="E27" i="8"/>
  <c r="E26" i="8"/>
  <c r="I24" i="8"/>
  <c r="G22" i="8"/>
  <c r="E11" i="8"/>
  <c r="E10" i="8"/>
  <c r="I8" i="8"/>
  <c r="K163" i="5"/>
  <c r="C159" i="5"/>
  <c r="C155" i="5"/>
  <c r="K147" i="5"/>
  <c r="N146" i="5"/>
  <c r="O145" i="5"/>
  <c r="C145" i="5"/>
  <c r="C143" i="5"/>
  <c r="I142" i="5"/>
  <c r="K137" i="5"/>
  <c r="N135" i="5"/>
  <c r="K131" i="5"/>
  <c r="N130" i="5"/>
  <c r="O129" i="5"/>
  <c r="C129" i="5"/>
  <c r="C127" i="5"/>
  <c r="I126" i="5"/>
  <c r="K121" i="5"/>
  <c r="N119" i="5"/>
  <c r="P119" i="5" s="1"/>
  <c r="K115" i="5"/>
  <c r="N114" i="5"/>
  <c r="O113" i="5"/>
  <c r="C113" i="5"/>
  <c r="C111" i="5"/>
  <c r="I110" i="5"/>
  <c r="C107" i="5"/>
  <c r="I106" i="5"/>
  <c r="C103" i="5"/>
  <c r="I102" i="5"/>
  <c r="C99" i="5"/>
  <c r="I98" i="5"/>
  <c r="C95" i="5"/>
  <c r="I94" i="5"/>
  <c r="C91" i="5"/>
  <c r="I90" i="5"/>
  <c r="C87" i="5"/>
  <c r="I86" i="5"/>
  <c r="C83" i="5"/>
  <c r="I82" i="5"/>
  <c r="C79" i="5"/>
  <c r="I78" i="5"/>
  <c r="C75" i="5"/>
  <c r="I74" i="5"/>
  <c r="C71" i="5"/>
  <c r="I70" i="5"/>
  <c r="C67" i="5"/>
  <c r="I66" i="5"/>
  <c r="C63" i="5"/>
  <c r="N49" i="5"/>
  <c r="O48" i="5"/>
  <c r="P48" i="5" s="1"/>
  <c r="C48" i="5"/>
  <c r="K46" i="5"/>
  <c r="N45" i="5"/>
  <c r="O44" i="5"/>
  <c r="C44" i="5"/>
  <c r="K42" i="5"/>
  <c r="N41" i="5"/>
  <c r="O40" i="5"/>
  <c r="C40" i="5"/>
  <c r="K38" i="5"/>
  <c r="N37" i="5"/>
  <c r="O36" i="5"/>
  <c r="C36" i="5"/>
  <c r="K34" i="5"/>
  <c r="N33" i="5"/>
  <c r="O32" i="5"/>
  <c r="C32" i="5"/>
  <c r="K30" i="5"/>
  <c r="N29" i="5"/>
  <c r="O28" i="5"/>
  <c r="C28" i="5"/>
  <c r="K26" i="5"/>
  <c r="N25" i="5"/>
  <c r="O24" i="5"/>
  <c r="C24" i="5"/>
  <c r="K22" i="5"/>
  <c r="N21" i="5"/>
  <c r="O20" i="5"/>
  <c r="C20" i="5"/>
  <c r="K18" i="5"/>
  <c r="N17" i="5"/>
  <c r="O16" i="5"/>
  <c r="C16" i="5"/>
  <c r="K14" i="5"/>
  <c r="N13" i="5"/>
  <c r="O12" i="5"/>
  <c r="P12" i="5" s="1"/>
  <c r="C12" i="5"/>
  <c r="K10" i="5"/>
  <c r="N9" i="5"/>
  <c r="O8" i="5"/>
  <c r="C8" i="5"/>
  <c r="M188" i="11"/>
  <c r="I187" i="11"/>
  <c r="M186" i="11"/>
  <c r="K185" i="11"/>
  <c r="L179" i="11"/>
  <c r="D177" i="11"/>
  <c r="F177" i="11"/>
  <c r="C174" i="11"/>
  <c r="M174" i="11"/>
  <c r="B166" i="11"/>
  <c r="G166" i="11"/>
  <c r="O166" i="11"/>
  <c r="D165" i="11"/>
  <c r="C165" i="11"/>
  <c r="N165" i="11"/>
  <c r="K161" i="11"/>
  <c r="M159" i="11"/>
  <c r="I158" i="11"/>
  <c r="K157" i="11"/>
  <c r="I156" i="11"/>
  <c r="F153" i="11"/>
  <c r="B151" i="11"/>
  <c r="H151" i="11"/>
  <c r="C144" i="11"/>
  <c r="D144" i="11"/>
  <c r="I144" i="11"/>
  <c r="N144" i="11"/>
  <c r="O142" i="11"/>
  <c r="D141" i="11"/>
  <c r="I141" i="11"/>
  <c r="B139" i="11"/>
  <c r="E139" i="11"/>
  <c r="I137" i="11"/>
  <c r="J136" i="11"/>
  <c r="B135" i="11"/>
  <c r="I135" i="11"/>
  <c r="H132" i="11"/>
  <c r="C130" i="11"/>
  <c r="E130" i="11"/>
  <c r="O126" i="11"/>
  <c r="J126" i="11"/>
  <c r="E126" i="11"/>
  <c r="L114" i="11"/>
  <c r="E108" i="11"/>
  <c r="J108" i="11"/>
  <c r="B108" i="11"/>
  <c r="H108" i="11"/>
  <c r="M108" i="11"/>
  <c r="O105" i="11"/>
  <c r="N88" i="11"/>
  <c r="E85" i="11"/>
  <c r="M85" i="11"/>
  <c r="C78" i="11"/>
  <c r="I78" i="11"/>
  <c r="M78" i="11"/>
  <c r="E78" i="11"/>
  <c r="I137" i="5"/>
  <c r="K135" i="5"/>
  <c r="N134" i="5"/>
  <c r="I121" i="5"/>
  <c r="K119" i="5"/>
  <c r="N118" i="5"/>
  <c r="K189" i="11"/>
  <c r="H187" i="11"/>
  <c r="I186" i="11"/>
  <c r="M182" i="11"/>
  <c r="I179" i="11"/>
  <c r="B175" i="11"/>
  <c r="I175" i="11"/>
  <c r="K169" i="11"/>
  <c r="B159" i="11"/>
  <c r="H159" i="11"/>
  <c r="E158" i="11"/>
  <c r="I157" i="11"/>
  <c r="M143" i="11"/>
  <c r="B142" i="11"/>
  <c r="E142" i="11"/>
  <c r="M142" i="11"/>
  <c r="M138" i="11"/>
  <c r="C136" i="11"/>
  <c r="D136" i="11"/>
  <c r="I136" i="11"/>
  <c r="N136" i="11"/>
  <c r="D133" i="11"/>
  <c r="I133" i="11"/>
  <c r="F132" i="11"/>
  <c r="B131" i="11"/>
  <c r="E131" i="11"/>
  <c r="N126" i="11"/>
  <c r="I126" i="11"/>
  <c r="C126" i="11"/>
  <c r="C119" i="11"/>
  <c r="L119" i="11"/>
  <c r="E119" i="11"/>
  <c r="D118" i="11"/>
  <c r="G118" i="11"/>
  <c r="M118" i="11"/>
  <c r="C118" i="11"/>
  <c r="K118" i="11"/>
  <c r="H114" i="11"/>
  <c r="N112" i="11"/>
  <c r="B110" i="11"/>
  <c r="F110" i="11"/>
  <c r="J105" i="11"/>
  <c r="E102" i="11"/>
  <c r="I102" i="11"/>
  <c r="C102" i="11"/>
  <c r="O102" i="11"/>
  <c r="C88" i="11"/>
  <c r="E88" i="11"/>
  <c r="J88" i="11"/>
  <c r="B88" i="11"/>
  <c r="H88" i="11"/>
  <c r="M88" i="11"/>
  <c r="I160" i="5"/>
  <c r="N159" i="5"/>
  <c r="N155" i="5"/>
  <c r="I150" i="5"/>
  <c r="N143" i="5"/>
  <c r="O137" i="5"/>
  <c r="P137" i="5" s="1"/>
  <c r="C135" i="5"/>
  <c r="I134" i="5"/>
  <c r="N127" i="5"/>
  <c r="O121" i="5"/>
  <c r="C119" i="5"/>
  <c r="I118" i="5"/>
  <c r="N111" i="5"/>
  <c r="P111" i="5" s="1"/>
  <c r="N108" i="5"/>
  <c r="N107" i="5"/>
  <c r="N104" i="5"/>
  <c r="N103" i="5"/>
  <c r="N100" i="5"/>
  <c r="N99" i="5"/>
  <c r="N96" i="5"/>
  <c r="N95" i="5"/>
  <c r="N92" i="5"/>
  <c r="N91" i="5"/>
  <c r="N88" i="5"/>
  <c r="N87" i="5"/>
  <c r="P87" i="5" s="1"/>
  <c r="N84" i="5"/>
  <c r="N83" i="5"/>
  <c r="P83" i="5" s="1"/>
  <c r="N80" i="5"/>
  <c r="N79" i="5"/>
  <c r="N76" i="5"/>
  <c r="N75" i="5"/>
  <c r="N72" i="5"/>
  <c r="N71" i="5"/>
  <c r="N68" i="5"/>
  <c r="N67" i="5"/>
  <c r="P67" i="5" s="1"/>
  <c r="N64" i="5"/>
  <c r="N63" i="5"/>
  <c r="K48" i="5"/>
  <c r="K44" i="5"/>
  <c r="K40" i="5"/>
  <c r="K36" i="5"/>
  <c r="K32" i="5"/>
  <c r="K28" i="5"/>
  <c r="K24" i="5"/>
  <c r="K20" i="5"/>
  <c r="K16" i="5"/>
  <c r="K12" i="5"/>
  <c r="K8" i="5"/>
  <c r="F189" i="11"/>
  <c r="D187" i="11"/>
  <c r="E186" i="11"/>
  <c r="C178" i="11"/>
  <c r="I178" i="11"/>
  <c r="L175" i="11"/>
  <c r="D173" i="11"/>
  <c r="K173" i="11"/>
  <c r="F169" i="11"/>
  <c r="B167" i="11"/>
  <c r="H167" i="11"/>
  <c r="I159" i="11"/>
  <c r="M158" i="11"/>
  <c r="B150" i="11"/>
  <c r="G150" i="11"/>
  <c r="O150" i="11"/>
  <c r="D149" i="11"/>
  <c r="C149" i="11"/>
  <c r="N149" i="11"/>
  <c r="I142" i="11"/>
  <c r="C140" i="11"/>
  <c r="E140" i="11"/>
  <c r="L140" i="11"/>
  <c r="M136" i="11"/>
  <c r="F136" i="11"/>
  <c r="B134" i="11"/>
  <c r="E134" i="11"/>
  <c r="M134" i="11"/>
  <c r="M132" i="11"/>
  <c r="M126" i="11"/>
  <c r="G126" i="11"/>
  <c r="B121" i="11"/>
  <c r="J121" i="11"/>
  <c r="F121" i="11"/>
  <c r="M121" i="11"/>
  <c r="L118" i="11"/>
  <c r="F108" i="11"/>
  <c r="C103" i="11"/>
  <c r="H103" i="11"/>
  <c r="M103" i="11"/>
  <c r="E103" i="11"/>
  <c r="K103" i="11"/>
  <c r="F97" i="11"/>
  <c r="C97" i="11"/>
  <c r="K97" i="11"/>
  <c r="I88" i="11"/>
  <c r="C87" i="11"/>
  <c r="I87" i="11"/>
  <c r="C86" i="11"/>
  <c r="K86" i="11"/>
  <c r="G86" i="11"/>
  <c r="O86" i="11"/>
  <c r="C182" i="11"/>
  <c r="E182" i="11"/>
  <c r="B179" i="11"/>
  <c r="H179" i="11"/>
  <c r="B158" i="11"/>
  <c r="G158" i="11"/>
  <c r="O158" i="11"/>
  <c r="D157" i="11"/>
  <c r="C157" i="11"/>
  <c r="N157" i="11"/>
  <c r="B143" i="11"/>
  <c r="I143" i="11"/>
  <c r="C138" i="11"/>
  <c r="E138" i="11"/>
  <c r="C132" i="11"/>
  <c r="E132" i="11"/>
  <c r="L132" i="11"/>
  <c r="D126" i="11"/>
  <c r="H126" i="11"/>
  <c r="L126" i="11"/>
  <c r="B120" i="11"/>
  <c r="L120" i="11"/>
  <c r="D114" i="11"/>
  <c r="C114" i="11"/>
  <c r="K114" i="11"/>
  <c r="G114" i="11"/>
  <c r="M114" i="11"/>
  <c r="L112" i="11"/>
  <c r="D112" i="11"/>
  <c r="E105" i="11"/>
  <c r="B105" i="11"/>
  <c r="M105" i="11"/>
  <c r="G105" i="11"/>
  <c r="C79" i="11"/>
  <c r="I79" i="11"/>
  <c r="F122" i="11"/>
  <c r="H111" i="11"/>
  <c r="L99" i="11"/>
  <c r="M98" i="11"/>
  <c r="L92" i="11"/>
  <c r="E92" i="11"/>
  <c r="N84" i="11"/>
  <c r="I84" i="11"/>
  <c r="D84" i="11"/>
  <c r="I83" i="11"/>
  <c r="I82" i="11"/>
  <c r="J80" i="11"/>
  <c r="E80" i="11"/>
  <c r="N76" i="11"/>
  <c r="I76" i="11"/>
  <c r="D76" i="11"/>
  <c r="I75" i="11"/>
  <c r="N68" i="11"/>
  <c r="I68" i="11"/>
  <c r="D68" i="11"/>
  <c r="N64" i="11"/>
  <c r="I64" i="11"/>
  <c r="D64" i="11"/>
  <c r="O62" i="11"/>
  <c r="K62" i="11"/>
  <c r="G62" i="11"/>
  <c r="M61" i="11"/>
  <c r="E61" i="11"/>
  <c r="M58" i="11"/>
  <c r="H58" i="11"/>
  <c r="B58" i="11"/>
  <c r="I57" i="11"/>
  <c r="L56" i="11"/>
  <c r="O54" i="11"/>
  <c r="K54" i="11"/>
  <c r="G54" i="11"/>
  <c r="M53" i="11"/>
  <c r="E53" i="11"/>
  <c r="M50" i="11"/>
  <c r="H50" i="11"/>
  <c r="B50" i="11"/>
  <c r="I49" i="11"/>
  <c r="L48" i="11"/>
  <c r="M47" i="11"/>
  <c r="D47" i="11"/>
  <c r="K46" i="11"/>
  <c r="C46" i="11"/>
  <c r="K45" i="11"/>
  <c r="L40" i="11"/>
  <c r="G39" i="11"/>
  <c r="E38" i="11"/>
  <c r="M30" i="11"/>
  <c r="H30" i="11"/>
  <c r="C30" i="11"/>
  <c r="F29" i="11"/>
  <c r="M27" i="11"/>
  <c r="H27" i="11"/>
  <c r="C27" i="11"/>
  <c r="M26" i="11"/>
  <c r="G26" i="11"/>
  <c r="B26" i="11"/>
  <c r="F25" i="11"/>
  <c r="H24" i="11"/>
  <c r="G23" i="11"/>
  <c r="K21" i="11"/>
  <c r="O18" i="11"/>
  <c r="K18" i="11"/>
  <c r="G18" i="11"/>
  <c r="I15" i="11"/>
  <c r="J14" i="11"/>
  <c r="M13" i="11"/>
  <c r="E13" i="11"/>
  <c r="G11" i="11"/>
  <c r="O11" i="11"/>
  <c r="D10" i="11"/>
  <c r="B10" i="11"/>
  <c r="J10" i="11"/>
  <c r="F10" i="11"/>
  <c r="M10" i="11"/>
  <c r="D181" i="12"/>
  <c r="B181" i="12"/>
  <c r="G181" i="12"/>
  <c r="E181" i="12"/>
  <c r="G174" i="12"/>
  <c r="C174" i="12"/>
  <c r="F163" i="12"/>
  <c r="D163" i="12"/>
  <c r="C145" i="12"/>
  <c r="E145" i="12"/>
  <c r="C143" i="12"/>
  <c r="B143" i="12"/>
  <c r="E143" i="12"/>
  <c r="G139" i="12"/>
  <c r="G123" i="12"/>
  <c r="G115" i="12"/>
  <c r="G95" i="12"/>
  <c r="C83" i="12"/>
  <c r="D83" i="12"/>
  <c r="E83" i="12"/>
  <c r="B83" i="12"/>
  <c r="F80" i="12"/>
  <c r="D80" i="12"/>
  <c r="C9" i="11"/>
  <c r="I9" i="11"/>
  <c r="G182" i="12"/>
  <c r="C182" i="12"/>
  <c r="E178" i="12"/>
  <c r="C178" i="12"/>
  <c r="E153" i="12"/>
  <c r="C153" i="12"/>
  <c r="B142" i="12"/>
  <c r="F142" i="12"/>
  <c r="E115" i="12"/>
  <c r="C114" i="12"/>
  <c r="G114" i="12"/>
  <c r="C105" i="12"/>
  <c r="B105" i="12"/>
  <c r="F105" i="12"/>
  <c r="C103" i="12"/>
  <c r="E103" i="12"/>
  <c r="B103" i="12"/>
  <c r="B98" i="12"/>
  <c r="C98" i="12"/>
  <c r="E95" i="12"/>
  <c r="B94" i="12"/>
  <c r="G94" i="12"/>
  <c r="C94" i="12"/>
  <c r="M80" i="11"/>
  <c r="H80" i="11"/>
  <c r="B80" i="11"/>
  <c r="I77" i="11"/>
  <c r="E69" i="11"/>
  <c r="J58" i="11"/>
  <c r="E58" i="11"/>
  <c r="O57" i="11"/>
  <c r="C57" i="11"/>
  <c r="J50" i="11"/>
  <c r="E50" i="11"/>
  <c r="O49" i="11"/>
  <c r="C49" i="11"/>
  <c r="I47" i="11"/>
  <c r="O46" i="11"/>
  <c r="G46" i="11"/>
  <c r="F41" i="11"/>
  <c r="E40" i="11"/>
  <c r="M38" i="11"/>
  <c r="K30" i="11"/>
  <c r="E30" i="11"/>
  <c r="O29" i="11"/>
  <c r="K27" i="11"/>
  <c r="E27" i="11"/>
  <c r="O26" i="11"/>
  <c r="J26" i="11"/>
  <c r="E26" i="11"/>
  <c r="K25" i="11"/>
  <c r="I22" i="11"/>
  <c r="E19" i="11"/>
  <c r="F16" i="11"/>
  <c r="N14" i="11"/>
  <c r="F14" i="11"/>
  <c r="E186" i="12"/>
  <c r="C186" i="12"/>
  <c r="C175" i="12"/>
  <c r="E175" i="12"/>
  <c r="B175" i="12"/>
  <c r="C159" i="12"/>
  <c r="B159" i="12"/>
  <c r="F159" i="12"/>
  <c r="C157" i="12"/>
  <c r="E157" i="12"/>
  <c r="B157" i="12"/>
  <c r="C147" i="12"/>
  <c r="F147" i="12"/>
  <c r="B147" i="12"/>
  <c r="D137" i="12"/>
  <c r="B137" i="12"/>
  <c r="C135" i="12"/>
  <c r="E135" i="12"/>
  <c r="B135" i="12"/>
  <c r="C117" i="12"/>
  <c r="B117" i="12"/>
  <c r="E117" i="12"/>
  <c r="D97" i="12"/>
  <c r="F97" i="12"/>
  <c r="F93" i="12"/>
  <c r="D93" i="12"/>
  <c r="C91" i="12"/>
  <c r="E91" i="12"/>
  <c r="B91" i="12"/>
  <c r="N58" i="11"/>
  <c r="I58" i="11"/>
  <c r="D58" i="11"/>
  <c r="N50" i="11"/>
  <c r="I50" i="11"/>
  <c r="D50" i="11"/>
  <c r="O47" i="11"/>
  <c r="G47" i="11"/>
  <c r="M46" i="11"/>
  <c r="E46" i="11"/>
  <c r="I38" i="11"/>
  <c r="O30" i="11"/>
  <c r="I30" i="11"/>
  <c r="J29" i="11"/>
  <c r="O27" i="11"/>
  <c r="I27" i="11"/>
  <c r="N26" i="11"/>
  <c r="I26" i="11"/>
  <c r="L23" i="11"/>
  <c r="E12" i="11"/>
  <c r="I12" i="11"/>
  <c r="D12" i="11"/>
  <c r="N12" i="11"/>
  <c r="H8" i="11"/>
  <c r="N8" i="11"/>
  <c r="D8" i="11"/>
  <c r="C190" i="12"/>
  <c r="I190" i="12"/>
  <c r="D185" i="12"/>
  <c r="G185" i="12"/>
  <c r="C183" i="12"/>
  <c r="E183" i="12"/>
  <c r="B183" i="12"/>
  <c r="C169" i="12"/>
  <c r="E169" i="12"/>
  <c r="C146" i="12"/>
  <c r="E146" i="12"/>
  <c r="B139" i="12"/>
  <c r="F139" i="12"/>
  <c r="D139" i="12"/>
  <c r="D123" i="12"/>
  <c r="B123" i="12"/>
  <c r="F123" i="12"/>
  <c r="B115" i="12"/>
  <c r="F115" i="12"/>
  <c r="D115" i="12"/>
  <c r="D95" i="12"/>
  <c r="B95" i="12"/>
  <c r="F95" i="12"/>
  <c r="D127" i="12"/>
  <c r="E122" i="12"/>
  <c r="D107" i="12"/>
  <c r="E101" i="12"/>
  <c r="G87" i="12"/>
  <c r="E86" i="12"/>
  <c r="G81" i="12"/>
  <c r="D74" i="12"/>
  <c r="E70" i="12"/>
  <c r="E69" i="12"/>
  <c r="D67" i="12"/>
  <c r="F65" i="12"/>
  <c r="B65" i="12"/>
  <c r="G61" i="12"/>
  <c r="E55" i="12"/>
  <c r="C54" i="12"/>
  <c r="C53" i="12"/>
  <c r="D49" i="12"/>
  <c r="G48" i="12"/>
  <c r="E47" i="12"/>
  <c r="C46" i="12"/>
  <c r="C45" i="12"/>
  <c r="D41" i="12"/>
  <c r="G38" i="12"/>
  <c r="D37" i="12"/>
  <c r="B31" i="12"/>
  <c r="G29" i="12"/>
  <c r="F27" i="12"/>
  <c r="F21" i="12"/>
  <c r="E20" i="12"/>
  <c r="C15" i="12"/>
  <c r="B15" i="12"/>
  <c r="B13" i="12"/>
  <c r="E11" i="12"/>
  <c r="C179" i="13"/>
  <c r="E179" i="13"/>
  <c r="B168" i="13"/>
  <c r="E168" i="13"/>
  <c r="G154" i="13"/>
  <c r="B25" i="12"/>
  <c r="C25" i="12"/>
  <c r="G18" i="12"/>
  <c r="C18" i="12"/>
  <c r="D184" i="13"/>
  <c r="C184" i="13"/>
  <c r="E181" i="13"/>
  <c r="G181" i="13"/>
  <c r="B166" i="13"/>
  <c r="F166" i="13"/>
  <c r="D166" i="13"/>
  <c r="D162" i="13"/>
  <c r="B162" i="13"/>
  <c r="F162" i="13"/>
  <c r="C143" i="13"/>
  <c r="D143" i="13"/>
  <c r="D141" i="13"/>
  <c r="B141" i="13"/>
  <c r="G141" i="13"/>
  <c r="D133" i="13"/>
  <c r="F133" i="13"/>
  <c r="B133" i="13"/>
  <c r="E189" i="12"/>
  <c r="G165" i="12"/>
  <c r="E82" i="12"/>
  <c r="B81" i="12"/>
  <c r="F74" i="12"/>
  <c r="B70" i="12"/>
  <c r="F68" i="12"/>
  <c r="D65" i="12"/>
  <c r="C62" i="12"/>
  <c r="C61" i="12"/>
  <c r="C56" i="12"/>
  <c r="G54" i="12"/>
  <c r="G53" i="12"/>
  <c r="F49" i="12"/>
  <c r="G45" i="12"/>
  <c r="F41" i="12"/>
  <c r="B39" i="12"/>
  <c r="D35" i="12"/>
  <c r="F31" i="12"/>
  <c r="G30" i="12"/>
  <c r="G26" i="12"/>
  <c r="C26" i="12"/>
  <c r="C23" i="12"/>
  <c r="E23" i="12"/>
  <c r="G17" i="12"/>
  <c r="C12" i="12"/>
  <c r="E12" i="12"/>
  <c r="C9" i="12"/>
  <c r="E188" i="13"/>
  <c r="C174" i="13"/>
  <c r="G174" i="13"/>
  <c r="B170" i="13"/>
  <c r="F170" i="13"/>
  <c r="D170" i="13"/>
  <c r="G166" i="13"/>
  <c r="G162" i="13"/>
  <c r="D161" i="13"/>
  <c r="F161" i="13"/>
  <c r="D150" i="13"/>
  <c r="B150" i="13"/>
  <c r="F150" i="13"/>
  <c r="D146" i="13"/>
  <c r="B146" i="13"/>
  <c r="F146" i="13"/>
  <c r="B140" i="13"/>
  <c r="F140" i="13"/>
  <c r="B132" i="13"/>
  <c r="F132" i="13"/>
  <c r="E123" i="13"/>
  <c r="D123" i="13"/>
  <c r="G65" i="12"/>
  <c r="E54" i="12"/>
  <c r="E53" i="12"/>
  <c r="G46" i="12"/>
  <c r="E45" i="12"/>
  <c r="E31" i="12"/>
  <c r="C28" i="12"/>
  <c r="E28" i="12"/>
  <c r="G25" i="12"/>
  <c r="C21" i="12"/>
  <c r="B21" i="12"/>
  <c r="E13" i="12"/>
  <c r="F11" i="12"/>
  <c r="G180" i="13"/>
  <c r="C180" i="13"/>
  <c r="D169" i="13"/>
  <c r="C169" i="13"/>
  <c r="E166" i="13"/>
  <c r="B165" i="13"/>
  <c r="G165" i="13"/>
  <c r="E162" i="13"/>
  <c r="B154" i="13"/>
  <c r="F154" i="13"/>
  <c r="D154" i="13"/>
  <c r="D145" i="13"/>
  <c r="F145" i="13"/>
  <c r="C142" i="13"/>
  <c r="G142" i="13"/>
  <c r="D139" i="13"/>
  <c r="G139" i="13"/>
  <c r="G133" i="13"/>
  <c r="D131" i="13"/>
  <c r="E131" i="13"/>
  <c r="E149" i="13"/>
  <c r="G138" i="13"/>
  <c r="E126" i="13"/>
  <c r="F125" i="13"/>
  <c r="G122" i="13"/>
  <c r="D116" i="13"/>
  <c r="G114" i="13"/>
  <c r="D108" i="13"/>
  <c r="G106" i="13"/>
  <c r="D100" i="13"/>
  <c r="G98" i="13"/>
  <c r="D92" i="13"/>
  <c r="G90" i="13"/>
  <c r="C78" i="13"/>
  <c r="C76" i="13"/>
  <c r="B73" i="13"/>
  <c r="B72" i="13"/>
  <c r="F67" i="13"/>
  <c r="D65" i="13"/>
  <c r="B56" i="13"/>
  <c r="E51" i="13"/>
  <c r="F48" i="13"/>
  <c r="F47" i="13"/>
  <c r="E45" i="13"/>
  <c r="E43" i="13"/>
  <c r="F41" i="13"/>
  <c r="F27" i="13"/>
  <c r="B25" i="13"/>
  <c r="E25" i="13"/>
  <c r="E8" i="13"/>
  <c r="G8" i="13"/>
  <c r="E184" i="14"/>
  <c r="C183" i="14"/>
  <c r="F183" i="14"/>
  <c r="B176" i="14"/>
  <c r="G176" i="14" s="1"/>
  <c r="C176" i="14"/>
  <c r="B167" i="14"/>
  <c r="F167" i="14"/>
  <c r="C151" i="14"/>
  <c r="E151" i="14"/>
  <c r="B151" i="14"/>
  <c r="D144" i="14"/>
  <c r="C144" i="14"/>
  <c r="C110" i="14"/>
  <c r="E110" i="14"/>
  <c r="F68" i="13"/>
  <c r="E67" i="13"/>
  <c r="G65" i="13"/>
  <c r="C65" i="13"/>
  <c r="F61" i="13"/>
  <c r="F49" i="13"/>
  <c r="E48" i="13"/>
  <c r="E41" i="13"/>
  <c r="D35" i="13"/>
  <c r="E35" i="13"/>
  <c r="E27" i="13"/>
  <c r="C23" i="13"/>
  <c r="E23" i="13"/>
  <c r="C11" i="13"/>
  <c r="B11" i="13"/>
  <c r="F7" i="13"/>
  <c r="C189" i="14"/>
  <c r="B189" i="14"/>
  <c r="G189" i="14" s="1"/>
  <c r="C187" i="14"/>
  <c r="E187" i="14"/>
  <c r="G187" i="14" s="1"/>
  <c r="D172" i="14"/>
  <c r="B172" i="14"/>
  <c r="G172" i="14" s="1"/>
  <c r="B169" i="14"/>
  <c r="D169" i="14"/>
  <c r="E154" i="14"/>
  <c r="C154" i="14"/>
  <c r="D146" i="14"/>
  <c r="E146" i="14"/>
  <c r="C131" i="14"/>
  <c r="B131" i="14"/>
  <c r="E131" i="14"/>
  <c r="C122" i="14"/>
  <c r="E122" i="14"/>
  <c r="E81" i="13"/>
  <c r="E75" i="13"/>
  <c r="B67" i="13"/>
  <c r="F65" i="13"/>
  <c r="B61" i="13"/>
  <c r="F56" i="13"/>
  <c r="B49" i="13"/>
  <c r="C48" i="13"/>
  <c r="F44" i="13"/>
  <c r="G42" i="13"/>
  <c r="D25" i="13"/>
  <c r="E24" i="13"/>
  <c r="G24" i="13"/>
  <c r="F11" i="13"/>
  <c r="B9" i="13"/>
  <c r="E9" i="13"/>
  <c r="F189" i="14"/>
  <c r="C177" i="14"/>
  <c r="D177" i="14"/>
  <c r="F172" i="14"/>
  <c r="D171" i="14"/>
  <c r="F169" i="14"/>
  <c r="C143" i="14"/>
  <c r="B143" i="14"/>
  <c r="F143" i="14"/>
  <c r="F140" i="14"/>
  <c r="C128" i="14"/>
  <c r="E128" i="14"/>
  <c r="C27" i="13"/>
  <c r="B27" i="13"/>
  <c r="C7" i="13"/>
  <c r="E7" i="13"/>
  <c r="D165" i="14"/>
  <c r="F165" i="14"/>
  <c r="F131" i="14"/>
  <c r="E103" i="14"/>
  <c r="D99" i="14"/>
  <c r="C97" i="14"/>
  <c r="E91" i="14"/>
  <c r="E89" i="14"/>
  <c r="D77" i="14"/>
  <c r="D73" i="14"/>
  <c r="D69" i="14"/>
  <c r="D65" i="14"/>
  <c r="D61" i="14"/>
  <c r="C57" i="14"/>
  <c r="D49" i="14"/>
  <c r="E35" i="14"/>
  <c r="D27" i="14"/>
  <c r="C25" i="14"/>
  <c r="D19" i="14"/>
  <c r="C17" i="14"/>
  <c r="E157" i="14"/>
  <c r="E153" i="14"/>
  <c r="D137" i="14"/>
  <c r="D129" i="14"/>
  <c r="D127" i="14"/>
  <c r="F123" i="14"/>
  <c r="F119" i="14"/>
  <c r="E111" i="14"/>
  <c r="D109" i="14"/>
  <c r="B103" i="14"/>
  <c r="B99" i="14"/>
  <c r="F97" i="14"/>
  <c r="B97" i="14"/>
  <c r="G97" i="14" s="1"/>
  <c r="B91" i="14"/>
  <c r="C89" i="14"/>
  <c r="E87" i="14"/>
  <c r="G87" i="14" s="1"/>
  <c r="E79" i="14"/>
  <c r="G79" i="14" s="1"/>
  <c r="B77" i="14"/>
  <c r="E75" i="14"/>
  <c r="B73" i="14"/>
  <c r="E71" i="14"/>
  <c r="B69" i="14"/>
  <c r="E67" i="14"/>
  <c r="B65" i="14"/>
  <c r="E63" i="14"/>
  <c r="B61" i="14"/>
  <c r="F57" i="14"/>
  <c r="B57" i="14"/>
  <c r="B49" i="14"/>
  <c r="D41" i="14"/>
  <c r="B35" i="14"/>
  <c r="D31" i="14"/>
  <c r="B27" i="14"/>
  <c r="F25" i="14"/>
  <c r="B25" i="14"/>
  <c r="E23" i="14"/>
  <c r="E21" i="14"/>
  <c r="B19" i="14"/>
  <c r="F17" i="14"/>
  <c r="B17" i="14"/>
  <c r="G17" i="14" s="1"/>
  <c r="E11" i="14"/>
  <c r="E10" i="14"/>
  <c r="D9" i="14"/>
  <c r="E8" i="14"/>
  <c r="D7" i="14"/>
  <c r="F129" i="14"/>
  <c r="B123" i="14"/>
  <c r="B119" i="14"/>
  <c r="B111" i="14"/>
  <c r="F109" i="14"/>
  <c r="F103" i="14"/>
  <c r="E99" i="14"/>
  <c r="E96" i="14"/>
  <c r="F91" i="14"/>
  <c r="E77" i="14"/>
  <c r="E73" i="14"/>
  <c r="E69" i="14"/>
  <c r="E65" i="14"/>
  <c r="E61" i="14"/>
  <c r="F56" i="14"/>
  <c r="E49" i="14"/>
  <c r="F48" i="14"/>
  <c r="F41" i="14"/>
  <c r="F35" i="14"/>
  <c r="E34" i="14"/>
  <c r="E27" i="14"/>
  <c r="E26" i="14"/>
  <c r="E19" i="14"/>
  <c r="E18" i="14"/>
  <c r="E16" i="14"/>
  <c r="G16" i="14" s="1"/>
  <c r="B11" i="14"/>
  <c r="F9" i="14"/>
  <c r="C183" i="2"/>
  <c r="I183" i="2"/>
  <c r="E183" i="2"/>
  <c r="Q183" i="2"/>
  <c r="B183" i="2"/>
  <c r="H183" i="2"/>
  <c r="M183" i="2"/>
  <c r="D183" i="2"/>
  <c r="P183" i="2"/>
  <c r="C179" i="2"/>
  <c r="D179" i="2"/>
  <c r="L179" i="2"/>
  <c r="Q179" i="2"/>
  <c r="E179" i="2"/>
  <c r="M179" i="2"/>
  <c r="R179" i="2"/>
  <c r="B179" i="2"/>
  <c r="I179" i="2"/>
  <c r="J179" i="2" s="1"/>
  <c r="K179" i="2" s="1"/>
  <c r="P179" i="2"/>
  <c r="C185" i="2"/>
  <c r="D185" i="2"/>
  <c r="G185" i="2" s="1"/>
  <c r="P185" i="2"/>
  <c r="B185" i="2"/>
  <c r="H185" i="2"/>
  <c r="M185" i="2"/>
  <c r="R185" i="2"/>
  <c r="I185" i="2"/>
  <c r="S185" i="2"/>
  <c r="D193" i="2"/>
  <c r="P193" i="2"/>
  <c r="B193" i="2"/>
  <c r="H193" i="2"/>
  <c r="M193" i="2"/>
  <c r="R193" i="2"/>
  <c r="C193" i="2"/>
  <c r="I193" i="2"/>
  <c r="S193" i="2"/>
  <c r="R183" i="2"/>
  <c r="C180" i="2"/>
  <c r="Q180" i="2"/>
  <c r="I180" i="2"/>
  <c r="L193" i="2"/>
  <c r="G189" i="2"/>
  <c r="Q185" i="2"/>
  <c r="L183" i="2"/>
  <c r="E167" i="2"/>
  <c r="R181" i="2"/>
  <c r="Q171" i="2"/>
  <c r="L171" i="2"/>
  <c r="E171" i="2"/>
  <c r="Q167" i="2"/>
  <c r="L167" i="2"/>
  <c r="D167" i="2"/>
  <c r="L159" i="2"/>
  <c r="D159" i="2"/>
  <c r="M192" i="2"/>
  <c r="E177" i="2"/>
  <c r="G177" i="2" s="1"/>
  <c r="I174" i="2"/>
  <c r="P171" i="2"/>
  <c r="D171" i="2"/>
  <c r="F171" i="2" s="1"/>
  <c r="C167" i="2"/>
  <c r="P159" i="2"/>
  <c r="C159" i="2"/>
  <c r="Q158" i="2"/>
  <c r="Q157" i="2"/>
  <c r="P155" i="2"/>
  <c r="I155" i="2"/>
  <c r="D155" i="2"/>
  <c r="P151" i="2"/>
  <c r="C151" i="2"/>
  <c r="Q150" i="2"/>
  <c r="Q149" i="2"/>
  <c r="L141" i="2"/>
  <c r="Q191" i="2"/>
  <c r="E191" i="2"/>
  <c r="S190" i="2"/>
  <c r="E190" i="2"/>
  <c r="R187" i="2"/>
  <c r="M187" i="2"/>
  <c r="E187" i="2"/>
  <c r="Q186" i="2"/>
  <c r="P181" i="2"/>
  <c r="H181" i="2"/>
  <c r="C181" i="2"/>
  <c r="F181" i="2" s="1"/>
  <c r="P177" i="2"/>
  <c r="S176" i="2"/>
  <c r="E176" i="2"/>
  <c r="Q175" i="2"/>
  <c r="E175" i="2"/>
  <c r="S174" i="2"/>
  <c r="S171" i="2"/>
  <c r="I171" i="2"/>
  <c r="B171" i="2"/>
  <c r="L169" i="2"/>
  <c r="L168" i="2"/>
  <c r="S167" i="2"/>
  <c r="H167" i="2"/>
  <c r="B167" i="2"/>
  <c r="I166" i="2"/>
  <c r="L165" i="2"/>
  <c r="S163" i="2"/>
  <c r="M163" i="2"/>
  <c r="H163" i="2"/>
  <c r="C163" i="2"/>
  <c r="L161" i="2"/>
  <c r="L160" i="2"/>
  <c r="S159" i="2"/>
  <c r="H159" i="2"/>
  <c r="B159" i="2"/>
  <c r="L157" i="2"/>
  <c r="S155" i="2"/>
  <c r="M155" i="2"/>
  <c r="H155" i="2"/>
  <c r="C155" i="2"/>
  <c r="L153" i="2"/>
  <c r="L152" i="2"/>
  <c r="S151" i="2"/>
  <c r="H151" i="2"/>
  <c r="J151" i="2" s="1"/>
  <c r="K151" i="2" s="1"/>
  <c r="B151" i="2"/>
  <c r="L149" i="2"/>
  <c r="P147" i="2"/>
  <c r="I147" i="2"/>
  <c r="I141" i="2"/>
  <c r="P136" i="2"/>
  <c r="H136" i="2"/>
  <c r="C136" i="2"/>
  <c r="F136" i="2" s="1"/>
  <c r="C135" i="2"/>
  <c r="L133" i="2"/>
  <c r="R132" i="2"/>
  <c r="M132" i="2"/>
  <c r="H132" i="2"/>
  <c r="B132" i="2"/>
  <c r="D130" i="2"/>
  <c r="D129" i="2"/>
  <c r="Q128" i="2"/>
  <c r="I128" i="2"/>
  <c r="J128" i="2" s="1"/>
  <c r="K128" i="2" s="1"/>
  <c r="Q127" i="2"/>
  <c r="S124" i="2"/>
  <c r="I124" i="2"/>
  <c r="C124" i="2"/>
  <c r="I123" i="2"/>
  <c r="I122" i="2"/>
  <c r="L121" i="2"/>
  <c r="N120" i="2"/>
  <c r="O120" i="2" s="1"/>
  <c r="L118" i="2"/>
  <c r="P116" i="2"/>
  <c r="S115" i="2"/>
  <c r="Q113" i="2"/>
  <c r="S112" i="2"/>
  <c r="M112" i="2"/>
  <c r="B112" i="2"/>
  <c r="I109" i="2"/>
  <c r="P104" i="2"/>
  <c r="H104" i="2"/>
  <c r="C104" i="2"/>
  <c r="F104" i="2" s="1"/>
  <c r="C103" i="2"/>
  <c r="L101" i="2"/>
  <c r="R100" i="2"/>
  <c r="M100" i="2"/>
  <c r="H100" i="2"/>
  <c r="B100" i="2"/>
  <c r="D98" i="2"/>
  <c r="D97" i="2"/>
  <c r="Q96" i="2"/>
  <c r="I96" i="2"/>
  <c r="J96" i="2" s="1"/>
  <c r="K96" i="2" s="1"/>
  <c r="Q95" i="2"/>
  <c r="S92" i="2"/>
  <c r="I92" i="2"/>
  <c r="J92" i="2" s="1"/>
  <c r="K92" i="2" s="1"/>
  <c r="C92" i="2"/>
  <c r="I91" i="2"/>
  <c r="I90" i="2"/>
  <c r="L89" i="2"/>
  <c r="L86" i="2"/>
  <c r="P84" i="2"/>
  <c r="S83" i="2"/>
  <c r="Q81" i="2"/>
  <c r="S80" i="2"/>
  <c r="M80" i="2"/>
  <c r="N80" i="2" s="1"/>
  <c r="O80" i="2" s="1"/>
  <c r="B80" i="2"/>
  <c r="I77" i="2"/>
  <c r="Q74" i="2"/>
  <c r="B72" i="2"/>
  <c r="M72" i="2"/>
  <c r="S72" i="2"/>
  <c r="L70" i="2"/>
  <c r="I67" i="2"/>
  <c r="R64" i="2"/>
  <c r="I64" i="2"/>
  <c r="L62" i="2"/>
  <c r="S60" i="2"/>
  <c r="L60" i="2"/>
  <c r="I58" i="2"/>
  <c r="I57" i="2"/>
  <c r="D57" i="2"/>
  <c r="M56" i="2"/>
  <c r="L53" i="2"/>
  <c r="Q52" i="2"/>
  <c r="Q50" i="2"/>
  <c r="D46" i="2"/>
  <c r="L46" i="2"/>
  <c r="S44" i="2"/>
  <c r="M44" i="2"/>
  <c r="D42" i="2"/>
  <c r="I41" i="2"/>
  <c r="Q41" i="2"/>
  <c r="L40" i="2"/>
  <c r="M32" i="2"/>
  <c r="N32" i="2" s="1"/>
  <c r="O32" i="2" s="1"/>
  <c r="B28" i="2"/>
  <c r="H28" i="2"/>
  <c r="M28" i="2"/>
  <c r="R28" i="2"/>
  <c r="Q26" i="2"/>
  <c r="R24" i="2"/>
  <c r="H24" i="2"/>
  <c r="D20" i="2"/>
  <c r="I20" i="2"/>
  <c r="S20" i="2"/>
  <c r="Q12" i="2"/>
  <c r="C6" i="3"/>
  <c r="O6" i="3" s="1"/>
  <c r="H10" i="2"/>
  <c r="B188" i="3"/>
  <c r="I188" i="3"/>
  <c r="O188" i="3"/>
  <c r="P186" i="3"/>
  <c r="B182" i="3"/>
  <c r="D182" i="3"/>
  <c r="E182" i="3" s="1"/>
  <c r="M182" i="3"/>
  <c r="M179" i="3"/>
  <c r="B175" i="3"/>
  <c r="G175" i="3"/>
  <c r="M175" i="3"/>
  <c r="Q175" i="3"/>
  <c r="B174" i="3"/>
  <c r="G174" i="3"/>
  <c r="O174" i="3"/>
  <c r="B172" i="3"/>
  <c r="M172" i="3"/>
  <c r="P170" i="3"/>
  <c r="P167" i="3"/>
  <c r="I167" i="3"/>
  <c r="B166" i="3"/>
  <c r="C166" i="3"/>
  <c r="L166" i="3"/>
  <c r="Q166" i="3"/>
  <c r="Q164" i="3"/>
  <c r="B163" i="3"/>
  <c r="G163" i="3"/>
  <c r="M163" i="3"/>
  <c r="Q163" i="3"/>
  <c r="B162" i="3"/>
  <c r="G162" i="3"/>
  <c r="O162" i="3"/>
  <c r="Q159" i="3"/>
  <c r="L159" i="3"/>
  <c r="O158" i="3"/>
  <c r="M155" i="3"/>
  <c r="J152" i="3"/>
  <c r="K152" i="3" s="1"/>
  <c r="P151" i="3"/>
  <c r="J151" i="3"/>
  <c r="M150" i="3"/>
  <c r="B148" i="3"/>
  <c r="I148" i="3"/>
  <c r="M147" i="3"/>
  <c r="P146" i="3"/>
  <c r="C143" i="3"/>
  <c r="E143" i="3" s="1"/>
  <c r="I143" i="3"/>
  <c r="N143" i="3"/>
  <c r="P139" i="3"/>
  <c r="J139" i="3"/>
  <c r="M138" i="3"/>
  <c r="D137" i="3"/>
  <c r="Q137" i="3"/>
  <c r="Q134" i="3"/>
  <c r="L131" i="3"/>
  <c r="P130" i="3"/>
  <c r="N129" i="3"/>
  <c r="M127" i="3"/>
  <c r="B126" i="3"/>
  <c r="C126" i="3"/>
  <c r="O126" i="3"/>
  <c r="O123" i="3"/>
  <c r="M116" i="3"/>
  <c r="D115" i="3"/>
  <c r="O115" i="3"/>
  <c r="G115" i="3"/>
  <c r="Q115" i="3"/>
  <c r="B114" i="3"/>
  <c r="M114" i="3"/>
  <c r="F114" i="3"/>
  <c r="P114" i="3"/>
  <c r="Q111" i="3"/>
  <c r="D110" i="3"/>
  <c r="N110" i="3"/>
  <c r="F110" i="3"/>
  <c r="Q110" i="3"/>
  <c r="B109" i="3"/>
  <c r="M109" i="3"/>
  <c r="F109" i="3"/>
  <c r="H109" i="3" s="1"/>
  <c r="O109" i="3"/>
  <c r="G107" i="3"/>
  <c r="E107" i="5" s="1"/>
  <c r="L107" i="3"/>
  <c r="D88" i="3"/>
  <c r="J88" i="3"/>
  <c r="O88" i="3"/>
  <c r="B88" i="3"/>
  <c r="G88" i="3"/>
  <c r="E88" i="5" s="1"/>
  <c r="M88" i="3"/>
  <c r="Q88" i="3"/>
  <c r="C88" i="3"/>
  <c r="I88" i="3"/>
  <c r="N88" i="3"/>
  <c r="D84" i="3"/>
  <c r="J84" i="3"/>
  <c r="O84" i="3"/>
  <c r="B84" i="3"/>
  <c r="G84" i="3"/>
  <c r="M84" i="3"/>
  <c r="Q84" i="3"/>
  <c r="C84" i="3"/>
  <c r="I84" i="3"/>
  <c r="N84" i="3"/>
  <c r="H171" i="2"/>
  <c r="Q132" i="2"/>
  <c r="L132" i="2"/>
  <c r="E132" i="2"/>
  <c r="Q130" i="2"/>
  <c r="C64" i="2"/>
  <c r="H64" i="2"/>
  <c r="P64" i="2"/>
  <c r="I55" i="2"/>
  <c r="Q55" i="2"/>
  <c r="C52" i="2"/>
  <c r="I52" i="2"/>
  <c r="S52" i="2"/>
  <c r="C43" i="2"/>
  <c r="S43" i="2"/>
  <c r="D37" i="2"/>
  <c r="I37" i="2"/>
  <c r="I31" i="2"/>
  <c r="C31" i="2"/>
  <c r="D29" i="2"/>
  <c r="L29" i="2"/>
  <c r="D24" i="2"/>
  <c r="I24" i="2"/>
  <c r="Q24" i="2"/>
  <c r="D185" i="3"/>
  <c r="M185" i="3"/>
  <c r="D181" i="3"/>
  <c r="P181" i="3"/>
  <c r="I173" i="3"/>
  <c r="Q173" i="3"/>
  <c r="D169" i="3"/>
  <c r="M169" i="3"/>
  <c r="D167" i="3"/>
  <c r="J167" i="3"/>
  <c r="O167" i="3"/>
  <c r="B158" i="3"/>
  <c r="C158" i="3"/>
  <c r="L158" i="3"/>
  <c r="Q158" i="3"/>
  <c r="B151" i="3"/>
  <c r="G151" i="3"/>
  <c r="M151" i="3"/>
  <c r="Q151" i="3"/>
  <c r="B150" i="3"/>
  <c r="G150" i="3"/>
  <c r="E150" i="5" s="1"/>
  <c r="O150" i="3"/>
  <c r="B139" i="3"/>
  <c r="G139" i="3"/>
  <c r="M139" i="3"/>
  <c r="Q139" i="3"/>
  <c r="B138" i="3"/>
  <c r="G138" i="3"/>
  <c r="E138" i="5" s="1"/>
  <c r="O138" i="3"/>
  <c r="F136" i="3"/>
  <c r="Q136" i="3"/>
  <c r="B123" i="3"/>
  <c r="G123" i="3"/>
  <c r="M123" i="3"/>
  <c r="Q123" i="3"/>
  <c r="C123" i="3"/>
  <c r="E123" i="3" s="1"/>
  <c r="I123" i="3"/>
  <c r="N123" i="3"/>
  <c r="C116" i="3"/>
  <c r="I116" i="3"/>
  <c r="N116" i="3"/>
  <c r="D116" i="3"/>
  <c r="J116" i="3"/>
  <c r="O116" i="3"/>
  <c r="D111" i="3"/>
  <c r="E111" i="3" s="1"/>
  <c r="M111" i="3"/>
  <c r="G111" i="3"/>
  <c r="O111" i="3"/>
  <c r="D100" i="3"/>
  <c r="J100" i="3"/>
  <c r="O100" i="3"/>
  <c r="B100" i="3"/>
  <c r="G100" i="3"/>
  <c r="H100" i="3" s="1"/>
  <c r="M100" i="3"/>
  <c r="Q100" i="3"/>
  <c r="C100" i="3"/>
  <c r="I100" i="3"/>
  <c r="N100" i="3"/>
  <c r="M176" i="2"/>
  <c r="Q159" i="2"/>
  <c r="Q151" i="2"/>
  <c r="L151" i="2"/>
  <c r="D151" i="2"/>
  <c r="P132" i="2"/>
  <c r="D132" i="2"/>
  <c r="F132" i="2" s="1"/>
  <c r="L130" i="2"/>
  <c r="Q129" i="2"/>
  <c r="Q112" i="2"/>
  <c r="I112" i="2"/>
  <c r="D112" i="2"/>
  <c r="P100" i="2"/>
  <c r="D100" i="2"/>
  <c r="L98" i="2"/>
  <c r="Q97" i="2"/>
  <c r="Q80" i="2"/>
  <c r="I80" i="2"/>
  <c r="D80" i="2"/>
  <c r="I73" i="2"/>
  <c r="Q73" i="2"/>
  <c r="M64" i="2"/>
  <c r="E64" i="2"/>
  <c r="B60" i="2"/>
  <c r="H60" i="2"/>
  <c r="J60" i="2" s="1"/>
  <c r="K60" i="2" s="1"/>
  <c r="M60" i="2"/>
  <c r="R60" i="2"/>
  <c r="Q58" i="2"/>
  <c r="M52" i="2"/>
  <c r="E52" i="2"/>
  <c r="I49" i="2"/>
  <c r="L49" i="2"/>
  <c r="Q42" i="2"/>
  <c r="B40" i="2"/>
  <c r="M40" i="2"/>
  <c r="S40" i="2"/>
  <c r="I25" i="2"/>
  <c r="D25" i="2"/>
  <c r="M24" i="2"/>
  <c r="E24" i="2"/>
  <c r="C13" i="2"/>
  <c r="I13" i="2"/>
  <c r="C12" i="2"/>
  <c r="F12" i="2" s="1"/>
  <c r="H12" i="2"/>
  <c r="M12" i="2"/>
  <c r="R12" i="2"/>
  <c r="B186" i="3"/>
  <c r="D186" i="3"/>
  <c r="M186" i="3"/>
  <c r="B184" i="3"/>
  <c r="N184" i="3"/>
  <c r="M181" i="3"/>
  <c r="I176" i="3"/>
  <c r="Q176" i="3"/>
  <c r="M173" i="3"/>
  <c r="B170" i="3"/>
  <c r="D170" i="3"/>
  <c r="M170" i="3"/>
  <c r="B168" i="3"/>
  <c r="N168" i="3"/>
  <c r="M167" i="3"/>
  <c r="F167" i="3"/>
  <c r="H167" i="3" s="1"/>
  <c r="D161" i="3"/>
  <c r="Q161" i="3"/>
  <c r="D159" i="3"/>
  <c r="J159" i="3"/>
  <c r="O159" i="3"/>
  <c r="I158" i="3"/>
  <c r="N151" i="3"/>
  <c r="F151" i="3"/>
  <c r="Q150" i="3"/>
  <c r="I150" i="3"/>
  <c r="I149" i="3"/>
  <c r="Q149" i="3"/>
  <c r="B146" i="3"/>
  <c r="C146" i="3"/>
  <c r="L146" i="3"/>
  <c r="Q146" i="3"/>
  <c r="N139" i="3"/>
  <c r="F139" i="3"/>
  <c r="Q138" i="3"/>
  <c r="I138" i="3"/>
  <c r="J136" i="3"/>
  <c r="B131" i="3"/>
  <c r="G131" i="3"/>
  <c r="M131" i="3"/>
  <c r="Q131" i="3"/>
  <c r="B130" i="3"/>
  <c r="G130" i="3"/>
  <c r="O130" i="3"/>
  <c r="C129" i="3"/>
  <c r="D129" i="3"/>
  <c r="L129" i="3"/>
  <c r="Q129" i="3"/>
  <c r="J123" i="3"/>
  <c r="Q116" i="3"/>
  <c r="G116" i="3"/>
  <c r="L111" i="3"/>
  <c r="P100" i="3"/>
  <c r="L88" i="3"/>
  <c r="D80" i="3"/>
  <c r="J80" i="3"/>
  <c r="O80" i="3"/>
  <c r="B80" i="3"/>
  <c r="G80" i="3"/>
  <c r="M80" i="3"/>
  <c r="Q80" i="3"/>
  <c r="C80" i="3"/>
  <c r="I80" i="3"/>
  <c r="N80" i="3"/>
  <c r="M171" i="2"/>
  <c r="R151" i="2"/>
  <c r="M151" i="2"/>
  <c r="E151" i="2"/>
  <c r="L181" i="2"/>
  <c r="E181" i="2"/>
  <c r="G181" i="2" s="1"/>
  <c r="Q155" i="2"/>
  <c r="H187" i="2"/>
  <c r="Q181" i="2"/>
  <c r="I181" i="2"/>
  <c r="P167" i="2"/>
  <c r="Q165" i="2"/>
  <c r="P163" i="2"/>
  <c r="I163" i="2"/>
  <c r="Q136" i="2"/>
  <c r="I136" i="2"/>
  <c r="Q135" i="2"/>
  <c r="S132" i="2"/>
  <c r="I132" i="2"/>
  <c r="L129" i="2"/>
  <c r="P124" i="2"/>
  <c r="S123" i="2"/>
  <c r="Q121" i="2"/>
  <c r="F120" i="2"/>
  <c r="P112" i="2"/>
  <c r="H112" i="2"/>
  <c r="L109" i="2"/>
  <c r="Q104" i="2"/>
  <c r="I104" i="2"/>
  <c r="Q103" i="2"/>
  <c r="S100" i="2"/>
  <c r="I100" i="2"/>
  <c r="L97" i="2"/>
  <c r="P92" i="2"/>
  <c r="S91" i="2"/>
  <c r="Q89" i="2"/>
  <c r="P80" i="2"/>
  <c r="H80" i="2"/>
  <c r="L77" i="2"/>
  <c r="D69" i="2"/>
  <c r="I69" i="2"/>
  <c r="S67" i="2"/>
  <c r="S64" i="2"/>
  <c r="L64" i="2"/>
  <c r="D64" i="2"/>
  <c r="I63" i="2"/>
  <c r="C63" i="2"/>
  <c r="D61" i="2"/>
  <c r="L61" i="2"/>
  <c r="E60" i="2"/>
  <c r="L58" i="2"/>
  <c r="D56" i="2"/>
  <c r="I56" i="2"/>
  <c r="Q56" i="2"/>
  <c r="R52" i="2"/>
  <c r="L52" i="2"/>
  <c r="D52" i="2"/>
  <c r="C51" i="2"/>
  <c r="I51" i="2"/>
  <c r="D44" i="2"/>
  <c r="F44" i="2" s="1"/>
  <c r="P44" i="2"/>
  <c r="I42" i="2"/>
  <c r="P40" i="2"/>
  <c r="E40" i="2"/>
  <c r="C32" i="2"/>
  <c r="H32" i="2"/>
  <c r="J32" i="2" s="1"/>
  <c r="K32" i="2" s="1"/>
  <c r="P32" i="2"/>
  <c r="S24" i="2"/>
  <c r="L24" i="2"/>
  <c r="C24" i="2"/>
  <c r="Q13" i="2"/>
  <c r="S12" i="2"/>
  <c r="L12" i="2"/>
  <c r="E12" i="2"/>
  <c r="G12" i="2" s="1"/>
  <c r="Q186" i="3"/>
  <c r="I186" i="3"/>
  <c r="Q185" i="3"/>
  <c r="J184" i="3"/>
  <c r="L181" i="3"/>
  <c r="C179" i="3"/>
  <c r="I179" i="3"/>
  <c r="N179" i="3"/>
  <c r="J176" i="3"/>
  <c r="L173" i="3"/>
  <c r="Q170" i="3"/>
  <c r="I170" i="3"/>
  <c r="Q169" i="3"/>
  <c r="J168" i="3"/>
  <c r="K168" i="3" s="1"/>
  <c r="Q167" i="3"/>
  <c r="L167" i="3"/>
  <c r="C167" i="3"/>
  <c r="M160" i="3"/>
  <c r="B160" i="3"/>
  <c r="N160" i="3"/>
  <c r="M159" i="3"/>
  <c r="F159" i="3"/>
  <c r="H159" i="3" s="1"/>
  <c r="P158" i="3"/>
  <c r="G158" i="3"/>
  <c r="C155" i="3"/>
  <c r="E155" i="3" s="1"/>
  <c r="I155" i="3"/>
  <c r="K155" i="3" s="1"/>
  <c r="N155" i="3"/>
  <c r="L151" i="3"/>
  <c r="D151" i="3"/>
  <c r="P150" i="3"/>
  <c r="D150" i="3"/>
  <c r="M149" i="3"/>
  <c r="D147" i="3"/>
  <c r="E147" i="3" s="1"/>
  <c r="J147" i="3"/>
  <c r="K147" i="3" s="1"/>
  <c r="O147" i="3"/>
  <c r="I146" i="3"/>
  <c r="B140" i="3"/>
  <c r="Q140" i="3"/>
  <c r="L139" i="3"/>
  <c r="D139" i="3"/>
  <c r="E139" i="3" s="1"/>
  <c r="P138" i="3"/>
  <c r="D138" i="3"/>
  <c r="E138" i="3" s="1"/>
  <c r="I136" i="3"/>
  <c r="B134" i="3"/>
  <c r="D134" i="3"/>
  <c r="M134" i="3"/>
  <c r="N131" i="3"/>
  <c r="F131" i="3"/>
  <c r="Q130" i="3"/>
  <c r="I130" i="3"/>
  <c r="P129" i="3"/>
  <c r="I129" i="3"/>
  <c r="C127" i="3"/>
  <c r="I127" i="3"/>
  <c r="N127" i="3"/>
  <c r="P123" i="3"/>
  <c r="F123" i="3"/>
  <c r="M120" i="3"/>
  <c r="Q120" i="3"/>
  <c r="P116" i="3"/>
  <c r="F116" i="3"/>
  <c r="I111" i="3"/>
  <c r="F105" i="3"/>
  <c r="I105" i="3"/>
  <c r="L100" i="3"/>
  <c r="G95" i="3"/>
  <c r="E95" i="5" s="1"/>
  <c r="O95" i="3"/>
  <c r="C95" i="3"/>
  <c r="L95" i="3"/>
  <c r="Q95" i="3"/>
  <c r="D95" i="3"/>
  <c r="M95" i="3"/>
  <c r="F90" i="3"/>
  <c r="M90" i="3"/>
  <c r="B90" i="3"/>
  <c r="J90" i="3"/>
  <c r="K90" i="3" s="1"/>
  <c r="P90" i="3"/>
  <c r="D90" i="3"/>
  <c r="L90" i="3"/>
  <c r="Q90" i="3"/>
  <c r="F88" i="3"/>
  <c r="F84" i="3"/>
  <c r="P80" i="3"/>
  <c r="O92" i="3"/>
  <c r="J92" i="3"/>
  <c r="D92" i="3"/>
  <c r="E92" i="3" s="1"/>
  <c r="Q91" i="3"/>
  <c r="I78" i="3"/>
  <c r="Q77" i="3"/>
  <c r="G77" i="3"/>
  <c r="E77" i="5" s="1"/>
  <c r="F73" i="3"/>
  <c r="L71" i="3"/>
  <c r="Q70" i="3"/>
  <c r="Q69" i="3"/>
  <c r="J69" i="3"/>
  <c r="C69" i="3"/>
  <c r="I67" i="3"/>
  <c r="Q66" i="3"/>
  <c r="J66" i="3"/>
  <c r="Q65" i="3"/>
  <c r="M63" i="3"/>
  <c r="D63" i="3"/>
  <c r="O60" i="3"/>
  <c r="J60" i="3"/>
  <c r="D60" i="3"/>
  <c r="E60" i="3" s="1"/>
  <c r="Q59" i="3"/>
  <c r="Q58" i="3"/>
  <c r="L58" i="3"/>
  <c r="D58" i="3"/>
  <c r="N56" i="3"/>
  <c r="I56" i="3"/>
  <c r="D56" i="3"/>
  <c r="E56" i="3" s="1"/>
  <c r="Q55" i="3"/>
  <c r="G55" i="3"/>
  <c r="E55" i="5" s="1"/>
  <c r="L54" i="3"/>
  <c r="O52" i="3"/>
  <c r="J52" i="3"/>
  <c r="D52" i="3"/>
  <c r="Q51" i="3"/>
  <c r="G51" i="3"/>
  <c r="E51" i="5" s="1"/>
  <c r="P50" i="3"/>
  <c r="F50" i="3"/>
  <c r="O48" i="3"/>
  <c r="J48" i="3"/>
  <c r="D48" i="3"/>
  <c r="E48" i="3" s="1"/>
  <c r="N44" i="3"/>
  <c r="I44" i="3"/>
  <c r="C44" i="3"/>
  <c r="E44" i="3" s="1"/>
  <c r="L43" i="3"/>
  <c r="I41" i="3"/>
  <c r="L34" i="3"/>
  <c r="Q31" i="3"/>
  <c r="I31" i="3"/>
  <c r="D30" i="3"/>
  <c r="N30" i="3"/>
  <c r="G29" i="3"/>
  <c r="D24" i="3"/>
  <c r="J24" i="3"/>
  <c r="O24" i="3"/>
  <c r="B22" i="3"/>
  <c r="L22" i="3"/>
  <c r="B21" i="3"/>
  <c r="I21" i="3"/>
  <c r="K21" i="3" s="1"/>
  <c r="O21" i="3"/>
  <c r="M20" i="3"/>
  <c r="F20" i="3"/>
  <c r="H20" i="3" s="1"/>
  <c r="G19" i="3"/>
  <c r="E19" i="5" s="1"/>
  <c r="F19" i="5" s="1"/>
  <c r="G19" i="5" s="1"/>
  <c r="Q19" i="3"/>
  <c r="J18" i="3"/>
  <c r="B17" i="3"/>
  <c r="F17" i="3"/>
  <c r="M16" i="3"/>
  <c r="F16" i="3"/>
  <c r="P15" i="3"/>
  <c r="G15" i="3"/>
  <c r="E15" i="5" s="1"/>
  <c r="F15" i="5" s="1"/>
  <c r="G15" i="5" s="1"/>
  <c r="C12" i="3"/>
  <c r="I12" i="3"/>
  <c r="K12" i="3" s="1"/>
  <c r="N12" i="3"/>
  <c r="Q10" i="3"/>
  <c r="I10" i="3"/>
  <c r="L8" i="3"/>
  <c r="D8" i="3"/>
  <c r="L185" i="7"/>
  <c r="B184" i="7"/>
  <c r="C184" i="7"/>
  <c r="K184" i="7"/>
  <c r="E184" i="7"/>
  <c r="M184" i="7"/>
  <c r="G184" i="7"/>
  <c r="O184" i="7"/>
  <c r="C173" i="7"/>
  <c r="B173" i="7"/>
  <c r="H173" i="7"/>
  <c r="M173" i="7"/>
  <c r="D173" i="7"/>
  <c r="I173" i="7"/>
  <c r="N173" i="7"/>
  <c r="E173" i="7"/>
  <c r="J173" i="7"/>
  <c r="M121" i="3"/>
  <c r="F121" i="3"/>
  <c r="O108" i="3"/>
  <c r="J108" i="3"/>
  <c r="M101" i="3"/>
  <c r="O96" i="3"/>
  <c r="J96" i="3"/>
  <c r="N92" i="3"/>
  <c r="I92" i="3"/>
  <c r="L91" i="3"/>
  <c r="M85" i="3"/>
  <c r="O79" i="3"/>
  <c r="Q78" i="3"/>
  <c r="O77" i="3"/>
  <c r="M74" i="3"/>
  <c r="Q73" i="3"/>
  <c r="C73" i="3"/>
  <c r="O72" i="3"/>
  <c r="J72" i="3"/>
  <c r="Q71" i="3"/>
  <c r="L70" i="3"/>
  <c r="O69" i="3"/>
  <c r="I69" i="3"/>
  <c r="B69" i="3"/>
  <c r="O68" i="3"/>
  <c r="J68" i="3"/>
  <c r="K68" i="3" s="1"/>
  <c r="Q67" i="3"/>
  <c r="P66" i="3"/>
  <c r="F65" i="3"/>
  <c r="O64" i="3"/>
  <c r="J64" i="3"/>
  <c r="K64" i="3" s="1"/>
  <c r="Q63" i="3"/>
  <c r="L63" i="3"/>
  <c r="C63" i="3"/>
  <c r="N60" i="3"/>
  <c r="I60" i="3"/>
  <c r="L59" i="3"/>
  <c r="P58" i="3"/>
  <c r="J58" i="3"/>
  <c r="K58" i="3" s="1"/>
  <c r="B58" i="3"/>
  <c r="Q56" i="3"/>
  <c r="M56" i="3"/>
  <c r="P55" i="3"/>
  <c r="C55" i="3"/>
  <c r="F54" i="3"/>
  <c r="N52" i="3"/>
  <c r="I52" i="3"/>
  <c r="O51" i="3"/>
  <c r="D51" i="3"/>
  <c r="M50" i="3"/>
  <c r="B50" i="3"/>
  <c r="N48" i="3"/>
  <c r="I48" i="3"/>
  <c r="Q45" i="3"/>
  <c r="Q44" i="3"/>
  <c r="M44" i="3"/>
  <c r="G44" i="3"/>
  <c r="B44" i="3"/>
  <c r="G43" i="3"/>
  <c r="Q38" i="3"/>
  <c r="B37" i="3"/>
  <c r="I37" i="3"/>
  <c r="B33" i="3"/>
  <c r="Q33" i="3"/>
  <c r="P31" i="3"/>
  <c r="L30" i="3"/>
  <c r="Q29" i="3"/>
  <c r="F26" i="3"/>
  <c r="M26" i="3"/>
  <c r="C25" i="3"/>
  <c r="Q25" i="3"/>
  <c r="M24" i="3"/>
  <c r="F24" i="3"/>
  <c r="H24" i="3" s="1"/>
  <c r="G23" i="3"/>
  <c r="E23" i="5" s="1"/>
  <c r="F23" i="5" s="1"/>
  <c r="G23" i="5" s="1"/>
  <c r="Q23" i="3"/>
  <c r="Q21" i="3"/>
  <c r="G21" i="3"/>
  <c r="E21" i="5" s="1"/>
  <c r="F21" i="5" s="1"/>
  <c r="G21" i="5" s="1"/>
  <c r="Q20" i="3"/>
  <c r="L20" i="3"/>
  <c r="L19" i="3"/>
  <c r="Q18" i="3"/>
  <c r="Q16" i="3"/>
  <c r="L16" i="3"/>
  <c r="O15" i="3"/>
  <c r="M12" i="3"/>
  <c r="F12" i="3"/>
  <c r="H12" i="3" s="1"/>
  <c r="N10" i="3"/>
  <c r="N9" i="3"/>
  <c r="P8" i="3"/>
  <c r="J8" i="3"/>
  <c r="G179" i="7"/>
  <c r="B29" i="3"/>
  <c r="M29" i="3"/>
  <c r="F18" i="3"/>
  <c r="P18" i="3"/>
  <c r="C15" i="3"/>
  <c r="E15" i="3" s="1"/>
  <c r="L15" i="3"/>
  <c r="Q15" i="3"/>
  <c r="B8" i="3"/>
  <c r="G8" i="3"/>
  <c r="E8" i="5" s="1"/>
  <c r="F8" i="5" s="1"/>
  <c r="G8" i="5" s="1"/>
  <c r="M8" i="3"/>
  <c r="Q8" i="3"/>
  <c r="C185" i="7"/>
  <c r="B185" i="7"/>
  <c r="H185" i="7"/>
  <c r="M185" i="7"/>
  <c r="D185" i="7"/>
  <c r="I185" i="7"/>
  <c r="N185" i="7"/>
  <c r="E185" i="7"/>
  <c r="J185" i="7"/>
  <c r="M69" i="3"/>
  <c r="O63" i="3"/>
  <c r="M58" i="3"/>
  <c r="Q54" i="3"/>
  <c r="Q50" i="3"/>
  <c r="O44" i="3"/>
  <c r="J44" i="3"/>
  <c r="Q43" i="3"/>
  <c r="J34" i="3"/>
  <c r="Q34" i="3"/>
  <c r="D31" i="3"/>
  <c r="E31" i="3" s="1"/>
  <c r="M31" i="3"/>
  <c r="J29" i="3"/>
  <c r="D20" i="3"/>
  <c r="E20" i="3" s="1"/>
  <c r="J20" i="3"/>
  <c r="K20" i="3" s="1"/>
  <c r="O20" i="3"/>
  <c r="L18" i="3"/>
  <c r="D16" i="3"/>
  <c r="J16" i="3"/>
  <c r="O16" i="3"/>
  <c r="I15" i="3"/>
  <c r="C11" i="3"/>
  <c r="L11" i="3"/>
  <c r="B10" i="3"/>
  <c r="J10" i="3"/>
  <c r="P10" i="3"/>
  <c r="N8" i="3"/>
  <c r="F8" i="3"/>
  <c r="I184" i="7"/>
  <c r="I179" i="7"/>
  <c r="F173" i="7"/>
  <c r="O183" i="7"/>
  <c r="K183" i="7"/>
  <c r="G183" i="7"/>
  <c r="C183" i="7"/>
  <c r="I177" i="7"/>
  <c r="O171" i="7"/>
  <c r="K171" i="7"/>
  <c r="G171" i="7"/>
  <c r="C171" i="7"/>
  <c r="M164" i="7"/>
  <c r="I157" i="7"/>
  <c r="N155" i="7"/>
  <c r="I155" i="7"/>
  <c r="C155" i="7"/>
  <c r="F151" i="7"/>
  <c r="K145" i="7"/>
  <c r="E145" i="7"/>
  <c r="O144" i="7"/>
  <c r="K144" i="7"/>
  <c r="G144" i="7"/>
  <c r="C144" i="7"/>
  <c r="I135" i="7"/>
  <c r="N134" i="7"/>
  <c r="I134" i="7"/>
  <c r="D134" i="7"/>
  <c r="B119" i="7"/>
  <c r="I119" i="7"/>
  <c r="D118" i="7"/>
  <c r="N118" i="7"/>
  <c r="K113" i="7"/>
  <c r="B112" i="7"/>
  <c r="F112" i="7"/>
  <c r="J112" i="7"/>
  <c r="N112" i="7"/>
  <c r="K107" i="7"/>
  <c r="K105" i="7"/>
  <c r="N103" i="7"/>
  <c r="G92" i="7"/>
  <c r="F88" i="7"/>
  <c r="K83" i="7"/>
  <c r="N183" i="7"/>
  <c r="J183" i="7"/>
  <c r="F183" i="7"/>
  <c r="O180" i="7"/>
  <c r="G180" i="7"/>
  <c r="N171" i="7"/>
  <c r="J171" i="7"/>
  <c r="F171" i="7"/>
  <c r="H167" i="7"/>
  <c r="M166" i="7"/>
  <c r="K164" i="7"/>
  <c r="G157" i="7"/>
  <c r="M155" i="7"/>
  <c r="G155" i="7"/>
  <c r="L152" i="7"/>
  <c r="H152" i="7"/>
  <c r="N151" i="7"/>
  <c r="C151" i="7"/>
  <c r="O145" i="7"/>
  <c r="I145" i="7"/>
  <c r="D145" i="7"/>
  <c r="N144" i="7"/>
  <c r="J144" i="7"/>
  <c r="F144" i="7"/>
  <c r="F135" i="7"/>
  <c r="M134" i="7"/>
  <c r="H134" i="7"/>
  <c r="L132" i="7"/>
  <c r="H132" i="7"/>
  <c r="K119" i="7"/>
  <c r="B114" i="7"/>
  <c r="I114" i="7"/>
  <c r="D113" i="7"/>
  <c r="I113" i="7"/>
  <c r="O113" i="7"/>
  <c r="E107" i="7"/>
  <c r="J107" i="7"/>
  <c r="O107" i="7"/>
  <c r="F107" i="7"/>
  <c r="M107" i="7"/>
  <c r="G105" i="7"/>
  <c r="F103" i="7"/>
  <c r="M92" i="7"/>
  <c r="M88" i="7"/>
  <c r="D82" i="7"/>
  <c r="E166" i="7"/>
  <c r="O157" i="7"/>
  <c r="D157" i="7"/>
  <c r="M145" i="7"/>
  <c r="H145" i="7"/>
  <c r="N135" i="7"/>
  <c r="C135" i="7"/>
  <c r="N130" i="7"/>
  <c r="G117" i="7"/>
  <c r="C101" i="7"/>
  <c r="G101" i="7"/>
  <c r="L101" i="7"/>
  <c r="B92" i="7"/>
  <c r="F92" i="7"/>
  <c r="J92" i="7"/>
  <c r="N92" i="7"/>
  <c r="D92" i="7"/>
  <c r="I92" i="7"/>
  <c r="O92" i="7"/>
  <c r="E92" i="7"/>
  <c r="K92" i="7"/>
  <c r="D88" i="7"/>
  <c r="H88" i="7"/>
  <c r="L88" i="7"/>
  <c r="C88" i="7"/>
  <c r="I88" i="7"/>
  <c r="N88" i="7"/>
  <c r="E88" i="7"/>
  <c r="J88" i="7"/>
  <c r="O88" i="7"/>
  <c r="E105" i="7"/>
  <c r="L105" i="7"/>
  <c r="H105" i="7"/>
  <c r="B103" i="7"/>
  <c r="I103" i="7"/>
  <c r="K103" i="7"/>
  <c r="H92" i="7"/>
  <c r="G88" i="7"/>
  <c r="F83" i="7"/>
  <c r="M83" i="7"/>
  <c r="E83" i="7"/>
  <c r="O83" i="7"/>
  <c r="G83" i="7"/>
  <c r="L80" i="7"/>
  <c r="E80" i="7"/>
  <c r="O80" i="7"/>
  <c r="B96" i="7"/>
  <c r="F96" i="7"/>
  <c r="J96" i="7"/>
  <c r="N96" i="7"/>
  <c r="C93" i="7"/>
  <c r="G93" i="7"/>
  <c r="M91" i="7"/>
  <c r="K84" i="7"/>
  <c r="B79" i="7"/>
  <c r="K79" i="7"/>
  <c r="B72" i="7"/>
  <c r="F72" i="7"/>
  <c r="J72" i="7"/>
  <c r="N72" i="7"/>
  <c r="K67" i="7"/>
  <c r="M64" i="7"/>
  <c r="E64" i="7"/>
  <c r="M60" i="7"/>
  <c r="E59" i="7"/>
  <c r="O59" i="7"/>
  <c r="C29" i="7"/>
  <c r="G29" i="7"/>
  <c r="C185" i="6"/>
  <c r="G185" i="6"/>
  <c r="K185" i="6"/>
  <c r="O185" i="6"/>
  <c r="D185" i="6"/>
  <c r="H185" i="6"/>
  <c r="L185" i="6"/>
  <c r="B185" i="6"/>
  <c r="F185" i="6"/>
  <c r="J185" i="6"/>
  <c r="N185" i="6"/>
  <c r="B98" i="7"/>
  <c r="I98" i="7"/>
  <c r="D97" i="7"/>
  <c r="K96" i="7"/>
  <c r="E96" i="7"/>
  <c r="L93" i="7"/>
  <c r="F91" i="7"/>
  <c r="E73" i="7"/>
  <c r="K72" i="7"/>
  <c r="E72" i="7"/>
  <c r="B71" i="7"/>
  <c r="I71" i="7"/>
  <c r="K64" i="7"/>
  <c r="C20" i="7"/>
  <c r="G20" i="7"/>
  <c r="K20" i="7"/>
  <c r="O20" i="7"/>
  <c r="D20" i="7"/>
  <c r="H20" i="7"/>
  <c r="L20" i="7"/>
  <c r="B20" i="7"/>
  <c r="F20" i="7"/>
  <c r="J20" i="7"/>
  <c r="N20" i="7"/>
  <c r="C12" i="7"/>
  <c r="G12" i="7"/>
  <c r="K12" i="7"/>
  <c r="O12" i="7"/>
  <c r="D12" i="7"/>
  <c r="H12" i="7"/>
  <c r="L12" i="7"/>
  <c r="B12" i="7"/>
  <c r="F12" i="7"/>
  <c r="J12" i="7"/>
  <c r="N12" i="7"/>
  <c r="C189" i="6"/>
  <c r="L166" i="5" s="1"/>
  <c r="G189" i="6"/>
  <c r="K189" i="6"/>
  <c r="N190" i="12" s="1"/>
  <c r="O189" i="6"/>
  <c r="D189" i="6"/>
  <c r="H189" i="6"/>
  <c r="L189" i="6"/>
  <c r="O190" i="12" s="1"/>
  <c r="B189" i="6"/>
  <c r="F189" i="6"/>
  <c r="J189" i="6"/>
  <c r="N189" i="6"/>
  <c r="D64" i="7"/>
  <c r="H64" i="7"/>
  <c r="L64" i="7"/>
  <c r="B64" i="7"/>
  <c r="F64" i="7"/>
  <c r="J64" i="7"/>
  <c r="N64" i="7"/>
  <c r="B60" i="7"/>
  <c r="K24" i="7"/>
  <c r="D24" i="7"/>
  <c r="C19" i="7"/>
  <c r="I19" i="7"/>
  <c r="M19" i="7"/>
  <c r="E19" i="7"/>
  <c r="D184" i="6"/>
  <c r="E184" i="6"/>
  <c r="M184" i="6"/>
  <c r="G184" i="6"/>
  <c r="O184" i="6"/>
  <c r="C184" i="6"/>
  <c r="K184" i="6"/>
  <c r="B74" i="7"/>
  <c r="L74" i="7"/>
  <c r="G69" i="7"/>
  <c r="F67" i="7"/>
  <c r="M67" i="7"/>
  <c r="B67" i="7"/>
  <c r="J67" i="7"/>
  <c r="O64" i="7"/>
  <c r="G64" i="7"/>
  <c r="C53" i="7"/>
  <c r="G53" i="7"/>
  <c r="J51" i="7"/>
  <c r="M51" i="7"/>
  <c r="G11" i="7"/>
  <c r="D188" i="6"/>
  <c r="E188" i="6"/>
  <c r="M188" i="6"/>
  <c r="G188" i="6"/>
  <c r="O188" i="6"/>
  <c r="C188" i="6"/>
  <c r="K188" i="6"/>
  <c r="I65" i="7"/>
  <c r="L46" i="7"/>
  <c r="L42" i="7"/>
  <c r="L41" i="7"/>
  <c r="K35" i="7"/>
  <c r="F31" i="7"/>
  <c r="L30" i="7"/>
  <c r="L25" i="7"/>
  <c r="N22" i="7"/>
  <c r="I22" i="7"/>
  <c r="D22" i="7"/>
  <c r="M21" i="7"/>
  <c r="N14" i="7"/>
  <c r="I14" i="7"/>
  <c r="D14" i="7"/>
  <c r="M13" i="7"/>
  <c r="K8" i="7"/>
  <c r="M7" i="7"/>
  <c r="E7" i="7"/>
  <c r="J179" i="6"/>
  <c r="E179" i="6"/>
  <c r="I178" i="6"/>
  <c r="M178" i="12" s="1"/>
  <c r="J175" i="6"/>
  <c r="E175" i="6"/>
  <c r="L173" i="6"/>
  <c r="H173" i="6"/>
  <c r="D173" i="6"/>
  <c r="O172" i="6"/>
  <c r="G172" i="6"/>
  <c r="N171" i="6"/>
  <c r="I171" i="6"/>
  <c r="Q171" i="12" s="1"/>
  <c r="L169" i="6"/>
  <c r="H169" i="6"/>
  <c r="D169" i="6"/>
  <c r="O168" i="6"/>
  <c r="G168" i="6"/>
  <c r="N167" i="6"/>
  <c r="I167" i="6"/>
  <c r="O165" i="6"/>
  <c r="K165" i="6"/>
  <c r="G165" i="6"/>
  <c r="M164" i="6"/>
  <c r="E164" i="6"/>
  <c r="M163" i="6"/>
  <c r="H163" i="6"/>
  <c r="B163" i="6"/>
  <c r="O161" i="6"/>
  <c r="K161" i="6"/>
  <c r="G161" i="6"/>
  <c r="M160" i="6"/>
  <c r="E160" i="6"/>
  <c r="M159" i="6"/>
  <c r="H159" i="6"/>
  <c r="B159" i="6"/>
  <c r="N157" i="6"/>
  <c r="J157" i="6"/>
  <c r="F157" i="6"/>
  <c r="B157" i="6"/>
  <c r="K156" i="6"/>
  <c r="C156" i="6"/>
  <c r="L156" i="5" s="1"/>
  <c r="N153" i="6"/>
  <c r="J153" i="6"/>
  <c r="F153" i="6"/>
  <c r="B153" i="6"/>
  <c r="K152" i="6"/>
  <c r="C152" i="6"/>
  <c r="L152" i="5" s="1"/>
  <c r="J147" i="6"/>
  <c r="E147" i="6"/>
  <c r="I146" i="6"/>
  <c r="O144" i="6"/>
  <c r="I144" i="6"/>
  <c r="N143" i="6"/>
  <c r="J143" i="6"/>
  <c r="F143" i="6"/>
  <c r="B143" i="6"/>
  <c r="I142" i="6"/>
  <c r="M141" i="6"/>
  <c r="F141" i="6"/>
  <c r="L139" i="6"/>
  <c r="H139" i="6"/>
  <c r="D139" i="6"/>
  <c r="O138" i="6"/>
  <c r="J138" i="6"/>
  <c r="E138" i="6"/>
  <c r="N137" i="6"/>
  <c r="D137" i="6"/>
  <c r="K136" i="6"/>
  <c r="C136" i="6"/>
  <c r="M133" i="6"/>
  <c r="H133" i="6"/>
  <c r="B133" i="6"/>
  <c r="I132" i="6"/>
  <c r="O131" i="6"/>
  <c r="K131" i="6"/>
  <c r="G131" i="6"/>
  <c r="M130" i="6"/>
  <c r="F130" i="6"/>
  <c r="F129" i="6"/>
  <c r="L128" i="6"/>
  <c r="O128" i="12" s="1"/>
  <c r="M127" i="6"/>
  <c r="H127" i="6"/>
  <c r="P127" i="12" s="1"/>
  <c r="F125" i="6"/>
  <c r="M125" i="6"/>
  <c r="M123" i="6"/>
  <c r="G123" i="6"/>
  <c r="K122" i="6"/>
  <c r="R122" i="12" s="1"/>
  <c r="C120" i="6"/>
  <c r="K120" i="6"/>
  <c r="J117" i="6"/>
  <c r="M115" i="6"/>
  <c r="H115" i="6"/>
  <c r="F114" i="6"/>
  <c r="M114" i="6"/>
  <c r="D111" i="6"/>
  <c r="H111" i="6"/>
  <c r="P111" i="12" s="1"/>
  <c r="L111" i="6"/>
  <c r="B110" i="6"/>
  <c r="C110" i="6"/>
  <c r="L110" i="5" s="1"/>
  <c r="N110" i="6"/>
  <c r="K107" i="6"/>
  <c r="S107" i="12" s="1"/>
  <c r="E107" i="6"/>
  <c r="J105" i="6"/>
  <c r="I104" i="6"/>
  <c r="O103" i="6"/>
  <c r="I103" i="6"/>
  <c r="M103" i="12" s="1"/>
  <c r="C100" i="6"/>
  <c r="B99" i="6"/>
  <c r="F99" i="6"/>
  <c r="J99" i="6"/>
  <c r="N99" i="6"/>
  <c r="L97" i="6"/>
  <c r="E96" i="6"/>
  <c r="M96" i="6"/>
  <c r="K95" i="6"/>
  <c r="E95" i="6"/>
  <c r="I92" i="6"/>
  <c r="M91" i="6"/>
  <c r="H91" i="6"/>
  <c r="P91" i="12" s="1"/>
  <c r="M89" i="6"/>
  <c r="F89" i="6"/>
  <c r="O88" i="6"/>
  <c r="B87" i="6"/>
  <c r="F87" i="6"/>
  <c r="J87" i="6"/>
  <c r="N87" i="6"/>
  <c r="M83" i="6"/>
  <c r="K79" i="6"/>
  <c r="S79" i="12" s="1"/>
  <c r="O75" i="6"/>
  <c r="G75" i="6"/>
  <c r="M71" i="6"/>
  <c r="C70" i="6"/>
  <c r="M70" i="6"/>
  <c r="E70" i="6"/>
  <c r="D67" i="6"/>
  <c r="H67" i="6"/>
  <c r="L67" i="6"/>
  <c r="O67" i="12" s="1"/>
  <c r="B67" i="6"/>
  <c r="F67" i="6"/>
  <c r="J67" i="6"/>
  <c r="N67" i="6"/>
  <c r="O63" i="6"/>
  <c r="G63" i="6"/>
  <c r="N62" i="6"/>
  <c r="D61" i="6"/>
  <c r="N61" i="6"/>
  <c r="I61" i="6"/>
  <c r="Q61" i="12" s="1"/>
  <c r="C60" i="6"/>
  <c r="K60" i="6"/>
  <c r="S60" i="12" s="1"/>
  <c r="G60" i="6"/>
  <c r="M60" i="6"/>
  <c r="I57" i="6"/>
  <c r="M57" i="12" s="1"/>
  <c r="O54" i="6"/>
  <c r="B127" i="6"/>
  <c r="F127" i="6"/>
  <c r="J127" i="6"/>
  <c r="N127" i="6"/>
  <c r="D123" i="6"/>
  <c r="H123" i="6"/>
  <c r="L123" i="6"/>
  <c r="B117" i="6"/>
  <c r="H117" i="6"/>
  <c r="M117" i="6"/>
  <c r="C115" i="6"/>
  <c r="G115" i="6"/>
  <c r="K115" i="6"/>
  <c r="O115" i="6"/>
  <c r="D105" i="6"/>
  <c r="I105" i="6"/>
  <c r="M105" i="12" s="1"/>
  <c r="N105" i="6"/>
  <c r="C102" i="6"/>
  <c r="L102" i="5" s="1"/>
  <c r="E102" i="6"/>
  <c r="B91" i="6"/>
  <c r="F91" i="6"/>
  <c r="J91" i="6"/>
  <c r="N91" i="6"/>
  <c r="E88" i="6"/>
  <c r="M88" i="6"/>
  <c r="D79" i="6"/>
  <c r="H79" i="6"/>
  <c r="L79" i="6"/>
  <c r="B79" i="6"/>
  <c r="F79" i="6"/>
  <c r="J79" i="6"/>
  <c r="N79" i="6"/>
  <c r="B65" i="6"/>
  <c r="J65" i="6"/>
  <c r="F65" i="6"/>
  <c r="M65" i="6"/>
  <c r="E62" i="6"/>
  <c r="J62" i="6"/>
  <c r="O62" i="6"/>
  <c r="B62" i="6"/>
  <c r="G62" i="6"/>
  <c r="M62" i="6"/>
  <c r="D53" i="6"/>
  <c r="N53" i="6"/>
  <c r="L53" i="6"/>
  <c r="O53" i="12" s="1"/>
  <c r="F53" i="6"/>
  <c r="I23" i="7"/>
  <c r="M179" i="6"/>
  <c r="H179" i="6"/>
  <c r="B179" i="6"/>
  <c r="M175" i="6"/>
  <c r="H175" i="6"/>
  <c r="B175" i="6"/>
  <c r="N173" i="6"/>
  <c r="J173" i="6"/>
  <c r="F173" i="6"/>
  <c r="K172" i="6"/>
  <c r="C172" i="6"/>
  <c r="N169" i="6"/>
  <c r="J169" i="6"/>
  <c r="F169" i="6"/>
  <c r="K168" i="6"/>
  <c r="C168" i="6"/>
  <c r="J163" i="6"/>
  <c r="E163" i="6"/>
  <c r="I162" i="6"/>
  <c r="J159" i="6"/>
  <c r="E159" i="6"/>
  <c r="L157" i="6"/>
  <c r="H157" i="6"/>
  <c r="D157" i="6"/>
  <c r="O156" i="6"/>
  <c r="G156" i="6"/>
  <c r="L153" i="6"/>
  <c r="H153" i="6"/>
  <c r="D153" i="6"/>
  <c r="O152" i="6"/>
  <c r="G152" i="6"/>
  <c r="M147" i="6"/>
  <c r="H147" i="6"/>
  <c r="L143" i="6"/>
  <c r="O143" i="12" s="1"/>
  <c r="H143" i="6"/>
  <c r="P143" i="12" s="1"/>
  <c r="D143" i="6"/>
  <c r="N142" i="6"/>
  <c r="C142" i="6"/>
  <c r="L142" i="5" s="1"/>
  <c r="J141" i="6"/>
  <c r="N139" i="6"/>
  <c r="J139" i="6"/>
  <c r="F139" i="6"/>
  <c r="M138" i="6"/>
  <c r="G138" i="6"/>
  <c r="I137" i="6"/>
  <c r="M136" i="6"/>
  <c r="G136" i="6"/>
  <c r="J133" i="6"/>
  <c r="E133" i="6"/>
  <c r="O132" i="6"/>
  <c r="D132" i="6"/>
  <c r="J130" i="6"/>
  <c r="D128" i="6"/>
  <c r="I128" i="6"/>
  <c r="K127" i="6"/>
  <c r="E127" i="6"/>
  <c r="B126" i="6"/>
  <c r="I126" i="6"/>
  <c r="O123" i="6"/>
  <c r="J123" i="6"/>
  <c r="E123" i="6"/>
  <c r="E122" i="6"/>
  <c r="J122" i="6"/>
  <c r="O122" i="6"/>
  <c r="B121" i="6"/>
  <c r="D121" i="6"/>
  <c r="N121" i="6"/>
  <c r="N117" i="6"/>
  <c r="F117" i="6"/>
  <c r="C116" i="6"/>
  <c r="I116" i="6"/>
  <c r="Q116" i="12" s="1"/>
  <c r="J115" i="6"/>
  <c r="E115" i="6"/>
  <c r="M107" i="6"/>
  <c r="H107" i="6"/>
  <c r="M105" i="6"/>
  <c r="F105" i="6"/>
  <c r="O104" i="6"/>
  <c r="B103" i="6"/>
  <c r="F103" i="6"/>
  <c r="J103" i="6"/>
  <c r="N103" i="6"/>
  <c r="K100" i="6"/>
  <c r="D97" i="6"/>
  <c r="I97" i="6"/>
  <c r="M97" i="12" s="1"/>
  <c r="N97" i="6"/>
  <c r="M95" i="6"/>
  <c r="H95" i="6"/>
  <c r="P95" i="12" s="1"/>
  <c r="C94" i="6"/>
  <c r="E94" i="6"/>
  <c r="K91" i="6"/>
  <c r="E91" i="6"/>
  <c r="J89" i="6"/>
  <c r="I88" i="6"/>
  <c r="Q88" i="12" s="1"/>
  <c r="C86" i="6"/>
  <c r="M86" i="6"/>
  <c r="E86" i="6"/>
  <c r="D83" i="6"/>
  <c r="H83" i="6"/>
  <c r="L83" i="6"/>
  <c r="B83" i="6"/>
  <c r="F83" i="6"/>
  <c r="J83" i="6"/>
  <c r="N83" i="6"/>
  <c r="O79" i="6"/>
  <c r="G79" i="6"/>
  <c r="K75" i="6"/>
  <c r="S75" i="12" s="1"/>
  <c r="D71" i="6"/>
  <c r="H71" i="6"/>
  <c r="L71" i="12" s="1"/>
  <c r="L71" i="6"/>
  <c r="O71" i="12" s="1"/>
  <c r="B71" i="6"/>
  <c r="F71" i="6"/>
  <c r="J71" i="6"/>
  <c r="N71" i="6"/>
  <c r="L65" i="6"/>
  <c r="K63" i="6"/>
  <c r="S63" i="12" s="1"/>
  <c r="I62" i="6"/>
  <c r="M62" i="12" s="1"/>
  <c r="N57" i="6"/>
  <c r="N163" i="6"/>
  <c r="I163" i="6"/>
  <c r="Q163" i="12" s="1"/>
  <c r="N159" i="6"/>
  <c r="I159" i="6"/>
  <c r="O157" i="6"/>
  <c r="K157" i="6"/>
  <c r="G157" i="6"/>
  <c r="M156" i="6"/>
  <c r="E156" i="6"/>
  <c r="O153" i="6"/>
  <c r="K153" i="6"/>
  <c r="G153" i="6"/>
  <c r="M152" i="6"/>
  <c r="E152" i="6"/>
  <c r="O143" i="6"/>
  <c r="K143" i="6"/>
  <c r="R143" i="12" s="1"/>
  <c r="G143" i="6"/>
  <c r="F137" i="6"/>
  <c r="L136" i="6"/>
  <c r="N133" i="6"/>
  <c r="I133" i="6"/>
  <c r="O127" i="6"/>
  <c r="I127" i="6"/>
  <c r="D127" i="6"/>
  <c r="N123" i="6"/>
  <c r="I123" i="6"/>
  <c r="C123" i="6"/>
  <c r="L117" i="6"/>
  <c r="E117" i="6"/>
  <c r="N115" i="6"/>
  <c r="I115" i="6"/>
  <c r="D115" i="6"/>
  <c r="B107" i="6"/>
  <c r="F107" i="6"/>
  <c r="J107" i="6"/>
  <c r="N107" i="6"/>
  <c r="L105" i="6"/>
  <c r="E105" i="6"/>
  <c r="E104" i="6"/>
  <c r="M104" i="6"/>
  <c r="M102" i="6"/>
  <c r="I100" i="6"/>
  <c r="M100" i="12" s="1"/>
  <c r="B95" i="6"/>
  <c r="F95" i="6"/>
  <c r="J95" i="6"/>
  <c r="N95" i="6"/>
  <c r="O91" i="6"/>
  <c r="I91" i="6"/>
  <c r="M91" i="12" s="1"/>
  <c r="D91" i="6"/>
  <c r="D89" i="6"/>
  <c r="I89" i="6"/>
  <c r="Q89" i="12" s="1"/>
  <c r="N89" i="6"/>
  <c r="G88" i="6"/>
  <c r="M79" i="6"/>
  <c r="E79" i="6"/>
  <c r="C78" i="6"/>
  <c r="M78" i="6"/>
  <c r="E78" i="6"/>
  <c r="D75" i="6"/>
  <c r="H75" i="6"/>
  <c r="L75" i="6"/>
  <c r="O75" i="12" s="1"/>
  <c r="B75" i="6"/>
  <c r="F75" i="6"/>
  <c r="J75" i="6"/>
  <c r="N75" i="6"/>
  <c r="H65" i="6"/>
  <c r="P65" i="12" s="1"/>
  <c r="D63" i="6"/>
  <c r="H63" i="6"/>
  <c r="L63" i="12" s="1"/>
  <c r="L63" i="6"/>
  <c r="B63" i="6"/>
  <c r="F63" i="6"/>
  <c r="J63" i="6"/>
  <c r="N63" i="6"/>
  <c r="F62" i="6"/>
  <c r="B57" i="6"/>
  <c r="H57" i="6"/>
  <c r="L57" i="12" s="1"/>
  <c r="M57" i="6"/>
  <c r="E57" i="6"/>
  <c r="J57" i="6"/>
  <c r="F54" i="6"/>
  <c r="M54" i="6"/>
  <c r="G54" i="6"/>
  <c r="B54" i="6"/>
  <c r="K54" i="6"/>
  <c r="S54" i="12" s="1"/>
  <c r="N81" i="6"/>
  <c r="I81" i="6"/>
  <c r="M80" i="6"/>
  <c r="N73" i="6"/>
  <c r="I73" i="6"/>
  <c r="M73" i="12" s="1"/>
  <c r="M72" i="6"/>
  <c r="L64" i="6"/>
  <c r="O59" i="6"/>
  <c r="K59" i="6"/>
  <c r="G59" i="6"/>
  <c r="L55" i="6"/>
  <c r="H55" i="6"/>
  <c r="P55" i="12" s="1"/>
  <c r="D55" i="6"/>
  <c r="D51" i="6"/>
  <c r="H51" i="6"/>
  <c r="P51" i="12" s="1"/>
  <c r="L51" i="6"/>
  <c r="O51" i="12" s="1"/>
  <c r="C50" i="6"/>
  <c r="L50" i="5" s="1"/>
  <c r="N50" i="6"/>
  <c r="L48" i="6"/>
  <c r="M47" i="6"/>
  <c r="H47" i="6"/>
  <c r="K46" i="6"/>
  <c r="S46" i="12" s="1"/>
  <c r="M43" i="6"/>
  <c r="G43" i="6"/>
  <c r="M39" i="6"/>
  <c r="H39" i="6"/>
  <c r="L39" i="12" s="1"/>
  <c r="E38" i="6"/>
  <c r="K38" i="6"/>
  <c r="M35" i="6"/>
  <c r="D31" i="6"/>
  <c r="H31" i="6"/>
  <c r="L31" i="6"/>
  <c r="O31" i="12" s="1"/>
  <c r="B31" i="6"/>
  <c r="F31" i="6"/>
  <c r="J31" i="6"/>
  <c r="N31" i="6"/>
  <c r="G30" i="6"/>
  <c r="O30" i="6"/>
  <c r="C30" i="6"/>
  <c r="K30" i="6"/>
  <c r="M27" i="6"/>
  <c r="I22" i="6"/>
  <c r="Q22" i="12" s="1"/>
  <c r="I18" i="6"/>
  <c r="D18" i="6"/>
  <c r="O18" i="6"/>
  <c r="C12" i="6"/>
  <c r="L12" i="5" s="1"/>
  <c r="K12" i="6"/>
  <c r="K9" i="6"/>
  <c r="B189" i="10"/>
  <c r="F189" i="10"/>
  <c r="J189" i="10"/>
  <c r="N189" i="10"/>
  <c r="D189" i="10"/>
  <c r="H189" i="10"/>
  <c r="L189" i="10"/>
  <c r="K185" i="10"/>
  <c r="B47" i="6"/>
  <c r="F47" i="6"/>
  <c r="J47" i="6"/>
  <c r="N47" i="6"/>
  <c r="D43" i="6"/>
  <c r="H43" i="6"/>
  <c r="P43" i="12" s="1"/>
  <c r="L43" i="6"/>
  <c r="O43" i="12" s="1"/>
  <c r="C42" i="6"/>
  <c r="L42" i="5" s="1"/>
  <c r="N42" i="6"/>
  <c r="B39" i="6"/>
  <c r="F39" i="6"/>
  <c r="J39" i="6"/>
  <c r="N39" i="6"/>
  <c r="D26" i="6"/>
  <c r="O26" i="6"/>
  <c r="I26" i="6"/>
  <c r="Q26" i="12" s="1"/>
  <c r="C24" i="6"/>
  <c r="B24" i="6"/>
  <c r="J24" i="6"/>
  <c r="F24" i="6"/>
  <c r="M24" i="6"/>
  <c r="G22" i="6"/>
  <c r="C20" i="6"/>
  <c r="K20" i="6"/>
  <c r="S20" i="12" s="1"/>
  <c r="D19" i="6"/>
  <c r="B19" i="6"/>
  <c r="J19" i="6"/>
  <c r="F19" i="6"/>
  <c r="M19" i="6"/>
  <c r="B9" i="6"/>
  <c r="F9" i="6"/>
  <c r="J9" i="6"/>
  <c r="N9" i="6"/>
  <c r="D9" i="6"/>
  <c r="H9" i="6"/>
  <c r="L9" i="6"/>
  <c r="D185" i="10"/>
  <c r="H185" i="10"/>
  <c r="L185" i="10"/>
  <c r="B185" i="10"/>
  <c r="F185" i="10"/>
  <c r="J185" i="10"/>
  <c r="N185" i="10"/>
  <c r="B49" i="6"/>
  <c r="J49" i="6"/>
  <c r="K47" i="6"/>
  <c r="N47" i="12" s="1"/>
  <c r="E47" i="6"/>
  <c r="B46" i="6"/>
  <c r="G46" i="6"/>
  <c r="M46" i="6"/>
  <c r="O43" i="6"/>
  <c r="J43" i="6"/>
  <c r="E43" i="6"/>
  <c r="K42" i="6"/>
  <c r="N42" i="12" s="1"/>
  <c r="K39" i="6"/>
  <c r="S39" i="12" s="1"/>
  <c r="E39" i="6"/>
  <c r="D37" i="6"/>
  <c r="F37" i="6"/>
  <c r="D35" i="6"/>
  <c r="H35" i="6"/>
  <c r="L35" i="12" s="1"/>
  <c r="L35" i="6"/>
  <c r="B35" i="6"/>
  <c r="F35" i="6"/>
  <c r="J35" i="6"/>
  <c r="D27" i="6"/>
  <c r="H27" i="6"/>
  <c r="L27" i="6"/>
  <c r="O27" i="12" s="1"/>
  <c r="B27" i="6"/>
  <c r="F27" i="6"/>
  <c r="J27" i="6"/>
  <c r="N27" i="6"/>
  <c r="K24" i="6"/>
  <c r="S24" i="12" s="1"/>
  <c r="O22" i="6"/>
  <c r="L19" i="6"/>
  <c r="O19" i="12" s="1"/>
  <c r="D14" i="6"/>
  <c r="C14" i="6"/>
  <c r="K14" i="6"/>
  <c r="S14" i="12" s="1"/>
  <c r="G14" i="6"/>
  <c r="M14" i="6"/>
  <c r="O9" i="6"/>
  <c r="G9" i="6"/>
  <c r="O185" i="10"/>
  <c r="G185" i="10"/>
  <c r="C22" i="6"/>
  <c r="L22" i="5" s="1"/>
  <c r="M22" i="5" s="1"/>
  <c r="H22" i="6"/>
  <c r="M22" i="6"/>
  <c r="E22" i="6"/>
  <c r="K22" i="6"/>
  <c r="S22" i="12" s="1"/>
  <c r="I188" i="10"/>
  <c r="C188" i="10"/>
  <c r="N188" i="10"/>
  <c r="M185" i="10"/>
  <c r="E185" i="10"/>
  <c r="D183" i="10"/>
  <c r="L183" i="10"/>
  <c r="F183" i="10"/>
  <c r="L181" i="10"/>
  <c r="H181" i="10"/>
  <c r="D181" i="10"/>
  <c r="L175" i="10"/>
  <c r="M174" i="10"/>
  <c r="G174" i="10"/>
  <c r="F172" i="10"/>
  <c r="N169" i="10"/>
  <c r="J169" i="10"/>
  <c r="F169" i="10"/>
  <c r="B169" i="10"/>
  <c r="L167" i="10"/>
  <c r="N165" i="10"/>
  <c r="J165" i="10"/>
  <c r="F165" i="10"/>
  <c r="B165" i="10"/>
  <c r="L161" i="10"/>
  <c r="H161" i="10"/>
  <c r="D161" i="10"/>
  <c r="O160" i="10"/>
  <c r="J160" i="10"/>
  <c r="E160" i="10"/>
  <c r="H158" i="10"/>
  <c r="J153" i="10"/>
  <c r="E153" i="10"/>
  <c r="M148" i="10"/>
  <c r="F148" i="10"/>
  <c r="E147" i="10"/>
  <c r="I147" i="10"/>
  <c r="E146" i="10"/>
  <c r="H146" i="10"/>
  <c r="K145" i="10"/>
  <c r="E145" i="10"/>
  <c r="D144" i="10"/>
  <c r="B144" i="10"/>
  <c r="G144" i="10"/>
  <c r="M144" i="10"/>
  <c r="I142" i="10"/>
  <c r="N140" i="10"/>
  <c r="F140" i="10"/>
  <c r="E138" i="10"/>
  <c r="I138" i="10"/>
  <c r="J137" i="10"/>
  <c r="E137" i="10"/>
  <c r="D136" i="10"/>
  <c r="C136" i="10"/>
  <c r="I136" i="10"/>
  <c r="N136" i="10"/>
  <c r="D134" i="10"/>
  <c r="L134" i="10"/>
  <c r="B129" i="10"/>
  <c r="F129" i="10"/>
  <c r="J129" i="10"/>
  <c r="N129" i="10"/>
  <c r="D129" i="10"/>
  <c r="H129" i="10"/>
  <c r="L129" i="10"/>
  <c r="B127" i="10"/>
  <c r="E127" i="10"/>
  <c r="M127" i="10"/>
  <c r="E122" i="10"/>
  <c r="D122" i="10"/>
  <c r="I122" i="10"/>
  <c r="K113" i="10"/>
  <c r="I112" i="10"/>
  <c r="E111" i="10"/>
  <c r="I111" i="10"/>
  <c r="O109" i="10"/>
  <c r="G109" i="10"/>
  <c r="N108" i="10"/>
  <c r="B102" i="10"/>
  <c r="H102" i="10"/>
  <c r="D102" i="10"/>
  <c r="L102" i="10"/>
  <c r="D113" i="10"/>
  <c r="H113" i="10"/>
  <c r="L113" i="10"/>
  <c r="B113" i="10"/>
  <c r="F113" i="10"/>
  <c r="J113" i="10"/>
  <c r="N113" i="10"/>
  <c r="D108" i="10"/>
  <c r="E108" i="10"/>
  <c r="J108" i="10"/>
  <c r="O108" i="10"/>
  <c r="B108" i="10"/>
  <c r="G108" i="10"/>
  <c r="M108" i="10"/>
  <c r="E95" i="10"/>
  <c r="I95" i="10"/>
  <c r="K34" i="6"/>
  <c r="N34" i="12" s="1"/>
  <c r="L33" i="6"/>
  <c r="O33" i="12" s="1"/>
  <c r="N29" i="6"/>
  <c r="I29" i="6"/>
  <c r="M29" i="12" s="1"/>
  <c r="D29" i="6"/>
  <c r="O17" i="6"/>
  <c r="K17" i="6"/>
  <c r="G17" i="6"/>
  <c r="N16" i="6"/>
  <c r="I16" i="6"/>
  <c r="Q16" i="12" s="1"/>
  <c r="K8" i="6"/>
  <c r="R8" i="12" s="1"/>
  <c r="E8" i="6"/>
  <c r="N187" i="10"/>
  <c r="I187" i="10"/>
  <c r="O182" i="10"/>
  <c r="I182" i="10"/>
  <c r="N181" i="10"/>
  <c r="J181" i="10"/>
  <c r="F181" i="10"/>
  <c r="K174" i="10"/>
  <c r="C174" i="10"/>
  <c r="N171" i="10"/>
  <c r="I171" i="10"/>
  <c r="L169" i="10"/>
  <c r="H169" i="10"/>
  <c r="D169" i="10"/>
  <c r="L165" i="10"/>
  <c r="H165" i="10"/>
  <c r="D165" i="10"/>
  <c r="N161" i="10"/>
  <c r="J161" i="10"/>
  <c r="F161" i="10"/>
  <c r="M160" i="10"/>
  <c r="G160" i="10"/>
  <c r="M158" i="10"/>
  <c r="L154" i="10"/>
  <c r="M153" i="10"/>
  <c r="H153" i="10"/>
  <c r="C152" i="10"/>
  <c r="F152" i="10"/>
  <c r="M152" i="10"/>
  <c r="D149" i="10"/>
  <c r="H149" i="10"/>
  <c r="L149" i="10"/>
  <c r="I148" i="10"/>
  <c r="I146" i="10"/>
  <c r="M145" i="10"/>
  <c r="H145" i="10"/>
  <c r="K144" i="10"/>
  <c r="E144" i="10"/>
  <c r="B141" i="10"/>
  <c r="F141" i="10"/>
  <c r="J141" i="10"/>
  <c r="N141" i="10"/>
  <c r="J140" i="10"/>
  <c r="H138" i="10"/>
  <c r="M137" i="10"/>
  <c r="H137" i="10"/>
  <c r="K136" i="10"/>
  <c r="E136" i="10"/>
  <c r="M129" i="10"/>
  <c r="E129" i="10"/>
  <c r="D128" i="10"/>
  <c r="B128" i="10"/>
  <c r="G128" i="10"/>
  <c r="M128" i="10"/>
  <c r="E128" i="10"/>
  <c r="J128" i="10"/>
  <c r="O128" i="10"/>
  <c r="L122" i="10"/>
  <c r="D118" i="10"/>
  <c r="I118" i="10"/>
  <c r="O113" i="10"/>
  <c r="G113" i="10"/>
  <c r="N112" i="10"/>
  <c r="K109" i="10"/>
  <c r="I108" i="10"/>
  <c r="B106" i="10"/>
  <c r="H106" i="10"/>
  <c r="D106" i="10"/>
  <c r="L106" i="10"/>
  <c r="I102" i="10"/>
  <c r="K172" i="10"/>
  <c r="O169" i="10"/>
  <c r="K169" i="10"/>
  <c r="G169" i="10"/>
  <c r="O165" i="10"/>
  <c r="K165" i="10"/>
  <c r="G165" i="10"/>
  <c r="D158" i="10"/>
  <c r="C158" i="10"/>
  <c r="K158" i="10"/>
  <c r="C153" i="10"/>
  <c r="G153" i="10"/>
  <c r="K153" i="10"/>
  <c r="O153" i="10"/>
  <c r="D148" i="10"/>
  <c r="E148" i="10"/>
  <c r="J148" i="10"/>
  <c r="O148" i="10"/>
  <c r="B145" i="10"/>
  <c r="F145" i="10"/>
  <c r="J145" i="10"/>
  <c r="N145" i="10"/>
  <c r="E142" i="10"/>
  <c r="M142" i="10"/>
  <c r="D140" i="10"/>
  <c r="B140" i="10"/>
  <c r="G140" i="10"/>
  <c r="M140" i="10"/>
  <c r="C137" i="10"/>
  <c r="G137" i="10"/>
  <c r="K137" i="10"/>
  <c r="O137" i="10"/>
  <c r="B135" i="10"/>
  <c r="I135" i="10"/>
  <c r="I126" i="10"/>
  <c r="D126" i="10"/>
  <c r="M126" i="10"/>
  <c r="M113" i="10"/>
  <c r="E113" i="10"/>
  <c r="D112" i="10"/>
  <c r="E112" i="10"/>
  <c r="J112" i="10"/>
  <c r="O112" i="10"/>
  <c r="B112" i="10"/>
  <c r="G112" i="10"/>
  <c r="M112" i="10"/>
  <c r="D109" i="10"/>
  <c r="H109" i="10"/>
  <c r="L109" i="10"/>
  <c r="B109" i="10"/>
  <c r="F109" i="10"/>
  <c r="J109" i="10"/>
  <c r="N109" i="10"/>
  <c r="F108" i="10"/>
  <c r="L97" i="10"/>
  <c r="H97" i="10"/>
  <c r="D97" i="10"/>
  <c r="O96" i="10"/>
  <c r="J96" i="10"/>
  <c r="E96" i="10"/>
  <c r="L93" i="10"/>
  <c r="H93" i="10"/>
  <c r="D93" i="10"/>
  <c r="O92" i="10"/>
  <c r="J92" i="10"/>
  <c r="E92" i="10"/>
  <c r="H90" i="10"/>
  <c r="H86" i="10"/>
  <c r="N81" i="10"/>
  <c r="J81" i="10"/>
  <c r="F81" i="10"/>
  <c r="B81" i="10"/>
  <c r="M80" i="10"/>
  <c r="G80" i="10"/>
  <c r="B80" i="10"/>
  <c r="N77" i="10"/>
  <c r="J77" i="10"/>
  <c r="F77" i="10"/>
  <c r="B77" i="10"/>
  <c r="M76" i="10"/>
  <c r="G76" i="10"/>
  <c r="B76" i="10"/>
  <c r="L74" i="10"/>
  <c r="D74" i="10"/>
  <c r="L70" i="10"/>
  <c r="D70" i="10"/>
  <c r="L65" i="10"/>
  <c r="H65" i="10"/>
  <c r="D65" i="10"/>
  <c r="O64" i="10"/>
  <c r="J64" i="10"/>
  <c r="E64" i="10"/>
  <c r="I63" i="10"/>
  <c r="L61" i="10"/>
  <c r="H61" i="10"/>
  <c r="D61" i="10"/>
  <c r="O60" i="10"/>
  <c r="J60" i="10"/>
  <c r="I58" i="10"/>
  <c r="D49" i="10"/>
  <c r="H49" i="10"/>
  <c r="L49" i="10"/>
  <c r="J41" i="10"/>
  <c r="M29" i="10"/>
  <c r="D60" i="10"/>
  <c r="B60" i="10"/>
  <c r="G60" i="10"/>
  <c r="B54" i="10"/>
  <c r="D54" i="10"/>
  <c r="L54" i="10"/>
  <c r="C41" i="10"/>
  <c r="G41" i="10"/>
  <c r="K41" i="10"/>
  <c r="O41" i="10"/>
  <c r="D41" i="10"/>
  <c r="H41" i="10"/>
  <c r="L41" i="10"/>
  <c r="D32" i="10"/>
  <c r="B32" i="10"/>
  <c r="G32" i="10"/>
  <c r="M32" i="10"/>
  <c r="C32" i="10"/>
  <c r="I32" i="10"/>
  <c r="N32" i="10"/>
  <c r="E32" i="10"/>
  <c r="J32" i="10"/>
  <c r="O32" i="10"/>
  <c r="H130" i="10"/>
  <c r="O125" i="10"/>
  <c r="K125" i="10"/>
  <c r="G125" i="10"/>
  <c r="N124" i="10"/>
  <c r="I124" i="10"/>
  <c r="C124" i="10"/>
  <c r="O105" i="10"/>
  <c r="K105" i="10"/>
  <c r="G105" i="10"/>
  <c r="N104" i="10"/>
  <c r="I104" i="10"/>
  <c r="C104" i="10"/>
  <c r="O101" i="10"/>
  <c r="K101" i="10"/>
  <c r="G101" i="10"/>
  <c r="N100" i="10"/>
  <c r="I100" i="10"/>
  <c r="C100" i="10"/>
  <c r="M98" i="10"/>
  <c r="E98" i="10"/>
  <c r="N97" i="10"/>
  <c r="J97" i="10"/>
  <c r="F97" i="10"/>
  <c r="M96" i="10"/>
  <c r="G96" i="10"/>
  <c r="B96" i="10"/>
  <c r="M94" i="10"/>
  <c r="E94" i="10"/>
  <c r="N93" i="10"/>
  <c r="J93" i="10"/>
  <c r="F93" i="10"/>
  <c r="M92" i="10"/>
  <c r="G92" i="10"/>
  <c r="B92" i="10"/>
  <c r="L90" i="10"/>
  <c r="D90" i="10"/>
  <c r="L86" i="10"/>
  <c r="D86" i="10"/>
  <c r="L81" i="10"/>
  <c r="H81" i="10"/>
  <c r="D81" i="10"/>
  <c r="O80" i="10"/>
  <c r="J80" i="10"/>
  <c r="E80" i="10"/>
  <c r="I79" i="10"/>
  <c r="L77" i="10"/>
  <c r="H77" i="10"/>
  <c r="D77" i="10"/>
  <c r="O76" i="10"/>
  <c r="J76" i="10"/>
  <c r="E76" i="10"/>
  <c r="H74" i="10"/>
  <c r="O73" i="10"/>
  <c r="K73" i="10"/>
  <c r="G73" i="10"/>
  <c r="N72" i="10"/>
  <c r="I72" i="10"/>
  <c r="C72" i="10"/>
  <c r="H70" i="10"/>
  <c r="O69" i="10"/>
  <c r="K69" i="10"/>
  <c r="G69" i="10"/>
  <c r="N68" i="10"/>
  <c r="I68" i="10"/>
  <c r="C68" i="10"/>
  <c r="M66" i="10"/>
  <c r="E66" i="10"/>
  <c r="N65" i="10"/>
  <c r="J65" i="10"/>
  <c r="F65" i="10"/>
  <c r="M64" i="10"/>
  <c r="G64" i="10"/>
  <c r="B64" i="10"/>
  <c r="M62" i="10"/>
  <c r="E62" i="10"/>
  <c r="N61" i="10"/>
  <c r="J61" i="10"/>
  <c r="F61" i="10"/>
  <c r="M60" i="10"/>
  <c r="F60" i="10"/>
  <c r="I54" i="10"/>
  <c r="N49" i="10"/>
  <c r="I49" i="10"/>
  <c r="C49" i="10"/>
  <c r="E47" i="10"/>
  <c r="I47" i="10"/>
  <c r="N41" i="10"/>
  <c r="F41" i="10"/>
  <c r="B33" i="10"/>
  <c r="F33" i="10"/>
  <c r="J33" i="10"/>
  <c r="N33" i="10"/>
  <c r="C33" i="10"/>
  <c r="G33" i="10"/>
  <c r="K33" i="10"/>
  <c r="O33" i="10"/>
  <c r="D33" i="10"/>
  <c r="H33" i="10"/>
  <c r="L33" i="10"/>
  <c r="D28" i="10"/>
  <c r="B28" i="10"/>
  <c r="G28" i="10"/>
  <c r="M28" i="10"/>
  <c r="C28" i="10"/>
  <c r="I28" i="10"/>
  <c r="N28" i="10"/>
  <c r="E28" i="10"/>
  <c r="J28" i="10"/>
  <c r="O28" i="10"/>
  <c r="O81" i="10"/>
  <c r="K81" i="10"/>
  <c r="G81" i="10"/>
  <c r="N80" i="10"/>
  <c r="I80" i="10"/>
  <c r="C80" i="10"/>
  <c r="O77" i="10"/>
  <c r="K77" i="10"/>
  <c r="G77" i="10"/>
  <c r="N76" i="10"/>
  <c r="I76" i="10"/>
  <c r="C76" i="10"/>
  <c r="M74" i="10"/>
  <c r="E74" i="10"/>
  <c r="M70" i="10"/>
  <c r="E70" i="10"/>
  <c r="K60" i="10"/>
  <c r="E60" i="10"/>
  <c r="B58" i="10"/>
  <c r="D58" i="10"/>
  <c r="L58" i="10"/>
  <c r="H54" i="10"/>
  <c r="M41" i="10"/>
  <c r="E41" i="10"/>
  <c r="K32" i="10"/>
  <c r="B29" i="10"/>
  <c r="F29" i="10"/>
  <c r="J29" i="10"/>
  <c r="N29" i="10"/>
  <c r="C29" i="10"/>
  <c r="G29" i="10"/>
  <c r="K29" i="10"/>
  <c r="O29" i="10"/>
  <c r="D29" i="10"/>
  <c r="H29" i="10"/>
  <c r="L29" i="10"/>
  <c r="H26" i="10"/>
  <c r="L22" i="10"/>
  <c r="F22" i="10"/>
  <c r="K20" i="10"/>
  <c r="M17" i="10"/>
  <c r="F17" i="10"/>
  <c r="L15" i="10"/>
  <c r="H15" i="10"/>
  <c r="D15" i="10"/>
  <c r="L8" i="10"/>
  <c r="H8" i="10"/>
  <c r="D8" i="10"/>
  <c r="O7" i="10"/>
  <c r="J7" i="10"/>
  <c r="E7" i="10"/>
  <c r="O40" i="10"/>
  <c r="J40" i="10"/>
  <c r="E40" i="10"/>
  <c r="L37" i="10"/>
  <c r="H37" i="10"/>
  <c r="D37" i="10"/>
  <c r="O36" i="10"/>
  <c r="J36" i="10"/>
  <c r="E36" i="10"/>
  <c r="H34" i="10"/>
  <c r="H30" i="10"/>
  <c r="M26" i="10"/>
  <c r="E26" i="10"/>
  <c r="K22" i="10"/>
  <c r="C22" i="10"/>
  <c r="G20" i="10"/>
  <c r="L17" i="10"/>
  <c r="D17" i="10"/>
  <c r="O15" i="10"/>
  <c r="K15" i="10"/>
  <c r="G15" i="10"/>
  <c r="C15" i="10"/>
  <c r="J13" i="10"/>
  <c r="E13" i="10"/>
  <c r="L11" i="10"/>
  <c r="H11" i="10"/>
  <c r="D11" i="10"/>
  <c r="H9" i="10"/>
  <c r="O8" i="10"/>
  <c r="K8" i="10"/>
  <c r="G8" i="10"/>
  <c r="C8" i="10"/>
  <c r="N7" i="10"/>
  <c r="I7" i="10"/>
  <c r="C7" i="10"/>
  <c r="O48" i="10"/>
  <c r="J48" i="10"/>
  <c r="E48" i="10"/>
  <c r="L45" i="10"/>
  <c r="H45" i="10"/>
  <c r="O44" i="10"/>
  <c r="J44" i="10"/>
  <c r="E44" i="10"/>
  <c r="H42" i="10"/>
  <c r="N40" i="10"/>
  <c r="I40" i="10"/>
  <c r="C40" i="10"/>
  <c r="H38" i="10"/>
  <c r="O37" i="10"/>
  <c r="K37" i="10"/>
  <c r="G37" i="10"/>
  <c r="N36" i="10"/>
  <c r="I36" i="10"/>
  <c r="C36" i="10"/>
  <c r="M34" i="10"/>
  <c r="E34" i="10"/>
  <c r="M30" i="10"/>
  <c r="E30" i="10"/>
  <c r="L26" i="10"/>
  <c r="D26" i="10"/>
  <c r="O22" i="10"/>
  <c r="I22" i="10"/>
  <c r="E20" i="10"/>
  <c r="I17" i="10"/>
  <c r="N15" i="10"/>
  <c r="J15" i="10"/>
  <c r="F15" i="10"/>
  <c r="J14" i="10"/>
  <c r="N13" i="10"/>
  <c r="I13" i="10"/>
  <c r="M12" i="10"/>
  <c r="O11" i="10"/>
  <c r="K11" i="10"/>
  <c r="G11" i="10"/>
  <c r="K10" i="10"/>
  <c r="M9" i="10"/>
  <c r="N8" i="10"/>
  <c r="J8" i="10"/>
  <c r="F8" i="10"/>
  <c r="M7" i="10"/>
  <c r="G7" i="10"/>
  <c r="B7" i="10"/>
  <c r="E241" i="2"/>
  <c r="G245" i="2"/>
  <c r="C56" i="8"/>
  <c r="E55" i="8"/>
  <c r="H51" i="8"/>
  <c r="C51" i="8"/>
  <c r="G50" i="8"/>
  <c r="B50" i="8"/>
  <c r="E46" i="8"/>
  <c r="E38" i="8"/>
  <c r="I33" i="8"/>
  <c r="C32" i="8"/>
  <c r="E31" i="8"/>
  <c r="H27" i="8"/>
  <c r="C27" i="8"/>
  <c r="G26" i="8"/>
  <c r="B26" i="8"/>
  <c r="D25" i="8"/>
  <c r="C24" i="8"/>
  <c r="E23" i="8"/>
  <c r="I17" i="8"/>
  <c r="C16" i="8"/>
  <c r="E15" i="8"/>
  <c r="H11" i="8"/>
  <c r="C11" i="8"/>
  <c r="G10" i="8"/>
  <c r="B10" i="8"/>
  <c r="D9" i="8"/>
  <c r="C8" i="8"/>
  <c r="E7" i="8"/>
  <c r="C55" i="8"/>
  <c r="J46" i="8"/>
  <c r="B46" i="8"/>
  <c r="J38" i="8"/>
  <c r="B38" i="8"/>
  <c r="C31" i="8"/>
  <c r="C23" i="8"/>
  <c r="G21" i="8"/>
  <c r="C15" i="8"/>
  <c r="C7" i="8"/>
  <c r="G55" i="8"/>
  <c r="J54" i="8"/>
  <c r="B54" i="8"/>
  <c r="I51" i="8"/>
  <c r="I50" i="8"/>
  <c r="C47" i="8"/>
  <c r="F46" i="8"/>
  <c r="C39" i="8"/>
  <c r="F38" i="8"/>
  <c r="G31" i="8"/>
  <c r="J30" i="8"/>
  <c r="B30" i="8"/>
  <c r="I27" i="8"/>
  <c r="I26" i="8"/>
  <c r="G23" i="8"/>
  <c r="J22" i="8"/>
  <c r="B22" i="8"/>
  <c r="F20" i="8"/>
  <c r="G15" i="8"/>
  <c r="J14" i="8"/>
  <c r="B14" i="8"/>
  <c r="I11" i="8"/>
  <c r="I10" i="8"/>
  <c r="G7" i="8"/>
  <c r="N164" i="5"/>
  <c r="C162" i="5"/>
  <c r="O162" i="5"/>
  <c r="P162" i="5" s="1"/>
  <c r="K162" i="5"/>
  <c r="K156" i="5"/>
  <c r="C156" i="5"/>
  <c r="O156" i="5"/>
  <c r="P156" i="5" s="1"/>
  <c r="N154" i="5"/>
  <c r="N148" i="5"/>
  <c r="H92" i="3"/>
  <c r="C158" i="5"/>
  <c r="O158" i="5"/>
  <c r="K158" i="5"/>
  <c r="K152" i="5"/>
  <c r="C152" i="5"/>
  <c r="O152" i="5"/>
  <c r="P152" i="5" s="1"/>
  <c r="K164" i="5"/>
  <c r="C164" i="5"/>
  <c r="O164" i="5"/>
  <c r="C154" i="5"/>
  <c r="O154" i="5"/>
  <c r="K154" i="5"/>
  <c r="K148" i="5"/>
  <c r="C148" i="5"/>
  <c r="O148" i="5"/>
  <c r="I144" i="5"/>
  <c r="K144" i="5"/>
  <c r="C144" i="5"/>
  <c r="O144" i="5"/>
  <c r="P144" i="5" s="1"/>
  <c r="I140" i="5"/>
  <c r="K140" i="5"/>
  <c r="C140" i="5"/>
  <c r="O140" i="5"/>
  <c r="P140" i="5" s="1"/>
  <c r="I136" i="5"/>
  <c r="K136" i="5"/>
  <c r="C136" i="5"/>
  <c r="O136" i="5"/>
  <c r="P136" i="5" s="1"/>
  <c r="I132" i="5"/>
  <c r="K132" i="5"/>
  <c r="C132" i="5"/>
  <c r="O132" i="5"/>
  <c r="P132" i="5" s="1"/>
  <c r="I128" i="5"/>
  <c r="K128" i="5"/>
  <c r="C128" i="5"/>
  <c r="O128" i="5"/>
  <c r="P128" i="5" s="1"/>
  <c r="I124" i="5"/>
  <c r="K124" i="5"/>
  <c r="C124" i="5"/>
  <c r="O124" i="5"/>
  <c r="P124" i="5" s="1"/>
  <c r="I120" i="5"/>
  <c r="K120" i="5"/>
  <c r="C120" i="5"/>
  <c r="O120" i="5"/>
  <c r="P120" i="5" s="1"/>
  <c r="I116" i="5"/>
  <c r="K116" i="5"/>
  <c r="C116" i="5"/>
  <c r="O116" i="5"/>
  <c r="P116" i="5" s="1"/>
  <c r="I112" i="5"/>
  <c r="K112" i="5"/>
  <c r="C112" i="5"/>
  <c r="O112" i="5"/>
  <c r="P112" i="5" s="1"/>
  <c r="I162" i="5"/>
  <c r="K160" i="5"/>
  <c r="C160" i="5"/>
  <c r="O160" i="5"/>
  <c r="P160" i="5" s="1"/>
  <c r="I156" i="5"/>
  <c r="C150" i="5"/>
  <c r="O150" i="5"/>
  <c r="P150" i="5" s="1"/>
  <c r="K150" i="5"/>
  <c r="P163" i="5"/>
  <c r="K146" i="5"/>
  <c r="K142" i="5"/>
  <c r="P139" i="5"/>
  <c r="K138" i="5"/>
  <c r="K134" i="5"/>
  <c r="K130" i="5"/>
  <c r="K126" i="5"/>
  <c r="K122" i="5"/>
  <c r="K118" i="5"/>
  <c r="K114" i="5"/>
  <c r="K110" i="5"/>
  <c r="O108" i="5"/>
  <c r="C108" i="5"/>
  <c r="P107" i="5"/>
  <c r="K106" i="5"/>
  <c r="O104" i="5"/>
  <c r="C104" i="5"/>
  <c r="K102" i="5"/>
  <c r="O100" i="5"/>
  <c r="C100" i="5"/>
  <c r="K98" i="5"/>
  <c r="O96" i="5"/>
  <c r="C96" i="5"/>
  <c r="K94" i="5"/>
  <c r="O92" i="5"/>
  <c r="C92" i="5"/>
  <c r="K90" i="5"/>
  <c r="O88" i="5"/>
  <c r="C88" i="5"/>
  <c r="K86" i="5"/>
  <c r="O84" i="5"/>
  <c r="C84" i="5"/>
  <c r="K82" i="5"/>
  <c r="O80" i="5"/>
  <c r="C80" i="5"/>
  <c r="K78" i="5"/>
  <c r="O76" i="5"/>
  <c r="C76" i="5"/>
  <c r="K74" i="5"/>
  <c r="O72" i="5"/>
  <c r="P72" i="5" s="1"/>
  <c r="C72" i="5"/>
  <c r="K70" i="5"/>
  <c r="O68" i="5"/>
  <c r="C68" i="5"/>
  <c r="K66" i="5"/>
  <c r="O64" i="5"/>
  <c r="C64" i="5"/>
  <c r="K49" i="5"/>
  <c r="O47" i="5"/>
  <c r="C47" i="5"/>
  <c r="K45" i="5"/>
  <c r="O43" i="5"/>
  <c r="C43" i="5"/>
  <c r="K41" i="5"/>
  <c r="O39" i="5"/>
  <c r="C39" i="5"/>
  <c r="K37" i="5"/>
  <c r="O35" i="5"/>
  <c r="C35" i="5"/>
  <c r="K33" i="5"/>
  <c r="O31" i="5"/>
  <c r="C31" i="5"/>
  <c r="K29" i="5"/>
  <c r="O27" i="5"/>
  <c r="C27" i="5"/>
  <c r="K25" i="5"/>
  <c r="O23" i="5"/>
  <c r="C23" i="5"/>
  <c r="K21" i="5"/>
  <c r="O19" i="5"/>
  <c r="C19" i="5"/>
  <c r="K17" i="5"/>
  <c r="O15" i="5"/>
  <c r="P15" i="5" s="1"/>
  <c r="C15" i="5"/>
  <c r="K13" i="5"/>
  <c r="O11" i="5"/>
  <c r="C11" i="5"/>
  <c r="K9" i="5"/>
  <c r="O7" i="5"/>
  <c r="P7" i="5" s="1"/>
  <c r="C7" i="5"/>
  <c r="M189" i="11"/>
  <c r="G189" i="11"/>
  <c r="B189" i="11"/>
  <c r="I188" i="11"/>
  <c r="M187" i="11"/>
  <c r="N186" i="11"/>
  <c r="J186" i="11"/>
  <c r="F186" i="11"/>
  <c r="B186" i="11"/>
  <c r="M185" i="11"/>
  <c r="G185" i="11"/>
  <c r="B185" i="11"/>
  <c r="M183" i="11"/>
  <c r="E183" i="11"/>
  <c r="N182" i="11"/>
  <c r="J182" i="11"/>
  <c r="F182" i="11"/>
  <c r="B182" i="11"/>
  <c r="M181" i="11"/>
  <c r="G181" i="11"/>
  <c r="B181" i="11"/>
  <c r="M179" i="11"/>
  <c r="E179" i="11"/>
  <c r="N178" i="11"/>
  <c r="J178" i="11"/>
  <c r="F178" i="11"/>
  <c r="B178" i="11"/>
  <c r="M177" i="11"/>
  <c r="G177" i="11"/>
  <c r="B177" i="11"/>
  <c r="M175" i="11"/>
  <c r="E175" i="11"/>
  <c r="N174" i="11"/>
  <c r="J174" i="11"/>
  <c r="F174" i="11"/>
  <c r="B174" i="11"/>
  <c r="M173" i="11"/>
  <c r="G173" i="11"/>
  <c r="B173" i="11"/>
  <c r="M171" i="11"/>
  <c r="E171" i="11"/>
  <c r="N170" i="11"/>
  <c r="J170" i="11"/>
  <c r="F170" i="11"/>
  <c r="B170" i="11"/>
  <c r="M169" i="11"/>
  <c r="G169" i="11"/>
  <c r="B169" i="11"/>
  <c r="E168" i="11"/>
  <c r="L166" i="11"/>
  <c r="H166" i="11"/>
  <c r="D166" i="11"/>
  <c r="O165" i="11"/>
  <c r="J165" i="11"/>
  <c r="E165" i="11"/>
  <c r="M164" i="11"/>
  <c r="M163" i="11"/>
  <c r="E163" i="11"/>
  <c r="N162" i="11"/>
  <c r="J162" i="11"/>
  <c r="F162" i="11"/>
  <c r="B162" i="11"/>
  <c r="M161" i="11"/>
  <c r="G161" i="11"/>
  <c r="B161" i="11"/>
  <c r="E160" i="11"/>
  <c r="L158" i="11"/>
  <c r="H158" i="11"/>
  <c r="D158" i="11"/>
  <c r="O157" i="11"/>
  <c r="J157" i="11"/>
  <c r="E157" i="11"/>
  <c r="M156" i="11"/>
  <c r="M155" i="11"/>
  <c r="E155" i="11"/>
  <c r="N154" i="11"/>
  <c r="J154" i="11"/>
  <c r="F154" i="11"/>
  <c r="B154" i="11"/>
  <c r="M153" i="11"/>
  <c r="G153" i="11"/>
  <c r="B153" i="11"/>
  <c r="E152" i="11"/>
  <c r="L150" i="11"/>
  <c r="H150" i="11"/>
  <c r="D150" i="11"/>
  <c r="O149" i="11"/>
  <c r="J149" i="11"/>
  <c r="E149" i="11"/>
  <c r="M148" i="11"/>
  <c r="M147" i="11"/>
  <c r="E147" i="11"/>
  <c r="N146" i="11"/>
  <c r="J146" i="11"/>
  <c r="F146" i="11"/>
  <c r="B146" i="11"/>
  <c r="M145" i="11"/>
  <c r="G145" i="11"/>
  <c r="B145" i="11"/>
  <c r="L142" i="11"/>
  <c r="H142" i="11"/>
  <c r="D142" i="11"/>
  <c r="O141" i="11"/>
  <c r="G141" i="11"/>
  <c r="N140" i="11"/>
  <c r="I140" i="11"/>
  <c r="D140" i="11"/>
  <c r="I139" i="11"/>
  <c r="N138" i="11"/>
  <c r="J138" i="11"/>
  <c r="F138" i="11"/>
  <c r="B138" i="11"/>
  <c r="K137" i="11"/>
  <c r="C137" i="11"/>
  <c r="L134" i="11"/>
  <c r="H134" i="11"/>
  <c r="D134" i="11"/>
  <c r="O133" i="11"/>
  <c r="G133" i="11"/>
  <c r="N132" i="11"/>
  <c r="I132" i="11"/>
  <c r="D132" i="11"/>
  <c r="I131" i="11"/>
  <c r="N130" i="11"/>
  <c r="J130" i="11"/>
  <c r="F130" i="11"/>
  <c r="B130" i="11"/>
  <c r="M129" i="11"/>
  <c r="G129" i="11"/>
  <c r="B129" i="11"/>
  <c r="H127" i="11"/>
  <c r="F125" i="11"/>
  <c r="J124" i="11"/>
  <c r="O122" i="11"/>
  <c r="J122" i="11"/>
  <c r="E122" i="11"/>
  <c r="M119" i="11"/>
  <c r="G119" i="11"/>
  <c r="O118" i="11"/>
  <c r="I118" i="11"/>
  <c r="K117" i="11"/>
  <c r="L116" i="11"/>
  <c r="O114" i="11"/>
  <c r="I114" i="11"/>
  <c r="N113" i="11"/>
  <c r="F113" i="11"/>
  <c r="B112" i="11"/>
  <c r="I112" i="11"/>
  <c r="M110" i="11"/>
  <c r="H110" i="11"/>
  <c r="L107" i="11"/>
  <c r="O106" i="11"/>
  <c r="I106" i="11"/>
  <c r="M102" i="11"/>
  <c r="B98" i="11"/>
  <c r="F98" i="11"/>
  <c r="J98" i="11"/>
  <c r="N98" i="11"/>
  <c r="D98" i="11"/>
  <c r="H98" i="11"/>
  <c r="L98" i="11"/>
  <c r="B90" i="11"/>
  <c r="F90" i="11"/>
  <c r="J90" i="11"/>
  <c r="N90" i="11"/>
  <c r="D90" i="11"/>
  <c r="H90" i="11"/>
  <c r="L90" i="11"/>
  <c r="D86" i="11"/>
  <c r="H86" i="11"/>
  <c r="L86" i="11"/>
  <c r="B86" i="11"/>
  <c r="F86" i="11"/>
  <c r="J86" i="11"/>
  <c r="N86" i="11"/>
  <c r="G85" i="11"/>
  <c r="O85" i="11"/>
  <c r="C85" i="11"/>
  <c r="K85" i="11"/>
  <c r="O82" i="11"/>
  <c r="G82" i="11"/>
  <c r="O78" i="11"/>
  <c r="G78" i="11"/>
  <c r="M77" i="11"/>
  <c r="M74" i="11"/>
  <c r="M70" i="11"/>
  <c r="M66" i="11"/>
  <c r="B128" i="11"/>
  <c r="D128" i="11"/>
  <c r="N128" i="11"/>
  <c r="D124" i="11"/>
  <c r="I124" i="11"/>
  <c r="N124" i="11"/>
  <c r="F116" i="11"/>
  <c r="M116" i="11"/>
  <c r="C110" i="11"/>
  <c r="G110" i="11"/>
  <c r="K110" i="11"/>
  <c r="O110" i="11"/>
  <c r="B101" i="11"/>
  <c r="I101" i="11"/>
  <c r="C101" i="11"/>
  <c r="N101" i="11"/>
  <c r="F100" i="11"/>
  <c r="M100" i="11"/>
  <c r="B100" i="11"/>
  <c r="J100" i="11"/>
  <c r="B96" i="11"/>
  <c r="I96" i="11"/>
  <c r="D96" i="11"/>
  <c r="N96" i="11"/>
  <c r="G95" i="11"/>
  <c r="M95" i="11"/>
  <c r="C95" i="11"/>
  <c r="K95" i="11"/>
  <c r="I73" i="11"/>
  <c r="C73" i="11"/>
  <c r="O73" i="11"/>
  <c r="D65" i="11"/>
  <c r="E65" i="11"/>
  <c r="M65" i="11"/>
  <c r="G65" i="11"/>
  <c r="O65" i="11"/>
  <c r="C65" i="11"/>
  <c r="K65" i="11"/>
  <c r="H36" i="3"/>
  <c r="P149" i="5"/>
  <c r="O146" i="5"/>
  <c r="O142" i="5"/>
  <c r="O138" i="5"/>
  <c r="O134" i="5"/>
  <c r="P134" i="5" s="1"/>
  <c r="O130" i="5"/>
  <c r="P130" i="5" s="1"/>
  <c r="O126" i="5"/>
  <c r="P126" i="5" s="1"/>
  <c r="P125" i="5"/>
  <c r="O122" i="5"/>
  <c r="O118" i="5"/>
  <c r="O114" i="5"/>
  <c r="O110" i="5"/>
  <c r="K108" i="5"/>
  <c r="O106" i="5"/>
  <c r="K104" i="5"/>
  <c r="O102" i="5"/>
  <c r="K100" i="5"/>
  <c r="O98" i="5"/>
  <c r="P98" i="5" s="1"/>
  <c r="K96" i="5"/>
  <c r="O94" i="5"/>
  <c r="P93" i="5"/>
  <c r="K92" i="5"/>
  <c r="O90" i="5"/>
  <c r="P90" i="5" s="1"/>
  <c r="K88" i="5"/>
  <c r="O86" i="5"/>
  <c r="P86" i="5" s="1"/>
  <c r="P85" i="5"/>
  <c r="K84" i="5"/>
  <c r="O82" i="5"/>
  <c r="K80" i="5"/>
  <c r="O78" i="5"/>
  <c r="K76" i="5"/>
  <c r="O74" i="5"/>
  <c r="K72" i="5"/>
  <c r="O70" i="5"/>
  <c r="K68" i="5"/>
  <c r="O66" i="5"/>
  <c r="K64" i="5"/>
  <c r="O49" i="5"/>
  <c r="P49" i="5" s="1"/>
  <c r="C49" i="5"/>
  <c r="K47" i="5"/>
  <c r="I46" i="5"/>
  <c r="O45" i="5"/>
  <c r="C45" i="5"/>
  <c r="K43" i="5"/>
  <c r="I42" i="5"/>
  <c r="O41" i="5"/>
  <c r="C41" i="5"/>
  <c r="K39" i="5"/>
  <c r="I38" i="5"/>
  <c r="O37" i="5"/>
  <c r="C37" i="5"/>
  <c r="K35" i="5"/>
  <c r="I34" i="5"/>
  <c r="O33" i="5"/>
  <c r="C33" i="5"/>
  <c r="K31" i="5"/>
  <c r="I30" i="5"/>
  <c r="O29" i="5"/>
  <c r="C29" i="5"/>
  <c r="K27" i="5"/>
  <c r="I26" i="5"/>
  <c r="O25" i="5"/>
  <c r="C25" i="5"/>
  <c r="K23" i="5"/>
  <c r="I22" i="5"/>
  <c r="O21" i="5"/>
  <c r="C21" i="5"/>
  <c r="K19" i="5"/>
  <c r="I18" i="5"/>
  <c r="O17" i="5"/>
  <c r="C17" i="5"/>
  <c r="K15" i="5"/>
  <c r="I14" i="5"/>
  <c r="O13" i="5"/>
  <c r="C13" i="5"/>
  <c r="K11" i="5"/>
  <c r="I10" i="5"/>
  <c r="O9" i="5"/>
  <c r="C9" i="5"/>
  <c r="K7" i="5"/>
  <c r="O189" i="11"/>
  <c r="J189" i="11"/>
  <c r="E189" i="11"/>
  <c r="N188" i="11"/>
  <c r="E188" i="11"/>
  <c r="L186" i="11"/>
  <c r="H186" i="11"/>
  <c r="D186" i="11"/>
  <c r="O185" i="11"/>
  <c r="J185" i="11"/>
  <c r="E185" i="11"/>
  <c r="L182" i="11"/>
  <c r="H182" i="11"/>
  <c r="D182" i="11"/>
  <c r="O181" i="11"/>
  <c r="J181" i="11"/>
  <c r="E181" i="11"/>
  <c r="M180" i="11"/>
  <c r="L178" i="11"/>
  <c r="H178" i="11"/>
  <c r="D178" i="11"/>
  <c r="O177" i="11"/>
  <c r="J177" i="11"/>
  <c r="E177" i="11"/>
  <c r="L174" i="11"/>
  <c r="H174" i="11"/>
  <c r="D174" i="11"/>
  <c r="O173" i="11"/>
  <c r="J173" i="11"/>
  <c r="E173" i="11"/>
  <c r="M172" i="11"/>
  <c r="L170" i="11"/>
  <c r="H170" i="11"/>
  <c r="D170" i="11"/>
  <c r="O169" i="11"/>
  <c r="J169" i="11"/>
  <c r="E169" i="11"/>
  <c r="M168" i="11"/>
  <c r="N166" i="11"/>
  <c r="J166" i="11"/>
  <c r="F166" i="11"/>
  <c r="M165" i="11"/>
  <c r="G165" i="11"/>
  <c r="B165" i="11"/>
  <c r="E164" i="11"/>
  <c r="L162" i="11"/>
  <c r="H162" i="11"/>
  <c r="D162" i="11"/>
  <c r="O161" i="11"/>
  <c r="J161" i="11"/>
  <c r="E161" i="11"/>
  <c r="M160" i="11"/>
  <c r="N158" i="11"/>
  <c r="J158" i="11"/>
  <c r="F158" i="11"/>
  <c r="M157" i="11"/>
  <c r="G157" i="11"/>
  <c r="B157" i="11"/>
  <c r="E156" i="11"/>
  <c r="L154" i="11"/>
  <c r="H154" i="11"/>
  <c r="D154" i="11"/>
  <c r="O153" i="11"/>
  <c r="J153" i="11"/>
  <c r="E153" i="11"/>
  <c r="M152" i="11"/>
  <c r="N150" i="11"/>
  <c r="J150" i="11"/>
  <c r="F150" i="11"/>
  <c r="M149" i="11"/>
  <c r="G149" i="11"/>
  <c r="B149" i="11"/>
  <c r="E148" i="11"/>
  <c r="L146" i="11"/>
  <c r="H146" i="11"/>
  <c r="D146" i="11"/>
  <c r="O145" i="11"/>
  <c r="J145" i="11"/>
  <c r="E145" i="11"/>
  <c r="N142" i="11"/>
  <c r="J142" i="11"/>
  <c r="F142" i="11"/>
  <c r="K141" i="11"/>
  <c r="C141" i="11"/>
  <c r="L138" i="11"/>
  <c r="H138" i="11"/>
  <c r="D138" i="11"/>
  <c r="O137" i="11"/>
  <c r="G137" i="11"/>
  <c r="N134" i="11"/>
  <c r="J134" i="11"/>
  <c r="F134" i="11"/>
  <c r="K133" i="11"/>
  <c r="C133" i="11"/>
  <c r="L130" i="11"/>
  <c r="H130" i="11"/>
  <c r="D130" i="11"/>
  <c r="O129" i="11"/>
  <c r="J129" i="11"/>
  <c r="E129" i="11"/>
  <c r="L128" i="11"/>
  <c r="M127" i="11"/>
  <c r="M124" i="11"/>
  <c r="F124" i="11"/>
  <c r="M122" i="11"/>
  <c r="G122" i="11"/>
  <c r="F120" i="11"/>
  <c r="K119" i="11"/>
  <c r="B118" i="11"/>
  <c r="F118" i="11"/>
  <c r="J118" i="11"/>
  <c r="N118" i="11"/>
  <c r="H116" i="11"/>
  <c r="B114" i="11"/>
  <c r="F114" i="11"/>
  <c r="J114" i="11"/>
  <c r="N114" i="11"/>
  <c r="J113" i="11"/>
  <c r="G111" i="11"/>
  <c r="M111" i="11"/>
  <c r="J110" i="11"/>
  <c r="E110" i="11"/>
  <c r="B106" i="11"/>
  <c r="F106" i="11"/>
  <c r="J106" i="11"/>
  <c r="N106" i="11"/>
  <c r="B102" i="11"/>
  <c r="F102" i="11"/>
  <c r="J102" i="11"/>
  <c r="N102" i="11"/>
  <c r="D102" i="11"/>
  <c r="H102" i="11"/>
  <c r="L102" i="11"/>
  <c r="L100" i="11"/>
  <c r="B97" i="11"/>
  <c r="G97" i="11"/>
  <c r="M97" i="11"/>
  <c r="E97" i="11"/>
  <c r="J97" i="11"/>
  <c r="O97" i="11"/>
  <c r="L95" i="11"/>
  <c r="B93" i="11"/>
  <c r="F93" i="11"/>
  <c r="K82" i="11"/>
  <c r="I81" i="11"/>
  <c r="C81" i="11"/>
  <c r="O81" i="11"/>
  <c r="K78" i="11"/>
  <c r="B74" i="11"/>
  <c r="F74" i="11"/>
  <c r="J74" i="11"/>
  <c r="N74" i="11"/>
  <c r="D74" i="11"/>
  <c r="H74" i="11"/>
  <c r="L74" i="11"/>
  <c r="D70" i="11"/>
  <c r="H70" i="11"/>
  <c r="L70" i="11"/>
  <c r="B70" i="11"/>
  <c r="F70" i="11"/>
  <c r="J70" i="11"/>
  <c r="N70" i="11"/>
  <c r="D69" i="11"/>
  <c r="G69" i="11"/>
  <c r="O69" i="11"/>
  <c r="C69" i="11"/>
  <c r="K69" i="11"/>
  <c r="I47" i="5"/>
  <c r="I43" i="5"/>
  <c r="I39" i="5"/>
  <c r="I35" i="5"/>
  <c r="I31" i="5"/>
  <c r="I27" i="5"/>
  <c r="I23" i="5"/>
  <c r="I19" i="5"/>
  <c r="I15" i="5"/>
  <c r="I11" i="5"/>
  <c r="I7" i="5"/>
  <c r="N189" i="11"/>
  <c r="I189" i="11"/>
  <c r="C189" i="11"/>
  <c r="O186" i="11"/>
  <c r="K186" i="11"/>
  <c r="G186" i="11"/>
  <c r="N185" i="11"/>
  <c r="I185" i="11"/>
  <c r="C185" i="11"/>
  <c r="O182" i="11"/>
  <c r="K182" i="11"/>
  <c r="G182" i="11"/>
  <c r="N181" i="11"/>
  <c r="I181" i="11"/>
  <c r="C181" i="11"/>
  <c r="O178" i="11"/>
  <c r="K178" i="11"/>
  <c r="G178" i="11"/>
  <c r="N177" i="11"/>
  <c r="I177" i="11"/>
  <c r="C177" i="11"/>
  <c r="O174" i="11"/>
  <c r="K174" i="11"/>
  <c r="G174" i="11"/>
  <c r="N173" i="11"/>
  <c r="I173" i="11"/>
  <c r="C173" i="11"/>
  <c r="O170" i="11"/>
  <c r="K170" i="11"/>
  <c r="G170" i="11"/>
  <c r="N169" i="11"/>
  <c r="I169" i="11"/>
  <c r="C169" i="11"/>
  <c r="I168" i="11"/>
  <c r="O162" i="11"/>
  <c r="K162" i="11"/>
  <c r="G162" i="11"/>
  <c r="N161" i="11"/>
  <c r="I161" i="11"/>
  <c r="C161" i="11"/>
  <c r="I160" i="11"/>
  <c r="O154" i="11"/>
  <c r="K154" i="11"/>
  <c r="G154" i="11"/>
  <c r="N153" i="11"/>
  <c r="I153" i="11"/>
  <c r="C153" i="11"/>
  <c r="I152" i="11"/>
  <c r="O146" i="11"/>
  <c r="K146" i="11"/>
  <c r="G146" i="11"/>
  <c r="N145" i="11"/>
  <c r="I145" i="11"/>
  <c r="C145" i="11"/>
  <c r="O138" i="11"/>
  <c r="K138" i="11"/>
  <c r="G138" i="11"/>
  <c r="M137" i="11"/>
  <c r="E137" i="11"/>
  <c r="O130" i="11"/>
  <c r="K130" i="11"/>
  <c r="G130" i="11"/>
  <c r="N129" i="11"/>
  <c r="I129" i="11"/>
  <c r="I128" i="11"/>
  <c r="C127" i="11"/>
  <c r="K127" i="11"/>
  <c r="K125" i="11"/>
  <c r="L124" i="11"/>
  <c r="E124" i="11"/>
  <c r="D122" i="11"/>
  <c r="H122" i="11"/>
  <c r="L122" i="11"/>
  <c r="D119" i="11"/>
  <c r="I119" i="11"/>
  <c r="O119" i="11"/>
  <c r="B117" i="11"/>
  <c r="I117" i="11"/>
  <c r="E116" i="11"/>
  <c r="C115" i="11"/>
  <c r="L115" i="11"/>
  <c r="B113" i="11"/>
  <c r="G113" i="11"/>
  <c r="M113" i="11"/>
  <c r="N110" i="11"/>
  <c r="I110" i="11"/>
  <c r="D110" i="11"/>
  <c r="B109" i="11"/>
  <c r="F109" i="11"/>
  <c r="C107" i="11"/>
  <c r="G107" i="11"/>
  <c r="B104" i="11"/>
  <c r="F104" i="11"/>
  <c r="K101" i="11"/>
  <c r="H100" i="11"/>
  <c r="L96" i="11"/>
  <c r="H95" i="11"/>
  <c r="I89" i="11"/>
  <c r="C89" i="11"/>
  <c r="O89" i="11"/>
  <c r="B82" i="11"/>
  <c r="F82" i="11"/>
  <c r="J82" i="11"/>
  <c r="N82" i="11"/>
  <c r="D82" i="11"/>
  <c r="H82" i="11"/>
  <c r="L82" i="11"/>
  <c r="D78" i="11"/>
  <c r="H78" i="11"/>
  <c r="L78" i="11"/>
  <c r="B78" i="11"/>
  <c r="F78" i="11"/>
  <c r="J78" i="11"/>
  <c r="N78" i="11"/>
  <c r="G77" i="11"/>
  <c r="O77" i="11"/>
  <c r="C77" i="11"/>
  <c r="K77" i="11"/>
  <c r="K73" i="11"/>
  <c r="C66" i="11"/>
  <c r="G66" i="11"/>
  <c r="K66" i="11"/>
  <c r="O66" i="11"/>
  <c r="D66" i="11"/>
  <c r="H66" i="11"/>
  <c r="L66" i="11"/>
  <c r="B66" i="11"/>
  <c r="F66" i="11"/>
  <c r="J66" i="11"/>
  <c r="N66" i="11"/>
  <c r="K105" i="11"/>
  <c r="N92" i="11"/>
  <c r="I92" i="11"/>
  <c r="J60" i="11"/>
  <c r="E60" i="11"/>
  <c r="M59" i="11"/>
  <c r="O58" i="11"/>
  <c r="K58" i="11"/>
  <c r="G58" i="11"/>
  <c r="M57" i="11"/>
  <c r="E57" i="11"/>
  <c r="M56" i="11"/>
  <c r="H56" i="11"/>
  <c r="B56" i="11"/>
  <c r="E55" i="11"/>
  <c r="J52" i="11"/>
  <c r="E52" i="11"/>
  <c r="M51" i="11"/>
  <c r="O50" i="11"/>
  <c r="K50" i="11"/>
  <c r="G50" i="11"/>
  <c r="M49" i="11"/>
  <c r="E49" i="11"/>
  <c r="M48" i="11"/>
  <c r="H48" i="11"/>
  <c r="B48" i="11"/>
  <c r="L46" i="11"/>
  <c r="H46" i="11"/>
  <c r="D46" i="11"/>
  <c r="O43" i="11"/>
  <c r="I43" i="11"/>
  <c r="N42" i="11"/>
  <c r="J42" i="11"/>
  <c r="F42" i="11"/>
  <c r="B42" i="11"/>
  <c r="I41" i="11"/>
  <c r="M40" i="11"/>
  <c r="F40" i="11"/>
  <c r="L39" i="11"/>
  <c r="N38" i="11"/>
  <c r="J38" i="11"/>
  <c r="F38" i="11"/>
  <c r="B38" i="11"/>
  <c r="M37" i="11"/>
  <c r="G37" i="11"/>
  <c r="B37" i="11"/>
  <c r="G35" i="11"/>
  <c r="M35" i="11"/>
  <c r="J34" i="11"/>
  <c r="E34" i="11"/>
  <c r="B30" i="11"/>
  <c r="F30" i="11"/>
  <c r="J30" i="11"/>
  <c r="N30" i="11"/>
  <c r="G29" i="11"/>
  <c r="D26" i="11"/>
  <c r="H26" i="11"/>
  <c r="L26" i="11"/>
  <c r="B25" i="11"/>
  <c r="C25" i="11"/>
  <c r="N25" i="11"/>
  <c r="K22" i="11"/>
  <c r="I21" i="11"/>
  <c r="N16" i="11"/>
  <c r="C14" i="11"/>
  <c r="B14" i="11"/>
  <c r="G14" i="11"/>
  <c r="K14" i="11"/>
  <c r="O14" i="11"/>
  <c r="E14" i="11"/>
  <c r="I14" i="11"/>
  <c r="M14" i="11"/>
  <c r="C188" i="12"/>
  <c r="E188" i="12"/>
  <c r="C184" i="12"/>
  <c r="E184" i="12"/>
  <c r="C180" i="12"/>
  <c r="E180" i="12"/>
  <c r="B177" i="12"/>
  <c r="F177" i="12"/>
  <c r="E177" i="12"/>
  <c r="C177" i="12"/>
  <c r="B160" i="12"/>
  <c r="C160" i="12"/>
  <c r="G160" i="12"/>
  <c r="E160" i="12"/>
  <c r="B33" i="11"/>
  <c r="F33" i="11"/>
  <c r="C31" i="11"/>
  <c r="G31" i="11"/>
  <c r="B28" i="11"/>
  <c r="F28" i="11"/>
  <c r="B22" i="11"/>
  <c r="F22" i="11"/>
  <c r="J22" i="11"/>
  <c r="N22" i="11"/>
  <c r="D22" i="11"/>
  <c r="H22" i="11"/>
  <c r="L22" i="11"/>
  <c r="C16" i="11"/>
  <c r="E16" i="11"/>
  <c r="J16" i="11"/>
  <c r="B16" i="11"/>
  <c r="H16" i="11"/>
  <c r="M16" i="11"/>
  <c r="G15" i="11"/>
  <c r="O15" i="11"/>
  <c r="C15" i="11"/>
  <c r="K15" i="11"/>
  <c r="G7" i="11"/>
  <c r="O7" i="11"/>
  <c r="C7" i="11"/>
  <c r="M7" i="11"/>
  <c r="I7" i="11"/>
  <c r="C176" i="12"/>
  <c r="E176" i="12"/>
  <c r="M60" i="11"/>
  <c r="H60" i="11"/>
  <c r="B60" i="11"/>
  <c r="E59" i="11"/>
  <c r="J56" i="11"/>
  <c r="E56" i="11"/>
  <c r="M55" i="11"/>
  <c r="M52" i="11"/>
  <c r="H52" i="11"/>
  <c r="B52" i="11"/>
  <c r="E51" i="11"/>
  <c r="J48" i="11"/>
  <c r="E48" i="11"/>
  <c r="N46" i="11"/>
  <c r="J46" i="11"/>
  <c r="F46" i="11"/>
  <c r="F44" i="11"/>
  <c r="L42" i="11"/>
  <c r="H42" i="11"/>
  <c r="D42" i="11"/>
  <c r="N41" i="11"/>
  <c r="C41" i="11"/>
  <c r="J40" i="11"/>
  <c r="L38" i="11"/>
  <c r="H38" i="11"/>
  <c r="D38" i="11"/>
  <c r="O37" i="11"/>
  <c r="J37" i="11"/>
  <c r="E37" i="11"/>
  <c r="B36" i="11"/>
  <c r="I36" i="11"/>
  <c r="M34" i="11"/>
  <c r="H34" i="11"/>
  <c r="L31" i="11"/>
  <c r="M29" i="11"/>
  <c r="B24" i="11"/>
  <c r="J24" i="11"/>
  <c r="O22" i="11"/>
  <c r="G22" i="11"/>
  <c r="N21" i="11"/>
  <c r="B20" i="11"/>
  <c r="I20" i="11"/>
  <c r="D20" i="11"/>
  <c r="N20" i="11"/>
  <c r="G19" i="11"/>
  <c r="M19" i="11"/>
  <c r="C19" i="11"/>
  <c r="K19" i="11"/>
  <c r="I16" i="11"/>
  <c r="M15" i="11"/>
  <c r="C8" i="11"/>
  <c r="E8" i="11"/>
  <c r="J8" i="11"/>
  <c r="F8" i="11"/>
  <c r="M8" i="11"/>
  <c r="B8" i="11"/>
  <c r="I8" i="11"/>
  <c r="C187" i="12"/>
  <c r="D187" i="12"/>
  <c r="B187" i="12"/>
  <c r="F187" i="12"/>
  <c r="C179" i="12"/>
  <c r="D179" i="12"/>
  <c r="F179" i="12"/>
  <c r="B179" i="12"/>
  <c r="G177" i="12"/>
  <c r="C171" i="12"/>
  <c r="B171" i="12"/>
  <c r="D171" i="12"/>
  <c r="F171" i="12"/>
  <c r="C155" i="12"/>
  <c r="E155" i="12"/>
  <c r="B155" i="12"/>
  <c r="F155" i="12"/>
  <c r="D155" i="12"/>
  <c r="N56" i="11"/>
  <c r="I56" i="11"/>
  <c r="D56" i="11"/>
  <c r="I55" i="11"/>
  <c r="N48" i="11"/>
  <c r="I48" i="11"/>
  <c r="D48" i="11"/>
  <c r="O42" i="11"/>
  <c r="K42" i="11"/>
  <c r="G42" i="11"/>
  <c r="O38" i="11"/>
  <c r="K38" i="11"/>
  <c r="G38" i="11"/>
  <c r="N37" i="11"/>
  <c r="I37" i="11"/>
  <c r="C34" i="11"/>
  <c r="G34" i="11"/>
  <c r="K34" i="11"/>
  <c r="O34" i="11"/>
  <c r="I31" i="11"/>
  <c r="E29" i="11"/>
  <c r="K29" i="11"/>
  <c r="M22" i="11"/>
  <c r="E22" i="11"/>
  <c r="B21" i="11"/>
  <c r="G21" i="11"/>
  <c r="M21" i="11"/>
  <c r="E21" i="11"/>
  <c r="J21" i="11"/>
  <c r="O21" i="11"/>
  <c r="I11" i="11"/>
  <c r="C11" i="11"/>
  <c r="K11" i="11"/>
  <c r="K7" i="11"/>
  <c r="B185" i="12"/>
  <c r="F185" i="12"/>
  <c r="C185" i="12"/>
  <c r="E185" i="12"/>
  <c r="L12" i="11"/>
  <c r="N10" i="11"/>
  <c r="I10" i="11"/>
  <c r="C189" i="12"/>
  <c r="G186" i="12"/>
  <c r="C173" i="12"/>
  <c r="F169" i="12"/>
  <c r="G161" i="12"/>
  <c r="B152" i="12"/>
  <c r="G152" i="12"/>
  <c r="C152" i="12"/>
  <c r="G149" i="12"/>
  <c r="G145" i="12"/>
  <c r="B134" i="12"/>
  <c r="C134" i="12"/>
  <c r="G131" i="12"/>
  <c r="D128" i="12"/>
  <c r="G128" i="12"/>
  <c r="C128" i="12"/>
  <c r="G118" i="12"/>
  <c r="C118" i="12"/>
  <c r="C113" i="12"/>
  <c r="B113" i="12"/>
  <c r="E113" i="12"/>
  <c r="G82" i="12"/>
  <c r="D79" i="12"/>
  <c r="G79" i="12"/>
  <c r="C79" i="12"/>
  <c r="B148" i="12"/>
  <c r="C148" i="12"/>
  <c r="G148" i="12"/>
  <c r="B144" i="12"/>
  <c r="G144" i="12"/>
  <c r="C144" i="12"/>
  <c r="E136" i="12"/>
  <c r="C136" i="12"/>
  <c r="B133" i="12"/>
  <c r="F133" i="12"/>
  <c r="B125" i="12"/>
  <c r="D125" i="12"/>
  <c r="C121" i="12"/>
  <c r="E121" i="12"/>
  <c r="B121" i="12"/>
  <c r="B111" i="12"/>
  <c r="F111" i="12"/>
  <c r="D111" i="12"/>
  <c r="C85" i="12"/>
  <c r="B85" i="12"/>
  <c r="E85" i="12"/>
  <c r="B76" i="12"/>
  <c r="D76" i="12"/>
  <c r="C72" i="12"/>
  <c r="E72" i="12"/>
  <c r="B72" i="12"/>
  <c r="C13" i="11"/>
  <c r="I13" i="11"/>
  <c r="C12" i="11"/>
  <c r="B12" i="11"/>
  <c r="H12" i="11"/>
  <c r="M12" i="11"/>
  <c r="C10" i="11"/>
  <c r="G10" i="11"/>
  <c r="K10" i="11"/>
  <c r="O10" i="11"/>
  <c r="D165" i="12"/>
  <c r="B165" i="12"/>
  <c r="F165" i="12"/>
  <c r="C163" i="12"/>
  <c r="B163" i="12"/>
  <c r="E163" i="12"/>
  <c r="D153" i="12"/>
  <c r="B153" i="12"/>
  <c r="F153" i="12"/>
  <c r="B141" i="12"/>
  <c r="D141" i="12"/>
  <c r="E129" i="12"/>
  <c r="B129" i="12"/>
  <c r="C124" i="12"/>
  <c r="G124" i="12"/>
  <c r="D119" i="12"/>
  <c r="B119" i="12"/>
  <c r="F119" i="12"/>
  <c r="F113" i="12"/>
  <c r="G111" i="12"/>
  <c r="G106" i="12"/>
  <c r="G102" i="12"/>
  <c r="C93" i="12"/>
  <c r="B93" i="12"/>
  <c r="E93" i="12"/>
  <c r="C89" i="12"/>
  <c r="E89" i="12"/>
  <c r="B89" i="12"/>
  <c r="C84" i="12"/>
  <c r="E84" i="12"/>
  <c r="E80" i="12"/>
  <c r="B80" i="12"/>
  <c r="C75" i="12"/>
  <c r="G75" i="12"/>
  <c r="D169" i="12"/>
  <c r="B169" i="12"/>
  <c r="C167" i="12"/>
  <c r="B167" i="12"/>
  <c r="E167" i="12"/>
  <c r="B161" i="12"/>
  <c r="F161" i="12"/>
  <c r="D161" i="12"/>
  <c r="B149" i="12"/>
  <c r="F149" i="12"/>
  <c r="D149" i="12"/>
  <c r="D145" i="12"/>
  <c r="B145" i="12"/>
  <c r="F145" i="12"/>
  <c r="C140" i="12"/>
  <c r="G140" i="12"/>
  <c r="G136" i="12"/>
  <c r="B131" i="12"/>
  <c r="F131" i="12"/>
  <c r="D131" i="12"/>
  <c r="F121" i="12"/>
  <c r="E111" i="12"/>
  <c r="C110" i="12"/>
  <c r="G110" i="12"/>
  <c r="C97" i="12"/>
  <c r="E97" i="12"/>
  <c r="B97" i="12"/>
  <c r="C92" i="12"/>
  <c r="E92" i="12"/>
  <c r="C88" i="12"/>
  <c r="E88" i="12"/>
  <c r="F85" i="12"/>
  <c r="B82" i="12"/>
  <c r="F82" i="12"/>
  <c r="D82" i="12"/>
  <c r="F72" i="12"/>
  <c r="G71" i="12"/>
  <c r="C71" i="12"/>
  <c r="F64" i="12"/>
  <c r="D61" i="12"/>
  <c r="F57" i="12"/>
  <c r="B57" i="12"/>
  <c r="E56" i="12"/>
  <c r="F55" i="12"/>
  <c r="D53" i="12"/>
  <c r="C52" i="12"/>
  <c r="F48" i="12"/>
  <c r="D45" i="12"/>
  <c r="C38" i="12"/>
  <c r="E35" i="12"/>
  <c r="F33" i="12"/>
  <c r="B33" i="12"/>
  <c r="B27" i="12"/>
  <c r="D25" i="12"/>
  <c r="E24" i="12"/>
  <c r="C22" i="12"/>
  <c r="C13" i="12"/>
  <c r="G13" i="12"/>
  <c r="E9" i="12"/>
  <c r="C7" i="12"/>
  <c r="B7" i="12"/>
  <c r="E184" i="13"/>
  <c r="C183" i="13"/>
  <c r="E183" i="13"/>
  <c r="C182" i="13"/>
  <c r="D182" i="13"/>
  <c r="B180" i="13"/>
  <c r="F180" i="13"/>
  <c r="G176" i="13"/>
  <c r="B176" i="13"/>
  <c r="B174" i="13"/>
  <c r="F174" i="13"/>
  <c r="D173" i="13"/>
  <c r="E173" i="13"/>
  <c r="C167" i="13"/>
  <c r="G167" i="13"/>
  <c r="D165" i="13"/>
  <c r="C165" i="13"/>
  <c r="G158" i="13"/>
  <c r="E155" i="13"/>
  <c r="C155" i="13"/>
  <c r="C151" i="13"/>
  <c r="G151" i="13"/>
  <c r="D147" i="13"/>
  <c r="G147" i="13"/>
  <c r="C147" i="13"/>
  <c r="B144" i="13"/>
  <c r="E144" i="13"/>
  <c r="D136" i="13"/>
  <c r="B136" i="13"/>
  <c r="E136" i="13"/>
  <c r="F136" i="13"/>
  <c r="B128" i="13"/>
  <c r="D128" i="13"/>
  <c r="E128" i="13"/>
  <c r="D120" i="13"/>
  <c r="B120" i="13"/>
  <c r="E120" i="13"/>
  <c r="F120" i="13"/>
  <c r="B17" i="12"/>
  <c r="F17" i="12"/>
  <c r="D163" i="13"/>
  <c r="C163" i="13"/>
  <c r="B160" i="13"/>
  <c r="E160" i="13"/>
  <c r="D153" i="13"/>
  <c r="C153" i="13"/>
  <c r="E117" i="13"/>
  <c r="C117" i="13"/>
  <c r="G117" i="13"/>
  <c r="E109" i="13"/>
  <c r="C109" i="13"/>
  <c r="G109" i="13"/>
  <c r="E101" i="13"/>
  <c r="C101" i="13"/>
  <c r="G101" i="13"/>
  <c r="D159" i="12"/>
  <c r="G157" i="12"/>
  <c r="E156" i="12"/>
  <c r="D147" i="12"/>
  <c r="G143" i="12"/>
  <c r="E137" i="12"/>
  <c r="G135" i="12"/>
  <c r="G132" i="12"/>
  <c r="E130" i="12"/>
  <c r="G127" i="12"/>
  <c r="D109" i="12"/>
  <c r="G107" i="12"/>
  <c r="D105" i="12"/>
  <c r="G103" i="12"/>
  <c r="D101" i="12"/>
  <c r="G99" i="12"/>
  <c r="E98" i="12"/>
  <c r="G91" i="12"/>
  <c r="E90" i="12"/>
  <c r="G83" i="12"/>
  <c r="E81" i="12"/>
  <c r="G78" i="12"/>
  <c r="G70" i="12"/>
  <c r="F61" i="12"/>
  <c r="D57" i="12"/>
  <c r="G56" i="12"/>
  <c r="F53" i="12"/>
  <c r="F45" i="12"/>
  <c r="D42" i="12"/>
  <c r="E38" i="12"/>
  <c r="G37" i="12"/>
  <c r="B35" i="12"/>
  <c r="D33" i="12"/>
  <c r="E32" i="12"/>
  <c r="D31" i="12"/>
  <c r="E27" i="12"/>
  <c r="F25" i="12"/>
  <c r="G21" i="12"/>
  <c r="C19" i="12"/>
  <c r="E19" i="12"/>
  <c r="E17" i="12"/>
  <c r="E16" i="12"/>
  <c r="D13" i="12"/>
  <c r="C11" i="12"/>
  <c r="B11" i="12"/>
  <c r="G9" i="12"/>
  <c r="B9" i="12"/>
  <c r="E7" i="12"/>
  <c r="B188" i="13"/>
  <c r="F188" i="13"/>
  <c r="G184" i="13"/>
  <c r="B184" i="13"/>
  <c r="E182" i="13"/>
  <c r="C181" i="13"/>
  <c r="D180" i="13"/>
  <c r="E176" i="13"/>
  <c r="D174" i="13"/>
  <c r="F173" i="13"/>
  <c r="F169" i="13"/>
  <c r="E165" i="13"/>
  <c r="B164" i="13"/>
  <c r="D164" i="13"/>
  <c r="G155" i="13"/>
  <c r="B148" i="13"/>
  <c r="D148" i="13"/>
  <c r="F144" i="13"/>
  <c r="D142" i="13"/>
  <c r="B142" i="13"/>
  <c r="F142" i="13"/>
  <c r="G57" i="12"/>
  <c r="G33" i="12"/>
  <c r="D27" i="12"/>
  <c r="D17" i="12"/>
  <c r="C176" i="13"/>
  <c r="C175" i="13"/>
  <c r="G175" i="13"/>
  <c r="D168" i="13"/>
  <c r="F168" i="13"/>
  <c r="G163" i="13"/>
  <c r="F160" i="13"/>
  <c r="D158" i="13"/>
  <c r="B158" i="13"/>
  <c r="F158" i="13"/>
  <c r="D152" i="13"/>
  <c r="B152" i="13"/>
  <c r="F152" i="13"/>
  <c r="E139" i="13"/>
  <c r="C139" i="13"/>
  <c r="D137" i="13"/>
  <c r="C137" i="13"/>
  <c r="F137" i="13"/>
  <c r="D121" i="13"/>
  <c r="C121" i="13"/>
  <c r="F121" i="13"/>
  <c r="E113" i="13"/>
  <c r="C113" i="13"/>
  <c r="G113" i="13"/>
  <c r="E105" i="13"/>
  <c r="C105" i="13"/>
  <c r="G105" i="13"/>
  <c r="E97" i="13"/>
  <c r="C97" i="13"/>
  <c r="G97" i="13"/>
  <c r="C88" i="13"/>
  <c r="E88" i="13"/>
  <c r="C77" i="13"/>
  <c r="G77" i="13"/>
  <c r="D60" i="13"/>
  <c r="C60" i="13"/>
  <c r="F60" i="13"/>
  <c r="C57" i="13"/>
  <c r="G57" i="13"/>
  <c r="D57" i="13"/>
  <c r="C53" i="13"/>
  <c r="G53" i="13"/>
  <c r="D53" i="13"/>
  <c r="B39" i="13"/>
  <c r="F39" i="13"/>
  <c r="C33" i="13"/>
  <c r="G33" i="13"/>
  <c r="D33" i="13"/>
  <c r="C31" i="13"/>
  <c r="D31" i="13"/>
  <c r="E31" i="13"/>
  <c r="C26" i="13"/>
  <c r="E26" i="13"/>
  <c r="C17" i="13"/>
  <c r="G17" i="13"/>
  <c r="D17" i="13"/>
  <c r="C15" i="13"/>
  <c r="D15" i="13"/>
  <c r="E15" i="13"/>
  <c r="C10" i="13"/>
  <c r="E10" i="13"/>
  <c r="C181" i="14"/>
  <c r="B181" i="14"/>
  <c r="D181" i="14"/>
  <c r="E181" i="14"/>
  <c r="B179" i="14"/>
  <c r="F179" i="14"/>
  <c r="C179" i="14"/>
  <c r="D179" i="14"/>
  <c r="C170" i="14"/>
  <c r="E170" i="14"/>
  <c r="B45" i="14"/>
  <c r="F45" i="14"/>
  <c r="C45" i="14"/>
  <c r="D45" i="14"/>
  <c r="E45" i="14"/>
  <c r="C22" i="14"/>
  <c r="E22" i="14"/>
  <c r="G159" i="13"/>
  <c r="E157" i="13"/>
  <c r="C149" i="13"/>
  <c r="G143" i="13"/>
  <c r="E141" i="13"/>
  <c r="G135" i="13"/>
  <c r="C133" i="13"/>
  <c r="D132" i="13"/>
  <c r="C131" i="13"/>
  <c r="G127" i="13"/>
  <c r="F126" i="13"/>
  <c r="B126" i="13"/>
  <c r="E125" i="13"/>
  <c r="C123" i="13"/>
  <c r="G119" i="13"/>
  <c r="F88" i="13"/>
  <c r="C86" i="13"/>
  <c r="E85" i="13"/>
  <c r="G85" i="13"/>
  <c r="E77" i="13"/>
  <c r="D75" i="13"/>
  <c r="C73" i="13"/>
  <c r="G73" i="13"/>
  <c r="D72" i="13"/>
  <c r="F72" i="13"/>
  <c r="C70" i="13"/>
  <c r="D64" i="13"/>
  <c r="B64" i="13"/>
  <c r="G64" i="13"/>
  <c r="C64" i="13"/>
  <c r="F57" i="13"/>
  <c r="F53" i="13"/>
  <c r="C41" i="13"/>
  <c r="G41" i="13"/>
  <c r="D41" i="13"/>
  <c r="C37" i="13"/>
  <c r="G37" i="13"/>
  <c r="D37" i="13"/>
  <c r="F33" i="13"/>
  <c r="E32" i="13"/>
  <c r="C32" i="13"/>
  <c r="G32" i="13"/>
  <c r="E22" i="13"/>
  <c r="B21" i="13"/>
  <c r="F21" i="13"/>
  <c r="C21" i="13"/>
  <c r="G21" i="13"/>
  <c r="F17" i="13"/>
  <c r="E16" i="13"/>
  <c r="C16" i="13"/>
  <c r="G16" i="13"/>
  <c r="C162" i="14"/>
  <c r="D162" i="14"/>
  <c r="E162" i="14"/>
  <c r="C155" i="14"/>
  <c r="D155" i="14"/>
  <c r="F155" i="14"/>
  <c r="C147" i="14"/>
  <c r="F147" i="14"/>
  <c r="B145" i="14"/>
  <c r="F145" i="14"/>
  <c r="C145" i="14"/>
  <c r="D145" i="14"/>
  <c r="E145" i="14"/>
  <c r="G93" i="13"/>
  <c r="G89" i="13"/>
  <c r="D88" i="13"/>
  <c r="F79" i="13"/>
  <c r="D77" i="13"/>
  <c r="D71" i="13"/>
  <c r="F71" i="13"/>
  <c r="E57" i="13"/>
  <c r="E53" i="13"/>
  <c r="B45" i="13"/>
  <c r="F45" i="13"/>
  <c r="C45" i="13"/>
  <c r="G45" i="13"/>
  <c r="E33" i="13"/>
  <c r="F31" i="13"/>
  <c r="E28" i="13"/>
  <c r="G28" i="13"/>
  <c r="C19" i="13"/>
  <c r="B19" i="13"/>
  <c r="D19" i="13"/>
  <c r="E17" i="13"/>
  <c r="F15" i="13"/>
  <c r="E12" i="13"/>
  <c r="G12" i="13"/>
  <c r="C150" i="14"/>
  <c r="D150" i="14"/>
  <c r="C106" i="14"/>
  <c r="E106" i="14"/>
  <c r="G131" i="13"/>
  <c r="C93" i="13"/>
  <c r="C89" i="13"/>
  <c r="B88" i="13"/>
  <c r="C81" i="13"/>
  <c r="G81" i="13"/>
  <c r="D78" i="13"/>
  <c r="G78" i="13"/>
  <c r="B77" i="13"/>
  <c r="F75" i="13"/>
  <c r="D74" i="13"/>
  <c r="G70" i="13"/>
  <c r="B69" i="13"/>
  <c r="F69" i="13"/>
  <c r="C61" i="13"/>
  <c r="G61" i="13"/>
  <c r="D61" i="13"/>
  <c r="D59" i="13"/>
  <c r="E59" i="13"/>
  <c r="B57" i="13"/>
  <c r="B55" i="13"/>
  <c r="F55" i="13"/>
  <c r="B53" i="13"/>
  <c r="C49" i="13"/>
  <c r="G49" i="13"/>
  <c r="D49" i="13"/>
  <c r="D46" i="13"/>
  <c r="E46" i="13"/>
  <c r="G46" i="13"/>
  <c r="B43" i="13"/>
  <c r="D43" i="13"/>
  <c r="D39" i="13"/>
  <c r="B33" i="13"/>
  <c r="B31" i="13"/>
  <c r="B17" i="13"/>
  <c r="B15" i="13"/>
  <c r="C185" i="14"/>
  <c r="B185" i="14"/>
  <c r="D185" i="14"/>
  <c r="E185" i="14"/>
  <c r="F181" i="14"/>
  <c r="E179" i="14"/>
  <c r="B175" i="14"/>
  <c r="G175" i="14" s="1"/>
  <c r="F175" i="14"/>
  <c r="C175" i="14"/>
  <c r="D175" i="14"/>
  <c r="B173" i="14"/>
  <c r="G173" i="14" s="1"/>
  <c r="F173" i="14"/>
  <c r="C173" i="14"/>
  <c r="D173" i="14"/>
  <c r="C166" i="14"/>
  <c r="D166" i="14"/>
  <c r="D164" i="14"/>
  <c r="F164" i="14"/>
  <c r="B164" i="14"/>
  <c r="E164" i="14"/>
  <c r="D121" i="14"/>
  <c r="B121" i="14"/>
  <c r="F121" i="14"/>
  <c r="C121" i="14"/>
  <c r="E121" i="14"/>
  <c r="C163" i="14"/>
  <c r="F163" i="14"/>
  <c r="C159" i="14"/>
  <c r="F159" i="14"/>
  <c r="C135" i="14"/>
  <c r="B135" i="14"/>
  <c r="E135" i="14"/>
  <c r="B133" i="14"/>
  <c r="F133" i="14"/>
  <c r="D133" i="14"/>
  <c r="B117" i="14"/>
  <c r="F117" i="14"/>
  <c r="D117" i="14"/>
  <c r="B85" i="14"/>
  <c r="G85" i="14" s="1"/>
  <c r="F85" i="14"/>
  <c r="C85" i="14"/>
  <c r="D85" i="14"/>
  <c r="B81" i="14"/>
  <c r="G81" i="14" s="1"/>
  <c r="F81" i="14"/>
  <c r="C81" i="14"/>
  <c r="D81" i="14"/>
  <c r="C47" i="14"/>
  <c r="B47" i="14"/>
  <c r="D47" i="14"/>
  <c r="E47" i="14"/>
  <c r="C43" i="14"/>
  <c r="B43" i="14"/>
  <c r="D43" i="14"/>
  <c r="E43" i="14"/>
  <c r="G20" i="14"/>
  <c r="F52" i="13"/>
  <c r="B51" i="13"/>
  <c r="G48" i="13"/>
  <c r="B48" i="13"/>
  <c r="C44" i="13"/>
  <c r="F36" i="13"/>
  <c r="B35" i="13"/>
  <c r="E30" i="13"/>
  <c r="F25" i="13"/>
  <c r="B23" i="13"/>
  <c r="C20" i="13"/>
  <c r="E14" i="13"/>
  <c r="F9" i="13"/>
  <c r="B7" i="13"/>
  <c r="D187" i="14"/>
  <c r="E186" i="14"/>
  <c r="D183" i="14"/>
  <c r="C182" i="14"/>
  <c r="E165" i="14"/>
  <c r="G165" i="14" s="1"/>
  <c r="B157" i="14"/>
  <c r="C146" i="14"/>
  <c r="D140" i="14"/>
  <c r="B140" i="14"/>
  <c r="E140" i="14"/>
  <c r="E138" i="14"/>
  <c r="C134" i="14"/>
  <c r="D134" i="14"/>
  <c r="C132" i="14"/>
  <c r="E132" i="14"/>
  <c r="C116" i="14"/>
  <c r="E116" i="14"/>
  <c r="C90" i="14"/>
  <c r="E90" i="14"/>
  <c r="C83" i="14"/>
  <c r="B83" i="14"/>
  <c r="D83" i="14"/>
  <c r="E83" i="14"/>
  <c r="B80" i="14"/>
  <c r="C80" i="14"/>
  <c r="E80" i="14"/>
  <c r="B76" i="14"/>
  <c r="C76" i="14"/>
  <c r="E76" i="14"/>
  <c r="B72" i="14"/>
  <c r="C72" i="14"/>
  <c r="E72" i="14"/>
  <c r="B68" i="14"/>
  <c r="C68" i="14"/>
  <c r="E68" i="14"/>
  <c r="B64" i="14"/>
  <c r="C64" i="14"/>
  <c r="E64" i="14"/>
  <c r="C38" i="14"/>
  <c r="E38" i="14"/>
  <c r="E36" i="14"/>
  <c r="C36" i="14"/>
  <c r="F171" i="14"/>
  <c r="C167" i="14"/>
  <c r="E167" i="14"/>
  <c r="C165" i="14"/>
  <c r="E159" i="14"/>
  <c r="G159" i="14" s="1"/>
  <c r="B153" i="14"/>
  <c r="F153" i="14"/>
  <c r="D141" i="14"/>
  <c r="B141" i="14"/>
  <c r="F141" i="14"/>
  <c r="F135" i="14"/>
  <c r="E133" i="14"/>
  <c r="E117" i="14"/>
  <c r="B101" i="14"/>
  <c r="G101" i="14" s="1"/>
  <c r="F101" i="14"/>
  <c r="C101" i="14"/>
  <c r="D101" i="14"/>
  <c r="D58" i="14"/>
  <c r="C58" i="14"/>
  <c r="E58" i="14"/>
  <c r="F105" i="14"/>
  <c r="B105" i="14"/>
  <c r="G105" i="14" s="1"/>
  <c r="E100" i="14"/>
  <c r="F89" i="14"/>
  <c r="B89" i="14"/>
  <c r="B60" i="14"/>
  <c r="C56" i="14"/>
  <c r="F53" i="14"/>
  <c r="B53" i="14"/>
  <c r="D51" i="14"/>
  <c r="C50" i="14"/>
  <c r="C46" i="14"/>
  <c r="F37" i="14"/>
  <c r="B37" i="14"/>
  <c r="F21" i="14"/>
  <c r="B21" i="14"/>
  <c r="C20" i="14"/>
  <c r="C16" i="14"/>
  <c r="C12" i="14"/>
  <c r="C8" i="14"/>
  <c r="G95" i="14"/>
  <c r="G12" i="14"/>
  <c r="G8" i="14"/>
  <c r="D123" i="14"/>
  <c r="D119" i="14"/>
  <c r="D107" i="14"/>
  <c r="D103" i="14"/>
  <c r="D91" i="14"/>
  <c r="D87" i="14"/>
  <c r="G84" i="14"/>
  <c r="D79" i="14"/>
  <c r="D75" i="14"/>
  <c r="D71" i="14"/>
  <c r="D67" i="14"/>
  <c r="D63" i="14"/>
  <c r="E60" i="14"/>
  <c r="F59" i="14"/>
  <c r="D39" i="14"/>
  <c r="D35" i="14"/>
  <c r="D23" i="14"/>
  <c r="B23" i="28"/>
  <c r="D170" i="2"/>
  <c r="H170" i="2"/>
  <c r="L170" i="2"/>
  <c r="P170" i="2"/>
  <c r="B170" i="2"/>
  <c r="R170" i="2"/>
  <c r="B164" i="2"/>
  <c r="R164" i="2"/>
  <c r="C164" i="2"/>
  <c r="H164" i="2"/>
  <c r="M164" i="2"/>
  <c r="S164" i="2"/>
  <c r="E164" i="2"/>
  <c r="P164" i="2"/>
  <c r="B156" i="2"/>
  <c r="R156" i="2"/>
  <c r="C156" i="2"/>
  <c r="H156" i="2"/>
  <c r="M156" i="2"/>
  <c r="S156" i="2"/>
  <c r="E156" i="2"/>
  <c r="P156" i="2"/>
  <c r="D245" i="2"/>
  <c r="H241" i="2"/>
  <c r="B192" i="2"/>
  <c r="R192" i="2"/>
  <c r="D192" i="2"/>
  <c r="H192" i="2"/>
  <c r="L192" i="2"/>
  <c r="P192" i="2"/>
  <c r="E244" i="2"/>
  <c r="S188" i="2"/>
  <c r="S186" i="2"/>
  <c r="S180" i="2"/>
  <c r="S178" i="2"/>
  <c r="S172" i="2"/>
  <c r="M170" i="2"/>
  <c r="E170" i="2"/>
  <c r="B168" i="2"/>
  <c r="R168" i="2"/>
  <c r="E168" i="2"/>
  <c r="G168" i="2" s="1"/>
  <c r="P168" i="2"/>
  <c r="C168" i="2"/>
  <c r="F168" i="2" s="1"/>
  <c r="H168" i="2"/>
  <c r="M168" i="2"/>
  <c r="S168" i="2"/>
  <c r="D166" i="2"/>
  <c r="H166" i="2"/>
  <c r="L166" i="2"/>
  <c r="P166" i="2"/>
  <c r="B166" i="2"/>
  <c r="M166" i="2"/>
  <c r="R166" i="2"/>
  <c r="E166" i="2"/>
  <c r="Q164" i="2"/>
  <c r="Q162" i="2"/>
  <c r="B160" i="2"/>
  <c r="R160" i="2"/>
  <c r="E160" i="2"/>
  <c r="G160" i="2" s="1"/>
  <c r="P160" i="2"/>
  <c r="C160" i="2"/>
  <c r="F160" i="2" s="1"/>
  <c r="H160" i="2"/>
  <c r="M160" i="2"/>
  <c r="S160" i="2"/>
  <c r="D158" i="2"/>
  <c r="H158" i="2"/>
  <c r="J158" i="2" s="1"/>
  <c r="K158" i="2" s="1"/>
  <c r="L158" i="2"/>
  <c r="P158" i="2"/>
  <c r="B158" i="2"/>
  <c r="M158" i="2"/>
  <c r="R158" i="2"/>
  <c r="E158" i="2"/>
  <c r="Q156" i="2"/>
  <c r="Q154" i="2"/>
  <c r="B152" i="2"/>
  <c r="R152" i="2"/>
  <c r="E152" i="2"/>
  <c r="P152" i="2"/>
  <c r="C152" i="2"/>
  <c r="H152" i="2"/>
  <c r="M152" i="2"/>
  <c r="N152" i="2" s="1"/>
  <c r="O152" i="2" s="1"/>
  <c r="S152" i="2"/>
  <c r="D150" i="2"/>
  <c r="H150" i="2"/>
  <c r="J150" i="2" s="1"/>
  <c r="K150" i="2" s="1"/>
  <c r="L150" i="2"/>
  <c r="P150" i="2"/>
  <c r="B150" i="2"/>
  <c r="M150" i="2"/>
  <c r="R150" i="2"/>
  <c r="E150" i="2"/>
  <c r="Q148" i="2"/>
  <c r="Q146" i="2"/>
  <c r="B144" i="2"/>
  <c r="R144" i="2"/>
  <c r="E144" i="2"/>
  <c r="G144" i="2" s="1"/>
  <c r="P144" i="2"/>
  <c r="C144" i="2"/>
  <c r="F144" i="2" s="1"/>
  <c r="H144" i="2"/>
  <c r="J144" i="2" s="1"/>
  <c r="K144" i="2" s="1"/>
  <c r="M144" i="2"/>
  <c r="S144" i="2"/>
  <c r="Q142" i="2"/>
  <c r="F140" i="2"/>
  <c r="C138" i="2"/>
  <c r="F138" i="2" s="1"/>
  <c r="S138" i="2"/>
  <c r="B138" i="2"/>
  <c r="H138" i="2"/>
  <c r="M138" i="2"/>
  <c r="R138" i="2"/>
  <c r="E138" i="2"/>
  <c r="G138" i="2" s="1"/>
  <c r="P138" i="2"/>
  <c r="S135" i="2"/>
  <c r="Q134" i="2"/>
  <c r="C130" i="2"/>
  <c r="S130" i="2"/>
  <c r="B130" i="2"/>
  <c r="H130" i="2"/>
  <c r="J130" i="2" s="1"/>
  <c r="K130" i="2" s="1"/>
  <c r="M130" i="2"/>
  <c r="R130" i="2"/>
  <c r="E130" i="2"/>
  <c r="P130" i="2"/>
  <c r="S127" i="2"/>
  <c r="Q126" i="2"/>
  <c r="F124" i="2"/>
  <c r="C122" i="2"/>
  <c r="S122" i="2"/>
  <c r="B122" i="2"/>
  <c r="H122" i="2"/>
  <c r="M122" i="2"/>
  <c r="N122" i="2" s="1"/>
  <c r="O122" i="2" s="1"/>
  <c r="R122" i="2"/>
  <c r="E122" i="2"/>
  <c r="P122" i="2"/>
  <c r="S119" i="2"/>
  <c r="Q118" i="2"/>
  <c r="C114" i="2"/>
  <c r="S114" i="2"/>
  <c r="B114" i="2"/>
  <c r="H114" i="2"/>
  <c r="M114" i="2"/>
  <c r="N114" i="2" s="1"/>
  <c r="O114" i="2" s="1"/>
  <c r="R114" i="2"/>
  <c r="E114" i="2"/>
  <c r="P114" i="2"/>
  <c r="S111" i="2"/>
  <c r="Q110" i="2"/>
  <c r="C106" i="2"/>
  <c r="S106" i="2"/>
  <c r="B106" i="2"/>
  <c r="H106" i="2"/>
  <c r="J106" i="2" s="1"/>
  <c r="K106" i="2" s="1"/>
  <c r="M106" i="2"/>
  <c r="N106" i="2" s="1"/>
  <c r="O106" i="2" s="1"/>
  <c r="R106" i="2"/>
  <c r="E106" i="2"/>
  <c r="G106" i="2" s="1"/>
  <c r="P106" i="2"/>
  <c r="S103" i="2"/>
  <c r="Q102" i="2"/>
  <c r="C98" i="2"/>
  <c r="S98" i="2"/>
  <c r="B98" i="2"/>
  <c r="H98" i="2"/>
  <c r="J98" i="2" s="1"/>
  <c r="K98" i="2" s="1"/>
  <c r="M98" i="2"/>
  <c r="R98" i="2"/>
  <c r="E98" i="2"/>
  <c r="P98" i="2"/>
  <c r="S95" i="2"/>
  <c r="Q94" i="2"/>
  <c r="C90" i="2"/>
  <c r="S90" i="2"/>
  <c r="B90" i="2"/>
  <c r="H90" i="2"/>
  <c r="M90" i="2"/>
  <c r="N90" i="2" s="1"/>
  <c r="O90" i="2" s="1"/>
  <c r="R90" i="2"/>
  <c r="E90" i="2"/>
  <c r="P90" i="2"/>
  <c r="S87" i="2"/>
  <c r="Q86" i="2"/>
  <c r="C82" i="2"/>
  <c r="S82" i="2"/>
  <c r="B82" i="2"/>
  <c r="H82" i="2"/>
  <c r="J82" i="2" s="1"/>
  <c r="K82" i="2" s="1"/>
  <c r="M82" i="2"/>
  <c r="N82" i="2" s="1"/>
  <c r="O82" i="2" s="1"/>
  <c r="R82" i="2"/>
  <c r="E82" i="2"/>
  <c r="P82" i="2"/>
  <c r="S79" i="2"/>
  <c r="Q78" i="2"/>
  <c r="C74" i="2"/>
  <c r="S74" i="2"/>
  <c r="B74" i="2"/>
  <c r="H74" i="2"/>
  <c r="M74" i="2"/>
  <c r="R74" i="2"/>
  <c r="E74" i="2"/>
  <c r="P74" i="2"/>
  <c r="S71" i="2"/>
  <c r="Q70" i="2"/>
  <c r="C66" i="2"/>
  <c r="S66" i="2"/>
  <c r="B66" i="2"/>
  <c r="H66" i="2"/>
  <c r="M66" i="2"/>
  <c r="R66" i="2"/>
  <c r="E66" i="2"/>
  <c r="P66" i="2"/>
  <c r="S63" i="2"/>
  <c r="Q62" i="2"/>
  <c r="C58" i="2"/>
  <c r="F58" i="2" s="1"/>
  <c r="S58" i="2"/>
  <c r="B58" i="2"/>
  <c r="H58" i="2"/>
  <c r="M58" i="2"/>
  <c r="R58" i="2"/>
  <c r="E58" i="2"/>
  <c r="G58" i="2" s="1"/>
  <c r="P58" i="2"/>
  <c r="S55" i="2"/>
  <c r="Q54" i="2"/>
  <c r="C50" i="2"/>
  <c r="S50" i="2"/>
  <c r="B50" i="2"/>
  <c r="H50" i="2"/>
  <c r="J50" i="2" s="1"/>
  <c r="K50" i="2" s="1"/>
  <c r="M50" i="2"/>
  <c r="N50" i="2" s="1"/>
  <c r="O50" i="2" s="1"/>
  <c r="R50" i="2"/>
  <c r="E50" i="2"/>
  <c r="P50" i="2"/>
  <c r="S47" i="2"/>
  <c r="Q46" i="2"/>
  <c r="C42" i="2"/>
  <c r="F42" i="2" s="1"/>
  <c r="S42" i="2"/>
  <c r="B42" i="2"/>
  <c r="H42" i="2"/>
  <c r="M42" i="2"/>
  <c r="N42" i="2" s="1"/>
  <c r="O42" i="2" s="1"/>
  <c r="R42" i="2"/>
  <c r="E42" i="2"/>
  <c r="P42" i="2"/>
  <c r="S39" i="2"/>
  <c r="Q38" i="2"/>
  <c r="C34" i="2"/>
  <c r="S34" i="2"/>
  <c r="B34" i="2"/>
  <c r="H34" i="2"/>
  <c r="J34" i="2" s="1"/>
  <c r="K34" i="2" s="1"/>
  <c r="M34" i="2"/>
  <c r="R34" i="2"/>
  <c r="E34" i="2"/>
  <c r="P34" i="2"/>
  <c r="S31" i="2"/>
  <c r="Q30" i="2"/>
  <c r="C26" i="2"/>
  <c r="S26" i="2"/>
  <c r="B26" i="2"/>
  <c r="H26" i="2"/>
  <c r="M26" i="2"/>
  <c r="N26" i="2" s="1"/>
  <c r="O26" i="2" s="1"/>
  <c r="R26" i="2"/>
  <c r="E26" i="2"/>
  <c r="P26" i="2"/>
  <c r="B17" i="2"/>
  <c r="R17" i="2"/>
  <c r="D17" i="2"/>
  <c r="I17" i="2"/>
  <c r="E17" i="2"/>
  <c r="P17" i="2"/>
  <c r="C17" i="2"/>
  <c r="H17" i="2"/>
  <c r="M17" i="2"/>
  <c r="N17" i="2" s="1"/>
  <c r="O17" i="2" s="1"/>
  <c r="S17" i="2"/>
  <c r="B6" i="28"/>
  <c r="D11" i="2"/>
  <c r="H11" i="2"/>
  <c r="L11" i="2"/>
  <c r="P11" i="2"/>
  <c r="C11" i="2"/>
  <c r="I11" i="2"/>
  <c r="S11" i="2"/>
  <c r="E11" i="2"/>
  <c r="B11" i="2"/>
  <c r="M11" i="2"/>
  <c r="R11" i="2"/>
  <c r="C189" i="3"/>
  <c r="G189" i="3"/>
  <c r="O189" i="3"/>
  <c r="D189" i="3"/>
  <c r="I189" i="3"/>
  <c r="N189" i="3"/>
  <c r="J189" i="3"/>
  <c r="P189" i="3"/>
  <c r="B189" i="3"/>
  <c r="M189" i="3"/>
  <c r="B188" i="2"/>
  <c r="R188" i="2"/>
  <c r="D188" i="2"/>
  <c r="H188" i="2"/>
  <c r="J188" i="2" s="1"/>
  <c r="K188" i="2" s="1"/>
  <c r="L188" i="2"/>
  <c r="P188" i="2"/>
  <c r="D186" i="2"/>
  <c r="H186" i="2"/>
  <c r="L186" i="2"/>
  <c r="P186" i="2"/>
  <c r="B186" i="2"/>
  <c r="R186" i="2"/>
  <c r="B180" i="2"/>
  <c r="R180" i="2"/>
  <c r="D180" i="2"/>
  <c r="H180" i="2"/>
  <c r="J180" i="2" s="1"/>
  <c r="K180" i="2" s="1"/>
  <c r="L180" i="2"/>
  <c r="P180" i="2"/>
  <c r="D178" i="2"/>
  <c r="H178" i="2"/>
  <c r="L178" i="2"/>
  <c r="P178" i="2"/>
  <c r="B178" i="2"/>
  <c r="R178" i="2"/>
  <c r="B172" i="2"/>
  <c r="R172" i="2"/>
  <c r="D172" i="2"/>
  <c r="H172" i="2"/>
  <c r="L172" i="2"/>
  <c r="P172" i="2"/>
  <c r="S170" i="2"/>
  <c r="C170" i="2"/>
  <c r="C169" i="2"/>
  <c r="F169" i="2" s="1"/>
  <c r="S169" i="2"/>
  <c r="B169" i="2"/>
  <c r="H169" i="2"/>
  <c r="M169" i="2"/>
  <c r="R169" i="2"/>
  <c r="E169" i="2"/>
  <c r="G169" i="2" s="1"/>
  <c r="P169" i="2"/>
  <c r="D164" i="2"/>
  <c r="C161" i="2"/>
  <c r="F161" i="2" s="1"/>
  <c r="S161" i="2"/>
  <c r="B161" i="2"/>
  <c r="H161" i="2"/>
  <c r="M161" i="2"/>
  <c r="R161" i="2"/>
  <c r="E161" i="2"/>
  <c r="G161" i="2" s="1"/>
  <c r="P161" i="2"/>
  <c r="D156" i="2"/>
  <c r="C153" i="2"/>
  <c r="H3" i="21" s="1"/>
  <c r="S153" i="2"/>
  <c r="B153" i="2"/>
  <c r="H153" i="2"/>
  <c r="B3" i="21" s="1"/>
  <c r="M153" i="2"/>
  <c r="R153" i="2"/>
  <c r="E153" i="2"/>
  <c r="J3" i="21" s="1"/>
  <c r="P153" i="2"/>
  <c r="C145" i="2"/>
  <c r="F145" i="2" s="1"/>
  <c r="S145" i="2"/>
  <c r="B145" i="2"/>
  <c r="H145" i="2"/>
  <c r="M145" i="2"/>
  <c r="N145" i="2" s="1"/>
  <c r="O145" i="2" s="1"/>
  <c r="R145" i="2"/>
  <c r="E145" i="2"/>
  <c r="G145" i="2" s="1"/>
  <c r="P145" i="2"/>
  <c r="B141" i="2"/>
  <c r="R141" i="2"/>
  <c r="C141" i="2"/>
  <c r="F141" i="2" s="1"/>
  <c r="H141" i="2"/>
  <c r="M141" i="2"/>
  <c r="S141" i="2"/>
  <c r="E141" i="2"/>
  <c r="G141" i="2" s="1"/>
  <c r="P141" i="2"/>
  <c r="D139" i="2"/>
  <c r="H139" i="2"/>
  <c r="J139" i="2" s="1"/>
  <c r="K139" i="2" s="1"/>
  <c r="L139" i="2"/>
  <c r="P139" i="2"/>
  <c r="E139" i="2"/>
  <c r="B139" i="2"/>
  <c r="M139" i="2"/>
  <c r="R139" i="2"/>
  <c r="B133" i="2"/>
  <c r="R133" i="2"/>
  <c r="C133" i="2"/>
  <c r="F133" i="2" s="1"/>
  <c r="H133" i="2"/>
  <c r="M133" i="2"/>
  <c r="N133" i="2" s="1"/>
  <c r="O133" i="2" s="1"/>
  <c r="S133" i="2"/>
  <c r="E133" i="2"/>
  <c r="G133" i="2" s="1"/>
  <c r="P133" i="2"/>
  <c r="D131" i="2"/>
  <c r="H131" i="2"/>
  <c r="L131" i="2"/>
  <c r="P131" i="2"/>
  <c r="E131" i="2"/>
  <c r="B131" i="2"/>
  <c r="M131" i="2"/>
  <c r="R131" i="2"/>
  <c r="B125" i="2"/>
  <c r="R125" i="2"/>
  <c r="C125" i="2"/>
  <c r="F125" i="2" s="1"/>
  <c r="H125" i="2"/>
  <c r="M125" i="2"/>
  <c r="S125" i="2"/>
  <c r="E125" i="2"/>
  <c r="G125" i="2" s="1"/>
  <c r="P125" i="2"/>
  <c r="D123" i="2"/>
  <c r="H123" i="2"/>
  <c r="L123" i="2"/>
  <c r="P123" i="2"/>
  <c r="E123" i="2"/>
  <c r="B123" i="2"/>
  <c r="M123" i="2"/>
  <c r="R123" i="2"/>
  <c r="B117" i="2"/>
  <c r="R117" i="2"/>
  <c r="C117" i="2"/>
  <c r="F117" i="2" s="1"/>
  <c r="H117" i="2"/>
  <c r="M117" i="2"/>
  <c r="S117" i="2"/>
  <c r="E117" i="2"/>
  <c r="G117" i="2" s="1"/>
  <c r="P117" i="2"/>
  <c r="D115" i="2"/>
  <c r="H115" i="2"/>
  <c r="J115" i="2" s="1"/>
  <c r="K115" i="2" s="1"/>
  <c r="L115" i="2"/>
  <c r="P115" i="2"/>
  <c r="E115" i="2"/>
  <c r="B115" i="2"/>
  <c r="M115" i="2"/>
  <c r="R115" i="2"/>
  <c r="B109" i="2"/>
  <c r="R109" i="2"/>
  <c r="C109" i="2"/>
  <c r="F109" i="2" s="1"/>
  <c r="H109" i="2"/>
  <c r="J109" i="2" s="1"/>
  <c r="K109" i="2" s="1"/>
  <c r="M109" i="2"/>
  <c r="S109" i="2"/>
  <c r="E109" i="2"/>
  <c r="G109" i="2" s="1"/>
  <c r="P109" i="2"/>
  <c r="D107" i="2"/>
  <c r="H107" i="2"/>
  <c r="L107" i="2"/>
  <c r="P107" i="2"/>
  <c r="E107" i="2"/>
  <c r="B107" i="2"/>
  <c r="M107" i="2"/>
  <c r="R107" i="2"/>
  <c r="B101" i="2"/>
  <c r="R101" i="2"/>
  <c r="C101" i="2"/>
  <c r="F101" i="2" s="1"/>
  <c r="H101" i="2"/>
  <c r="M101" i="2"/>
  <c r="S101" i="2"/>
  <c r="E101" i="2"/>
  <c r="G101" i="2" s="1"/>
  <c r="P101" i="2"/>
  <c r="D99" i="2"/>
  <c r="H99" i="2"/>
  <c r="J99" i="2" s="1"/>
  <c r="K99" i="2" s="1"/>
  <c r="L99" i="2"/>
  <c r="P99" i="2"/>
  <c r="E99" i="2"/>
  <c r="B99" i="2"/>
  <c r="M99" i="2"/>
  <c r="R99" i="2"/>
  <c r="B93" i="2"/>
  <c r="R93" i="2"/>
  <c r="C93" i="2"/>
  <c r="H93" i="2"/>
  <c r="J93" i="2" s="1"/>
  <c r="K93" i="2" s="1"/>
  <c r="M93" i="2"/>
  <c r="S93" i="2"/>
  <c r="E93" i="2"/>
  <c r="P93" i="2"/>
  <c r="D91" i="2"/>
  <c r="H91" i="2"/>
  <c r="L91" i="2"/>
  <c r="P91" i="2"/>
  <c r="E91" i="2"/>
  <c r="B91" i="2"/>
  <c r="M91" i="2"/>
  <c r="R91" i="2"/>
  <c r="B85" i="2"/>
  <c r="R85" i="2"/>
  <c r="C85" i="2"/>
  <c r="F85" i="2" s="1"/>
  <c r="H85" i="2"/>
  <c r="M85" i="2"/>
  <c r="S85" i="2"/>
  <c r="E85" i="2"/>
  <c r="G85" i="2" s="1"/>
  <c r="P85" i="2"/>
  <c r="D83" i="2"/>
  <c r="H83" i="2"/>
  <c r="L83" i="2"/>
  <c r="P83" i="2"/>
  <c r="E83" i="2"/>
  <c r="B83" i="2"/>
  <c r="M83" i="2"/>
  <c r="R83" i="2"/>
  <c r="B77" i="2"/>
  <c r="R77" i="2"/>
  <c r="C77" i="2"/>
  <c r="F77" i="2" s="1"/>
  <c r="H77" i="2"/>
  <c r="M77" i="2"/>
  <c r="S77" i="2"/>
  <c r="E77" i="2"/>
  <c r="G77" i="2" s="1"/>
  <c r="P77" i="2"/>
  <c r="D75" i="2"/>
  <c r="H75" i="2"/>
  <c r="L75" i="2"/>
  <c r="P75" i="2"/>
  <c r="E75" i="2"/>
  <c r="B75" i="2"/>
  <c r="M75" i="2"/>
  <c r="R75" i="2"/>
  <c r="B69" i="2"/>
  <c r="R69" i="2"/>
  <c r="C69" i="2"/>
  <c r="H69" i="2"/>
  <c r="M69" i="2"/>
  <c r="N69" i="2" s="1"/>
  <c r="O69" i="2" s="1"/>
  <c r="S69" i="2"/>
  <c r="E69" i="2"/>
  <c r="P69" i="2"/>
  <c r="D67" i="2"/>
  <c r="H67" i="2"/>
  <c r="J67" i="2" s="1"/>
  <c r="K67" i="2" s="1"/>
  <c r="L67" i="2"/>
  <c r="P67" i="2"/>
  <c r="E67" i="2"/>
  <c r="B67" i="2"/>
  <c r="M67" i="2"/>
  <c r="R67" i="2"/>
  <c r="B61" i="2"/>
  <c r="R61" i="2"/>
  <c r="C61" i="2"/>
  <c r="H61" i="2"/>
  <c r="J61" i="2" s="1"/>
  <c r="K61" i="2" s="1"/>
  <c r="M61" i="2"/>
  <c r="S61" i="2"/>
  <c r="E61" i="2"/>
  <c r="P61" i="2"/>
  <c r="D59" i="2"/>
  <c r="H59" i="2"/>
  <c r="J59" i="2" s="1"/>
  <c r="K59" i="2" s="1"/>
  <c r="L59" i="2"/>
  <c r="P59" i="2"/>
  <c r="E59" i="2"/>
  <c r="B59" i="2"/>
  <c r="M59" i="2"/>
  <c r="R59" i="2"/>
  <c r="B53" i="2"/>
  <c r="R53" i="2"/>
  <c r="C53" i="2"/>
  <c r="F53" i="2" s="1"/>
  <c r="H53" i="2"/>
  <c r="M53" i="2"/>
  <c r="S53" i="2"/>
  <c r="E53" i="2"/>
  <c r="G53" i="2" s="1"/>
  <c r="P53" i="2"/>
  <c r="D51" i="2"/>
  <c r="H51" i="2"/>
  <c r="L51" i="2"/>
  <c r="P51" i="2"/>
  <c r="E51" i="2"/>
  <c r="B51" i="2"/>
  <c r="M51" i="2"/>
  <c r="R51" i="2"/>
  <c r="B45" i="2"/>
  <c r="R45" i="2"/>
  <c r="C45" i="2"/>
  <c r="H45" i="2"/>
  <c r="J45" i="2" s="1"/>
  <c r="K45" i="2" s="1"/>
  <c r="M45" i="2"/>
  <c r="S45" i="2"/>
  <c r="E45" i="2"/>
  <c r="P45" i="2"/>
  <c r="D43" i="2"/>
  <c r="H43" i="2"/>
  <c r="J43" i="2" s="1"/>
  <c r="K43" i="2" s="1"/>
  <c r="L43" i="2"/>
  <c r="P43" i="2"/>
  <c r="E43" i="2"/>
  <c r="B43" i="2"/>
  <c r="M43" i="2"/>
  <c r="R43" i="2"/>
  <c r="B37" i="2"/>
  <c r="R37" i="2"/>
  <c r="C37" i="2"/>
  <c r="H37" i="2"/>
  <c r="M37" i="2"/>
  <c r="N37" i="2" s="1"/>
  <c r="O37" i="2" s="1"/>
  <c r="S37" i="2"/>
  <c r="E37" i="2"/>
  <c r="P37" i="2"/>
  <c r="D35" i="2"/>
  <c r="H35" i="2"/>
  <c r="L35" i="2"/>
  <c r="P35" i="2"/>
  <c r="E35" i="2"/>
  <c r="B35" i="2"/>
  <c r="M35" i="2"/>
  <c r="R35" i="2"/>
  <c r="B29" i="2"/>
  <c r="R29" i="2"/>
  <c r="C29" i="2"/>
  <c r="H29" i="2"/>
  <c r="J29" i="2" s="1"/>
  <c r="K29" i="2" s="1"/>
  <c r="M29" i="2"/>
  <c r="S29" i="2"/>
  <c r="E29" i="2"/>
  <c r="P29" i="2"/>
  <c r="D27" i="2"/>
  <c r="H27" i="2"/>
  <c r="L27" i="2"/>
  <c r="P27" i="2"/>
  <c r="E27" i="2"/>
  <c r="B27" i="2"/>
  <c r="M27" i="2"/>
  <c r="R27" i="2"/>
  <c r="C22" i="2"/>
  <c r="S22" i="2"/>
  <c r="E22" i="2"/>
  <c r="P22" i="2"/>
  <c r="B22" i="2"/>
  <c r="H22" i="2"/>
  <c r="M22" i="2"/>
  <c r="R22" i="2"/>
  <c r="D22" i="2"/>
  <c r="I22" i="2"/>
  <c r="E242" i="2"/>
  <c r="L164" i="2"/>
  <c r="D162" i="2"/>
  <c r="H162" i="2"/>
  <c r="L162" i="2"/>
  <c r="P162" i="2"/>
  <c r="E162" i="2"/>
  <c r="B162" i="2"/>
  <c r="M162" i="2"/>
  <c r="R162" i="2"/>
  <c r="L156" i="2"/>
  <c r="D154" i="2"/>
  <c r="H154" i="2"/>
  <c r="L154" i="2"/>
  <c r="P154" i="2"/>
  <c r="E154" i="2"/>
  <c r="B154" i="2"/>
  <c r="M154" i="2"/>
  <c r="R154" i="2"/>
  <c r="B148" i="2"/>
  <c r="R148" i="2"/>
  <c r="C148" i="2"/>
  <c r="F148" i="2" s="1"/>
  <c r="H148" i="2"/>
  <c r="M148" i="2"/>
  <c r="N148" i="2" s="1"/>
  <c r="O148" i="2" s="1"/>
  <c r="S148" i="2"/>
  <c r="E148" i="2"/>
  <c r="G148" i="2" s="1"/>
  <c r="P148" i="2"/>
  <c r="D146" i="2"/>
  <c r="H146" i="2"/>
  <c r="L146" i="2"/>
  <c r="P146" i="2"/>
  <c r="E146" i="2"/>
  <c r="B146" i="2"/>
  <c r="M146" i="2"/>
  <c r="R146" i="2"/>
  <c r="C142" i="2"/>
  <c r="S142" i="2"/>
  <c r="E142" i="2"/>
  <c r="P142" i="2"/>
  <c r="B142" i="2"/>
  <c r="H142" i="2"/>
  <c r="M142" i="2"/>
  <c r="N142" i="2" s="1"/>
  <c r="O142" i="2" s="1"/>
  <c r="R142" i="2"/>
  <c r="C134" i="2"/>
  <c r="S134" i="2"/>
  <c r="E134" i="2"/>
  <c r="P134" i="2"/>
  <c r="B134" i="2"/>
  <c r="H134" i="2"/>
  <c r="M134" i="2"/>
  <c r="N134" i="2" s="1"/>
  <c r="O134" i="2" s="1"/>
  <c r="R134" i="2"/>
  <c r="C126" i="2"/>
  <c r="F126" i="2" s="1"/>
  <c r="S126" i="2"/>
  <c r="E126" i="2"/>
  <c r="G126" i="2" s="1"/>
  <c r="P126" i="2"/>
  <c r="B126" i="2"/>
  <c r="H126" i="2"/>
  <c r="M126" i="2"/>
  <c r="R126" i="2"/>
  <c r="C118" i="2"/>
  <c r="F118" i="2" s="1"/>
  <c r="S118" i="2"/>
  <c r="E118" i="2"/>
  <c r="G118" i="2" s="1"/>
  <c r="P118" i="2"/>
  <c r="B118" i="2"/>
  <c r="H118" i="2"/>
  <c r="M118" i="2"/>
  <c r="R118" i="2"/>
  <c r="C110" i="2"/>
  <c r="F110" i="2" s="1"/>
  <c r="S110" i="2"/>
  <c r="E110" i="2"/>
  <c r="G110" i="2" s="1"/>
  <c r="P110" i="2"/>
  <c r="B110" i="2"/>
  <c r="H110" i="2"/>
  <c r="M110" i="2"/>
  <c r="R110" i="2"/>
  <c r="C102" i="2"/>
  <c r="F102" i="2" s="1"/>
  <c r="S102" i="2"/>
  <c r="E102" i="2"/>
  <c r="G102" i="2" s="1"/>
  <c r="P102" i="2"/>
  <c r="B102" i="2"/>
  <c r="H102" i="2"/>
  <c r="M102" i="2"/>
  <c r="R102" i="2"/>
  <c r="C94" i="2"/>
  <c r="F94" i="2" s="1"/>
  <c r="S94" i="2"/>
  <c r="E94" i="2"/>
  <c r="G94" i="2" s="1"/>
  <c r="P94" i="2"/>
  <c r="B94" i="2"/>
  <c r="H94" i="2"/>
  <c r="M94" i="2"/>
  <c r="N94" i="2" s="1"/>
  <c r="O94" i="2" s="1"/>
  <c r="R94" i="2"/>
  <c r="C86" i="2"/>
  <c r="F86" i="2" s="1"/>
  <c r="S86" i="2"/>
  <c r="E86" i="2"/>
  <c r="G86" i="2" s="1"/>
  <c r="P86" i="2"/>
  <c r="B86" i="2"/>
  <c r="H86" i="2"/>
  <c r="M86" i="2"/>
  <c r="R86" i="2"/>
  <c r="C78" i="2"/>
  <c r="F78" i="2" s="1"/>
  <c r="S78" i="2"/>
  <c r="E78" i="2"/>
  <c r="G78" i="2" s="1"/>
  <c r="P78" i="2"/>
  <c r="B78" i="2"/>
  <c r="H78" i="2"/>
  <c r="M78" i="2"/>
  <c r="R78" i="2"/>
  <c r="C70" i="2"/>
  <c r="F70" i="2" s="1"/>
  <c r="S70" i="2"/>
  <c r="E70" i="2"/>
  <c r="G70" i="2" s="1"/>
  <c r="P70" i="2"/>
  <c r="B70" i="2"/>
  <c r="H70" i="2"/>
  <c r="M70" i="2"/>
  <c r="R70" i="2"/>
  <c r="C62" i="2"/>
  <c r="F62" i="2" s="1"/>
  <c r="S62" i="2"/>
  <c r="E62" i="2"/>
  <c r="G62" i="2" s="1"/>
  <c r="P62" i="2"/>
  <c r="B62" i="2"/>
  <c r="H62" i="2"/>
  <c r="M62" i="2"/>
  <c r="N62" i="2" s="1"/>
  <c r="O62" i="2" s="1"/>
  <c r="R62" i="2"/>
  <c r="C54" i="2"/>
  <c r="F54" i="2" s="1"/>
  <c r="S54" i="2"/>
  <c r="E54" i="2"/>
  <c r="G54" i="2" s="1"/>
  <c r="P54" i="2"/>
  <c r="B54" i="2"/>
  <c r="H54" i="2"/>
  <c r="M54" i="2"/>
  <c r="R54" i="2"/>
  <c r="C46" i="2"/>
  <c r="F46" i="2" s="1"/>
  <c r="S46" i="2"/>
  <c r="E46" i="2"/>
  <c r="G46" i="2" s="1"/>
  <c r="P46" i="2"/>
  <c r="B46" i="2"/>
  <c r="H46" i="2"/>
  <c r="M46" i="2"/>
  <c r="N46" i="2" s="1"/>
  <c r="O46" i="2" s="1"/>
  <c r="R46" i="2"/>
  <c r="C38" i="2"/>
  <c r="S38" i="2"/>
  <c r="E38" i="2"/>
  <c r="P38" i="2"/>
  <c r="B38" i="2"/>
  <c r="H38" i="2"/>
  <c r="M38" i="2"/>
  <c r="R38" i="2"/>
  <c r="C30" i="2"/>
  <c r="S30" i="2"/>
  <c r="E30" i="2"/>
  <c r="P30" i="2"/>
  <c r="B30" i="2"/>
  <c r="H30" i="2"/>
  <c r="M30" i="2"/>
  <c r="N30" i="2" s="1"/>
  <c r="O30" i="2" s="1"/>
  <c r="R30" i="2"/>
  <c r="C14" i="2"/>
  <c r="S14" i="2"/>
  <c r="D14" i="2"/>
  <c r="I14" i="2"/>
  <c r="E14" i="2"/>
  <c r="P14" i="2"/>
  <c r="B14" i="2"/>
  <c r="H14" i="2"/>
  <c r="M14" i="2"/>
  <c r="N14" i="2" s="1"/>
  <c r="O14" i="2" s="1"/>
  <c r="R14" i="2"/>
  <c r="I170" i="2"/>
  <c r="Q192" i="2"/>
  <c r="I192" i="2"/>
  <c r="D190" i="2"/>
  <c r="H190" i="2"/>
  <c r="J190" i="2" s="1"/>
  <c r="K190" i="2" s="1"/>
  <c r="L190" i="2"/>
  <c r="N190" i="2" s="1"/>
  <c r="O190" i="2" s="1"/>
  <c r="P190" i="2"/>
  <c r="B190" i="2"/>
  <c r="R190" i="2"/>
  <c r="M188" i="2"/>
  <c r="E188" i="2"/>
  <c r="M186" i="2"/>
  <c r="E186" i="2"/>
  <c r="B184" i="2"/>
  <c r="R184" i="2"/>
  <c r="D184" i="2"/>
  <c r="H184" i="2"/>
  <c r="L184" i="2"/>
  <c r="N184" i="2" s="1"/>
  <c r="O184" i="2" s="1"/>
  <c r="P184" i="2"/>
  <c r="D182" i="2"/>
  <c r="H182" i="2"/>
  <c r="L182" i="2"/>
  <c r="N182" i="2" s="1"/>
  <c r="O182" i="2" s="1"/>
  <c r="P182" i="2"/>
  <c r="B182" i="2"/>
  <c r="R182" i="2"/>
  <c r="M180" i="2"/>
  <c r="E180" i="2"/>
  <c r="M178" i="2"/>
  <c r="E178" i="2"/>
  <c r="B176" i="2"/>
  <c r="R176" i="2"/>
  <c r="D176" i="2"/>
  <c r="H176" i="2"/>
  <c r="J176" i="2" s="1"/>
  <c r="K176" i="2" s="1"/>
  <c r="L176" i="2"/>
  <c r="P176" i="2"/>
  <c r="D174" i="2"/>
  <c r="H174" i="2"/>
  <c r="L174" i="2"/>
  <c r="N174" i="2" s="1"/>
  <c r="O174" i="2" s="1"/>
  <c r="P174" i="2"/>
  <c r="B174" i="2"/>
  <c r="R174" i="2"/>
  <c r="M172" i="2"/>
  <c r="E172" i="2"/>
  <c r="Q169" i="2"/>
  <c r="C165" i="2"/>
  <c r="S165" i="2"/>
  <c r="E165" i="2"/>
  <c r="G165" i="2" s="1"/>
  <c r="P165" i="2"/>
  <c r="B165" i="2"/>
  <c r="H165" i="2"/>
  <c r="J165" i="2" s="1"/>
  <c r="K165" i="2" s="1"/>
  <c r="M165" i="2"/>
  <c r="R165" i="2"/>
  <c r="I164" i="2"/>
  <c r="S162" i="2"/>
  <c r="I162" i="2"/>
  <c r="Q161" i="2"/>
  <c r="C157" i="2"/>
  <c r="F157" i="2" s="1"/>
  <c r="S157" i="2"/>
  <c r="E157" i="2"/>
  <c r="G157" i="2" s="1"/>
  <c r="P157" i="2"/>
  <c r="B157" i="2"/>
  <c r="H157" i="2"/>
  <c r="J157" i="2" s="1"/>
  <c r="K157" i="2" s="1"/>
  <c r="M157" i="2"/>
  <c r="N157" i="2" s="1"/>
  <c r="O157" i="2" s="1"/>
  <c r="R157" i="2"/>
  <c r="I156" i="2"/>
  <c r="S154" i="2"/>
  <c r="I154" i="2"/>
  <c r="Q153" i="2"/>
  <c r="C149" i="2"/>
  <c r="S149" i="2"/>
  <c r="E149" i="2"/>
  <c r="P149" i="2"/>
  <c r="D3" i="21" s="1"/>
  <c r="B149" i="2"/>
  <c r="H149" i="2"/>
  <c r="J149" i="2" s="1"/>
  <c r="K149" i="2" s="1"/>
  <c r="M149" i="2"/>
  <c r="R149" i="2"/>
  <c r="E3" i="21" s="1"/>
  <c r="I148" i="2"/>
  <c r="S146" i="2"/>
  <c r="I146" i="2"/>
  <c r="Q145" i="2"/>
  <c r="D143" i="2"/>
  <c r="H143" i="2"/>
  <c r="J143" i="2" s="1"/>
  <c r="M143" i="2"/>
  <c r="N143" i="2" s="1"/>
  <c r="O143" i="2" s="1"/>
  <c r="Q143" i="2"/>
  <c r="B143" i="2"/>
  <c r="S143" i="2"/>
  <c r="E143" i="2"/>
  <c r="P143" i="2"/>
  <c r="I142" i="2"/>
  <c r="Q141" i="2"/>
  <c r="Q139" i="2"/>
  <c r="B137" i="2"/>
  <c r="R137" i="2"/>
  <c r="E137" i="2"/>
  <c r="P137" i="2"/>
  <c r="C137" i="2"/>
  <c r="H137" i="2"/>
  <c r="J137" i="2" s="1"/>
  <c r="K137" i="2" s="1"/>
  <c r="M137" i="2"/>
  <c r="S137" i="2"/>
  <c r="D135" i="2"/>
  <c r="H135" i="2"/>
  <c r="J135" i="2" s="1"/>
  <c r="K135" i="2" s="1"/>
  <c r="L135" i="2"/>
  <c r="P135" i="2"/>
  <c r="B135" i="2"/>
  <c r="M135" i="2"/>
  <c r="R135" i="2"/>
  <c r="E135" i="2"/>
  <c r="I134" i="2"/>
  <c r="Q133" i="2"/>
  <c r="Q131" i="2"/>
  <c r="B129" i="2"/>
  <c r="R129" i="2"/>
  <c r="E129" i="2"/>
  <c r="P129" i="2"/>
  <c r="C129" i="2"/>
  <c r="H129" i="2"/>
  <c r="J129" i="2" s="1"/>
  <c r="K129" i="2" s="1"/>
  <c r="M129" i="2"/>
  <c r="S129" i="2"/>
  <c r="D127" i="2"/>
  <c r="H127" i="2"/>
  <c r="J127" i="2" s="1"/>
  <c r="K127" i="2" s="1"/>
  <c r="L127" i="2"/>
  <c r="P127" i="2"/>
  <c r="B127" i="2"/>
  <c r="M127" i="2"/>
  <c r="R127" i="2"/>
  <c r="E127" i="2"/>
  <c r="I126" i="2"/>
  <c r="Q125" i="2"/>
  <c r="Q123" i="2"/>
  <c r="B121" i="2"/>
  <c r="R121" i="2"/>
  <c r="E121" i="2"/>
  <c r="P121" i="2"/>
  <c r="C121" i="2"/>
  <c r="H121" i="2"/>
  <c r="J121" i="2" s="1"/>
  <c r="K121" i="2" s="1"/>
  <c r="M121" i="2"/>
  <c r="S121" i="2"/>
  <c r="D119" i="2"/>
  <c r="H119" i="2"/>
  <c r="J119" i="2" s="1"/>
  <c r="K119" i="2" s="1"/>
  <c r="L119" i="2"/>
  <c r="P119" i="2"/>
  <c r="B119" i="2"/>
  <c r="M119" i="2"/>
  <c r="R119" i="2"/>
  <c r="E119" i="2"/>
  <c r="I118" i="2"/>
  <c r="Q117" i="2"/>
  <c r="Q115" i="2"/>
  <c r="B113" i="2"/>
  <c r="R113" i="2"/>
  <c r="E113" i="2"/>
  <c r="G113" i="2" s="1"/>
  <c r="P113" i="2"/>
  <c r="C113" i="2"/>
  <c r="F113" i="2" s="1"/>
  <c r="H113" i="2"/>
  <c r="M113" i="2"/>
  <c r="N113" i="2" s="1"/>
  <c r="O113" i="2" s="1"/>
  <c r="S113" i="2"/>
  <c r="D111" i="2"/>
  <c r="H111" i="2"/>
  <c r="J111" i="2" s="1"/>
  <c r="K111" i="2" s="1"/>
  <c r="L111" i="2"/>
  <c r="P111" i="2"/>
  <c r="B111" i="2"/>
  <c r="M111" i="2"/>
  <c r="R111" i="2"/>
  <c r="E111" i="2"/>
  <c r="I110" i="2"/>
  <c r="Q109" i="2"/>
  <c r="Q107" i="2"/>
  <c r="B105" i="2"/>
  <c r="R105" i="2"/>
  <c r="E105" i="2"/>
  <c r="P105" i="2"/>
  <c r="C105" i="2"/>
  <c r="H105" i="2"/>
  <c r="J105" i="2" s="1"/>
  <c r="K105" i="2" s="1"/>
  <c r="M105" i="2"/>
  <c r="S105" i="2"/>
  <c r="D103" i="2"/>
  <c r="H103" i="2"/>
  <c r="J103" i="2" s="1"/>
  <c r="K103" i="2" s="1"/>
  <c r="L103" i="2"/>
  <c r="P103" i="2"/>
  <c r="B103" i="2"/>
  <c r="M103" i="2"/>
  <c r="R103" i="2"/>
  <c r="E103" i="2"/>
  <c r="I102" i="2"/>
  <c r="Q101" i="2"/>
  <c r="Q99" i="2"/>
  <c r="B97" i="2"/>
  <c r="R97" i="2"/>
  <c r="E97" i="2"/>
  <c r="P97" i="2"/>
  <c r="C97" i="2"/>
  <c r="H97" i="2"/>
  <c r="J97" i="2" s="1"/>
  <c r="K97" i="2" s="1"/>
  <c r="M97" i="2"/>
  <c r="N97" i="2" s="1"/>
  <c r="O97" i="2" s="1"/>
  <c r="S97" i="2"/>
  <c r="D95" i="2"/>
  <c r="H95" i="2"/>
  <c r="J95" i="2" s="1"/>
  <c r="K95" i="2" s="1"/>
  <c r="L95" i="2"/>
  <c r="P95" i="2"/>
  <c r="B95" i="2"/>
  <c r="M95" i="2"/>
  <c r="R95" i="2"/>
  <c r="E95" i="2"/>
  <c r="I94" i="2"/>
  <c r="Q93" i="2"/>
  <c r="Q91" i="2"/>
  <c r="B89" i="2"/>
  <c r="R89" i="2"/>
  <c r="E89" i="2"/>
  <c r="P89" i="2"/>
  <c r="C89" i="2"/>
  <c r="H89" i="2"/>
  <c r="J89" i="2" s="1"/>
  <c r="K89" i="2" s="1"/>
  <c r="M89" i="2"/>
  <c r="N89" i="2" s="1"/>
  <c r="O89" i="2" s="1"/>
  <c r="S89" i="2"/>
  <c r="D87" i="2"/>
  <c r="H87" i="2"/>
  <c r="J87" i="2" s="1"/>
  <c r="K87" i="2" s="1"/>
  <c r="L87" i="2"/>
  <c r="P87" i="2"/>
  <c r="B87" i="2"/>
  <c r="M87" i="2"/>
  <c r="R87" i="2"/>
  <c r="E87" i="2"/>
  <c r="I86" i="2"/>
  <c r="Q85" i="2"/>
  <c r="Q83" i="2"/>
  <c r="B81" i="2"/>
  <c r="R81" i="2"/>
  <c r="E81" i="2"/>
  <c r="P81" i="2"/>
  <c r="C81" i="2"/>
  <c r="H81" i="2"/>
  <c r="J81" i="2" s="1"/>
  <c r="K81" i="2" s="1"/>
  <c r="M81" i="2"/>
  <c r="S81" i="2"/>
  <c r="D79" i="2"/>
  <c r="H79" i="2"/>
  <c r="L79" i="2"/>
  <c r="P79" i="2"/>
  <c r="B79" i="2"/>
  <c r="M79" i="2"/>
  <c r="R79" i="2"/>
  <c r="E79" i="2"/>
  <c r="I78" i="2"/>
  <c r="Q77" i="2"/>
  <c r="Q75" i="2"/>
  <c r="B73" i="2"/>
  <c r="R73" i="2"/>
  <c r="E73" i="2"/>
  <c r="P73" i="2"/>
  <c r="C73" i="2"/>
  <c r="H73" i="2"/>
  <c r="M73" i="2"/>
  <c r="S73" i="2"/>
  <c r="D71" i="2"/>
  <c r="H71" i="2"/>
  <c r="L71" i="2"/>
  <c r="P71" i="2"/>
  <c r="B71" i="2"/>
  <c r="M71" i="2"/>
  <c r="R71" i="2"/>
  <c r="E71" i="2"/>
  <c r="I70" i="2"/>
  <c r="Q69" i="2"/>
  <c r="Q67" i="2"/>
  <c r="B65" i="2"/>
  <c r="R65" i="2"/>
  <c r="E65" i="2"/>
  <c r="G65" i="2" s="1"/>
  <c r="P65" i="2"/>
  <c r="C65" i="2"/>
  <c r="F65" i="2" s="1"/>
  <c r="H65" i="2"/>
  <c r="M65" i="2"/>
  <c r="S65" i="2"/>
  <c r="D63" i="2"/>
  <c r="H63" i="2"/>
  <c r="L63" i="2"/>
  <c r="P63" i="2"/>
  <c r="B63" i="2"/>
  <c r="M63" i="2"/>
  <c r="R63" i="2"/>
  <c r="E63" i="2"/>
  <c r="I62" i="2"/>
  <c r="Q61" i="2"/>
  <c r="Q59" i="2"/>
  <c r="B57" i="2"/>
  <c r="R57" i="2"/>
  <c r="E57" i="2"/>
  <c r="G57" i="2" s="1"/>
  <c r="P57" i="2"/>
  <c r="C57" i="2"/>
  <c r="F57" i="2" s="1"/>
  <c r="H57" i="2"/>
  <c r="J57" i="2" s="1"/>
  <c r="K57" i="2" s="1"/>
  <c r="M57" i="2"/>
  <c r="N57" i="2" s="1"/>
  <c r="O57" i="2" s="1"/>
  <c r="S57" i="2"/>
  <c r="D55" i="2"/>
  <c r="H55" i="2"/>
  <c r="J55" i="2" s="1"/>
  <c r="K55" i="2" s="1"/>
  <c r="L55" i="2"/>
  <c r="P55" i="2"/>
  <c r="B55" i="2"/>
  <c r="M55" i="2"/>
  <c r="R55" i="2"/>
  <c r="E55" i="2"/>
  <c r="I54" i="2"/>
  <c r="Q53" i="2"/>
  <c r="Q51" i="2"/>
  <c r="B49" i="2"/>
  <c r="R49" i="2"/>
  <c r="E49" i="2"/>
  <c r="P49" i="2"/>
  <c r="C49" i="2"/>
  <c r="H49" i="2"/>
  <c r="M49" i="2"/>
  <c r="S49" i="2"/>
  <c r="D47" i="2"/>
  <c r="H47" i="2"/>
  <c r="J47" i="2" s="1"/>
  <c r="K47" i="2" s="1"/>
  <c r="L47" i="2"/>
  <c r="P47" i="2"/>
  <c r="B47" i="2"/>
  <c r="M47" i="2"/>
  <c r="R47" i="2"/>
  <c r="E47" i="2"/>
  <c r="I46" i="2"/>
  <c r="Q45" i="2"/>
  <c r="Q43" i="2"/>
  <c r="B41" i="2"/>
  <c r="R41" i="2"/>
  <c r="E41" i="2"/>
  <c r="P41" i="2"/>
  <c r="C41" i="2"/>
  <c r="H41" i="2"/>
  <c r="M41" i="2"/>
  <c r="N41" i="2" s="1"/>
  <c r="O41" i="2" s="1"/>
  <c r="S41" i="2"/>
  <c r="D39" i="2"/>
  <c r="H39" i="2"/>
  <c r="L39" i="2"/>
  <c r="P39" i="2"/>
  <c r="B39" i="2"/>
  <c r="M39" i="2"/>
  <c r="R39" i="2"/>
  <c r="E39" i="2"/>
  <c r="I38" i="2"/>
  <c r="Q37" i="2"/>
  <c r="Q35" i="2"/>
  <c r="B33" i="2"/>
  <c r="R33" i="2"/>
  <c r="E33" i="2"/>
  <c r="G33" i="2" s="1"/>
  <c r="P33" i="2"/>
  <c r="C33" i="2"/>
  <c r="F33" i="2" s="1"/>
  <c r="H33" i="2"/>
  <c r="M33" i="2"/>
  <c r="N33" i="2" s="1"/>
  <c r="O33" i="2" s="1"/>
  <c r="S33" i="2"/>
  <c r="D31" i="2"/>
  <c r="H31" i="2"/>
  <c r="L31" i="2"/>
  <c r="P31" i="2"/>
  <c r="B31" i="2"/>
  <c r="M31" i="2"/>
  <c r="R31" i="2"/>
  <c r="E31" i="2"/>
  <c r="I30" i="2"/>
  <c r="Q29" i="2"/>
  <c r="Q27" i="2"/>
  <c r="B25" i="2"/>
  <c r="R25" i="2"/>
  <c r="E25" i="2"/>
  <c r="P25" i="2"/>
  <c r="C25" i="2"/>
  <c r="H25" i="2"/>
  <c r="M25" i="2"/>
  <c r="S25" i="2"/>
  <c r="L22" i="2"/>
  <c r="D19" i="2"/>
  <c r="H19" i="2"/>
  <c r="L19" i="2"/>
  <c r="P19" i="2"/>
  <c r="C19" i="2"/>
  <c r="I19" i="2"/>
  <c r="S19" i="2"/>
  <c r="E19" i="2"/>
  <c r="B19" i="2"/>
  <c r="M19" i="2"/>
  <c r="R19" i="2"/>
  <c r="Q14" i="2"/>
  <c r="D23" i="2"/>
  <c r="H23" i="2"/>
  <c r="J23" i="2" s="1"/>
  <c r="K23" i="2" s="1"/>
  <c r="L23" i="2"/>
  <c r="P23" i="2"/>
  <c r="B21" i="2"/>
  <c r="R21" i="2"/>
  <c r="L18" i="2"/>
  <c r="Q15" i="2"/>
  <c r="S191" i="2"/>
  <c r="S187" i="2"/>
  <c r="S183" i="2"/>
  <c r="S179" i="2"/>
  <c r="S175" i="2"/>
  <c r="E23" i="2"/>
  <c r="P21" i="2"/>
  <c r="E21" i="2"/>
  <c r="P18" i="2"/>
  <c r="E18" i="2"/>
  <c r="E15" i="2"/>
  <c r="P13" i="2"/>
  <c r="E13" i="2"/>
  <c r="P185" i="3"/>
  <c r="K184" i="3"/>
  <c r="D184" i="3"/>
  <c r="L184" i="3"/>
  <c r="P184" i="3"/>
  <c r="C184" i="3"/>
  <c r="G184" i="3"/>
  <c r="O184" i="3"/>
  <c r="C181" i="3"/>
  <c r="G181" i="3"/>
  <c r="O181" i="3"/>
  <c r="B181" i="3"/>
  <c r="F181" i="3"/>
  <c r="J181" i="3"/>
  <c r="K181" i="3" s="1"/>
  <c r="N181" i="3"/>
  <c r="J180" i="3"/>
  <c r="K180" i="3" s="1"/>
  <c r="L177" i="3"/>
  <c r="N172" i="3"/>
  <c r="F172" i="3"/>
  <c r="P169" i="3"/>
  <c r="D168" i="3"/>
  <c r="L168" i="3"/>
  <c r="P168" i="3"/>
  <c r="C168" i="3"/>
  <c r="G168" i="3"/>
  <c r="O168" i="3"/>
  <c r="C165" i="3"/>
  <c r="E165" i="3" s="1"/>
  <c r="G165" i="3"/>
  <c r="O165" i="3"/>
  <c r="B165" i="3"/>
  <c r="F165" i="3"/>
  <c r="J165" i="3"/>
  <c r="K165" i="3" s="1"/>
  <c r="N165" i="3"/>
  <c r="J164" i="3"/>
  <c r="L161" i="3"/>
  <c r="N156" i="3"/>
  <c r="F156" i="3"/>
  <c r="P153" i="3"/>
  <c r="D152" i="3"/>
  <c r="L152" i="3"/>
  <c r="P152" i="3"/>
  <c r="C152" i="3"/>
  <c r="G152" i="3"/>
  <c r="O152" i="3"/>
  <c r="C149" i="3"/>
  <c r="E149" i="3" s="1"/>
  <c r="G149" i="3"/>
  <c r="E149" i="5" s="1"/>
  <c r="O149" i="3"/>
  <c r="B149" i="3"/>
  <c r="F149" i="3"/>
  <c r="J149" i="3"/>
  <c r="N149" i="3"/>
  <c r="J148" i="3"/>
  <c r="L145" i="3"/>
  <c r="N140" i="3"/>
  <c r="F140" i="3"/>
  <c r="P137" i="3"/>
  <c r="D136" i="3"/>
  <c r="L136" i="3"/>
  <c r="P136" i="3"/>
  <c r="C136" i="3"/>
  <c r="G136" i="3"/>
  <c r="O136" i="3"/>
  <c r="C133" i="3"/>
  <c r="G133" i="3"/>
  <c r="E133" i="5" s="1"/>
  <c r="O133" i="3"/>
  <c r="B133" i="3"/>
  <c r="F133" i="3"/>
  <c r="J133" i="3"/>
  <c r="K133" i="3" s="1"/>
  <c r="N133" i="3"/>
  <c r="J132" i="3"/>
  <c r="K132" i="3" s="1"/>
  <c r="D124" i="3"/>
  <c r="L124" i="3"/>
  <c r="P124" i="3"/>
  <c r="B124" i="3"/>
  <c r="F124" i="3"/>
  <c r="J124" i="3"/>
  <c r="N124" i="3"/>
  <c r="C124" i="3"/>
  <c r="G124" i="3"/>
  <c r="O124" i="3"/>
  <c r="Q113" i="3"/>
  <c r="Q107" i="3"/>
  <c r="Q97" i="3"/>
  <c r="D180" i="3"/>
  <c r="L180" i="3"/>
  <c r="P180" i="3"/>
  <c r="C180" i="3"/>
  <c r="G180" i="3"/>
  <c r="O180" i="3"/>
  <c r="C177" i="3"/>
  <c r="E177" i="3" s="1"/>
  <c r="G177" i="3"/>
  <c r="O177" i="3"/>
  <c r="B177" i="3"/>
  <c r="F177" i="3"/>
  <c r="J177" i="3"/>
  <c r="N177" i="3"/>
  <c r="D164" i="3"/>
  <c r="L164" i="3"/>
  <c r="P164" i="3"/>
  <c r="C164" i="3"/>
  <c r="G164" i="3"/>
  <c r="E164" i="5" s="1"/>
  <c r="O164" i="3"/>
  <c r="C161" i="3"/>
  <c r="G161" i="3"/>
  <c r="O161" i="3"/>
  <c r="B161" i="3"/>
  <c r="F161" i="3"/>
  <c r="J161" i="3"/>
  <c r="K161" i="3" s="1"/>
  <c r="N161" i="3"/>
  <c r="D148" i="3"/>
  <c r="L148" i="3"/>
  <c r="P148" i="3"/>
  <c r="C148" i="3"/>
  <c r="G148" i="3"/>
  <c r="O148" i="3"/>
  <c r="C145" i="3"/>
  <c r="G145" i="3"/>
  <c r="E145" i="5" s="1"/>
  <c r="O145" i="3"/>
  <c r="B145" i="3"/>
  <c r="F145" i="3"/>
  <c r="J145" i="3"/>
  <c r="K145" i="3" s="1"/>
  <c r="N145" i="3"/>
  <c r="D132" i="3"/>
  <c r="L132" i="3"/>
  <c r="P132" i="3"/>
  <c r="C132" i="3"/>
  <c r="G132" i="3"/>
  <c r="E132" i="5" s="1"/>
  <c r="O132" i="3"/>
  <c r="D128" i="3"/>
  <c r="L128" i="3"/>
  <c r="P128" i="3"/>
  <c r="B128" i="3"/>
  <c r="F128" i="3"/>
  <c r="J128" i="3"/>
  <c r="N128" i="3"/>
  <c r="C128" i="3"/>
  <c r="G128" i="3"/>
  <c r="O128" i="3"/>
  <c r="C118" i="3"/>
  <c r="G118" i="3"/>
  <c r="H118" i="3" s="1"/>
  <c r="J118" i="3"/>
  <c r="N118" i="3"/>
  <c r="B118" i="3"/>
  <c r="L118" i="3"/>
  <c r="P118" i="3"/>
  <c r="D118" i="3"/>
  <c r="I118" i="3"/>
  <c r="M118" i="3"/>
  <c r="Q118" i="3"/>
  <c r="C102" i="3"/>
  <c r="G102" i="3"/>
  <c r="H102" i="3" s="1"/>
  <c r="O102" i="3"/>
  <c r="J102" i="3"/>
  <c r="P102" i="3"/>
  <c r="B102" i="3"/>
  <c r="M102" i="3"/>
  <c r="D102" i="3"/>
  <c r="I102" i="3"/>
  <c r="N102" i="3"/>
  <c r="C245" i="2"/>
  <c r="R23" i="2"/>
  <c r="M23" i="2"/>
  <c r="B23" i="2"/>
  <c r="S21" i="2"/>
  <c r="M21" i="2"/>
  <c r="N21" i="2" s="1"/>
  <c r="O21" i="2" s="1"/>
  <c r="H21" i="2"/>
  <c r="C21" i="2"/>
  <c r="R18" i="2"/>
  <c r="M18" i="2"/>
  <c r="H18" i="2"/>
  <c r="J18" i="2" s="1"/>
  <c r="K18" i="2" s="1"/>
  <c r="R15" i="2"/>
  <c r="M15" i="2"/>
  <c r="S13" i="2"/>
  <c r="M13" i="2"/>
  <c r="N13" i="2" s="1"/>
  <c r="O13" i="2" s="1"/>
  <c r="H13" i="2"/>
  <c r="J13" i="2" s="1"/>
  <c r="K13" i="2" s="1"/>
  <c r="I6" i="3"/>
  <c r="L6" i="3"/>
  <c r="F6" i="3"/>
  <c r="D188" i="3"/>
  <c r="L188" i="3"/>
  <c r="P188" i="3"/>
  <c r="L185" i="3"/>
  <c r="M184" i="3"/>
  <c r="N180" i="3"/>
  <c r="F180" i="3"/>
  <c r="P177" i="3"/>
  <c r="D176" i="3"/>
  <c r="L176" i="3"/>
  <c r="P176" i="3"/>
  <c r="C176" i="3"/>
  <c r="G176" i="3"/>
  <c r="O176" i="3"/>
  <c r="C173" i="3"/>
  <c r="G173" i="3"/>
  <c r="O173" i="3"/>
  <c r="B173" i="3"/>
  <c r="F173" i="3"/>
  <c r="J173" i="3"/>
  <c r="N173" i="3"/>
  <c r="J172" i="3"/>
  <c r="H171" i="3"/>
  <c r="L169" i="3"/>
  <c r="M168" i="3"/>
  <c r="N164" i="3"/>
  <c r="F164" i="3"/>
  <c r="P161" i="3"/>
  <c r="D160" i="3"/>
  <c r="L160" i="3"/>
  <c r="P160" i="3"/>
  <c r="C160" i="3"/>
  <c r="G160" i="3"/>
  <c r="O160" i="3"/>
  <c r="C157" i="3"/>
  <c r="E157" i="3" s="1"/>
  <c r="G157" i="3"/>
  <c r="E157" i="5" s="1"/>
  <c r="O157" i="3"/>
  <c r="B157" i="3"/>
  <c r="F157" i="3"/>
  <c r="J157" i="3"/>
  <c r="K157" i="3" s="1"/>
  <c r="N157" i="3"/>
  <c r="J156" i="3"/>
  <c r="K156" i="3" s="1"/>
  <c r="L153" i="3"/>
  <c r="M152" i="3"/>
  <c r="N148" i="3"/>
  <c r="F148" i="3"/>
  <c r="P145" i="3"/>
  <c r="D144" i="3"/>
  <c r="L144" i="3"/>
  <c r="P144" i="3"/>
  <c r="C144" i="3"/>
  <c r="G144" i="3"/>
  <c r="O144" i="3"/>
  <c r="C141" i="3"/>
  <c r="G141" i="3"/>
  <c r="E141" i="5" s="1"/>
  <c r="O141" i="3"/>
  <c r="B141" i="3"/>
  <c r="F141" i="3"/>
  <c r="J141" i="3"/>
  <c r="K141" i="3" s="1"/>
  <c r="N141" i="3"/>
  <c r="J140" i="3"/>
  <c r="L137" i="3"/>
  <c r="M136" i="3"/>
  <c r="M133" i="3"/>
  <c r="N132" i="3"/>
  <c r="F132" i="3"/>
  <c r="M128" i="3"/>
  <c r="I124" i="3"/>
  <c r="O118" i="3"/>
  <c r="Q102" i="3"/>
  <c r="C18" i="2"/>
  <c r="S18" i="2"/>
  <c r="D15" i="2"/>
  <c r="H15" i="2"/>
  <c r="J15" i="2" s="1"/>
  <c r="K15" i="2" s="1"/>
  <c r="L15" i="2"/>
  <c r="P15" i="2"/>
  <c r="B13" i="2"/>
  <c r="R13" i="2"/>
  <c r="B6" i="6"/>
  <c r="N6" i="5"/>
  <c r="H6" i="5"/>
  <c r="K6" i="5"/>
  <c r="C185" i="3"/>
  <c r="G185" i="3"/>
  <c r="O185" i="3"/>
  <c r="B185" i="3"/>
  <c r="F185" i="3"/>
  <c r="J185" i="3"/>
  <c r="K185" i="3" s="1"/>
  <c r="N185" i="3"/>
  <c r="M180" i="3"/>
  <c r="M177" i="3"/>
  <c r="D172" i="3"/>
  <c r="L172" i="3"/>
  <c r="P172" i="3"/>
  <c r="C172" i="3"/>
  <c r="G172" i="3"/>
  <c r="O172" i="3"/>
  <c r="C169" i="3"/>
  <c r="G169" i="3"/>
  <c r="O169" i="3"/>
  <c r="B169" i="3"/>
  <c r="F169" i="3"/>
  <c r="J169" i="3"/>
  <c r="K169" i="3" s="1"/>
  <c r="N169" i="3"/>
  <c r="M164" i="3"/>
  <c r="M161" i="3"/>
  <c r="D156" i="3"/>
  <c r="L156" i="3"/>
  <c r="P156" i="3"/>
  <c r="C156" i="3"/>
  <c r="G156" i="3"/>
  <c r="E156" i="5" s="1"/>
  <c r="O156" i="3"/>
  <c r="C153" i="3"/>
  <c r="E153" i="3" s="1"/>
  <c r="G153" i="3"/>
  <c r="E153" i="5" s="1"/>
  <c r="O153" i="3"/>
  <c r="B153" i="3"/>
  <c r="F153" i="3"/>
  <c r="J153" i="3"/>
  <c r="N153" i="3"/>
  <c r="M148" i="3"/>
  <c r="M145" i="3"/>
  <c r="D140" i="3"/>
  <c r="L140" i="3"/>
  <c r="P140" i="3"/>
  <c r="C140" i="3"/>
  <c r="G140" i="3"/>
  <c r="E140" i="5" s="1"/>
  <c r="O140" i="3"/>
  <c r="C137" i="3"/>
  <c r="G137" i="3"/>
  <c r="E137" i="5" s="1"/>
  <c r="O137" i="3"/>
  <c r="B137" i="3"/>
  <c r="F137" i="3"/>
  <c r="J137" i="3"/>
  <c r="N137" i="3"/>
  <c r="M132" i="3"/>
  <c r="I128" i="3"/>
  <c r="D120" i="3"/>
  <c r="L120" i="3"/>
  <c r="P120" i="3"/>
  <c r="B120" i="3"/>
  <c r="F120" i="3"/>
  <c r="J120" i="3"/>
  <c r="K120" i="3" s="1"/>
  <c r="N120" i="3"/>
  <c r="C120" i="3"/>
  <c r="G120" i="3"/>
  <c r="O120" i="3"/>
  <c r="D113" i="3"/>
  <c r="L113" i="3"/>
  <c r="P113" i="3"/>
  <c r="J113" i="3"/>
  <c r="O113" i="3"/>
  <c r="B113" i="3"/>
  <c r="G113" i="3"/>
  <c r="H113" i="3" s="1"/>
  <c r="M113" i="3"/>
  <c r="C113" i="3"/>
  <c r="I113" i="3"/>
  <c r="N113" i="3"/>
  <c r="B107" i="3"/>
  <c r="F107" i="3"/>
  <c r="J107" i="3"/>
  <c r="N107" i="3"/>
  <c r="P107" i="3"/>
  <c r="C107" i="3"/>
  <c r="M107" i="3"/>
  <c r="D107" i="3"/>
  <c r="I107" i="3"/>
  <c r="O107" i="3"/>
  <c r="L102" i="3"/>
  <c r="D97" i="3"/>
  <c r="L97" i="3"/>
  <c r="P97" i="3"/>
  <c r="J97" i="3"/>
  <c r="O97" i="3"/>
  <c r="B97" i="3"/>
  <c r="G97" i="3"/>
  <c r="H97" i="3" s="1"/>
  <c r="M97" i="3"/>
  <c r="C97" i="3"/>
  <c r="I97" i="3"/>
  <c r="N97" i="3"/>
  <c r="B115" i="3"/>
  <c r="F115" i="3"/>
  <c r="J115" i="3"/>
  <c r="K115" i="3" s="1"/>
  <c r="N115" i="3"/>
  <c r="C110" i="3"/>
  <c r="E110" i="3" s="1"/>
  <c r="G110" i="3"/>
  <c r="H110" i="3" s="1"/>
  <c r="O110" i="3"/>
  <c r="D105" i="3"/>
  <c r="L105" i="3"/>
  <c r="P105" i="3"/>
  <c r="B99" i="3"/>
  <c r="F99" i="3"/>
  <c r="J99" i="3"/>
  <c r="K99" i="3" s="1"/>
  <c r="N99" i="3"/>
  <c r="C94" i="3"/>
  <c r="E94" i="3" s="1"/>
  <c r="G94" i="3"/>
  <c r="H94" i="3" s="1"/>
  <c r="O94" i="3"/>
  <c r="O91" i="3"/>
  <c r="I91" i="3"/>
  <c r="D91" i="3"/>
  <c r="E91" i="3" s="1"/>
  <c r="D89" i="3"/>
  <c r="E89" i="3" s="1"/>
  <c r="L89" i="3"/>
  <c r="P89" i="3"/>
  <c r="N86" i="3"/>
  <c r="I86" i="3"/>
  <c r="D86" i="3"/>
  <c r="B83" i="3"/>
  <c r="F83" i="3"/>
  <c r="J83" i="3"/>
  <c r="N83" i="3"/>
  <c r="N81" i="3"/>
  <c r="I81" i="3"/>
  <c r="C81" i="3"/>
  <c r="C78" i="3"/>
  <c r="G78" i="3"/>
  <c r="O78" i="3"/>
  <c r="O75" i="3"/>
  <c r="I75" i="3"/>
  <c r="D75" i="3"/>
  <c r="D73" i="3"/>
  <c r="E73" i="3" s="1"/>
  <c r="L73" i="3"/>
  <c r="P73" i="3"/>
  <c r="N70" i="3"/>
  <c r="I70" i="3"/>
  <c r="D70" i="3"/>
  <c r="B67" i="3"/>
  <c r="F67" i="3"/>
  <c r="H67" i="3" s="1"/>
  <c r="J67" i="3"/>
  <c r="N67" i="3"/>
  <c r="N65" i="3"/>
  <c r="I65" i="3"/>
  <c r="C65" i="3"/>
  <c r="C62" i="3"/>
  <c r="G62" i="3"/>
  <c r="O62" i="3"/>
  <c r="O59" i="3"/>
  <c r="I59" i="3"/>
  <c r="D59" i="3"/>
  <c r="E59" i="3" s="1"/>
  <c r="D57" i="3"/>
  <c r="E57" i="3" s="1"/>
  <c r="L57" i="3"/>
  <c r="P57" i="3"/>
  <c r="N54" i="3"/>
  <c r="I54" i="3"/>
  <c r="D54" i="3"/>
  <c r="B51" i="3"/>
  <c r="F51" i="3"/>
  <c r="H51" i="3" s="1"/>
  <c r="J51" i="3"/>
  <c r="K51" i="3" s="1"/>
  <c r="N51" i="3"/>
  <c r="N49" i="3"/>
  <c r="I49" i="3"/>
  <c r="C49" i="3"/>
  <c r="C46" i="3"/>
  <c r="E46" i="3" s="1"/>
  <c r="G46" i="3"/>
  <c r="O46" i="3"/>
  <c r="O43" i="3"/>
  <c r="I43" i="3"/>
  <c r="D43" i="3"/>
  <c r="E43" i="3" s="1"/>
  <c r="D41" i="3"/>
  <c r="L41" i="3"/>
  <c r="P41" i="3"/>
  <c r="N38" i="3"/>
  <c r="I38" i="3"/>
  <c r="D38" i="3"/>
  <c r="B35" i="3"/>
  <c r="F35" i="3"/>
  <c r="J35" i="3"/>
  <c r="N35" i="3"/>
  <c r="N33" i="3"/>
  <c r="I33" i="3"/>
  <c r="C33" i="3"/>
  <c r="C30" i="3"/>
  <c r="E30" i="3" s="1"/>
  <c r="G30" i="3"/>
  <c r="O30" i="3"/>
  <c r="O27" i="3"/>
  <c r="I27" i="3"/>
  <c r="D27" i="3"/>
  <c r="D25" i="3"/>
  <c r="L25" i="3"/>
  <c r="P25" i="3"/>
  <c r="N22" i="3"/>
  <c r="I22" i="3"/>
  <c r="D22" i="3"/>
  <c r="B19" i="3"/>
  <c r="F19" i="3"/>
  <c r="J19" i="3"/>
  <c r="N19" i="3"/>
  <c r="N17" i="3"/>
  <c r="I17" i="3"/>
  <c r="C17" i="3"/>
  <c r="C14" i="3"/>
  <c r="G14" i="3"/>
  <c r="O14" i="3"/>
  <c r="O11" i="3"/>
  <c r="I11" i="3"/>
  <c r="D11" i="3"/>
  <c r="D9" i="3"/>
  <c r="E9" i="3" s="1"/>
  <c r="L9" i="3"/>
  <c r="P9" i="3"/>
  <c r="D62" i="5"/>
  <c r="I62" i="5"/>
  <c r="O62" i="5"/>
  <c r="D61" i="5"/>
  <c r="H61" i="5"/>
  <c r="D60" i="5"/>
  <c r="H60" i="5"/>
  <c r="L60" i="5"/>
  <c r="D59" i="5"/>
  <c r="H59" i="5"/>
  <c r="D58" i="5"/>
  <c r="H58" i="5"/>
  <c r="D57" i="5"/>
  <c r="H57" i="5"/>
  <c r="D56" i="5"/>
  <c r="H56" i="5"/>
  <c r="D55" i="5"/>
  <c r="H55" i="5"/>
  <c r="D54" i="5"/>
  <c r="H54" i="5"/>
  <c r="D53" i="5"/>
  <c r="H53" i="5"/>
  <c r="D52" i="5"/>
  <c r="H52" i="5"/>
  <c r="D51" i="5"/>
  <c r="H51" i="5"/>
  <c r="D50" i="5"/>
  <c r="H50" i="5"/>
  <c r="E12" i="5"/>
  <c r="F12" i="5" s="1"/>
  <c r="G12" i="5" s="1"/>
  <c r="D159" i="7"/>
  <c r="C159" i="7"/>
  <c r="H159" i="7"/>
  <c r="L159" i="7"/>
  <c r="E159" i="7"/>
  <c r="I159" i="7"/>
  <c r="M159" i="7"/>
  <c r="B159" i="7"/>
  <c r="G159" i="7"/>
  <c r="K159" i="7"/>
  <c r="O159" i="7"/>
  <c r="C154" i="7"/>
  <c r="G154" i="7"/>
  <c r="K154" i="7"/>
  <c r="O154" i="7"/>
  <c r="D154" i="7"/>
  <c r="I154" i="7"/>
  <c r="N154" i="7"/>
  <c r="E154" i="7"/>
  <c r="J154" i="7"/>
  <c r="B154" i="7"/>
  <c r="H154" i="7"/>
  <c r="M154" i="7"/>
  <c r="K143" i="7"/>
  <c r="L138" i="7"/>
  <c r="P126" i="3"/>
  <c r="C8" i="28" s="1"/>
  <c r="L126" i="3"/>
  <c r="D126" i="3"/>
  <c r="P122" i="3"/>
  <c r="L122" i="3"/>
  <c r="D122" i="3"/>
  <c r="P115" i="3"/>
  <c r="C114" i="3"/>
  <c r="G114" i="3"/>
  <c r="H114" i="3" s="1"/>
  <c r="O114" i="3"/>
  <c r="P110" i="3"/>
  <c r="J110" i="3"/>
  <c r="K110" i="3" s="1"/>
  <c r="D109" i="3"/>
  <c r="L109" i="3"/>
  <c r="P109" i="3"/>
  <c r="O105" i="3"/>
  <c r="J105" i="3"/>
  <c r="B103" i="3"/>
  <c r="F103" i="3"/>
  <c r="H103" i="3" s="1"/>
  <c r="J103" i="3"/>
  <c r="N103" i="3"/>
  <c r="P99" i="3"/>
  <c r="C98" i="3"/>
  <c r="G98" i="3"/>
  <c r="H98" i="3" s="1"/>
  <c r="O98" i="3"/>
  <c r="P94" i="3"/>
  <c r="J94" i="3"/>
  <c r="D93" i="3"/>
  <c r="L93" i="3"/>
  <c r="P93" i="3"/>
  <c r="M91" i="3"/>
  <c r="O89" i="3"/>
  <c r="J89" i="3"/>
  <c r="B87" i="3"/>
  <c r="F87" i="3"/>
  <c r="J87" i="3"/>
  <c r="N87" i="3"/>
  <c r="M86" i="3"/>
  <c r="P83" i="3"/>
  <c r="C82" i="3"/>
  <c r="G82" i="3"/>
  <c r="O82" i="3"/>
  <c r="M81" i="3"/>
  <c r="G81" i="3"/>
  <c r="E81" i="5" s="1"/>
  <c r="P78" i="3"/>
  <c r="J78" i="3"/>
  <c r="K78" i="3" s="1"/>
  <c r="H77" i="3"/>
  <c r="D77" i="3"/>
  <c r="L77" i="3"/>
  <c r="P77" i="3"/>
  <c r="M75" i="3"/>
  <c r="O73" i="3"/>
  <c r="J73" i="3"/>
  <c r="K73" i="3" s="1"/>
  <c r="B71" i="3"/>
  <c r="F71" i="3"/>
  <c r="H71" i="3" s="1"/>
  <c r="J71" i="3"/>
  <c r="N71" i="3"/>
  <c r="M70" i="3"/>
  <c r="P67" i="3"/>
  <c r="C66" i="3"/>
  <c r="G66" i="3"/>
  <c r="H66" i="3" s="1"/>
  <c r="O66" i="3"/>
  <c r="M65" i="3"/>
  <c r="G65" i="3"/>
  <c r="H65" i="3" s="1"/>
  <c r="P62" i="3"/>
  <c r="J62" i="3"/>
  <c r="K62" i="3" s="1"/>
  <c r="H61" i="3"/>
  <c r="D61" i="3"/>
  <c r="L61" i="3"/>
  <c r="P61" i="3"/>
  <c r="M59" i="3"/>
  <c r="O57" i="3"/>
  <c r="J57" i="3"/>
  <c r="K57" i="3" s="1"/>
  <c r="B55" i="3"/>
  <c r="F55" i="3"/>
  <c r="J55" i="3"/>
  <c r="N55" i="3"/>
  <c r="M54" i="3"/>
  <c r="P51" i="3"/>
  <c r="C50" i="3"/>
  <c r="G50" i="3"/>
  <c r="E50" i="5" s="1"/>
  <c r="O50" i="3"/>
  <c r="M49" i="3"/>
  <c r="G49" i="3"/>
  <c r="E49" i="5" s="1"/>
  <c r="F49" i="5" s="1"/>
  <c r="G49" i="5" s="1"/>
  <c r="P46" i="3"/>
  <c r="J46" i="3"/>
  <c r="K46" i="3" s="1"/>
  <c r="D45" i="3"/>
  <c r="L45" i="3"/>
  <c r="P45" i="3"/>
  <c r="M43" i="3"/>
  <c r="K42" i="3"/>
  <c r="O41" i="3"/>
  <c r="J41" i="3"/>
  <c r="K41" i="3" s="1"/>
  <c r="B39" i="3"/>
  <c r="F39" i="3"/>
  <c r="H39" i="3" s="1"/>
  <c r="J39" i="3"/>
  <c r="N39" i="3"/>
  <c r="M38" i="3"/>
  <c r="P35" i="3"/>
  <c r="C34" i="3"/>
  <c r="G34" i="3"/>
  <c r="O34" i="3"/>
  <c r="M33" i="3"/>
  <c r="G33" i="3"/>
  <c r="E33" i="5" s="1"/>
  <c r="F33" i="5" s="1"/>
  <c r="G33" i="5" s="1"/>
  <c r="P30" i="3"/>
  <c r="J30" i="3"/>
  <c r="K30" i="3" s="1"/>
  <c r="H29" i="3"/>
  <c r="D29" i="3"/>
  <c r="L29" i="3"/>
  <c r="P29" i="3"/>
  <c r="M27" i="3"/>
  <c r="O25" i="3"/>
  <c r="J25" i="3"/>
  <c r="K25" i="3" s="1"/>
  <c r="B23" i="3"/>
  <c r="F23" i="3"/>
  <c r="H23" i="3" s="1"/>
  <c r="J23" i="3"/>
  <c r="N23" i="3"/>
  <c r="M22" i="3"/>
  <c r="P19" i="3"/>
  <c r="C18" i="3"/>
  <c r="G18" i="3"/>
  <c r="O18" i="3"/>
  <c r="M17" i="3"/>
  <c r="G17" i="3"/>
  <c r="E17" i="5" s="1"/>
  <c r="F17" i="5" s="1"/>
  <c r="G17" i="5" s="1"/>
  <c r="P14" i="3"/>
  <c r="J14" i="3"/>
  <c r="K14" i="3" s="1"/>
  <c r="H13" i="3"/>
  <c r="D13" i="3"/>
  <c r="L13" i="3"/>
  <c r="P13" i="3"/>
  <c r="M11" i="3"/>
  <c r="O9" i="3"/>
  <c r="J9" i="3"/>
  <c r="B7" i="3"/>
  <c r="F7" i="3"/>
  <c r="J7" i="3"/>
  <c r="N7" i="3"/>
  <c r="E166" i="5"/>
  <c r="E162" i="5"/>
  <c r="E159" i="5"/>
  <c r="E158" i="5"/>
  <c r="E151" i="5"/>
  <c r="E147" i="5"/>
  <c r="E123" i="5"/>
  <c r="E116" i="5"/>
  <c r="E109" i="5"/>
  <c r="E103" i="5"/>
  <c r="E101" i="5"/>
  <c r="E93" i="5"/>
  <c r="E92" i="5"/>
  <c r="E84" i="5"/>
  <c r="E71" i="5"/>
  <c r="E68" i="5"/>
  <c r="E67" i="5"/>
  <c r="E64" i="5"/>
  <c r="N62" i="5"/>
  <c r="K61" i="5"/>
  <c r="K60" i="5"/>
  <c r="K59" i="5"/>
  <c r="K58" i="5"/>
  <c r="K57" i="5"/>
  <c r="K56" i="5"/>
  <c r="K55" i="5"/>
  <c r="K54" i="5"/>
  <c r="K53" i="5"/>
  <c r="K52" i="5"/>
  <c r="K51" i="5"/>
  <c r="K50" i="5"/>
  <c r="D170" i="7"/>
  <c r="L170" i="7"/>
  <c r="C162" i="7"/>
  <c r="G162" i="7"/>
  <c r="K162" i="7"/>
  <c r="O162" i="7"/>
  <c r="D162" i="7"/>
  <c r="H162" i="7"/>
  <c r="L162" i="7"/>
  <c r="B162" i="7"/>
  <c r="F162" i="7"/>
  <c r="J162" i="7"/>
  <c r="N162" i="7"/>
  <c r="N159" i="7"/>
  <c r="L149" i="7"/>
  <c r="B91" i="3"/>
  <c r="F91" i="3"/>
  <c r="J91" i="3"/>
  <c r="N91" i="3"/>
  <c r="C86" i="3"/>
  <c r="G86" i="3"/>
  <c r="O86" i="3"/>
  <c r="D81" i="3"/>
  <c r="L81" i="3"/>
  <c r="P81" i="3"/>
  <c r="B75" i="3"/>
  <c r="F75" i="3"/>
  <c r="J75" i="3"/>
  <c r="N75" i="3"/>
  <c r="C70" i="3"/>
  <c r="G70" i="3"/>
  <c r="O70" i="3"/>
  <c r="D65" i="3"/>
  <c r="L65" i="3"/>
  <c r="P65" i="3"/>
  <c r="B59" i="3"/>
  <c r="F59" i="3"/>
  <c r="H59" i="3" s="1"/>
  <c r="J59" i="3"/>
  <c r="N59" i="3"/>
  <c r="C54" i="3"/>
  <c r="G54" i="3"/>
  <c r="O54" i="3"/>
  <c r="D49" i="3"/>
  <c r="L49" i="3"/>
  <c r="P49" i="3"/>
  <c r="B43" i="3"/>
  <c r="F43" i="3"/>
  <c r="H43" i="3" s="1"/>
  <c r="J43" i="3"/>
  <c r="N43" i="3"/>
  <c r="C38" i="3"/>
  <c r="G38" i="3"/>
  <c r="H38" i="3" s="1"/>
  <c r="O38" i="3"/>
  <c r="D33" i="3"/>
  <c r="L33" i="3"/>
  <c r="P33" i="3"/>
  <c r="B27" i="3"/>
  <c r="F27" i="3"/>
  <c r="H27" i="3" s="1"/>
  <c r="J27" i="3"/>
  <c r="N27" i="3"/>
  <c r="C22" i="3"/>
  <c r="G22" i="3"/>
  <c r="H22" i="3" s="1"/>
  <c r="O22" i="3"/>
  <c r="D17" i="3"/>
  <c r="L17" i="3"/>
  <c r="P17" i="3"/>
  <c r="B11" i="3"/>
  <c r="F11" i="3"/>
  <c r="J11" i="3"/>
  <c r="N11" i="3"/>
  <c r="E61" i="5"/>
  <c r="E60" i="5"/>
  <c r="E59" i="5"/>
  <c r="E56" i="5"/>
  <c r="E47" i="5"/>
  <c r="F47" i="5" s="1"/>
  <c r="G47" i="5" s="1"/>
  <c r="E43" i="5"/>
  <c r="F43" i="5" s="1"/>
  <c r="G43" i="5" s="1"/>
  <c r="E39" i="5"/>
  <c r="F39" i="5" s="1"/>
  <c r="G39" i="5" s="1"/>
  <c r="E29" i="5"/>
  <c r="F29" i="5" s="1"/>
  <c r="G29" i="5" s="1"/>
  <c r="E13" i="5"/>
  <c r="F13" i="5" s="1"/>
  <c r="G13" i="5" s="1"/>
  <c r="E7" i="5"/>
  <c r="F7" i="5" s="1"/>
  <c r="G7" i="5" s="1"/>
  <c r="F188" i="7"/>
  <c r="J159" i="7"/>
  <c r="D143" i="7"/>
  <c r="H143" i="7"/>
  <c r="L143" i="7"/>
  <c r="C143" i="7"/>
  <c r="I143" i="7"/>
  <c r="N143" i="7"/>
  <c r="E143" i="7"/>
  <c r="J143" i="7"/>
  <c r="O143" i="7"/>
  <c r="B143" i="7"/>
  <c r="G143" i="7"/>
  <c r="M143" i="7"/>
  <c r="C138" i="7"/>
  <c r="G138" i="7"/>
  <c r="K138" i="7"/>
  <c r="O138" i="7"/>
  <c r="D138" i="7"/>
  <c r="I138" i="7"/>
  <c r="N138" i="7"/>
  <c r="E138" i="7"/>
  <c r="J138" i="7"/>
  <c r="B138" i="7"/>
  <c r="H138" i="7"/>
  <c r="M138" i="7"/>
  <c r="N186" i="3"/>
  <c r="J186" i="3"/>
  <c r="F186" i="3"/>
  <c r="H186" i="3" s="1"/>
  <c r="N182" i="3"/>
  <c r="J182" i="3"/>
  <c r="K182" i="3" s="1"/>
  <c r="F182" i="3"/>
  <c r="H182" i="3" s="1"/>
  <c r="N178" i="3"/>
  <c r="J178" i="3"/>
  <c r="F178" i="3"/>
  <c r="N174" i="3"/>
  <c r="J174" i="3"/>
  <c r="F174" i="3"/>
  <c r="N170" i="3"/>
  <c r="J170" i="3"/>
  <c r="F170" i="3"/>
  <c r="H170" i="3" s="1"/>
  <c r="N166" i="3"/>
  <c r="J166" i="3"/>
  <c r="K166" i="3" s="1"/>
  <c r="F166" i="3"/>
  <c r="H166" i="3" s="1"/>
  <c r="N162" i="3"/>
  <c r="J162" i="3"/>
  <c r="F162" i="3"/>
  <c r="H162" i="3" s="1"/>
  <c r="N158" i="3"/>
  <c r="J158" i="3"/>
  <c r="K158" i="3" s="1"/>
  <c r="F158" i="3"/>
  <c r="N154" i="3"/>
  <c r="J154" i="3"/>
  <c r="F154" i="3"/>
  <c r="N150" i="3"/>
  <c r="J150" i="3"/>
  <c r="F150" i="3"/>
  <c r="N146" i="3"/>
  <c r="J146" i="3"/>
  <c r="K146" i="3" s="1"/>
  <c r="F146" i="3"/>
  <c r="N142" i="3"/>
  <c r="J142" i="3"/>
  <c r="K142" i="3" s="1"/>
  <c r="F142" i="3"/>
  <c r="N138" i="3"/>
  <c r="J138" i="3"/>
  <c r="F138" i="3"/>
  <c r="N134" i="3"/>
  <c r="J134" i="3"/>
  <c r="F134" i="3"/>
  <c r="N130" i="3"/>
  <c r="J130" i="3"/>
  <c r="K130" i="3" s="1"/>
  <c r="F130" i="3"/>
  <c r="O129" i="3"/>
  <c r="G129" i="3"/>
  <c r="H129" i="3" s="1"/>
  <c r="N126" i="3"/>
  <c r="J126" i="3"/>
  <c r="K126" i="3" s="1"/>
  <c r="F126" i="3"/>
  <c r="O125" i="3"/>
  <c r="G125" i="3"/>
  <c r="N122" i="3"/>
  <c r="J122" i="3"/>
  <c r="K122" i="3" s="1"/>
  <c r="F122" i="3"/>
  <c r="O121" i="3"/>
  <c r="G121" i="3"/>
  <c r="D117" i="3"/>
  <c r="E117" i="3" s="1"/>
  <c r="L117" i="3"/>
  <c r="P117" i="3"/>
  <c r="M115" i="3"/>
  <c r="C115" i="3"/>
  <c r="N114" i="3"/>
  <c r="I114" i="3"/>
  <c r="K114" i="3" s="1"/>
  <c r="D114" i="3"/>
  <c r="B111" i="3"/>
  <c r="F111" i="3"/>
  <c r="J111" i="3"/>
  <c r="K111" i="3" s="1"/>
  <c r="N111" i="3"/>
  <c r="M110" i="3"/>
  <c r="B110" i="3"/>
  <c r="N109" i="3"/>
  <c r="I109" i="3"/>
  <c r="K109" i="3" s="1"/>
  <c r="C109" i="3"/>
  <c r="C106" i="3"/>
  <c r="E106" i="3" s="1"/>
  <c r="G106" i="3"/>
  <c r="O106" i="3"/>
  <c r="M105" i="3"/>
  <c r="G105" i="3"/>
  <c r="E105" i="5" s="1"/>
  <c r="B105" i="3"/>
  <c r="O103" i="3"/>
  <c r="I103" i="3"/>
  <c r="D103" i="3"/>
  <c r="D101" i="3"/>
  <c r="E101" i="3" s="1"/>
  <c r="L101" i="3"/>
  <c r="P101" i="3"/>
  <c r="M99" i="3"/>
  <c r="C99" i="3"/>
  <c r="E99" i="3" s="1"/>
  <c r="N98" i="3"/>
  <c r="I98" i="3"/>
  <c r="D98" i="3"/>
  <c r="B95" i="3"/>
  <c r="F95" i="3"/>
  <c r="J95" i="3"/>
  <c r="K95" i="3" s="1"/>
  <c r="N95" i="3"/>
  <c r="M94" i="3"/>
  <c r="B94" i="3"/>
  <c r="N93" i="3"/>
  <c r="I93" i="3"/>
  <c r="K93" i="3" s="1"/>
  <c r="C93" i="3"/>
  <c r="P91" i="3"/>
  <c r="C90" i="3"/>
  <c r="E90" i="3" s="1"/>
  <c r="G90" i="3"/>
  <c r="O90" i="3"/>
  <c r="M89" i="3"/>
  <c r="G89" i="3"/>
  <c r="E89" i="5" s="1"/>
  <c r="B89" i="3"/>
  <c r="O87" i="3"/>
  <c r="I87" i="3"/>
  <c r="D87" i="3"/>
  <c r="E87" i="3" s="1"/>
  <c r="P86" i="3"/>
  <c r="J86" i="3"/>
  <c r="D85" i="3"/>
  <c r="E85" i="3" s="1"/>
  <c r="L85" i="3"/>
  <c r="P85" i="3"/>
  <c r="M83" i="3"/>
  <c r="C83" i="3"/>
  <c r="E83" i="3" s="1"/>
  <c r="N82" i="3"/>
  <c r="I82" i="3"/>
  <c r="D82" i="3"/>
  <c r="O81" i="3"/>
  <c r="J81" i="3"/>
  <c r="B79" i="3"/>
  <c r="F79" i="3"/>
  <c r="J79" i="3"/>
  <c r="N79" i="3"/>
  <c r="M78" i="3"/>
  <c r="B78" i="3"/>
  <c r="N77" i="3"/>
  <c r="I77" i="3"/>
  <c r="C77" i="3"/>
  <c r="P75" i="3"/>
  <c r="C74" i="3"/>
  <c r="G74" i="3"/>
  <c r="O74" i="3"/>
  <c r="M73" i="3"/>
  <c r="G73" i="3"/>
  <c r="E73" i="5" s="1"/>
  <c r="B73" i="3"/>
  <c r="O71" i="3"/>
  <c r="I71" i="3"/>
  <c r="D71" i="3"/>
  <c r="P70" i="3"/>
  <c r="J70" i="3"/>
  <c r="D69" i="3"/>
  <c r="L69" i="3"/>
  <c r="P69" i="3"/>
  <c r="M67" i="3"/>
  <c r="C67" i="3"/>
  <c r="E67" i="3" s="1"/>
  <c r="N66" i="3"/>
  <c r="I66" i="3"/>
  <c r="D66" i="3"/>
  <c r="O65" i="3"/>
  <c r="J65" i="3"/>
  <c r="B63" i="3"/>
  <c r="F63" i="3"/>
  <c r="J63" i="3"/>
  <c r="K63" i="3" s="1"/>
  <c r="N63" i="3"/>
  <c r="M62" i="3"/>
  <c r="B62" i="3"/>
  <c r="N61" i="3"/>
  <c r="I61" i="3"/>
  <c r="C61" i="3"/>
  <c r="P59" i="3"/>
  <c r="C58" i="3"/>
  <c r="G58" i="3"/>
  <c r="H58" i="3" s="1"/>
  <c r="O58" i="3"/>
  <c r="M57" i="3"/>
  <c r="G57" i="3"/>
  <c r="H57" i="3" s="1"/>
  <c r="B57" i="3"/>
  <c r="O55" i="3"/>
  <c r="I55" i="3"/>
  <c r="D55" i="3"/>
  <c r="P54" i="3"/>
  <c r="J54" i="3"/>
  <c r="D53" i="3"/>
  <c r="L53" i="3"/>
  <c r="P53" i="3"/>
  <c r="M51" i="3"/>
  <c r="C51" i="3"/>
  <c r="N50" i="3"/>
  <c r="I50" i="3"/>
  <c r="K50" i="3" s="1"/>
  <c r="D50" i="3"/>
  <c r="O49" i="3"/>
  <c r="J49" i="3"/>
  <c r="B47" i="3"/>
  <c r="F47" i="3"/>
  <c r="H47" i="3" s="1"/>
  <c r="J47" i="3"/>
  <c r="N47" i="3"/>
  <c r="M46" i="3"/>
  <c r="B46" i="3"/>
  <c r="N45" i="3"/>
  <c r="I45" i="3"/>
  <c r="C45" i="3"/>
  <c r="P43" i="3"/>
  <c r="C42" i="3"/>
  <c r="E42" i="3" s="1"/>
  <c r="G42" i="3"/>
  <c r="H42" i="3" s="1"/>
  <c r="O42" i="3"/>
  <c r="M41" i="3"/>
  <c r="G41" i="3"/>
  <c r="H41" i="3" s="1"/>
  <c r="B41" i="3"/>
  <c r="O39" i="3"/>
  <c r="I39" i="3"/>
  <c r="D39" i="3"/>
  <c r="P38" i="3"/>
  <c r="J38" i="3"/>
  <c r="D37" i="3"/>
  <c r="E37" i="3" s="1"/>
  <c r="L37" i="3"/>
  <c r="P37" i="3"/>
  <c r="M35" i="3"/>
  <c r="C35" i="3"/>
  <c r="E35" i="3" s="1"/>
  <c r="N34" i="3"/>
  <c r="I34" i="3"/>
  <c r="D34" i="3"/>
  <c r="O33" i="3"/>
  <c r="J33" i="3"/>
  <c r="B31" i="3"/>
  <c r="F31" i="3"/>
  <c r="J31" i="3"/>
  <c r="N31" i="3"/>
  <c r="M30" i="3"/>
  <c r="B30" i="3"/>
  <c r="N29" i="3"/>
  <c r="I29" i="3"/>
  <c r="C29" i="3"/>
  <c r="P27" i="3"/>
  <c r="C26" i="3"/>
  <c r="G26" i="3"/>
  <c r="O26" i="3"/>
  <c r="M25" i="3"/>
  <c r="G25" i="3"/>
  <c r="H25" i="3" s="1"/>
  <c r="B25" i="3"/>
  <c r="O23" i="3"/>
  <c r="I23" i="3"/>
  <c r="D23" i="3"/>
  <c r="E23" i="3" s="1"/>
  <c r="P22" i="3"/>
  <c r="J22" i="3"/>
  <c r="D21" i="3"/>
  <c r="E21" i="3" s="1"/>
  <c r="L21" i="3"/>
  <c r="P21" i="3"/>
  <c r="M19" i="3"/>
  <c r="C19" i="3"/>
  <c r="E19" i="3" s="1"/>
  <c r="N18" i="3"/>
  <c r="I18" i="3"/>
  <c r="K18" i="3" s="1"/>
  <c r="D18" i="3"/>
  <c r="O17" i="3"/>
  <c r="J17" i="3"/>
  <c r="B15" i="3"/>
  <c r="F15" i="3"/>
  <c r="J15" i="3"/>
  <c r="N15" i="3"/>
  <c r="M14" i="3"/>
  <c r="B14" i="3"/>
  <c r="N13" i="3"/>
  <c r="I13" i="3"/>
  <c r="C13" i="3"/>
  <c r="P11" i="3"/>
  <c r="C10" i="3"/>
  <c r="G10" i="3"/>
  <c r="O10" i="3"/>
  <c r="M9" i="3"/>
  <c r="G9" i="3"/>
  <c r="B9" i="3"/>
  <c r="O7" i="3"/>
  <c r="I7" i="3"/>
  <c r="D7" i="3"/>
  <c r="E7" i="3" s="1"/>
  <c r="D166" i="5"/>
  <c r="H166" i="5"/>
  <c r="J166" i="5" s="1"/>
  <c r="D165" i="5"/>
  <c r="H165" i="5"/>
  <c r="J165" i="5" s="1"/>
  <c r="L165" i="5"/>
  <c r="D164" i="5"/>
  <c r="H164" i="5"/>
  <c r="J164" i="5" s="1"/>
  <c r="D163" i="5"/>
  <c r="H163" i="5"/>
  <c r="J163" i="5" s="1"/>
  <c r="D162" i="5"/>
  <c r="H162" i="5"/>
  <c r="D161" i="5"/>
  <c r="H161" i="5"/>
  <c r="D160" i="5"/>
  <c r="H160" i="5"/>
  <c r="D159" i="5"/>
  <c r="H159" i="5"/>
  <c r="J159" i="5" s="1"/>
  <c r="D158" i="5"/>
  <c r="H158" i="5"/>
  <c r="J158" i="5" s="1"/>
  <c r="D157" i="5"/>
  <c r="H157" i="5"/>
  <c r="J157" i="5" s="1"/>
  <c r="D156" i="5"/>
  <c r="H156" i="5"/>
  <c r="D155" i="5"/>
  <c r="H155" i="5"/>
  <c r="J155" i="5" s="1"/>
  <c r="D154" i="5"/>
  <c r="H154" i="5"/>
  <c r="J154" i="5" s="1"/>
  <c r="D153" i="5"/>
  <c r="H153" i="5"/>
  <c r="J153" i="5" s="1"/>
  <c r="D152" i="5"/>
  <c r="H152" i="5"/>
  <c r="D151" i="5"/>
  <c r="H151" i="5"/>
  <c r="J151" i="5" s="1"/>
  <c r="D150" i="5"/>
  <c r="H150" i="5"/>
  <c r="J150" i="5" s="1"/>
  <c r="D149" i="5"/>
  <c r="H149" i="5"/>
  <c r="J149" i="5" s="1"/>
  <c r="D148" i="5"/>
  <c r="H148" i="5"/>
  <c r="J148" i="5" s="1"/>
  <c r="D147" i="5"/>
  <c r="H147" i="5"/>
  <c r="J147" i="5" s="1"/>
  <c r="D146" i="5"/>
  <c r="H146" i="5"/>
  <c r="D145" i="5"/>
  <c r="H145" i="5"/>
  <c r="J145" i="5" s="1"/>
  <c r="D144" i="5"/>
  <c r="H144" i="5"/>
  <c r="D143" i="5"/>
  <c r="H143" i="5"/>
  <c r="J143" i="5" s="1"/>
  <c r="D142" i="5"/>
  <c r="H142" i="5"/>
  <c r="D141" i="5"/>
  <c r="H141" i="5"/>
  <c r="J141" i="5" s="1"/>
  <c r="D140" i="5"/>
  <c r="H140" i="5"/>
  <c r="D139" i="5"/>
  <c r="H139" i="5"/>
  <c r="J139" i="5" s="1"/>
  <c r="D138" i="5"/>
  <c r="H138" i="5"/>
  <c r="D137" i="5"/>
  <c r="H137" i="5"/>
  <c r="J137" i="5" s="1"/>
  <c r="D136" i="5"/>
  <c r="H136" i="5"/>
  <c r="D135" i="5"/>
  <c r="H135" i="5"/>
  <c r="J135" i="5" s="1"/>
  <c r="D134" i="5"/>
  <c r="H134" i="5"/>
  <c r="D133" i="5"/>
  <c r="H133" i="5"/>
  <c r="J133" i="5" s="1"/>
  <c r="D132" i="5"/>
  <c r="H132" i="5"/>
  <c r="D131" i="5"/>
  <c r="H131" i="5"/>
  <c r="J131" i="5" s="1"/>
  <c r="D130" i="5"/>
  <c r="H130" i="5"/>
  <c r="J130" i="5" s="1"/>
  <c r="D129" i="5"/>
  <c r="H129" i="5"/>
  <c r="D128" i="5"/>
  <c r="H128" i="5"/>
  <c r="D127" i="5"/>
  <c r="H127" i="5"/>
  <c r="J127" i="5" s="1"/>
  <c r="D126" i="5"/>
  <c r="H126" i="5"/>
  <c r="L126" i="5"/>
  <c r="M126" i="5" s="1"/>
  <c r="D125" i="5"/>
  <c r="H125" i="5"/>
  <c r="J125" i="5" s="1"/>
  <c r="D124" i="5"/>
  <c r="H124" i="5"/>
  <c r="D123" i="5"/>
  <c r="H123" i="5"/>
  <c r="J123" i="5" s="1"/>
  <c r="D122" i="5"/>
  <c r="H122" i="5"/>
  <c r="J122" i="5" s="1"/>
  <c r="L122" i="5"/>
  <c r="D121" i="5"/>
  <c r="H121" i="5"/>
  <c r="D120" i="5"/>
  <c r="H120" i="5"/>
  <c r="D119" i="5"/>
  <c r="H119" i="5"/>
  <c r="J119" i="5" s="1"/>
  <c r="D118" i="5"/>
  <c r="H118" i="5"/>
  <c r="D117" i="5"/>
  <c r="H117" i="5"/>
  <c r="D116" i="5"/>
  <c r="H116" i="5"/>
  <c r="D115" i="5"/>
  <c r="H115" i="5"/>
  <c r="J115" i="5" s="1"/>
  <c r="D114" i="5"/>
  <c r="H114" i="5"/>
  <c r="J114" i="5" s="1"/>
  <c r="D113" i="5"/>
  <c r="H113" i="5"/>
  <c r="J113" i="5" s="1"/>
  <c r="D112" i="5"/>
  <c r="H112" i="5"/>
  <c r="D111" i="5"/>
  <c r="H111" i="5"/>
  <c r="J111" i="5" s="1"/>
  <c r="D110" i="5"/>
  <c r="H110" i="5"/>
  <c r="D109" i="5"/>
  <c r="H109" i="5"/>
  <c r="J109" i="5" s="1"/>
  <c r="D108" i="5"/>
  <c r="H108" i="5"/>
  <c r="J108" i="5" s="1"/>
  <c r="D107" i="5"/>
  <c r="H107" i="5"/>
  <c r="J107" i="5" s="1"/>
  <c r="D106" i="5"/>
  <c r="H106" i="5"/>
  <c r="D105" i="5"/>
  <c r="H105" i="5"/>
  <c r="J105" i="5" s="1"/>
  <c r="D104" i="5"/>
  <c r="H104" i="5"/>
  <c r="J104" i="5" s="1"/>
  <c r="D103" i="5"/>
  <c r="H103" i="5"/>
  <c r="J103" i="5" s="1"/>
  <c r="D102" i="5"/>
  <c r="H102" i="5"/>
  <c r="D101" i="5"/>
  <c r="H101" i="5"/>
  <c r="J101" i="5" s="1"/>
  <c r="D100" i="5"/>
  <c r="H100" i="5"/>
  <c r="J100" i="5" s="1"/>
  <c r="D99" i="5"/>
  <c r="H99" i="5"/>
  <c r="J99" i="5" s="1"/>
  <c r="D98" i="5"/>
  <c r="H98" i="5"/>
  <c r="D97" i="5"/>
  <c r="H97" i="5"/>
  <c r="J97" i="5" s="1"/>
  <c r="D96" i="5"/>
  <c r="H96" i="5"/>
  <c r="J96" i="5" s="1"/>
  <c r="D95" i="5"/>
  <c r="H95" i="5"/>
  <c r="J95" i="5" s="1"/>
  <c r="D94" i="5"/>
  <c r="H94" i="5"/>
  <c r="D93" i="5"/>
  <c r="H93" i="5"/>
  <c r="J93" i="5" s="1"/>
  <c r="D92" i="5"/>
  <c r="H92" i="5"/>
  <c r="J92" i="5" s="1"/>
  <c r="D91" i="5"/>
  <c r="H91" i="5"/>
  <c r="J91" i="5" s="1"/>
  <c r="L91" i="5"/>
  <c r="M91" i="5" s="1"/>
  <c r="D90" i="5"/>
  <c r="H90" i="5"/>
  <c r="D89" i="5"/>
  <c r="H89" i="5"/>
  <c r="J89" i="5" s="1"/>
  <c r="D88" i="5"/>
  <c r="H88" i="5"/>
  <c r="J88" i="5" s="1"/>
  <c r="L88" i="5"/>
  <c r="M88" i="5" s="1"/>
  <c r="D87" i="5"/>
  <c r="H87" i="5"/>
  <c r="J87" i="5" s="1"/>
  <c r="D86" i="5"/>
  <c r="H86" i="5"/>
  <c r="D85" i="5"/>
  <c r="H85" i="5"/>
  <c r="J85" i="5" s="1"/>
  <c r="D84" i="5"/>
  <c r="H84" i="5"/>
  <c r="J84" i="5" s="1"/>
  <c r="L84" i="5"/>
  <c r="D83" i="5"/>
  <c r="H83" i="5"/>
  <c r="J83" i="5" s="1"/>
  <c r="D82" i="5"/>
  <c r="H82" i="5"/>
  <c r="D81" i="5"/>
  <c r="H81" i="5"/>
  <c r="J81" i="5" s="1"/>
  <c r="D80" i="5"/>
  <c r="H80" i="5"/>
  <c r="J80" i="5" s="1"/>
  <c r="L80" i="5"/>
  <c r="M80" i="5" s="1"/>
  <c r="D79" i="5"/>
  <c r="H79" i="5"/>
  <c r="J79" i="5" s="1"/>
  <c r="D78" i="5"/>
  <c r="H78" i="5"/>
  <c r="D77" i="5"/>
  <c r="H77" i="5"/>
  <c r="J77" i="5" s="1"/>
  <c r="D76" i="5"/>
  <c r="H76" i="5"/>
  <c r="J76" i="5" s="1"/>
  <c r="D75" i="5"/>
  <c r="H75" i="5"/>
  <c r="J75" i="5" s="1"/>
  <c r="L75" i="5"/>
  <c r="D74" i="5"/>
  <c r="H74" i="5"/>
  <c r="D73" i="5"/>
  <c r="H73" i="5"/>
  <c r="J73" i="5" s="1"/>
  <c r="D72" i="5"/>
  <c r="H72" i="5"/>
  <c r="J72" i="5" s="1"/>
  <c r="D71" i="5"/>
  <c r="H71" i="5"/>
  <c r="J71" i="5" s="1"/>
  <c r="D70" i="5"/>
  <c r="H70" i="5"/>
  <c r="D69" i="5"/>
  <c r="H69" i="5"/>
  <c r="J69" i="5" s="1"/>
  <c r="D68" i="5"/>
  <c r="H68" i="5"/>
  <c r="J68" i="5" s="1"/>
  <c r="D67" i="5"/>
  <c r="H67" i="5"/>
  <c r="J67" i="5" s="1"/>
  <c r="D66" i="5"/>
  <c r="H66" i="5"/>
  <c r="D65" i="5"/>
  <c r="H65" i="5"/>
  <c r="J65" i="5" s="1"/>
  <c r="D64" i="5"/>
  <c r="H64" i="5"/>
  <c r="J64" i="5" s="1"/>
  <c r="D63" i="5"/>
  <c r="H63" i="5"/>
  <c r="J63" i="5" s="1"/>
  <c r="K62" i="5"/>
  <c r="C62" i="5"/>
  <c r="N61" i="5"/>
  <c r="P61" i="5" s="1"/>
  <c r="I61" i="5"/>
  <c r="C61" i="5"/>
  <c r="N60" i="5"/>
  <c r="P60" i="5" s="1"/>
  <c r="I60" i="5"/>
  <c r="C60" i="5"/>
  <c r="N59" i="5"/>
  <c r="P59" i="5" s="1"/>
  <c r="I59" i="5"/>
  <c r="C59" i="5"/>
  <c r="N58" i="5"/>
  <c r="P58" i="5" s="1"/>
  <c r="I58" i="5"/>
  <c r="C58" i="5"/>
  <c r="N57" i="5"/>
  <c r="P57" i="5" s="1"/>
  <c r="I57" i="5"/>
  <c r="C57" i="5"/>
  <c r="N56" i="5"/>
  <c r="P56" i="5" s="1"/>
  <c r="I56" i="5"/>
  <c r="C56" i="5"/>
  <c r="N55" i="5"/>
  <c r="P55" i="5" s="1"/>
  <c r="I55" i="5"/>
  <c r="C55" i="5"/>
  <c r="N54" i="5"/>
  <c r="P54" i="5" s="1"/>
  <c r="I54" i="5"/>
  <c r="C54" i="5"/>
  <c r="N53" i="5"/>
  <c r="I53" i="5"/>
  <c r="C53" i="5"/>
  <c r="N52" i="5"/>
  <c r="P52" i="5" s="1"/>
  <c r="I52" i="5"/>
  <c r="C52" i="5"/>
  <c r="N51" i="5"/>
  <c r="P51" i="5" s="1"/>
  <c r="I51" i="5"/>
  <c r="C51" i="5"/>
  <c r="N50" i="5"/>
  <c r="P50" i="5" s="1"/>
  <c r="I50" i="5"/>
  <c r="C50" i="5"/>
  <c r="P32" i="5"/>
  <c r="P20" i="5"/>
  <c r="P8" i="5"/>
  <c r="C182" i="7"/>
  <c r="G182" i="7"/>
  <c r="K182" i="7"/>
  <c r="O182" i="7"/>
  <c r="D182" i="7"/>
  <c r="H182" i="7"/>
  <c r="H182" i="12" s="1"/>
  <c r="L182" i="7"/>
  <c r="B182" i="7"/>
  <c r="F182" i="7"/>
  <c r="J182" i="7"/>
  <c r="N182" i="7"/>
  <c r="C166" i="7"/>
  <c r="G166" i="7"/>
  <c r="K166" i="7"/>
  <c r="O166" i="7"/>
  <c r="D166" i="7"/>
  <c r="H166" i="7"/>
  <c r="L166" i="7"/>
  <c r="B166" i="7"/>
  <c r="F166" i="7"/>
  <c r="J166" i="7"/>
  <c r="N166" i="7"/>
  <c r="F159" i="7"/>
  <c r="B149" i="7"/>
  <c r="F149" i="7"/>
  <c r="J149" i="7"/>
  <c r="N149" i="7"/>
  <c r="D149" i="7"/>
  <c r="I149" i="7"/>
  <c r="O149" i="7"/>
  <c r="E149" i="7"/>
  <c r="K149" i="7"/>
  <c r="C149" i="7"/>
  <c r="H149" i="7"/>
  <c r="M149" i="7"/>
  <c r="L184" i="7"/>
  <c r="H184" i="7"/>
  <c r="D184" i="7"/>
  <c r="L180" i="7"/>
  <c r="H180" i="7"/>
  <c r="H180" i="12" s="1"/>
  <c r="D180" i="7"/>
  <c r="H176" i="7"/>
  <c r="L172" i="7"/>
  <c r="H172" i="7"/>
  <c r="D172" i="7"/>
  <c r="L164" i="7"/>
  <c r="H164" i="7"/>
  <c r="D164" i="7"/>
  <c r="L160" i="7"/>
  <c r="H160" i="7"/>
  <c r="D160" i="7"/>
  <c r="C158" i="7"/>
  <c r="G158" i="7"/>
  <c r="K158" i="7"/>
  <c r="O158" i="7"/>
  <c r="K157" i="7"/>
  <c r="E157" i="7"/>
  <c r="O151" i="7"/>
  <c r="J151" i="7"/>
  <c r="E151" i="7"/>
  <c r="E146" i="7"/>
  <c r="O135" i="7"/>
  <c r="J135" i="7"/>
  <c r="E135" i="7"/>
  <c r="L131" i="7"/>
  <c r="M127" i="7"/>
  <c r="O119" i="7"/>
  <c r="J119" i="7"/>
  <c r="E119" i="7"/>
  <c r="J114" i="7"/>
  <c r="E114" i="7"/>
  <c r="M111" i="7"/>
  <c r="G111" i="7"/>
  <c r="K109" i="7"/>
  <c r="E109" i="7"/>
  <c r="M106" i="7"/>
  <c r="B105" i="7"/>
  <c r="F105" i="7"/>
  <c r="J105" i="7"/>
  <c r="N105" i="7"/>
  <c r="O103" i="7"/>
  <c r="J103" i="7"/>
  <c r="E103" i="7"/>
  <c r="M101" i="7"/>
  <c r="H101" i="7"/>
  <c r="D99" i="7"/>
  <c r="H99" i="7"/>
  <c r="J98" i="7"/>
  <c r="E98" i="7"/>
  <c r="M95" i="7"/>
  <c r="G95" i="7"/>
  <c r="C94" i="7"/>
  <c r="G94" i="7"/>
  <c r="K94" i="7"/>
  <c r="O94" i="7"/>
  <c r="K93" i="7"/>
  <c r="E93" i="7"/>
  <c r="M90" i="7"/>
  <c r="H90" i="7"/>
  <c r="D83" i="7"/>
  <c r="H83" i="7"/>
  <c r="L83" i="7"/>
  <c r="M79" i="7"/>
  <c r="G79" i="7"/>
  <c r="K77" i="7"/>
  <c r="E77" i="7"/>
  <c r="M74" i="7"/>
  <c r="H74" i="7"/>
  <c r="F73" i="7"/>
  <c r="O71" i="7"/>
  <c r="J71" i="7"/>
  <c r="E71" i="7"/>
  <c r="D67" i="7"/>
  <c r="H67" i="7"/>
  <c r="L67" i="7"/>
  <c r="M63" i="7"/>
  <c r="G63" i="7"/>
  <c r="G62" i="7"/>
  <c r="M58" i="7"/>
  <c r="H58" i="7"/>
  <c r="B57" i="7"/>
  <c r="F57" i="7"/>
  <c r="J57" i="7"/>
  <c r="N57" i="7"/>
  <c r="M53" i="7"/>
  <c r="H53" i="7"/>
  <c r="H51" i="7"/>
  <c r="J50" i="7"/>
  <c r="E50" i="7"/>
  <c r="C46" i="7"/>
  <c r="G46" i="7"/>
  <c r="K46" i="7"/>
  <c r="O46" i="7"/>
  <c r="K45" i="7"/>
  <c r="E45" i="7"/>
  <c r="M42" i="7"/>
  <c r="H42" i="7"/>
  <c r="B41" i="7"/>
  <c r="F41" i="7"/>
  <c r="J41" i="7"/>
  <c r="N41" i="7"/>
  <c r="M37" i="7"/>
  <c r="H37" i="7"/>
  <c r="D35" i="7"/>
  <c r="H35" i="7"/>
  <c r="L35" i="7"/>
  <c r="M31" i="7"/>
  <c r="G31" i="7"/>
  <c r="C30" i="7"/>
  <c r="G30" i="7"/>
  <c r="K30" i="7"/>
  <c r="O30" i="7"/>
  <c r="K29" i="7"/>
  <c r="E29" i="7"/>
  <c r="M26" i="7"/>
  <c r="H26" i="7"/>
  <c r="B25" i="7"/>
  <c r="F25" i="7"/>
  <c r="J25" i="7"/>
  <c r="N25" i="7"/>
  <c r="O23" i="7"/>
  <c r="G23" i="7"/>
  <c r="K19" i="7"/>
  <c r="M182" i="6"/>
  <c r="M174" i="6"/>
  <c r="M166" i="6"/>
  <c r="M158" i="6"/>
  <c r="M150" i="6"/>
  <c r="C145" i="6"/>
  <c r="G145" i="6"/>
  <c r="K145" i="6"/>
  <c r="B145" i="6"/>
  <c r="H145" i="6"/>
  <c r="M145" i="6"/>
  <c r="D145" i="6"/>
  <c r="I145" i="6"/>
  <c r="Q145" i="12" s="1"/>
  <c r="N145" i="6"/>
  <c r="E145" i="6"/>
  <c r="J145" i="6"/>
  <c r="O145" i="6"/>
  <c r="D118" i="6"/>
  <c r="H118" i="6"/>
  <c r="L118" i="12" s="1"/>
  <c r="L118" i="6"/>
  <c r="O118" i="12" s="1"/>
  <c r="B118" i="6"/>
  <c r="G118" i="6"/>
  <c r="M118" i="6"/>
  <c r="C118" i="6"/>
  <c r="L118" i="5" s="1"/>
  <c r="I118" i="6"/>
  <c r="Q118" i="12" s="1"/>
  <c r="N118" i="6"/>
  <c r="E118" i="6"/>
  <c r="J118" i="6"/>
  <c r="O118" i="6"/>
  <c r="C113" i="6"/>
  <c r="G113" i="6"/>
  <c r="K113" i="6"/>
  <c r="R113" i="12" s="1"/>
  <c r="O113" i="6"/>
  <c r="B113" i="6"/>
  <c r="H113" i="6"/>
  <c r="M113" i="6"/>
  <c r="D113" i="6"/>
  <c r="I113" i="6"/>
  <c r="N113" i="6"/>
  <c r="E113" i="6"/>
  <c r="J113" i="6"/>
  <c r="H127" i="7"/>
  <c r="K122" i="7"/>
  <c r="J80" i="12"/>
  <c r="I183" i="12"/>
  <c r="D111" i="7"/>
  <c r="H111" i="7"/>
  <c r="L111" i="7"/>
  <c r="B101" i="7"/>
  <c r="F101" i="7"/>
  <c r="J101" i="7"/>
  <c r="N101" i="7"/>
  <c r="D95" i="7"/>
  <c r="H95" i="7"/>
  <c r="L95" i="7"/>
  <c r="K95" i="12" s="1"/>
  <c r="C90" i="7"/>
  <c r="G90" i="7"/>
  <c r="K90" i="7"/>
  <c r="O90" i="7"/>
  <c r="D79" i="7"/>
  <c r="H79" i="7"/>
  <c r="L79" i="7"/>
  <c r="C74" i="7"/>
  <c r="G74" i="7"/>
  <c r="K74" i="7"/>
  <c r="O74" i="7"/>
  <c r="N69" i="7"/>
  <c r="D63" i="7"/>
  <c r="H63" i="7"/>
  <c r="L63" i="7"/>
  <c r="C58" i="7"/>
  <c r="G58" i="7"/>
  <c r="K58" i="7"/>
  <c r="O58" i="7"/>
  <c r="B53" i="7"/>
  <c r="F53" i="7"/>
  <c r="J53" i="7"/>
  <c r="N53" i="7"/>
  <c r="C42" i="7"/>
  <c r="G42" i="7"/>
  <c r="K42" i="7"/>
  <c r="O42" i="7"/>
  <c r="B37" i="7"/>
  <c r="F37" i="7"/>
  <c r="J37" i="7"/>
  <c r="N37" i="7"/>
  <c r="D31" i="7"/>
  <c r="H31" i="7"/>
  <c r="L31" i="7"/>
  <c r="O29" i="7"/>
  <c r="I29" i="7"/>
  <c r="D29" i="7"/>
  <c r="O26" i="7"/>
  <c r="M23" i="7"/>
  <c r="E23" i="7"/>
  <c r="D19" i="7"/>
  <c r="H19" i="7"/>
  <c r="L19" i="7"/>
  <c r="B19" i="7"/>
  <c r="F19" i="7"/>
  <c r="J19" i="7"/>
  <c r="N19" i="7"/>
  <c r="M15" i="7"/>
  <c r="B186" i="6"/>
  <c r="F186" i="6"/>
  <c r="J186" i="6"/>
  <c r="N186" i="6"/>
  <c r="C186" i="6"/>
  <c r="G186" i="6"/>
  <c r="K186" i="6"/>
  <c r="O186" i="6"/>
  <c r="D186" i="6"/>
  <c r="H186" i="6"/>
  <c r="L186" i="12" s="1"/>
  <c r="L186" i="6"/>
  <c r="O186" i="12" s="1"/>
  <c r="I182" i="6"/>
  <c r="M182" i="12" s="1"/>
  <c r="B178" i="6"/>
  <c r="F178" i="6"/>
  <c r="J178" i="6"/>
  <c r="N178" i="6"/>
  <c r="C178" i="6"/>
  <c r="G178" i="6"/>
  <c r="K178" i="6"/>
  <c r="O178" i="6"/>
  <c r="D178" i="6"/>
  <c r="H178" i="6"/>
  <c r="L178" i="12" s="1"/>
  <c r="L178" i="6"/>
  <c r="O178" i="12" s="1"/>
  <c r="I174" i="6"/>
  <c r="M174" i="12" s="1"/>
  <c r="Q170" i="12"/>
  <c r="B170" i="6"/>
  <c r="F170" i="6"/>
  <c r="J170" i="6"/>
  <c r="N170" i="6"/>
  <c r="C170" i="6"/>
  <c r="G170" i="6"/>
  <c r="K170" i="6"/>
  <c r="O170" i="6"/>
  <c r="D170" i="6"/>
  <c r="H170" i="6"/>
  <c r="L170" i="6"/>
  <c r="I166" i="6"/>
  <c r="Q166" i="12" s="1"/>
  <c r="Q162" i="12"/>
  <c r="B162" i="6"/>
  <c r="F162" i="6"/>
  <c r="J162" i="6"/>
  <c r="N162" i="6"/>
  <c r="C162" i="6"/>
  <c r="G162" i="6"/>
  <c r="K162" i="6"/>
  <c r="R162" i="12" s="1"/>
  <c r="O162" i="6"/>
  <c r="D162" i="6"/>
  <c r="H162" i="6"/>
  <c r="P162" i="12" s="1"/>
  <c r="L162" i="6"/>
  <c r="O162" i="12" s="1"/>
  <c r="I158" i="6"/>
  <c r="Q158" i="12" s="1"/>
  <c r="B154" i="6"/>
  <c r="F154" i="6"/>
  <c r="J154" i="6"/>
  <c r="N154" i="6"/>
  <c r="C154" i="6"/>
  <c r="G154" i="6"/>
  <c r="K154" i="6"/>
  <c r="S154" i="12" s="1"/>
  <c r="O154" i="6"/>
  <c r="D154" i="6"/>
  <c r="H154" i="6"/>
  <c r="L154" i="12" s="1"/>
  <c r="L154" i="6"/>
  <c r="O154" i="12" s="1"/>
  <c r="I150" i="6"/>
  <c r="Q150" i="12" s="1"/>
  <c r="Q146" i="12"/>
  <c r="B146" i="6"/>
  <c r="F146" i="6"/>
  <c r="J146" i="6"/>
  <c r="N146" i="6"/>
  <c r="C146" i="6"/>
  <c r="G146" i="6"/>
  <c r="K146" i="6"/>
  <c r="O146" i="6"/>
  <c r="D146" i="6"/>
  <c r="H146" i="6"/>
  <c r="L146" i="12" s="1"/>
  <c r="L146" i="6"/>
  <c r="O146" i="12" s="1"/>
  <c r="L140" i="6"/>
  <c r="O140" i="12" s="1"/>
  <c r="B124" i="6"/>
  <c r="F124" i="6"/>
  <c r="J124" i="6"/>
  <c r="N124" i="6"/>
  <c r="C124" i="6"/>
  <c r="H124" i="6"/>
  <c r="L124" i="12" s="1"/>
  <c r="M124" i="6"/>
  <c r="A124" i="7"/>
  <c r="D124" i="6"/>
  <c r="I124" i="6"/>
  <c r="O124" i="6"/>
  <c r="E124" i="6"/>
  <c r="K124" i="6"/>
  <c r="H49" i="5"/>
  <c r="H48" i="5"/>
  <c r="H47" i="5"/>
  <c r="J47" i="5" s="1"/>
  <c r="H46" i="5"/>
  <c r="H45" i="5"/>
  <c r="H44" i="5"/>
  <c r="H43" i="5"/>
  <c r="H42" i="5"/>
  <c r="H41" i="5"/>
  <c r="J41" i="5" s="1"/>
  <c r="H40" i="5"/>
  <c r="L39" i="5"/>
  <c r="H39" i="5"/>
  <c r="J39" i="5" s="1"/>
  <c r="H38" i="5"/>
  <c r="J38" i="5" s="1"/>
  <c r="H37" i="5"/>
  <c r="H36" i="5"/>
  <c r="J36" i="5" s="1"/>
  <c r="H35" i="5"/>
  <c r="L34" i="5"/>
  <c r="M34" i="5" s="1"/>
  <c r="H34" i="5"/>
  <c r="H33" i="5"/>
  <c r="H32" i="5"/>
  <c r="J32" i="5" s="1"/>
  <c r="H31" i="5"/>
  <c r="H30" i="5"/>
  <c r="L29" i="5"/>
  <c r="H29" i="5"/>
  <c r="H28" i="5"/>
  <c r="J28" i="5" s="1"/>
  <c r="H27" i="5"/>
  <c r="J27" i="5" s="1"/>
  <c r="H26" i="5"/>
  <c r="J26" i="5" s="1"/>
  <c r="H25" i="5"/>
  <c r="H24" i="5"/>
  <c r="H23" i="5"/>
  <c r="H22" i="5"/>
  <c r="H21" i="5"/>
  <c r="J21" i="5" s="1"/>
  <c r="H20" i="5"/>
  <c r="H19" i="5"/>
  <c r="H18" i="5"/>
  <c r="H17" i="5"/>
  <c r="L16" i="5"/>
  <c r="H16" i="5"/>
  <c r="H15" i="5"/>
  <c r="H14" i="5"/>
  <c r="J14" i="5" s="1"/>
  <c r="H13" i="5"/>
  <c r="H12" i="5"/>
  <c r="J12" i="5" s="1"/>
  <c r="H11" i="5"/>
  <c r="H10" i="5"/>
  <c r="H9" i="5"/>
  <c r="L8" i="5"/>
  <c r="H8" i="5"/>
  <c r="H7" i="5"/>
  <c r="J7" i="5" s="1"/>
  <c r="O189" i="7"/>
  <c r="K189" i="7"/>
  <c r="G189" i="7"/>
  <c r="O185" i="7"/>
  <c r="K185" i="7"/>
  <c r="G185" i="7"/>
  <c r="N184" i="7"/>
  <c r="J184" i="7"/>
  <c r="F184" i="7"/>
  <c r="N180" i="7"/>
  <c r="J180" i="7"/>
  <c r="F180" i="7"/>
  <c r="O177" i="7"/>
  <c r="K177" i="7"/>
  <c r="G177" i="7"/>
  <c r="O173" i="7"/>
  <c r="K173" i="7"/>
  <c r="G173" i="7"/>
  <c r="N172" i="7"/>
  <c r="J172" i="7"/>
  <c r="F172" i="7"/>
  <c r="N164" i="7"/>
  <c r="J164" i="7"/>
  <c r="F164" i="7"/>
  <c r="K161" i="7"/>
  <c r="G161" i="7"/>
  <c r="N160" i="7"/>
  <c r="J160" i="7"/>
  <c r="F160" i="7"/>
  <c r="N158" i="7"/>
  <c r="I158" i="7"/>
  <c r="D158" i="7"/>
  <c r="M157" i="7"/>
  <c r="H157" i="7"/>
  <c r="D155" i="7"/>
  <c r="H155" i="7"/>
  <c r="L155" i="7"/>
  <c r="M151" i="7"/>
  <c r="G151" i="7"/>
  <c r="B145" i="7"/>
  <c r="F145" i="7"/>
  <c r="J145" i="7"/>
  <c r="N145" i="7"/>
  <c r="H141" i="7"/>
  <c r="M135" i="7"/>
  <c r="G135" i="7"/>
  <c r="C134" i="7"/>
  <c r="G134" i="7"/>
  <c r="K134" i="7"/>
  <c r="O134" i="7"/>
  <c r="N131" i="7"/>
  <c r="O127" i="7"/>
  <c r="E127" i="7"/>
  <c r="M119" i="7"/>
  <c r="G119" i="7"/>
  <c r="M114" i="7"/>
  <c r="H114" i="7"/>
  <c r="B113" i="7"/>
  <c r="F113" i="7"/>
  <c r="J113" i="7"/>
  <c r="N113" i="7"/>
  <c r="O111" i="7"/>
  <c r="J111" i="7"/>
  <c r="E111" i="7"/>
  <c r="M109" i="7"/>
  <c r="H109" i="7"/>
  <c r="D107" i="7"/>
  <c r="H107" i="7"/>
  <c r="L107" i="7"/>
  <c r="J106" i="7"/>
  <c r="O105" i="7"/>
  <c r="I105" i="7"/>
  <c r="D105" i="7"/>
  <c r="M103" i="7"/>
  <c r="G103" i="7"/>
  <c r="K101" i="7"/>
  <c r="E101" i="7"/>
  <c r="I99" i="7"/>
  <c r="M98" i="7"/>
  <c r="H98" i="7"/>
  <c r="B97" i="7"/>
  <c r="F97" i="7"/>
  <c r="J97" i="7"/>
  <c r="N97" i="7"/>
  <c r="O95" i="7"/>
  <c r="J95" i="7"/>
  <c r="E95" i="7"/>
  <c r="N94" i="7"/>
  <c r="I94" i="7"/>
  <c r="D94" i="7"/>
  <c r="M93" i="7"/>
  <c r="H93" i="7"/>
  <c r="H91" i="7"/>
  <c r="J90" i="7"/>
  <c r="E90" i="7"/>
  <c r="C86" i="7"/>
  <c r="G86" i="7"/>
  <c r="K86" i="7"/>
  <c r="O86" i="7"/>
  <c r="N83" i="7"/>
  <c r="I83" i="7"/>
  <c r="C83" i="7"/>
  <c r="M82" i="7"/>
  <c r="H82" i="7"/>
  <c r="B81" i="7"/>
  <c r="F81" i="7"/>
  <c r="J81" i="7"/>
  <c r="N81" i="7"/>
  <c r="O79" i="7"/>
  <c r="J79" i="7"/>
  <c r="E79" i="7"/>
  <c r="M77" i="7"/>
  <c r="H77" i="7"/>
  <c r="J74" i="7"/>
  <c r="E74" i="7"/>
  <c r="M71" i="7"/>
  <c r="G71" i="7"/>
  <c r="C70" i="7"/>
  <c r="N67" i="7"/>
  <c r="I67" i="7"/>
  <c r="C67" i="7"/>
  <c r="B65" i="7"/>
  <c r="F65" i="7"/>
  <c r="J65" i="7"/>
  <c r="N65" i="7"/>
  <c r="O63" i="7"/>
  <c r="J63" i="7"/>
  <c r="E63" i="7"/>
  <c r="D59" i="7"/>
  <c r="H59" i="7"/>
  <c r="L59" i="7"/>
  <c r="J58" i="7"/>
  <c r="E58" i="7"/>
  <c r="O57" i="7"/>
  <c r="I57" i="7"/>
  <c r="D57" i="7"/>
  <c r="C54" i="7"/>
  <c r="G54" i="7"/>
  <c r="K54" i="7"/>
  <c r="O54" i="7"/>
  <c r="K53" i="7"/>
  <c r="E53" i="7"/>
  <c r="I51" i="7"/>
  <c r="M50" i="7"/>
  <c r="B49" i="7"/>
  <c r="F49" i="7"/>
  <c r="J49" i="7"/>
  <c r="N49" i="7"/>
  <c r="N46" i="7"/>
  <c r="I46" i="7"/>
  <c r="D46" i="7"/>
  <c r="M45" i="7"/>
  <c r="H45" i="7"/>
  <c r="J42" i="7"/>
  <c r="E42" i="7"/>
  <c r="O41" i="7"/>
  <c r="I41" i="7"/>
  <c r="D41" i="7"/>
  <c r="K37" i="7"/>
  <c r="E37" i="7"/>
  <c r="N35" i="7"/>
  <c r="I35" i="7"/>
  <c r="C35" i="7"/>
  <c r="B33" i="7"/>
  <c r="O31" i="7"/>
  <c r="J31" i="7"/>
  <c r="E31" i="7"/>
  <c r="N30" i="7"/>
  <c r="I30" i="7"/>
  <c r="D30" i="7"/>
  <c r="M29" i="7"/>
  <c r="H29" i="7"/>
  <c r="D27" i="7"/>
  <c r="H27" i="7"/>
  <c r="L27" i="7"/>
  <c r="J26" i="7"/>
  <c r="E26" i="7"/>
  <c r="O25" i="7"/>
  <c r="I25" i="7"/>
  <c r="D25" i="7"/>
  <c r="K23" i="7"/>
  <c r="B21" i="7"/>
  <c r="F21" i="7"/>
  <c r="J21" i="7"/>
  <c r="N21" i="7"/>
  <c r="D21" i="7"/>
  <c r="H21" i="7"/>
  <c r="L21" i="7"/>
  <c r="O19" i="7"/>
  <c r="G19" i="7"/>
  <c r="B13" i="7"/>
  <c r="F13" i="7"/>
  <c r="J13" i="7"/>
  <c r="N13" i="7"/>
  <c r="D13" i="7"/>
  <c r="H13" i="7"/>
  <c r="L13" i="7"/>
  <c r="M186" i="6"/>
  <c r="M178" i="6"/>
  <c r="M170" i="6"/>
  <c r="M162" i="6"/>
  <c r="M154" i="6"/>
  <c r="M146" i="6"/>
  <c r="L145" i="6"/>
  <c r="S134" i="12"/>
  <c r="D134" i="6"/>
  <c r="H134" i="6"/>
  <c r="L134" i="12" s="1"/>
  <c r="L134" i="6"/>
  <c r="O134" i="12" s="1"/>
  <c r="B134" i="6"/>
  <c r="G134" i="6"/>
  <c r="M134" i="6"/>
  <c r="C134" i="6"/>
  <c r="L134" i="5" s="1"/>
  <c r="M134" i="5" s="1"/>
  <c r="I134" i="6"/>
  <c r="Q134" i="12" s="1"/>
  <c r="N134" i="6"/>
  <c r="E134" i="6"/>
  <c r="J134" i="6"/>
  <c r="O134" i="6"/>
  <c r="C129" i="6"/>
  <c r="G129" i="6"/>
  <c r="K129" i="6"/>
  <c r="O129" i="6"/>
  <c r="B129" i="6"/>
  <c r="H129" i="6"/>
  <c r="M129" i="6"/>
  <c r="D129" i="6"/>
  <c r="I129" i="6"/>
  <c r="N129" i="6"/>
  <c r="E129" i="6"/>
  <c r="J129" i="6"/>
  <c r="K118" i="6"/>
  <c r="S118" i="12" s="1"/>
  <c r="L113" i="6"/>
  <c r="O113" i="12" s="1"/>
  <c r="Q106" i="12"/>
  <c r="D106" i="6"/>
  <c r="H106" i="6"/>
  <c r="L106" i="12" s="1"/>
  <c r="L106" i="6"/>
  <c r="B106" i="6"/>
  <c r="F106" i="6"/>
  <c r="J106" i="6"/>
  <c r="N106" i="6"/>
  <c r="C106" i="6"/>
  <c r="L106" i="5" s="1"/>
  <c r="M106" i="5" s="1"/>
  <c r="K106" i="6"/>
  <c r="S106" i="12" s="1"/>
  <c r="E106" i="6"/>
  <c r="M106" i="6"/>
  <c r="G106" i="6"/>
  <c r="O106" i="6"/>
  <c r="B157" i="7"/>
  <c r="F157" i="7"/>
  <c r="J157" i="7"/>
  <c r="N157" i="7"/>
  <c r="D151" i="7"/>
  <c r="H151" i="7"/>
  <c r="L151" i="7"/>
  <c r="O146" i="7"/>
  <c r="B141" i="7"/>
  <c r="J141" i="7"/>
  <c r="D135" i="7"/>
  <c r="H135" i="7"/>
  <c r="L135" i="7"/>
  <c r="D119" i="7"/>
  <c r="H119" i="7"/>
  <c r="L119" i="7"/>
  <c r="I117" i="7"/>
  <c r="C114" i="7"/>
  <c r="G114" i="7"/>
  <c r="K114" i="7"/>
  <c r="O114" i="7"/>
  <c r="N111" i="7"/>
  <c r="I111" i="7"/>
  <c r="I111" i="12" s="1"/>
  <c r="C111" i="7"/>
  <c r="B109" i="7"/>
  <c r="F109" i="7"/>
  <c r="J109" i="7"/>
  <c r="N109" i="7"/>
  <c r="D103" i="7"/>
  <c r="H103" i="7"/>
  <c r="L103" i="7"/>
  <c r="O101" i="7"/>
  <c r="I101" i="7"/>
  <c r="D101" i="7"/>
  <c r="C98" i="7"/>
  <c r="G98" i="7"/>
  <c r="K98" i="7"/>
  <c r="O98" i="7"/>
  <c r="N95" i="7"/>
  <c r="I95" i="7"/>
  <c r="C95" i="7"/>
  <c r="B93" i="7"/>
  <c r="F93" i="7"/>
  <c r="J93" i="7"/>
  <c r="N93" i="7"/>
  <c r="N90" i="7"/>
  <c r="I90" i="7"/>
  <c r="D90" i="7"/>
  <c r="D87" i="7"/>
  <c r="C82" i="7"/>
  <c r="G82" i="7"/>
  <c r="K82" i="7"/>
  <c r="O82" i="7"/>
  <c r="N79" i="7"/>
  <c r="I79" i="7"/>
  <c r="C79" i="7"/>
  <c r="B77" i="7"/>
  <c r="F77" i="7"/>
  <c r="J77" i="7"/>
  <c r="N77" i="7"/>
  <c r="N74" i="7"/>
  <c r="I74" i="7"/>
  <c r="D74" i="7"/>
  <c r="D71" i="7"/>
  <c r="H71" i="7"/>
  <c r="L71" i="7"/>
  <c r="O66" i="7"/>
  <c r="N63" i="7"/>
  <c r="I63" i="7"/>
  <c r="C63" i="7"/>
  <c r="N58" i="7"/>
  <c r="I58" i="7"/>
  <c r="D58" i="7"/>
  <c r="O53" i="7"/>
  <c r="I53" i="7"/>
  <c r="D53" i="7"/>
  <c r="O50" i="7"/>
  <c r="B45" i="7"/>
  <c r="F45" i="7"/>
  <c r="J45" i="7"/>
  <c r="N45" i="7"/>
  <c r="N42" i="7"/>
  <c r="I42" i="7"/>
  <c r="D42" i="7"/>
  <c r="B29" i="7"/>
  <c r="F29" i="7"/>
  <c r="J29" i="7"/>
  <c r="N29" i="7"/>
  <c r="D23" i="7"/>
  <c r="H23" i="7"/>
  <c r="L23" i="7"/>
  <c r="B23" i="7"/>
  <c r="F23" i="7"/>
  <c r="J23" i="7"/>
  <c r="N23" i="7"/>
  <c r="H15" i="7"/>
  <c r="B15" i="7"/>
  <c r="B182" i="6"/>
  <c r="F182" i="6"/>
  <c r="J182" i="6"/>
  <c r="N182" i="6"/>
  <c r="C182" i="6"/>
  <c r="G182" i="6"/>
  <c r="K182" i="6"/>
  <c r="O182" i="6"/>
  <c r="D182" i="6"/>
  <c r="H182" i="6"/>
  <c r="L182" i="12" s="1"/>
  <c r="L182" i="6"/>
  <c r="O182" i="12" s="1"/>
  <c r="B174" i="6"/>
  <c r="F174" i="6"/>
  <c r="J174" i="6"/>
  <c r="N174" i="6"/>
  <c r="C174" i="6"/>
  <c r="G174" i="6"/>
  <c r="K174" i="6"/>
  <c r="O174" i="6"/>
  <c r="D174" i="6"/>
  <c r="H174" i="6"/>
  <c r="L174" i="12" s="1"/>
  <c r="L174" i="6"/>
  <c r="O174" i="12" s="1"/>
  <c r="B166" i="6"/>
  <c r="F166" i="6"/>
  <c r="J166" i="6"/>
  <c r="N166" i="6"/>
  <c r="C166" i="6"/>
  <c r="G166" i="6"/>
  <c r="K166" i="6"/>
  <c r="O166" i="6"/>
  <c r="D166" i="6"/>
  <c r="H166" i="6"/>
  <c r="L166" i="12" s="1"/>
  <c r="L166" i="6"/>
  <c r="O166" i="12" s="1"/>
  <c r="B158" i="6"/>
  <c r="F158" i="6"/>
  <c r="J158" i="6"/>
  <c r="N158" i="6"/>
  <c r="C158" i="6"/>
  <c r="G158" i="6"/>
  <c r="K158" i="6"/>
  <c r="O158" i="6"/>
  <c r="D158" i="6"/>
  <c r="H158" i="6"/>
  <c r="L158" i="6"/>
  <c r="O158" i="12" s="1"/>
  <c r="B150" i="6"/>
  <c r="F150" i="6"/>
  <c r="J150" i="6"/>
  <c r="N150" i="6"/>
  <c r="C150" i="6"/>
  <c r="G150" i="6"/>
  <c r="K150" i="6"/>
  <c r="O150" i="6"/>
  <c r="D150" i="6"/>
  <c r="H150" i="6"/>
  <c r="L150" i="6"/>
  <c r="O150" i="12" s="1"/>
  <c r="B140" i="6"/>
  <c r="F140" i="6"/>
  <c r="J140" i="6"/>
  <c r="N140" i="6"/>
  <c r="C140" i="6"/>
  <c r="H140" i="6"/>
  <c r="L140" i="12" s="1"/>
  <c r="M140" i="6"/>
  <c r="A140" i="7"/>
  <c r="D140" i="6"/>
  <c r="I140" i="6"/>
  <c r="O140" i="6"/>
  <c r="E140" i="6"/>
  <c r="K140" i="6"/>
  <c r="L124" i="6"/>
  <c r="O124" i="12" s="1"/>
  <c r="Q98" i="12"/>
  <c r="D98" i="6"/>
  <c r="H98" i="6"/>
  <c r="P98" i="12" s="1"/>
  <c r="L98" i="6"/>
  <c r="B98" i="6"/>
  <c r="F98" i="6"/>
  <c r="J98" i="6"/>
  <c r="N98" i="6"/>
  <c r="Q90" i="12"/>
  <c r="D90" i="6"/>
  <c r="H90" i="6"/>
  <c r="P90" i="12" s="1"/>
  <c r="L90" i="6"/>
  <c r="O90" i="12" s="1"/>
  <c r="B90" i="6"/>
  <c r="F90" i="6"/>
  <c r="J90" i="6"/>
  <c r="N90" i="6"/>
  <c r="Q82" i="12"/>
  <c r="D82" i="6"/>
  <c r="H82" i="6"/>
  <c r="P82" i="12" s="1"/>
  <c r="L82" i="6"/>
  <c r="O82" i="12" s="1"/>
  <c r="B82" i="6"/>
  <c r="F82" i="6"/>
  <c r="J82" i="6"/>
  <c r="N82" i="6"/>
  <c r="Q74" i="12"/>
  <c r="D74" i="6"/>
  <c r="H74" i="6"/>
  <c r="P74" i="12" s="1"/>
  <c r="L74" i="6"/>
  <c r="O74" i="12" s="1"/>
  <c r="B74" i="6"/>
  <c r="F74" i="6"/>
  <c r="J74" i="6"/>
  <c r="N74" i="6"/>
  <c r="D66" i="6"/>
  <c r="H66" i="6"/>
  <c r="P66" i="12" s="1"/>
  <c r="L66" i="6"/>
  <c r="O66" i="12" s="1"/>
  <c r="B66" i="6"/>
  <c r="F66" i="6"/>
  <c r="J66" i="6"/>
  <c r="N66" i="6"/>
  <c r="D58" i="6"/>
  <c r="H58" i="6"/>
  <c r="P58" i="12" s="1"/>
  <c r="L58" i="6"/>
  <c r="O58" i="12" s="1"/>
  <c r="B58" i="6"/>
  <c r="G58" i="6"/>
  <c r="M58" i="6"/>
  <c r="E58" i="6"/>
  <c r="J58" i="6"/>
  <c r="O58" i="6"/>
  <c r="B40" i="6"/>
  <c r="F40" i="6"/>
  <c r="J40" i="6"/>
  <c r="N40" i="6"/>
  <c r="E40" i="6"/>
  <c r="K40" i="6"/>
  <c r="S40" i="12" s="1"/>
  <c r="C40" i="6"/>
  <c r="L43" i="5" s="1"/>
  <c r="H40" i="6"/>
  <c r="L40" i="12" s="1"/>
  <c r="M40" i="6"/>
  <c r="B32" i="6"/>
  <c r="F32" i="6"/>
  <c r="J32" i="6"/>
  <c r="N32" i="6"/>
  <c r="C32" i="6"/>
  <c r="L32" i="5" s="1"/>
  <c r="H32" i="6"/>
  <c r="P32" i="12" s="1"/>
  <c r="M32" i="6"/>
  <c r="E32" i="6"/>
  <c r="K32" i="6"/>
  <c r="O13" i="12"/>
  <c r="M23" i="12"/>
  <c r="O25" i="12"/>
  <c r="M27" i="12"/>
  <c r="M13" i="12"/>
  <c r="M25" i="12"/>
  <c r="M61" i="12"/>
  <c r="L19" i="12"/>
  <c r="L31" i="12"/>
  <c r="O40" i="12"/>
  <c r="M46" i="12"/>
  <c r="L47" i="12"/>
  <c r="M74" i="12"/>
  <c r="M78" i="12"/>
  <c r="M12" i="12"/>
  <c r="L13" i="12"/>
  <c r="O61" i="12"/>
  <c r="O48" i="12"/>
  <c r="O65" i="12"/>
  <c r="M82" i="12"/>
  <c r="M86" i="12"/>
  <c r="M90" i="12"/>
  <c r="M94" i="12"/>
  <c r="M98" i="12"/>
  <c r="O49" i="12"/>
  <c r="M55" i="12"/>
  <c r="O64" i="12"/>
  <c r="L79" i="12"/>
  <c r="M85" i="12"/>
  <c r="O87" i="12"/>
  <c r="O115" i="12"/>
  <c r="M121" i="12"/>
  <c r="M88" i="12"/>
  <c r="M111" i="12"/>
  <c r="M115" i="12"/>
  <c r="O131" i="12"/>
  <c r="M138" i="12"/>
  <c r="M144" i="12"/>
  <c r="N149" i="12"/>
  <c r="M156" i="12"/>
  <c r="M160" i="12"/>
  <c r="O127" i="12"/>
  <c r="L135" i="12"/>
  <c r="O173" i="12"/>
  <c r="M175" i="12"/>
  <c r="M179" i="12"/>
  <c r="O123" i="12"/>
  <c r="N134" i="12"/>
  <c r="N135" i="12"/>
  <c r="O144" i="12"/>
  <c r="M146" i="12"/>
  <c r="L105" i="12"/>
  <c r="L117" i="12"/>
  <c r="M161" i="12"/>
  <c r="M169" i="12"/>
  <c r="M185" i="12"/>
  <c r="L153" i="12"/>
  <c r="M184" i="12"/>
  <c r="M188" i="12"/>
  <c r="L165" i="12"/>
  <c r="L169" i="12"/>
  <c r="C7" i="6"/>
  <c r="G7" i="6"/>
  <c r="K7" i="6"/>
  <c r="O7" i="6"/>
  <c r="E7" i="6"/>
  <c r="J7" i="6"/>
  <c r="B7" i="6"/>
  <c r="H7" i="6"/>
  <c r="L7" i="12" s="1"/>
  <c r="M7" i="6"/>
  <c r="D7" i="6"/>
  <c r="N7" i="6"/>
  <c r="I7" i="6"/>
  <c r="M7" i="12" s="1"/>
  <c r="B53" i="8"/>
  <c r="F53" i="8"/>
  <c r="J53" i="8"/>
  <c r="E53" i="8"/>
  <c r="C53" i="8"/>
  <c r="H53" i="8"/>
  <c r="I53" i="8"/>
  <c r="D53" i="8"/>
  <c r="B45" i="8"/>
  <c r="F45" i="8"/>
  <c r="J45" i="8"/>
  <c r="E45" i="8"/>
  <c r="C45" i="8"/>
  <c r="H45" i="8"/>
  <c r="D45" i="8"/>
  <c r="I45" i="8"/>
  <c r="D36" i="8"/>
  <c r="H36" i="8"/>
  <c r="E36" i="8"/>
  <c r="J36" i="8"/>
  <c r="B36" i="8"/>
  <c r="G36" i="8"/>
  <c r="I36" i="8"/>
  <c r="C36" i="8"/>
  <c r="N11" i="7"/>
  <c r="J11" i="7"/>
  <c r="F11" i="7"/>
  <c r="B11" i="7"/>
  <c r="N7" i="7"/>
  <c r="J7" i="7"/>
  <c r="F7" i="7"/>
  <c r="N188" i="6"/>
  <c r="J188" i="6"/>
  <c r="F188" i="6"/>
  <c r="B188" i="6"/>
  <c r="N184" i="6"/>
  <c r="J184" i="6"/>
  <c r="F184" i="6"/>
  <c r="B184" i="6"/>
  <c r="N180" i="6"/>
  <c r="J180" i="6"/>
  <c r="F180" i="6"/>
  <c r="B180" i="6"/>
  <c r="N176" i="6"/>
  <c r="J176" i="6"/>
  <c r="F176" i="6"/>
  <c r="B176" i="6"/>
  <c r="N172" i="6"/>
  <c r="J172" i="6"/>
  <c r="F172" i="6"/>
  <c r="N168" i="6"/>
  <c r="J168" i="6"/>
  <c r="F168" i="6"/>
  <c r="N164" i="6"/>
  <c r="J164" i="6"/>
  <c r="F164" i="6"/>
  <c r="N160" i="6"/>
  <c r="J160" i="6"/>
  <c r="F160" i="6"/>
  <c r="N156" i="6"/>
  <c r="J156" i="6"/>
  <c r="F156" i="6"/>
  <c r="N152" i="6"/>
  <c r="J152" i="6"/>
  <c r="F152" i="6"/>
  <c r="N148" i="6"/>
  <c r="J148" i="6"/>
  <c r="F148" i="6"/>
  <c r="M142" i="6"/>
  <c r="G142" i="6"/>
  <c r="C141" i="6"/>
  <c r="L141" i="5" s="1"/>
  <c r="M141" i="5" s="1"/>
  <c r="G141" i="6"/>
  <c r="K141" i="6"/>
  <c r="N141" i="12" s="1"/>
  <c r="O141" i="6"/>
  <c r="M137" i="6"/>
  <c r="H137" i="6"/>
  <c r="B136" i="6"/>
  <c r="F136" i="6"/>
  <c r="J136" i="6"/>
  <c r="N136" i="6"/>
  <c r="M132" i="6"/>
  <c r="H132" i="6"/>
  <c r="R130" i="12"/>
  <c r="D130" i="6"/>
  <c r="H130" i="6"/>
  <c r="P130" i="12" s="1"/>
  <c r="L130" i="6"/>
  <c r="O130" i="12" s="1"/>
  <c r="M126" i="6"/>
  <c r="G126" i="6"/>
  <c r="C125" i="6"/>
  <c r="L125" i="5" s="1"/>
  <c r="M125" i="5" s="1"/>
  <c r="G125" i="6"/>
  <c r="K125" i="6"/>
  <c r="N125" i="12" s="1"/>
  <c r="O125" i="6"/>
  <c r="M121" i="6"/>
  <c r="H121" i="6"/>
  <c r="B120" i="6"/>
  <c r="F120" i="6"/>
  <c r="J120" i="6"/>
  <c r="N120" i="6"/>
  <c r="M116" i="6"/>
  <c r="H116" i="6"/>
  <c r="P116" i="12" s="1"/>
  <c r="D114" i="6"/>
  <c r="H114" i="6"/>
  <c r="L114" i="6"/>
  <c r="M110" i="6"/>
  <c r="G110" i="6"/>
  <c r="Q108" i="12"/>
  <c r="B108" i="6"/>
  <c r="F108" i="6"/>
  <c r="J108" i="6"/>
  <c r="N108" i="6"/>
  <c r="D108" i="6"/>
  <c r="H108" i="6"/>
  <c r="L108" i="6"/>
  <c r="O108" i="12" s="1"/>
  <c r="K102" i="6"/>
  <c r="S102" i="12" s="1"/>
  <c r="B100" i="6"/>
  <c r="F100" i="6"/>
  <c r="J100" i="6"/>
  <c r="N100" i="6"/>
  <c r="D100" i="6"/>
  <c r="H100" i="6"/>
  <c r="P100" i="12" s="1"/>
  <c r="L100" i="6"/>
  <c r="O98" i="6"/>
  <c r="G98" i="6"/>
  <c r="K94" i="6"/>
  <c r="B92" i="6"/>
  <c r="F92" i="6"/>
  <c r="J92" i="6"/>
  <c r="N92" i="6"/>
  <c r="D92" i="6"/>
  <c r="H92" i="6"/>
  <c r="L92" i="12" s="1"/>
  <c r="L92" i="6"/>
  <c r="O92" i="12" s="1"/>
  <c r="O90" i="6"/>
  <c r="G90" i="6"/>
  <c r="K86" i="6"/>
  <c r="S86" i="12" s="1"/>
  <c r="B84" i="6"/>
  <c r="F84" i="6"/>
  <c r="J84" i="6"/>
  <c r="N84" i="6"/>
  <c r="D84" i="6"/>
  <c r="H84" i="6"/>
  <c r="L89" i="12" s="1"/>
  <c r="L84" i="6"/>
  <c r="O84" i="12" s="1"/>
  <c r="O82" i="6"/>
  <c r="G82" i="6"/>
  <c r="K78" i="6"/>
  <c r="B76" i="6"/>
  <c r="F76" i="6"/>
  <c r="J76" i="6"/>
  <c r="N76" i="6"/>
  <c r="D76" i="6"/>
  <c r="H76" i="6"/>
  <c r="L76" i="12" s="1"/>
  <c r="L76" i="6"/>
  <c r="O74" i="6"/>
  <c r="G74" i="6"/>
  <c r="K70" i="6"/>
  <c r="B68" i="6"/>
  <c r="F68" i="6"/>
  <c r="J68" i="6"/>
  <c r="N68" i="6"/>
  <c r="D68" i="6"/>
  <c r="H68" i="6"/>
  <c r="P68" i="12" s="1"/>
  <c r="L68" i="6"/>
  <c r="O68" i="12" s="1"/>
  <c r="O66" i="6"/>
  <c r="G66" i="6"/>
  <c r="O64" i="6"/>
  <c r="I58" i="6"/>
  <c r="M58" i="12" s="1"/>
  <c r="B56" i="6"/>
  <c r="F56" i="6"/>
  <c r="J56" i="6"/>
  <c r="N56" i="6"/>
  <c r="E56" i="6"/>
  <c r="K56" i="6"/>
  <c r="N56" i="12" s="1"/>
  <c r="C56" i="6"/>
  <c r="L56" i="5" s="1"/>
  <c r="H56" i="6"/>
  <c r="P56" i="12" s="1"/>
  <c r="M56" i="6"/>
  <c r="Q48" i="12"/>
  <c r="B48" i="6"/>
  <c r="F48" i="6"/>
  <c r="J48" i="6"/>
  <c r="N48" i="6"/>
  <c r="C48" i="6"/>
  <c r="H48" i="6"/>
  <c r="P48" i="12" s="1"/>
  <c r="M48" i="6"/>
  <c r="E48" i="6"/>
  <c r="K48" i="6"/>
  <c r="N45" i="6"/>
  <c r="I40" i="6"/>
  <c r="Q40" i="12" s="1"/>
  <c r="N37" i="6"/>
  <c r="N34" i="6"/>
  <c r="I32" i="6"/>
  <c r="B10" i="6"/>
  <c r="F10" i="6"/>
  <c r="J10" i="6"/>
  <c r="N10" i="6"/>
  <c r="C10" i="6"/>
  <c r="L10" i="5" s="1"/>
  <c r="M10" i="5" s="1"/>
  <c r="H10" i="6"/>
  <c r="L10" i="12" s="1"/>
  <c r="M10" i="6"/>
  <c r="E10" i="6"/>
  <c r="K10" i="6"/>
  <c r="S10" i="12" s="1"/>
  <c r="I10" i="6"/>
  <c r="M10" i="12" s="1"/>
  <c r="D10" i="6"/>
  <c r="O10" i="6"/>
  <c r="B29" i="8"/>
  <c r="F29" i="8"/>
  <c r="J29" i="8"/>
  <c r="E29" i="8"/>
  <c r="C29" i="8"/>
  <c r="H29" i="8"/>
  <c r="D29" i="8"/>
  <c r="G29" i="8"/>
  <c r="I29" i="8"/>
  <c r="B13" i="8"/>
  <c r="F13" i="8"/>
  <c r="J13" i="8"/>
  <c r="E13" i="8"/>
  <c r="C13" i="8"/>
  <c r="H13" i="8"/>
  <c r="D13" i="8"/>
  <c r="G13" i="8"/>
  <c r="I13" i="8"/>
  <c r="B186" i="10"/>
  <c r="F186" i="10"/>
  <c r="J186" i="10"/>
  <c r="N186" i="10"/>
  <c r="C186" i="10"/>
  <c r="H186" i="10"/>
  <c r="M186" i="10"/>
  <c r="E186" i="10"/>
  <c r="K186" i="10"/>
  <c r="D186" i="10"/>
  <c r="O186" i="10"/>
  <c r="G186" i="10"/>
  <c r="I186" i="10"/>
  <c r="C159" i="10"/>
  <c r="G159" i="10"/>
  <c r="K159" i="10"/>
  <c r="O159" i="10"/>
  <c r="B159" i="10"/>
  <c r="H159" i="10"/>
  <c r="M159" i="10"/>
  <c r="E159" i="10"/>
  <c r="J159" i="10"/>
  <c r="D159" i="10"/>
  <c r="N159" i="10"/>
  <c r="F159" i="10"/>
  <c r="I159" i="10"/>
  <c r="C151" i="10"/>
  <c r="G151" i="10"/>
  <c r="K151" i="10"/>
  <c r="O151" i="10"/>
  <c r="E151" i="10"/>
  <c r="J151" i="10"/>
  <c r="B151" i="10"/>
  <c r="H151" i="10"/>
  <c r="M151" i="10"/>
  <c r="D151" i="10"/>
  <c r="N151" i="10"/>
  <c r="F151" i="10"/>
  <c r="I151" i="10"/>
  <c r="C131" i="10"/>
  <c r="G131" i="10"/>
  <c r="K131" i="10"/>
  <c r="O131" i="10"/>
  <c r="D131" i="10"/>
  <c r="H131" i="10"/>
  <c r="L131" i="10"/>
  <c r="B131" i="10"/>
  <c r="J131" i="10"/>
  <c r="E131" i="10"/>
  <c r="M131" i="10"/>
  <c r="F131" i="10"/>
  <c r="N131" i="10"/>
  <c r="I131" i="10"/>
  <c r="B115" i="10"/>
  <c r="F115" i="10"/>
  <c r="J115" i="10"/>
  <c r="N115" i="10"/>
  <c r="C115" i="10"/>
  <c r="G115" i="10"/>
  <c r="K115" i="10"/>
  <c r="O115" i="10"/>
  <c r="D115" i="10"/>
  <c r="H115" i="10"/>
  <c r="L115" i="10"/>
  <c r="E115" i="10"/>
  <c r="I115" i="10"/>
  <c r="M115" i="10"/>
  <c r="B83" i="10"/>
  <c r="F83" i="10"/>
  <c r="J83" i="10"/>
  <c r="N83" i="10"/>
  <c r="C83" i="10"/>
  <c r="G83" i="10"/>
  <c r="K83" i="10"/>
  <c r="O83" i="10"/>
  <c r="D83" i="10"/>
  <c r="H83" i="10"/>
  <c r="L83" i="10"/>
  <c r="E83" i="10"/>
  <c r="I83" i="10"/>
  <c r="M83" i="10"/>
  <c r="B51" i="10"/>
  <c r="F51" i="10"/>
  <c r="J51" i="10"/>
  <c r="N51" i="10"/>
  <c r="C51" i="10"/>
  <c r="G51" i="10"/>
  <c r="K51" i="10"/>
  <c r="O51" i="10"/>
  <c r="D51" i="10"/>
  <c r="H51" i="10"/>
  <c r="L51" i="10"/>
  <c r="E51" i="10"/>
  <c r="I51" i="10"/>
  <c r="M51" i="10"/>
  <c r="Q172" i="12"/>
  <c r="Q160" i="12"/>
  <c r="S156" i="12"/>
  <c r="Q148" i="12"/>
  <c r="D142" i="6"/>
  <c r="H142" i="6"/>
  <c r="L142" i="6"/>
  <c r="O142" i="12" s="1"/>
  <c r="C137" i="6"/>
  <c r="G137" i="6"/>
  <c r="K137" i="6"/>
  <c r="R137" i="12" s="1"/>
  <c r="O137" i="6"/>
  <c r="Q132" i="12"/>
  <c r="B132" i="6"/>
  <c r="F132" i="6"/>
  <c r="J132" i="6"/>
  <c r="N132" i="6"/>
  <c r="D126" i="6"/>
  <c r="H126" i="6"/>
  <c r="P126" i="12" s="1"/>
  <c r="L126" i="6"/>
  <c r="Q121" i="12"/>
  <c r="C121" i="6"/>
  <c r="G121" i="6"/>
  <c r="K121" i="6"/>
  <c r="O121" i="6"/>
  <c r="B116" i="6"/>
  <c r="F116" i="6"/>
  <c r="J116" i="6"/>
  <c r="N116" i="6"/>
  <c r="D110" i="6"/>
  <c r="H110" i="6"/>
  <c r="P110" i="12" s="1"/>
  <c r="L110" i="6"/>
  <c r="Q102" i="12"/>
  <c r="D102" i="6"/>
  <c r="H102" i="6"/>
  <c r="L101" i="12" s="1"/>
  <c r="L102" i="6"/>
  <c r="B102" i="6"/>
  <c r="F102" i="6"/>
  <c r="J102" i="6"/>
  <c r="N102" i="6"/>
  <c r="M98" i="6"/>
  <c r="E98" i="6"/>
  <c r="Q94" i="12"/>
  <c r="D94" i="6"/>
  <c r="H94" i="6"/>
  <c r="L94" i="6"/>
  <c r="O94" i="12" s="1"/>
  <c r="B94" i="6"/>
  <c r="F94" i="6"/>
  <c r="J94" i="6"/>
  <c r="N94" i="6"/>
  <c r="M90" i="6"/>
  <c r="E90" i="6"/>
  <c r="Q86" i="12"/>
  <c r="D86" i="6"/>
  <c r="H86" i="6"/>
  <c r="L86" i="6"/>
  <c r="B86" i="6"/>
  <c r="F86" i="6"/>
  <c r="J86" i="6"/>
  <c r="N86" i="6"/>
  <c r="M82" i="6"/>
  <c r="E82" i="6"/>
  <c r="Q78" i="12"/>
  <c r="D78" i="6"/>
  <c r="H78" i="6"/>
  <c r="L78" i="6"/>
  <c r="O78" i="12" s="1"/>
  <c r="B78" i="6"/>
  <c r="F78" i="6"/>
  <c r="J78" i="6"/>
  <c r="N78" i="6"/>
  <c r="M74" i="6"/>
  <c r="E74" i="6"/>
  <c r="Q70" i="12"/>
  <c r="D70" i="6"/>
  <c r="H70" i="6"/>
  <c r="L70" i="12" s="1"/>
  <c r="L70" i="6"/>
  <c r="O70" i="12" s="1"/>
  <c r="B70" i="6"/>
  <c r="F70" i="6"/>
  <c r="J70" i="6"/>
  <c r="N70" i="6"/>
  <c r="M66" i="6"/>
  <c r="E66" i="6"/>
  <c r="B64" i="6"/>
  <c r="F64" i="6"/>
  <c r="J64" i="6"/>
  <c r="N64" i="6"/>
  <c r="C64" i="6"/>
  <c r="L64" i="5" s="1"/>
  <c r="M64" i="5" s="1"/>
  <c r="H64" i="6"/>
  <c r="P64" i="12" s="1"/>
  <c r="M64" i="6"/>
  <c r="E64" i="6"/>
  <c r="K64" i="6"/>
  <c r="R64" i="12" s="1"/>
  <c r="F58" i="6"/>
  <c r="C45" i="6"/>
  <c r="L45" i="5" s="1"/>
  <c r="G45" i="6"/>
  <c r="K45" i="6"/>
  <c r="N45" i="12" s="1"/>
  <c r="O45" i="6"/>
  <c r="E45" i="6"/>
  <c r="J45" i="6"/>
  <c r="B45" i="6"/>
  <c r="H45" i="6"/>
  <c r="M45" i="6"/>
  <c r="G40" i="6"/>
  <c r="C37" i="6"/>
  <c r="L37" i="5" s="1"/>
  <c r="G37" i="6"/>
  <c r="K37" i="6"/>
  <c r="O37" i="6"/>
  <c r="B37" i="6"/>
  <c r="H37" i="6"/>
  <c r="M37" i="6"/>
  <c r="E37" i="6"/>
  <c r="J37" i="6"/>
  <c r="D34" i="6"/>
  <c r="H34" i="6"/>
  <c r="L34" i="12" s="1"/>
  <c r="L34" i="6"/>
  <c r="E34" i="6"/>
  <c r="J34" i="6"/>
  <c r="O34" i="6"/>
  <c r="B34" i="6"/>
  <c r="G34" i="6"/>
  <c r="M34" i="6"/>
  <c r="G32" i="6"/>
  <c r="D28" i="6"/>
  <c r="H28" i="6"/>
  <c r="L28" i="12" s="1"/>
  <c r="L28" i="6"/>
  <c r="O28" i="12" s="1"/>
  <c r="B28" i="6"/>
  <c r="F28" i="6"/>
  <c r="J28" i="6"/>
  <c r="N28" i="6"/>
  <c r="G28" i="6"/>
  <c r="O28" i="6"/>
  <c r="C28" i="6"/>
  <c r="K28" i="6"/>
  <c r="N28" i="12" s="1"/>
  <c r="L7" i="6"/>
  <c r="D52" i="8"/>
  <c r="H52" i="8"/>
  <c r="E52" i="8"/>
  <c r="J52" i="8"/>
  <c r="B52" i="8"/>
  <c r="G52" i="8"/>
  <c r="I52" i="8"/>
  <c r="C52" i="8"/>
  <c r="D44" i="8"/>
  <c r="H44" i="8"/>
  <c r="E44" i="8"/>
  <c r="J44" i="8"/>
  <c r="B44" i="8"/>
  <c r="G44" i="8"/>
  <c r="C44" i="8"/>
  <c r="I44" i="8"/>
  <c r="B37" i="8"/>
  <c r="F37" i="8"/>
  <c r="J37" i="8"/>
  <c r="E37" i="8"/>
  <c r="C37" i="8"/>
  <c r="H37" i="8"/>
  <c r="I37" i="8"/>
  <c r="D37" i="8"/>
  <c r="D28" i="8"/>
  <c r="H28" i="8"/>
  <c r="E28" i="8"/>
  <c r="J28" i="8"/>
  <c r="B28" i="8"/>
  <c r="G28" i="8"/>
  <c r="C28" i="8"/>
  <c r="F28" i="8"/>
  <c r="I28" i="8"/>
  <c r="D12" i="8"/>
  <c r="H12" i="8"/>
  <c r="E12" i="8"/>
  <c r="J12" i="8"/>
  <c r="B12" i="8"/>
  <c r="G12" i="8"/>
  <c r="C12" i="8"/>
  <c r="F12" i="8"/>
  <c r="I12" i="8"/>
  <c r="C139" i="10"/>
  <c r="G139" i="10"/>
  <c r="K139" i="10"/>
  <c r="O139" i="10"/>
  <c r="D139" i="10"/>
  <c r="H139" i="10"/>
  <c r="L139" i="10"/>
  <c r="B139" i="10"/>
  <c r="J139" i="10"/>
  <c r="F139" i="10"/>
  <c r="N139" i="10"/>
  <c r="E139" i="10"/>
  <c r="I139" i="10"/>
  <c r="M139" i="10"/>
  <c r="A40" i="7"/>
  <c r="A32" i="7"/>
  <c r="O22" i="7"/>
  <c r="K22" i="7"/>
  <c r="G22" i="7"/>
  <c r="O18" i="7"/>
  <c r="K18" i="7"/>
  <c r="G18" i="7"/>
  <c r="O14" i="7"/>
  <c r="K14" i="7"/>
  <c r="G14" i="7"/>
  <c r="L11" i="7"/>
  <c r="H11" i="7"/>
  <c r="O10" i="7"/>
  <c r="K10" i="7"/>
  <c r="G10" i="7"/>
  <c r="L7" i="7"/>
  <c r="H7" i="7"/>
  <c r="D7" i="7"/>
  <c r="L188" i="6"/>
  <c r="O188" i="12" s="1"/>
  <c r="H188" i="6"/>
  <c r="L188" i="12" s="1"/>
  <c r="O187" i="6"/>
  <c r="K187" i="6"/>
  <c r="N187" i="12" s="1"/>
  <c r="G187" i="6"/>
  <c r="L184" i="6"/>
  <c r="O184" i="12" s="1"/>
  <c r="H184" i="6"/>
  <c r="L184" i="12" s="1"/>
  <c r="O183" i="6"/>
  <c r="K183" i="6"/>
  <c r="N183" i="12" s="1"/>
  <c r="G183" i="6"/>
  <c r="L180" i="6"/>
  <c r="O180" i="12" s="1"/>
  <c r="H180" i="6"/>
  <c r="L180" i="12" s="1"/>
  <c r="O179" i="6"/>
  <c r="K179" i="6"/>
  <c r="N179" i="12" s="1"/>
  <c r="G179" i="6"/>
  <c r="L176" i="6"/>
  <c r="O176" i="12" s="1"/>
  <c r="H176" i="6"/>
  <c r="L175" i="12" s="1"/>
  <c r="O175" i="6"/>
  <c r="K175" i="6"/>
  <c r="N175" i="12" s="1"/>
  <c r="G175" i="6"/>
  <c r="L172" i="6"/>
  <c r="O181" i="12" s="1"/>
  <c r="H172" i="6"/>
  <c r="L172" i="12" s="1"/>
  <c r="D172" i="6"/>
  <c r="O171" i="6"/>
  <c r="K171" i="6"/>
  <c r="G171" i="6"/>
  <c r="C171" i="6"/>
  <c r="S169" i="12"/>
  <c r="Q169" i="12"/>
  <c r="P169" i="12"/>
  <c r="L168" i="6"/>
  <c r="O177" i="12" s="1"/>
  <c r="H168" i="6"/>
  <c r="L167" i="12" s="1"/>
  <c r="D168" i="6"/>
  <c r="O167" i="6"/>
  <c r="K167" i="6"/>
  <c r="R167" i="12" s="1"/>
  <c r="G167" i="6"/>
  <c r="C167" i="6"/>
  <c r="P165" i="12"/>
  <c r="L164" i="6"/>
  <c r="H164" i="6"/>
  <c r="D164" i="6"/>
  <c r="O163" i="6"/>
  <c r="K163" i="6"/>
  <c r="S163" i="12" s="1"/>
  <c r="G163" i="6"/>
  <c r="C163" i="6"/>
  <c r="Q161" i="12"/>
  <c r="L160" i="6"/>
  <c r="H160" i="6"/>
  <c r="P160" i="12" s="1"/>
  <c r="D160" i="6"/>
  <c r="O159" i="6"/>
  <c r="K159" i="6"/>
  <c r="G159" i="6"/>
  <c r="C159" i="6"/>
  <c r="S157" i="12"/>
  <c r="L156" i="6"/>
  <c r="O156" i="12" s="1"/>
  <c r="H156" i="6"/>
  <c r="P156" i="12" s="1"/>
  <c r="D156" i="6"/>
  <c r="O155" i="6"/>
  <c r="K155" i="6"/>
  <c r="N155" i="12" s="1"/>
  <c r="G155" i="6"/>
  <c r="C155" i="6"/>
  <c r="Q153" i="12"/>
  <c r="L152" i="6"/>
  <c r="O152" i="12" s="1"/>
  <c r="H152" i="6"/>
  <c r="L152" i="12" s="1"/>
  <c r="D152" i="6"/>
  <c r="O151" i="6"/>
  <c r="K151" i="6"/>
  <c r="G151" i="6"/>
  <c r="C151" i="6"/>
  <c r="L151" i="5" s="1"/>
  <c r="P149" i="12"/>
  <c r="L148" i="6"/>
  <c r="O148" i="12" s="1"/>
  <c r="H148" i="6"/>
  <c r="P148" i="12" s="1"/>
  <c r="D148" i="6"/>
  <c r="O147" i="6"/>
  <c r="K147" i="6"/>
  <c r="G147" i="6"/>
  <c r="C147" i="6"/>
  <c r="L147" i="5" s="1"/>
  <c r="M147" i="5" s="1"/>
  <c r="Q144" i="12"/>
  <c r="B144" i="6"/>
  <c r="F144" i="6"/>
  <c r="J144" i="6"/>
  <c r="N144" i="6"/>
  <c r="O142" i="6"/>
  <c r="J142" i="6"/>
  <c r="E142" i="6"/>
  <c r="N141" i="6"/>
  <c r="I141" i="6"/>
  <c r="M141" i="12" s="1"/>
  <c r="D141" i="6"/>
  <c r="Q138" i="12"/>
  <c r="D138" i="6"/>
  <c r="H138" i="6"/>
  <c r="L138" i="12" s="1"/>
  <c r="L138" i="6"/>
  <c r="O138" i="12" s="1"/>
  <c r="J137" i="6"/>
  <c r="E137" i="6"/>
  <c r="O136" i="6"/>
  <c r="I136" i="6"/>
  <c r="M136" i="12" s="1"/>
  <c r="D136" i="6"/>
  <c r="Q133" i="12"/>
  <c r="C133" i="6"/>
  <c r="L132" i="5" s="1"/>
  <c r="G133" i="6"/>
  <c r="K133" i="6"/>
  <c r="R133" i="12" s="1"/>
  <c r="O133" i="6"/>
  <c r="K132" i="6"/>
  <c r="E132" i="6"/>
  <c r="N130" i="6"/>
  <c r="I130" i="6"/>
  <c r="Q130" i="12" s="1"/>
  <c r="C130" i="6"/>
  <c r="B128" i="6"/>
  <c r="F128" i="6"/>
  <c r="J128" i="6"/>
  <c r="N128" i="6"/>
  <c r="O126" i="6"/>
  <c r="J126" i="6"/>
  <c r="E126" i="6"/>
  <c r="N125" i="6"/>
  <c r="I125" i="6"/>
  <c r="D125" i="6"/>
  <c r="D122" i="6"/>
  <c r="H122" i="6"/>
  <c r="L122" i="6"/>
  <c r="O122" i="12" s="1"/>
  <c r="J121" i="6"/>
  <c r="E121" i="6"/>
  <c r="O120" i="6"/>
  <c r="I120" i="6"/>
  <c r="Q120" i="12" s="1"/>
  <c r="D120" i="6"/>
  <c r="P117" i="12"/>
  <c r="C117" i="6"/>
  <c r="G117" i="6"/>
  <c r="K117" i="6"/>
  <c r="S117" i="12" s="1"/>
  <c r="O117" i="6"/>
  <c r="K116" i="6"/>
  <c r="N116" i="12" s="1"/>
  <c r="E116" i="6"/>
  <c r="N114" i="6"/>
  <c r="I114" i="6"/>
  <c r="M114" i="12" s="1"/>
  <c r="C114" i="6"/>
  <c r="B112" i="6"/>
  <c r="F112" i="6"/>
  <c r="J112" i="6"/>
  <c r="N112" i="6"/>
  <c r="O110" i="6"/>
  <c r="J110" i="6"/>
  <c r="E110" i="6"/>
  <c r="M108" i="6"/>
  <c r="E108" i="6"/>
  <c r="B104" i="6"/>
  <c r="F104" i="6"/>
  <c r="J104" i="6"/>
  <c r="N104" i="6"/>
  <c r="D104" i="6"/>
  <c r="H104" i="6"/>
  <c r="P104" i="12" s="1"/>
  <c r="L104" i="6"/>
  <c r="O103" i="12" s="1"/>
  <c r="O102" i="6"/>
  <c r="G102" i="6"/>
  <c r="M100" i="6"/>
  <c r="E100" i="6"/>
  <c r="K98" i="6"/>
  <c r="S98" i="12" s="1"/>
  <c r="C98" i="6"/>
  <c r="B96" i="6"/>
  <c r="F96" i="6"/>
  <c r="J96" i="6"/>
  <c r="N96" i="6"/>
  <c r="D96" i="6"/>
  <c r="H96" i="6"/>
  <c r="P96" i="12" s="1"/>
  <c r="L96" i="6"/>
  <c r="O96" i="12" s="1"/>
  <c r="O94" i="6"/>
  <c r="G94" i="6"/>
  <c r="M92" i="6"/>
  <c r="E92" i="6"/>
  <c r="K90" i="6"/>
  <c r="S90" i="12" s="1"/>
  <c r="C90" i="6"/>
  <c r="B88" i="6"/>
  <c r="F88" i="6"/>
  <c r="J88" i="6"/>
  <c r="N88" i="6"/>
  <c r="D88" i="6"/>
  <c r="H88" i="6"/>
  <c r="L88" i="6"/>
  <c r="O88" i="12" s="1"/>
  <c r="O86" i="6"/>
  <c r="G86" i="6"/>
  <c r="M84" i="6"/>
  <c r="E84" i="6"/>
  <c r="K82" i="6"/>
  <c r="R82" i="12" s="1"/>
  <c r="C82" i="6"/>
  <c r="Q80" i="12"/>
  <c r="B80" i="6"/>
  <c r="F80" i="6"/>
  <c r="J80" i="6"/>
  <c r="N80" i="6"/>
  <c r="D80" i="6"/>
  <c r="H80" i="6"/>
  <c r="L80" i="6"/>
  <c r="O80" i="12" s="1"/>
  <c r="O78" i="6"/>
  <c r="G78" i="6"/>
  <c r="M76" i="6"/>
  <c r="E76" i="6"/>
  <c r="K74" i="6"/>
  <c r="R74" i="12" s="1"/>
  <c r="C74" i="6"/>
  <c r="B72" i="6"/>
  <c r="F72" i="6"/>
  <c r="J72" i="6"/>
  <c r="N72" i="6"/>
  <c r="D72" i="6"/>
  <c r="H72" i="6"/>
  <c r="L72" i="12" s="1"/>
  <c r="L72" i="6"/>
  <c r="O72" i="12" s="1"/>
  <c r="O70" i="6"/>
  <c r="G70" i="6"/>
  <c r="M68" i="6"/>
  <c r="E68" i="6"/>
  <c r="K66" i="6"/>
  <c r="S66" i="12" s="1"/>
  <c r="C66" i="6"/>
  <c r="I64" i="6"/>
  <c r="C61" i="6"/>
  <c r="L61" i="5" s="1"/>
  <c r="G61" i="6"/>
  <c r="K61" i="6"/>
  <c r="N61" i="12" s="1"/>
  <c r="O61" i="6"/>
  <c r="E61" i="6"/>
  <c r="J61" i="6"/>
  <c r="B61" i="6"/>
  <c r="H61" i="6"/>
  <c r="M61" i="6"/>
  <c r="N58" i="6"/>
  <c r="C58" i="6"/>
  <c r="G56" i="6"/>
  <c r="Q53" i="12"/>
  <c r="C53" i="6"/>
  <c r="G53" i="6"/>
  <c r="K53" i="6"/>
  <c r="S53" i="12" s="1"/>
  <c r="O53" i="6"/>
  <c r="B53" i="6"/>
  <c r="H53" i="6"/>
  <c r="M53" i="6"/>
  <c r="E53" i="6"/>
  <c r="J53" i="6"/>
  <c r="D50" i="6"/>
  <c r="H50" i="6"/>
  <c r="L50" i="6"/>
  <c r="O50" i="12" s="1"/>
  <c r="E50" i="6"/>
  <c r="J50" i="6"/>
  <c r="O50" i="6"/>
  <c r="B50" i="6"/>
  <c r="G50" i="6"/>
  <c r="M50" i="6"/>
  <c r="G48" i="6"/>
  <c r="I45" i="6"/>
  <c r="D42" i="6"/>
  <c r="H42" i="6"/>
  <c r="L42" i="12" s="1"/>
  <c r="L42" i="6"/>
  <c r="B42" i="6"/>
  <c r="G42" i="6"/>
  <c r="M42" i="6"/>
  <c r="E42" i="6"/>
  <c r="J42" i="6"/>
  <c r="O42" i="6"/>
  <c r="O40" i="6"/>
  <c r="D40" i="6"/>
  <c r="I37" i="6"/>
  <c r="Q37" i="12" s="1"/>
  <c r="I34" i="6"/>
  <c r="Q34" i="12" s="1"/>
  <c r="O32" i="6"/>
  <c r="D32" i="6"/>
  <c r="M28" i="6"/>
  <c r="C15" i="6"/>
  <c r="G15" i="6"/>
  <c r="K15" i="6"/>
  <c r="S15" i="12" s="1"/>
  <c r="O15" i="6"/>
  <c r="B15" i="6"/>
  <c r="H15" i="6"/>
  <c r="M15" i="6"/>
  <c r="E15" i="6"/>
  <c r="J15" i="6"/>
  <c r="D15" i="6"/>
  <c r="N15" i="6"/>
  <c r="I15" i="6"/>
  <c r="L10" i="6"/>
  <c r="O10" i="12" s="1"/>
  <c r="F7" i="6"/>
  <c r="G53" i="8"/>
  <c r="G45" i="8"/>
  <c r="F36" i="8"/>
  <c r="B178" i="10"/>
  <c r="F178" i="10"/>
  <c r="J178" i="10"/>
  <c r="N178" i="10"/>
  <c r="E178" i="10"/>
  <c r="K178" i="10"/>
  <c r="C178" i="10"/>
  <c r="H178" i="10"/>
  <c r="M178" i="10"/>
  <c r="D178" i="10"/>
  <c r="O178" i="10"/>
  <c r="G178" i="10"/>
  <c r="I178" i="10"/>
  <c r="P109" i="12"/>
  <c r="P105" i="12"/>
  <c r="P101" i="12"/>
  <c r="P97" i="12"/>
  <c r="P89" i="12"/>
  <c r="P85" i="12"/>
  <c r="Q85" i="12"/>
  <c r="Q77" i="12"/>
  <c r="Q73" i="12"/>
  <c r="Q69" i="12"/>
  <c r="C65" i="6"/>
  <c r="G65" i="6"/>
  <c r="K65" i="6"/>
  <c r="N65" i="12" s="1"/>
  <c r="O65" i="6"/>
  <c r="B60" i="6"/>
  <c r="F60" i="6"/>
  <c r="J60" i="6"/>
  <c r="N60" i="6"/>
  <c r="D54" i="6"/>
  <c r="H54" i="6"/>
  <c r="L54" i="12" s="1"/>
  <c r="L54" i="6"/>
  <c r="O54" i="12" s="1"/>
  <c r="C49" i="6"/>
  <c r="L49" i="5" s="1"/>
  <c r="M49" i="5" s="1"/>
  <c r="G49" i="6"/>
  <c r="K49" i="6"/>
  <c r="N49" i="12" s="1"/>
  <c r="O49" i="6"/>
  <c r="S44" i="12"/>
  <c r="B44" i="6"/>
  <c r="F44" i="6"/>
  <c r="J44" i="6"/>
  <c r="N44" i="6"/>
  <c r="D38" i="6"/>
  <c r="H38" i="6"/>
  <c r="P38" i="12" s="1"/>
  <c r="L38" i="6"/>
  <c r="C33" i="6"/>
  <c r="L33" i="5" s="1"/>
  <c r="M33" i="5" s="1"/>
  <c r="G33" i="6"/>
  <c r="K33" i="6"/>
  <c r="N33" i="12" s="1"/>
  <c r="O33" i="6"/>
  <c r="Q23" i="12"/>
  <c r="C23" i="6"/>
  <c r="L23" i="5" s="1"/>
  <c r="G23" i="6"/>
  <c r="K23" i="6"/>
  <c r="S23" i="12" s="1"/>
  <c r="O23" i="6"/>
  <c r="E23" i="6"/>
  <c r="J23" i="6"/>
  <c r="B23" i="6"/>
  <c r="H23" i="6"/>
  <c r="M23" i="6"/>
  <c r="D20" i="6"/>
  <c r="H20" i="6"/>
  <c r="P20" i="12" s="1"/>
  <c r="L20" i="6"/>
  <c r="B20" i="6"/>
  <c r="G20" i="6"/>
  <c r="M20" i="6"/>
  <c r="E20" i="6"/>
  <c r="J20" i="6"/>
  <c r="O20" i="6"/>
  <c r="Q12" i="12"/>
  <c r="D12" i="6"/>
  <c r="H12" i="6"/>
  <c r="L12" i="6"/>
  <c r="O12" i="12" s="1"/>
  <c r="E12" i="6"/>
  <c r="J12" i="6"/>
  <c r="O12" i="6"/>
  <c r="B12" i="6"/>
  <c r="G12" i="6"/>
  <c r="M12" i="6"/>
  <c r="B49" i="8"/>
  <c r="F49" i="8"/>
  <c r="J49" i="8"/>
  <c r="C49" i="8"/>
  <c r="H49" i="8"/>
  <c r="E49" i="8"/>
  <c r="D48" i="8"/>
  <c r="H48" i="8"/>
  <c r="B48" i="8"/>
  <c r="G48" i="8"/>
  <c r="E48" i="8"/>
  <c r="J48" i="8"/>
  <c r="B33" i="8"/>
  <c r="F33" i="8"/>
  <c r="J33" i="8"/>
  <c r="C33" i="8"/>
  <c r="H33" i="8"/>
  <c r="E33" i="8"/>
  <c r="D32" i="8"/>
  <c r="H32" i="8"/>
  <c r="B32" i="8"/>
  <c r="G32" i="8"/>
  <c r="E32" i="8"/>
  <c r="J32" i="8"/>
  <c r="B17" i="8"/>
  <c r="F17" i="8"/>
  <c r="J17" i="8"/>
  <c r="C17" i="8"/>
  <c r="H17" i="8"/>
  <c r="E17" i="8"/>
  <c r="D16" i="8"/>
  <c r="H16" i="8"/>
  <c r="B16" i="8"/>
  <c r="G16" i="8"/>
  <c r="E16" i="8"/>
  <c r="J16" i="8"/>
  <c r="N183" i="10"/>
  <c r="N180" i="10"/>
  <c r="C175" i="10"/>
  <c r="G175" i="10"/>
  <c r="K175" i="10"/>
  <c r="O175" i="10"/>
  <c r="B175" i="10"/>
  <c r="H175" i="10"/>
  <c r="M175" i="10"/>
  <c r="E175" i="10"/>
  <c r="J175" i="10"/>
  <c r="N172" i="10"/>
  <c r="C167" i="10"/>
  <c r="G167" i="10"/>
  <c r="K167" i="10"/>
  <c r="O167" i="10"/>
  <c r="E167" i="10"/>
  <c r="J167" i="10"/>
  <c r="B167" i="10"/>
  <c r="H167" i="10"/>
  <c r="M167" i="10"/>
  <c r="D164" i="10"/>
  <c r="H164" i="10"/>
  <c r="L164" i="10"/>
  <c r="B164" i="10"/>
  <c r="G164" i="10"/>
  <c r="M164" i="10"/>
  <c r="E164" i="10"/>
  <c r="J164" i="10"/>
  <c r="O164" i="10"/>
  <c r="D156" i="10"/>
  <c r="H156" i="10"/>
  <c r="L156" i="10"/>
  <c r="E156" i="10"/>
  <c r="J156" i="10"/>
  <c r="O156" i="10"/>
  <c r="B156" i="10"/>
  <c r="G156" i="10"/>
  <c r="M156" i="10"/>
  <c r="O154" i="10"/>
  <c r="B91" i="10"/>
  <c r="F91" i="10"/>
  <c r="J91" i="10"/>
  <c r="N91" i="10"/>
  <c r="C91" i="10"/>
  <c r="G91" i="10"/>
  <c r="K91" i="10"/>
  <c r="O91" i="10"/>
  <c r="D91" i="10"/>
  <c r="H91" i="10"/>
  <c r="L91" i="10"/>
  <c r="E91" i="10"/>
  <c r="I91" i="10"/>
  <c r="M91" i="10"/>
  <c r="B59" i="10"/>
  <c r="F59" i="10"/>
  <c r="J59" i="10"/>
  <c r="N59" i="10"/>
  <c r="C59" i="10"/>
  <c r="G59" i="10"/>
  <c r="K59" i="10"/>
  <c r="O59" i="10"/>
  <c r="D59" i="10"/>
  <c r="H59" i="10"/>
  <c r="L59" i="10"/>
  <c r="E59" i="10"/>
  <c r="I59" i="10"/>
  <c r="M59" i="10"/>
  <c r="B27" i="10"/>
  <c r="F27" i="10"/>
  <c r="J27" i="10"/>
  <c r="N27" i="10"/>
  <c r="C27" i="10"/>
  <c r="G27" i="10"/>
  <c r="K27" i="10"/>
  <c r="O27" i="10"/>
  <c r="D27" i="10"/>
  <c r="H27" i="10"/>
  <c r="L27" i="10"/>
  <c r="E27" i="10"/>
  <c r="I27" i="10"/>
  <c r="M27" i="10"/>
  <c r="B21" i="8"/>
  <c r="F21" i="8"/>
  <c r="J21" i="8"/>
  <c r="E21" i="8"/>
  <c r="C21" i="8"/>
  <c r="H21" i="8"/>
  <c r="D20" i="8"/>
  <c r="H20" i="8"/>
  <c r="E20" i="8"/>
  <c r="J20" i="8"/>
  <c r="B20" i="8"/>
  <c r="G20" i="8"/>
  <c r="C183" i="10"/>
  <c r="G183" i="10"/>
  <c r="K183" i="10"/>
  <c r="O183" i="10"/>
  <c r="E183" i="10"/>
  <c r="J183" i="10"/>
  <c r="B183" i="10"/>
  <c r="H183" i="10"/>
  <c r="M183" i="10"/>
  <c r="D180" i="10"/>
  <c r="H180" i="10"/>
  <c r="L180" i="10"/>
  <c r="B180" i="10"/>
  <c r="G180" i="10"/>
  <c r="M180" i="10"/>
  <c r="E180" i="10"/>
  <c r="J180" i="10"/>
  <c r="O180" i="10"/>
  <c r="D172" i="10"/>
  <c r="H172" i="10"/>
  <c r="L172" i="10"/>
  <c r="E172" i="10"/>
  <c r="J172" i="10"/>
  <c r="O172" i="10"/>
  <c r="B172" i="10"/>
  <c r="G172" i="10"/>
  <c r="M172" i="10"/>
  <c r="B154" i="10"/>
  <c r="F154" i="10"/>
  <c r="J154" i="10"/>
  <c r="N154" i="10"/>
  <c r="C154" i="10"/>
  <c r="H154" i="10"/>
  <c r="M154" i="10"/>
  <c r="E154" i="10"/>
  <c r="K154" i="10"/>
  <c r="C147" i="10"/>
  <c r="G147" i="10"/>
  <c r="K147" i="10"/>
  <c r="O147" i="10"/>
  <c r="D147" i="10"/>
  <c r="H147" i="10"/>
  <c r="L147" i="10"/>
  <c r="B147" i="10"/>
  <c r="J147" i="10"/>
  <c r="F147" i="10"/>
  <c r="N147" i="10"/>
  <c r="C143" i="10"/>
  <c r="G143" i="10"/>
  <c r="K143" i="10"/>
  <c r="O143" i="10"/>
  <c r="D143" i="10"/>
  <c r="H143" i="10"/>
  <c r="L143" i="10"/>
  <c r="F143" i="10"/>
  <c r="N143" i="10"/>
  <c r="B143" i="10"/>
  <c r="J143" i="10"/>
  <c r="B99" i="10"/>
  <c r="F99" i="10"/>
  <c r="J99" i="10"/>
  <c r="N99" i="10"/>
  <c r="C99" i="10"/>
  <c r="G99" i="10"/>
  <c r="K99" i="10"/>
  <c r="O99" i="10"/>
  <c r="D99" i="10"/>
  <c r="H99" i="10"/>
  <c r="L99" i="10"/>
  <c r="E99" i="10"/>
  <c r="I99" i="10"/>
  <c r="M99" i="10"/>
  <c r="B67" i="10"/>
  <c r="F67" i="10"/>
  <c r="J67" i="10"/>
  <c r="N67" i="10"/>
  <c r="C67" i="10"/>
  <c r="G67" i="10"/>
  <c r="K67" i="10"/>
  <c r="O67" i="10"/>
  <c r="D67" i="10"/>
  <c r="H67" i="10"/>
  <c r="L67" i="10"/>
  <c r="E67" i="10"/>
  <c r="I67" i="10"/>
  <c r="M67" i="10"/>
  <c r="B35" i="10"/>
  <c r="F35" i="10"/>
  <c r="J35" i="10"/>
  <c r="N35" i="10"/>
  <c r="C35" i="10"/>
  <c r="G35" i="10"/>
  <c r="K35" i="10"/>
  <c r="O35" i="10"/>
  <c r="D35" i="10"/>
  <c r="H35" i="10"/>
  <c r="L35" i="10"/>
  <c r="E35" i="10"/>
  <c r="I35" i="10"/>
  <c r="M35" i="10"/>
  <c r="P135" i="12"/>
  <c r="R135" i="12"/>
  <c r="S135" i="12"/>
  <c r="S127" i="12"/>
  <c r="R127" i="12"/>
  <c r="P119" i="12"/>
  <c r="Q115" i="12"/>
  <c r="S111" i="12"/>
  <c r="Q111" i="12"/>
  <c r="R111" i="12"/>
  <c r="O109" i="6"/>
  <c r="K109" i="6"/>
  <c r="G109" i="6"/>
  <c r="C109" i="6"/>
  <c r="L109" i="5" s="1"/>
  <c r="M109" i="5" s="1"/>
  <c r="O105" i="6"/>
  <c r="K105" i="6"/>
  <c r="S105" i="12" s="1"/>
  <c r="G105" i="6"/>
  <c r="C105" i="6"/>
  <c r="S103" i="12"/>
  <c r="R103" i="12"/>
  <c r="O101" i="6"/>
  <c r="K101" i="6"/>
  <c r="S101" i="12" s="1"/>
  <c r="G101" i="6"/>
  <c r="C101" i="6"/>
  <c r="O97" i="6"/>
  <c r="K97" i="6"/>
  <c r="S97" i="12" s="1"/>
  <c r="G97" i="6"/>
  <c r="C97" i="6"/>
  <c r="L97" i="5" s="1"/>
  <c r="S95" i="12"/>
  <c r="O93" i="6"/>
  <c r="K93" i="6"/>
  <c r="N93" i="12" s="1"/>
  <c r="G93" i="6"/>
  <c r="C93" i="6"/>
  <c r="R91" i="12"/>
  <c r="S91" i="12"/>
  <c r="Q91" i="12"/>
  <c r="O89" i="6"/>
  <c r="K89" i="6"/>
  <c r="N89" i="12" s="1"/>
  <c r="G89" i="6"/>
  <c r="C89" i="6"/>
  <c r="L89" i="5" s="1"/>
  <c r="O85" i="6"/>
  <c r="K85" i="6"/>
  <c r="N85" i="12" s="1"/>
  <c r="G85" i="6"/>
  <c r="C85" i="6"/>
  <c r="L85" i="5" s="1"/>
  <c r="R83" i="12"/>
  <c r="S83" i="12"/>
  <c r="P83" i="12"/>
  <c r="O81" i="6"/>
  <c r="K81" i="6"/>
  <c r="R81" i="12" s="1"/>
  <c r="G81" i="6"/>
  <c r="C81" i="6"/>
  <c r="P79" i="12"/>
  <c r="O77" i="6"/>
  <c r="K77" i="6"/>
  <c r="S77" i="12" s="1"/>
  <c r="G77" i="6"/>
  <c r="C77" i="6"/>
  <c r="L77" i="5" s="1"/>
  <c r="O73" i="6"/>
  <c r="K73" i="6"/>
  <c r="R73" i="12" s="1"/>
  <c r="G73" i="6"/>
  <c r="C73" i="6"/>
  <c r="O69" i="6"/>
  <c r="K69" i="6"/>
  <c r="N69" i="12" s="1"/>
  <c r="G69" i="6"/>
  <c r="C69" i="6"/>
  <c r="L69" i="5" s="1"/>
  <c r="M69" i="5" s="1"/>
  <c r="N65" i="6"/>
  <c r="I65" i="6"/>
  <c r="D65" i="6"/>
  <c r="Q62" i="12"/>
  <c r="S62" i="12"/>
  <c r="D62" i="6"/>
  <c r="H62" i="6"/>
  <c r="L62" i="6"/>
  <c r="O62" i="12" s="1"/>
  <c r="O60" i="6"/>
  <c r="I60" i="6"/>
  <c r="Q60" i="12" s="1"/>
  <c r="D60" i="6"/>
  <c r="P57" i="12"/>
  <c r="C57" i="6"/>
  <c r="G57" i="6"/>
  <c r="K57" i="6"/>
  <c r="N57" i="12" s="1"/>
  <c r="O57" i="6"/>
  <c r="N54" i="6"/>
  <c r="I54" i="6"/>
  <c r="Q54" i="12" s="1"/>
  <c r="C54" i="6"/>
  <c r="L54" i="5" s="1"/>
  <c r="B52" i="6"/>
  <c r="F52" i="6"/>
  <c r="J52" i="6"/>
  <c r="N52" i="6"/>
  <c r="N49" i="6"/>
  <c r="I49" i="6"/>
  <c r="D49" i="6"/>
  <c r="Q46" i="12"/>
  <c r="D46" i="6"/>
  <c r="H46" i="6"/>
  <c r="P46" i="12" s="1"/>
  <c r="L46" i="6"/>
  <c r="O46" i="12" s="1"/>
  <c r="O44" i="6"/>
  <c r="I44" i="6"/>
  <c r="M44" i="12" s="1"/>
  <c r="D44" i="6"/>
  <c r="C41" i="6"/>
  <c r="G41" i="6"/>
  <c r="K41" i="6"/>
  <c r="O41" i="6"/>
  <c r="N38" i="6"/>
  <c r="I38" i="6"/>
  <c r="M38" i="12" s="1"/>
  <c r="C38" i="6"/>
  <c r="L38" i="5" s="1"/>
  <c r="M38" i="5" s="1"/>
  <c r="B36" i="6"/>
  <c r="F36" i="6"/>
  <c r="J36" i="6"/>
  <c r="N36" i="6"/>
  <c r="N33" i="6"/>
  <c r="I33" i="6"/>
  <c r="Q33" i="12" s="1"/>
  <c r="D33" i="6"/>
  <c r="Q30" i="12"/>
  <c r="B30" i="6"/>
  <c r="F30" i="6"/>
  <c r="J30" i="6"/>
  <c r="N30" i="6"/>
  <c r="D30" i="6"/>
  <c r="H30" i="6"/>
  <c r="L30" i="12" s="1"/>
  <c r="L30" i="6"/>
  <c r="O30" i="12" s="1"/>
  <c r="B26" i="6"/>
  <c r="F26" i="6"/>
  <c r="J26" i="6"/>
  <c r="N26" i="6"/>
  <c r="C26" i="6"/>
  <c r="L26" i="5" s="1"/>
  <c r="M26" i="5" s="1"/>
  <c r="H26" i="6"/>
  <c r="M26" i="6"/>
  <c r="E26" i="6"/>
  <c r="K26" i="6"/>
  <c r="S26" i="12" s="1"/>
  <c r="F23" i="6"/>
  <c r="F20" i="6"/>
  <c r="Q18" i="12"/>
  <c r="B18" i="6"/>
  <c r="F18" i="6"/>
  <c r="J18" i="6"/>
  <c r="N18" i="6"/>
  <c r="E18" i="6"/>
  <c r="K18" i="6"/>
  <c r="S18" i="12" s="1"/>
  <c r="C18" i="6"/>
  <c r="H18" i="6"/>
  <c r="M18" i="6"/>
  <c r="F12" i="6"/>
  <c r="D56" i="8"/>
  <c r="H56" i="8"/>
  <c r="B56" i="8"/>
  <c r="G56" i="8"/>
  <c r="E56" i="8"/>
  <c r="J56" i="8"/>
  <c r="G49" i="8"/>
  <c r="F48" i="8"/>
  <c r="B41" i="8"/>
  <c r="F41" i="8"/>
  <c r="J41" i="8"/>
  <c r="C41" i="8"/>
  <c r="H41" i="8"/>
  <c r="E41" i="8"/>
  <c r="D40" i="8"/>
  <c r="H40" i="8"/>
  <c r="B40" i="8"/>
  <c r="G40" i="8"/>
  <c r="E40" i="8"/>
  <c r="J40" i="8"/>
  <c r="G33" i="8"/>
  <c r="F32" i="8"/>
  <c r="B25" i="8"/>
  <c r="F25" i="8"/>
  <c r="J25" i="8"/>
  <c r="C25" i="8"/>
  <c r="H25" i="8"/>
  <c r="E25" i="8"/>
  <c r="D24" i="8"/>
  <c r="H24" i="8"/>
  <c r="B24" i="8"/>
  <c r="G24" i="8"/>
  <c r="E24" i="8"/>
  <c r="J24" i="8"/>
  <c r="I21" i="8"/>
  <c r="I20" i="8"/>
  <c r="G17" i="8"/>
  <c r="F16" i="8"/>
  <c r="B9" i="8"/>
  <c r="F9" i="8"/>
  <c r="J9" i="8"/>
  <c r="C9" i="8"/>
  <c r="H9" i="8"/>
  <c r="E9" i="8"/>
  <c r="D8" i="8"/>
  <c r="H8" i="8"/>
  <c r="B8" i="8"/>
  <c r="G8" i="8"/>
  <c r="E8" i="8"/>
  <c r="J8" i="8"/>
  <c r="D188" i="10"/>
  <c r="H188" i="10"/>
  <c r="L188" i="10"/>
  <c r="E188" i="10"/>
  <c r="J188" i="10"/>
  <c r="O188" i="10"/>
  <c r="B188" i="10"/>
  <c r="G188" i="10"/>
  <c r="M188" i="10"/>
  <c r="I183" i="10"/>
  <c r="I180" i="10"/>
  <c r="F175" i="10"/>
  <c r="I172" i="10"/>
  <c r="B170" i="10"/>
  <c r="F170" i="10"/>
  <c r="J170" i="10"/>
  <c r="N170" i="10"/>
  <c r="C170" i="10"/>
  <c r="H170" i="10"/>
  <c r="M170" i="10"/>
  <c r="E170" i="10"/>
  <c r="K170" i="10"/>
  <c r="F167" i="10"/>
  <c r="F164" i="10"/>
  <c r="B162" i="10"/>
  <c r="F162" i="10"/>
  <c r="J162" i="10"/>
  <c r="N162" i="10"/>
  <c r="E162" i="10"/>
  <c r="K162" i="10"/>
  <c r="C162" i="10"/>
  <c r="H162" i="10"/>
  <c r="M162" i="10"/>
  <c r="F156" i="10"/>
  <c r="I154" i="10"/>
  <c r="M147" i="10"/>
  <c r="M143" i="10"/>
  <c r="C123" i="10"/>
  <c r="G123" i="10"/>
  <c r="K123" i="10"/>
  <c r="O123" i="10"/>
  <c r="D123" i="10"/>
  <c r="H123" i="10"/>
  <c r="L123" i="10"/>
  <c r="B123" i="10"/>
  <c r="J123" i="10"/>
  <c r="E123" i="10"/>
  <c r="M123" i="10"/>
  <c r="F123" i="10"/>
  <c r="N123" i="10"/>
  <c r="B107" i="10"/>
  <c r="F107" i="10"/>
  <c r="J107" i="10"/>
  <c r="N107" i="10"/>
  <c r="C107" i="10"/>
  <c r="G107" i="10"/>
  <c r="K107" i="10"/>
  <c r="O107" i="10"/>
  <c r="D107" i="10"/>
  <c r="H107" i="10"/>
  <c r="L107" i="10"/>
  <c r="E107" i="10"/>
  <c r="I107" i="10"/>
  <c r="M107" i="10"/>
  <c r="B75" i="10"/>
  <c r="F75" i="10"/>
  <c r="J75" i="10"/>
  <c r="N75" i="10"/>
  <c r="C75" i="10"/>
  <c r="G75" i="10"/>
  <c r="K75" i="10"/>
  <c r="O75" i="10"/>
  <c r="D75" i="10"/>
  <c r="H75" i="10"/>
  <c r="L75" i="10"/>
  <c r="E75" i="10"/>
  <c r="I75" i="10"/>
  <c r="M75" i="10"/>
  <c r="B43" i="10"/>
  <c r="F43" i="10"/>
  <c r="J43" i="10"/>
  <c r="N43" i="10"/>
  <c r="C43" i="10"/>
  <c r="G43" i="10"/>
  <c r="K43" i="10"/>
  <c r="O43" i="10"/>
  <c r="D43" i="10"/>
  <c r="H43" i="10"/>
  <c r="L43" i="10"/>
  <c r="E43" i="10"/>
  <c r="I43" i="10"/>
  <c r="M43" i="10"/>
  <c r="Q55" i="12"/>
  <c r="R55" i="12"/>
  <c r="P47" i="12"/>
  <c r="Q47" i="12"/>
  <c r="R47" i="12"/>
  <c r="P31" i="12"/>
  <c r="O29" i="6"/>
  <c r="K29" i="6"/>
  <c r="G29" i="6"/>
  <c r="Q27" i="12"/>
  <c r="R27" i="12"/>
  <c r="N24" i="6"/>
  <c r="I24" i="6"/>
  <c r="M24" i="12" s="1"/>
  <c r="B22" i="6"/>
  <c r="F22" i="6"/>
  <c r="J22" i="6"/>
  <c r="N22" i="6"/>
  <c r="N19" i="6"/>
  <c r="I19" i="6"/>
  <c r="D16" i="6"/>
  <c r="H16" i="6"/>
  <c r="P16" i="12" s="1"/>
  <c r="L16" i="6"/>
  <c r="O16" i="12" s="1"/>
  <c r="O14" i="6"/>
  <c r="I14" i="6"/>
  <c r="Q11" i="12"/>
  <c r="C11" i="6"/>
  <c r="G11" i="6"/>
  <c r="K11" i="6"/>
  <c r="N11" i="12" s="1"/>
  <c r="O11" i="6"/>
  <c r="N8" i="6"/>
  <c r="I8" i="6"/>
  <c r="I55" i="8"/>
  <c r="I54" i="8"/>
  <c r="B51" i="8"/>
  <c r="F51" i="8"/>
  <c r="J51" i="8"/>
  <c r="D50" i="8"/>
  <c r="H50" i="8"/>
  <c r="I47" i="8"/>
  <c r="I46" i="8"/>
  <c r="B43" i="8"/>
  <c r="F43" i="8"/>
  <c r="J43" i="8"/>
  <c r="D42" i="8"/>
  <c r="H42" i="8"/>
  <c r="I39" i="8"/>
  <c r="I38" i="8"/>
  <c r="B35" i="8"/>
  <c r="F35" i="8"/>
  <c r="J35" i="8"/>
  <c r="D34" i="8"/>
  <c r="H34" i="8"/>
  <c r="I31" i="8"/>
  <c r="I30" i="8"/>
  <c r="B27" i="8"/>
  <c r="F27" i="8"/>
  <c r="J27" i="8"/>
  <c r="D26" i="8"/>
  <c r="H26" i="8"/>
  <c r="I23" i="8"/>
  <c r="I22" i="8"/>
  <c r="B19" i="8"/>
  <c r="F19" i="8"/>
  <c r="J19" i="8"/>
  <c r="D18" i="8"/>
  <c r="H18" i="8"/>
  <c r="I15" i="8"/>
  <c r="I14" i="8"/>
  <c r="B11" i="8"/>
  <c r="F11" i="8"/>
  <c r="J11" i="8"/>
  <c r="D10" i="8"/>
  <c r="H10" i="8"/>
  <c r="I7" i="8"/>
  <c r="C187" i="10"/>
  <c r="G187" i="10"/>
  <c r="K187" i="10"/>
  <c r="O187" i="10"/>
  <c r="N184" i="10"/>
  <c r="I184" i="10"/>
  <c r="B182" i="10"/>
  <c r="F182" i="10"/>
  <c r="J182" i="10"/>
  <c r="N182" i="10"/>
  <c r="N179" i="10"/>
  <c r="I179" i="10"/>
  <c r="D176" i="10"/>
  <c r="H176" i="10"/>
  <c r="L176" i="10"/>
  <c r="O174" i="10"/>
  <c r="I174" i="10"/>
  <c r="C171" i="10"/>
  <c r="G171" i="10"/>
  <c r="K171" i="10"/>
  <c r="O171" i="10"/>
  <c r="N168" i="10"/>
  <c r="I168" i="10"/>
  <c r="B166" i="10"/>
  <c r="F166" i="10"/>
  <c r="J166" i="10"/>
  <c r="N166" i="10"/>
  <c r="N163" i="10"/>
  <c r="I163" i="10"/>
  <c r="D160" i="10"/>
  <c r="H160" i="10"/>
  <c r="L160" i="10"/>
  <c r="O158" i="10"/>
  <c r="I158" i="10"/>
  <c r="C155" i="10"/>
  <c r="G155" i="10"/>
  <c r="K155" i="10"/>
  <c r="O155" i="10"/>
  <c r="N152" i="10"/>
  <c r="I152" i="10"/>
  <c r="B150" i="10"/>
  <c r="F150" i="10"/>
  <c r="J150" i="10"/>
  <c r="N150" i="10"/>
  <c r="M146" i="10"/>
  <c r="B142" i="10"/>
  <c r="F142" i="10"/>
  <c r="J142" i="10"/>
  <c r="N142" i="10"/>
  <c r="C142" i="10"/>
  <c r="G142" i="10"/>
  <c r="K142" i="10"/>
  <c r="O142" i="10"/>
  <c r="M138" i="10"/>
  <c r="J135" i="10"/>
  <c r="B134" i="10"/>
  <c r="F134" i="10"/>
  <c r="J134" i="10"/>
  <c r="N134" i="10"/>
  <c r="C134" i="10"/>
  <c r="G134" i="10"/>
  <c r="K134" i="10"/>
  <c r="O134" i="10"/>
  <c r="M130" i="10"/>
  <c r="J127" i="10"/>
  <c r="B126" i="10"/>
  <c r="F126" i="10"/>
  <c r="J126" i="10"/>
  <c r="N126" i="10"/>
  <c r="C126" i="10"/>
  <c r="G126" i="10"/>
  <c r="K126" i="10"/>
  <c r="O126" i="10"/>
  <c r="M122" i="10"/>
  <c r="J119" i="10"/>
  <c r="B118" i="10"/>
  <c r="F118" i="10"/>
  <c r="J118" i="10"/>
  <c r="N118" i="10"/>
  <c r="C118" i="10"/>
  <c r="G118" i="10"/>
  <c r="K118" i="10"/>
  <c r="O118" i="10"/>
  <c r="L16" i="10"/>
  <c r="C135" i="10"/>
  <c r="G135" i="10"/>
  <c r="K135" i="10"/>
  <c r="O135" i="10"/>
  <c r="D135" i="10"/>
  <c r="H135" i="10"/>
  <c r="L135" i="10"/>
  <c r="C127" i="10"/>
  <c r="G127" i="10"/>
  <c r="K127" i="10"/>
  <c r="O127" i="10"/>
  <c r="D127" i="10"/>
  <c r="H127" i="10"/>
  <c r="L127" i="10"/>
  <c r="C119" i="10"/>
  <c r="G119" i="10"/>
  <c r="K119" i="10"/>
  <c r="O119" i="10"/>
  <c r="D119" i="10"/>
  <c r="H119" i="10"/>
  <c r="L119" i="10"/>
  <c r="B111" i="10"/>
  <c r="F111" i="10"/>
  <c r="J111" i="10"/>
  <c r="N111" i="10"/>
  <c r="C111" i="10"/>
  <c r="G111" i="10"/>
  <c r="K111" i="10"/>
  <c r="O111" i="10"/>
  <c r="D111" i="10"/>
  <c r="H111" i="10"/>
  <c r="L111" i="10"/>
  <c r="B103" i="10"/>
  <c r="F103" i="10"/>
  <c r="J103" i="10"/>
  <c r="N103" i="10"/>
  <c r="C103" i="10"/>
  <c r="G103" i="10"/>
  <c r="K103" i="10"/>
  <c r="O103" i="10"/>
  <c r="D103" i="10"/>
  <c r="H103" i="10"/>
  <c r="L103" i="10"/>
  <c r="B95" i="10"/>
  <c r="F95" i="10"/>
  <c r="J95" i="10"/>
  <c r="N95" i="10"/>
  <c r="C95" i="10"/>
  <c r="G95" i="10"/>
  <c r="K95" i="10"/>
  <c r="O95" i="10"/>
  <c r="D95" i="10"/>
  <c r="H95" i="10"/>
  <c r="L95" i="10"/>
  <c r="B87" i="10"/>
  <c r="F87" i="10"/>
  <c r="J87" i="10"/>
  <c r="N87" i="10"/>
  <c r="C87" i="10"/>
  <c r="G87" i="10"/>
  <c r="K87" i="10"/>
  <c r="O87" i="10"/>
  <c r="D87" i="10"/>
  <c r="H87" i="10"/>
  <c r="L87" i="10"/>
  <c r="B79" i="10"/>
  <c r="F79" i="10"/>
  <c r="J79" i="10"/>
  <c r="N79" i="10"/>
  <c r="C79" i="10"/>
  <c r="G79" i="10"/>
  <c r="K79" i="10"/>
  <c r="O79" i="10"/>
  <c r="D79" i="10"/>
  <c r="H79" i="10"/>
  <c r="L79" i="10"/>
  <c r="B71" i="10"/>
  <c r="F71" i="10"/>
  <c r="J71" i="10"/>
  <c r="N71" i="10"/>
  <c r="C71" i="10"/>
  <c r="G71" i="10"/>
  <c r="K71" i="10"/>
  <c r="O71" i="10"/>
  <c r="D71" i="10"/>
  <c r="H71" i="10"/>
  <c r="L71" i="10"/>
  <c r="B63" i="10"/>
  <c r="F63" i="10"/>
  <c r="J63" i="10"/>
  <c r="N63" i="10"/>
  <c r="C63" i="10"/>
  <c r="G63" i="10"/>
  <c r="K63" i="10"/>
  <c r="O63" i="10"/>
  <c r="D63" i="10"/>
  <c r="H63" i="10"/>
  <c r="L63" i="10"/>
  <c r="B55" i="10"/>
  <c r="F55" i="10"/>
  <c r="J55" i="10"/>
  <c r="N55" i="10"/>
  <c r="C55" i="10"/>
  <c r="G55" i="10"/>
  <c r="K55" i="10"/>
  <c r="O55" i="10"/>
  <c r="D55" i="10"/>
  <c r="H55" i="10"/>
  <c r="L55" i="10"/>
  <c r="B47" i="10"/>
  <c r="F47" i="10"/>
  <c r="J47" i="10"/>
  <c r="N47" i="10"/>
  <c r="C47" i="10"/>
  <c r="G47" i="10"/>
  <c r="K47" i="10"/>
  <c r="O47" i="10"/>
  <c r="D47" i="10"/>
  <c r="H47" i="10"/>
  <c r="L47" i="10"/>
  <c r="B39" i="10"/>
  <c r="F39" i="10"/>
  <c r="J39" i="10"/>
  <c r="N39" i="10"/>
  <c r="C39" i="10"/>
  <c r="G39" i="10"/>
  <c r="K39" i="10"/>
  <c r="O39" i="10"/>
  <c r="D39" i="10"/>
  <c r="H39" i="10"/>
  <c r="L39" i="10"/>
  <c r="B31" i="10"/>
  <c r="F31" i="10"/>
  <c r="J31" i="10"/>
  <c r="N31" i="10"/>
  <c r="C31" i="10"/>
  <c r="G31" i="10"/>
  <c r="K31" i="10"/>
  <c r="O31" i="10"/>
  <c r="D31" i="10"/>
  <c r="H31" i="10"/>
  <c r="L31" i="10"/>
  <c r="B23" i="10"/>
  <c r="F23" i="10"/>
  <c r="J23" i="10"/>
  <c r="N23" i="10"/>
  <c r="C23" i="10"/>
  <c r="G23" i="10"/>
  <c r="K23" i="10"/>
  <c r="O23" i="10"/>
  <c r="D23" i="10"/>
  <c r="H23" i="10"/>
  <c r="L23" i="10"/>
  <c r="D24" i="6"/>
  <c r="H24" i="6"/>
  <c r="L24" i="12" s="1"/>
  <c r="L24" i="6"/>
  <c r="P19" i="12"/>
  <c r="C19" i="6"/>
  <c r="G19" i="6"/>
  <c r="K19" i="6"/>
  <c r="N19" i="12" s="1"/>
  <c r="O19" i="6"/>
  <c r="B14" i="6"/>
  <c r="F14" i="6"/>
  <c r="J14" i="6"/>
  <c r="N14" i="6"/>
  <c r="D8" i="6"/>
  <c r="H8" i="6"/>
  <c r="L9" i="12" s="1"/>
  <c r="L8" i="6"/>
  <c r="B55" i="8"/>
  <c r="F55" i="8"/>
  <c r="J55" i="8"/>
  <c r="D54" i="8"/>
  <c r="H54" i="8"/>
  <c r="B47" i="8"/>
  <c r="F47" i="8"/>
  <c r="J47" i="8"/>
  <c r="D46" i="8"/>
  <c r="H46" i="8"/>
  <c r="B39" i="8"/>
  <c r="F39" i="8"/>
  <c r="J39" i="8"/>
  <c r="D38" i="8"/>
  <c r="H38" i="8"/>
  <c r="B31" i="8"/>
  <c r="F31" i="8"/>
  <c r="J31" i="8"/>
  <c r="D30" i="8"/>
  <c r="H30" i="8"/>
  <c r="B23" i="8"/>
  <c r="F23" i="8"/>
  <c r="J23" i="8"/>
  <c r="D22" i="8"/>
  <c r="H22" i="8"/>
  <c r="B15" i="8"/>
  <c r="F15" i="8"/>
  <c r="J15" i="8"/>
  <c r="D14" i="8"/>
  <c r="H14" i="8"/>
  <c r="B7" i="8"/>
  <c r="F7" i="8"/>
  <c r="J7" i="8"/>
  <c r="D184" i="10"/>
  <c r="H184" i="10"/>
  <c r="L184" i="10"/>
  <c r="C179" i="10"/>
  <c r="G179" i="10"/>
  <c r="K179" i="10"/>
  <c r="O179" i="10"/>
  <c r="B174" i="10"/>
  <c r="F174" i="10"/>
  <c r="J174" i="10"/>
  <c r="N174" i="10"/>
  <c r="D168" i="10"/>
  <c r="H168" i="10"/>
  <c r="L168" i="10"/>
  <c r="C163" i="10"/>
  <c r="G163" i="10"/>
  <c r="K163" i="10"/>
  <c r="O163" i="10"/>
  <c r="B158" i="10"/>
  <c r="F158" i="10"/>
  <c r="J158" i="10"/>
  <c r="N158" i="10"/>
  <c r="D152" i="10"/>
  <c r="H152" i="10"/>
  <c r="L152" i="10"/>
  <c r="B146" i="10"/>
  <c r="F146" i="10"/>
  <c r="J146" i="10"/>
  <c r="N146" i="10"/>
  <c r="C146" i="10"/>
  <c r="G146" i="10"/>
  <c r="K146" i="10"/>
  <c r="O146" i="10"/>
  <c r="B138" i="10"/>
  <c r="F138" i="10"/>
  <c r="J138" i="10"/>
  <c r="N138" i="10"/>
  <c r="C138" i="10"/>
  <c r="G138" i="10"/>
  <c r="K138" i="10"/>
  <c r="O138" i="10"/>
  <c r="N135" i="10"/>
  <c r="F135" i="10"/>
  <c r="B130" i="10"/>
  <c r="F130" i="10"/>
  <c r="J130" i="10"/>
  <c r="N130" i="10"/>
  <c r="C130" i="10"/>
  <c r="G130" i="10"/>
  <c r="K130" i="10"/>
  <c r="O130" i="10"/>
  <c r="N127" i="10"/>
  <c r="F127" i="10"/>
  <c r="E126" i="10"/>
  <c r="B122" i="10"/>
  <c r="F122" i="10"/>
  <c r="J122" i="10"/>
  <c r="N122" i="10"/>
  <c r="C122" i="10"/>
  <c r="G122" i="10"/>
  <c r="K122" i="10"/>
  <c r="O122" i="10"/>
  <c r="N119" i="10"/>
  <c r="F119" i="10"/>
  <c r="M118" i="10"/>
  <c r="E118" i="10"/>
  <c r="M111" i="10"/>
  <c r="M103" i="10"/>
  <c r="M95" i="10"/>
  <c r="M87" i="10"/>
  <c r="M79" i="10"/>
  <c r="M71" i="10"/>
  <c r="M63" i="10"/>
  <c r="M55" i="10"/>
  <c r="M47" i="10"/>
  <c r="M39" i="10"/>
  <c r="M31" i="10"/>
  <c r="M23" i="10"/>
  <c r="C21" i="10"/>
  <c r="G21" i="10"/>
  <c r="K21" i="10"/>
  <c r="O21" i="10"/>
  <c r="B21" i="10"/>
  <c r="H21" i="10"/>
  <c r="M21" i="10"/>
  <c r="D21" i="10"/>
  <c r="I21" i="10"/>
  <c r="N21" i="10"/>
  <c r="E21" i="10"/>
  <c r="J21" i="10"/>
  <c r="B16" i="10"/>
  <c r="F16" i="10"/>
  <c r="J16" i="10"/>
  <c r="N16" i="10"/>
  <c r="C16" i="10"/>
  <c r="H16" i="10"/>
  <c r="M16" i="10"/>
  <c r="D16" i="10"/>
  <c r="I16" i="10"/>
  <c r="O16" i="10"/>
  <c r="E16" i="10"/>
  <c r="K16" i="10"/>
  <c r="O114" i="10"/>
  <c r="K114" i="10"/>
  <c r="G114" i="10"/>
  <c r="C114" i="10"/>
  <c r="O110" i="10"/>
  <c r="K110" i="10"/>
  <c r="G110" i="10"/>
  <c r="C110" i="10"/>
  <c r="O106" i="10"/>
  <c r="K106" i="10"/>
  <c r="G106" i="10"/>
  <c r="C106" i="10"/>
  <c r="O102" i="10"/>
  <c r="K102" i="10"/>
  <c r="G102" i="10"/>
  <c r="C102" i="10"/>
  <c r="O98" i="10"/>
  <c r="K98" i="10"/>
  <c r="G98" i="10"/>
  <c r="C98" i="10"/>
  <c r="O94" i="10"/>
  <c r="K94" i="10"/>
  <c r="G94" i="10"/>
  <c r="C94" i="10"/>
  <c r="O90" i="10"/>
  <c r="K90" i="10"/>
  <c r="G90" i="10"/>
  <c r="C90" i="10"/>
  <c r="O86" i="10"/>
  <c r="K86" i="10"/>
  <c r="G86" i="10"/>
  <c r="C86" i="10"/>
  <c r="O82" i="10"/>
  <c r="K82" i="10"/>
  <c r="G82" i="10"/>
  <c r="C82" i="10"/>
  <c r="O78" i="10"/>
  <c r="K78" i="10"/>
  <c r="G78" i="10"/>
  <c r="C78" i="10"/>
  <c r="O74" i="10"/>
  <c r="K74" i="10"/>
  <c r="G74" i="10"/>
  <c r="C74" i="10"/>
  <c r="O70" i="10"/>
  <c r="K70" i="10"/>
  <c r="G70" i="10"/>
  <c r="C70" i="10"/>
  <c r="O66" i="10"/>
  <c r="K66" i="10"/>
  <c r="G66" i="10"/>
  <c r="C66" i="10"/>
  <c r="O62" i="10"/>
  <c r="K62" i="10"/>
  <c r="G62" i="10"/>
  <c r="C62" i="10"/>
  <c r="O58" i="10"/>
  <c r="K58" i="10"/>
  <c r="G58" i="10"/>
  <c r="C58" i="10"/>
  <c r="O54" i="10"/>
  <c r="K54" i="10"/>
  <c r="G54" i="10"/>
  <c r="C54" i="10"/>
  <c r="O50" i="10"/>
  <c r="K50" i="10"/>
  <c r="G50" i="10"/>
  <c r="C50" i="10"/>
  <c r="O46" i="10"/>
  <c r="K46" i="10"/>
  <c r="G46" i="10"/>
  <c r="C46" i="10"/>
  <c r="O42" i="10"/>
  <c r="K42" i="10"/>
  <c r="G42" i="10"/>
  <c r="C42" i="10"/>
  <c r="O38" i="10"/>
  <c r="K38" i="10"/>
  <c r="G38" i="10"/>
  <c r="C38" i="10"/>
  <c r="O34" i="10"/>
  <c r="K34" i="10"/>
  <c r="G34" i="10"/>
  <c r="C34" i="10"/>
  <c r="O30" i="10"/>
  <c r="K30" i="10"/>
  <c r="G30" i="10"/>
  <c r="C30" i="10"/>
  <c r="O26" i="10"/>
  <c r="K26" i="10"/>
  <c r="G26" i="10"/>
  <c r="C26" i="10"/>
  <c r="D22" i="10"/>
  <c r="H22" i="10"/>
  <c r="O20" i="10"/>
  <c r="I20" i="10"/>
  <c r="D20" i="10"/>
  <c r="C17" i="10"/>
  <c r="G17" i="10"/>
  <c r="K17" i="10"/>
  <c r="O17" i="10"/>
  <c r="N14" i="10"/>
  <c r="I14" i="10"/>
  <c r="C14" i="10"/>
  <c r="B12" i="10"/>
  <c r="F12" i="10"/>
  <c r="J12" i="10"/>
  <c r="N12" i="10"/>
  <c r="O10" i="10"/>
  <c r="J10" i="10"/>
  <c r="E10" i="10"/>
  <c r="B184" i="11"/>
  <c r="F184" i="11"/>
  <c r="J184" i="11"/>
  <c r="N184" i="11"/>
  <c r="C184" i="11"/>
  <c r="G184" i="11"/>
  <c r="K184" i="11"/>
  <c r="O184" i="11"/>
  <c r="D184" i="11"/>
  <c r="H184" i="11"/>
  <c r="L184" i="11"/>
  <c r="I180" i="11"/>
  <c r="B176" i="11"/>
  <c r="F176" i="11"/>
  <c r="J176" i="11"/>
  <c r="N176" i="11"/>
  <c r="C176" i="11"/>
  <c r="G176" i="11"/>
  <c r="K176" i="11"/>
  <c r="O176" i="11"/>
  <c r="D176" i="11"/>
  <c r="H176" i="11"/>
  <c r="L176" i="11"/>
  <c r="I172" i="11"/>
  <c r="Q25" i="12"/>
  <c r="Q21" i="12"/>
  <c r="S17" i="12"/>
  <c r="Q17" i="12"/>
  <c r="P17" i="12"/>
  <c r="R17" i="12"/>
  <c r="S13" i="12"/>
  <c r="Q13" i="12"/>
  <c r="R13" i="12"/>
  <c r="P9" i="12"/>
  <c r="R9" i="12"/>
  <c r="L148" i="10"/>
  <c r="H148" i="10"/>
  <c r="L144" i="10"/>
  <c r="H144" i="10"/>
  <c r="L140" i="10"/>
  <c r="H140" i="10"/>
  <c r="L136" i="10"/>
  <c r="H136" i="10"/>
  <c r="L132" i="10"/>
  <c r="H132" i="10"/>
  <c r="L128" i="10"/>
  <c r="H128" i="10"/>
  <c r="L124" i="10"/>
  <c r="H124" i="10"/>
  <c r="L120" i="10"/>
  <c r="H120" i="10"/>
  <c r="L116" i="10"/>
  <c r="H116" i="10"/>
  <c r="N114" i="10"/>
  <c r="J114" i="10"/>
  <c r="F114" i="10"/>
  <c r="L112" i="10"/>
  <c r="H112" i="10"/>
  <c r="N110" i="10"/>
  <c r="J110" i="10"/>
  <c r="F110" i="10"/>
  <c r="L108" i="10"/>
  <c r="H108" i="10"/>
  <c r="N106" i="10"/>
  <c r="J106" i="10"/>
  <c r="F106" i="10"/>
  <c r="L104" i="10"/>
  <c r="H104" i="10"/>
  <c r="N102" i="10"/>
  <c r="J102" i="10"/>
  <c r="F102" i="10"/>
  <c r="L100" i="10"/>
  <c r="H100" i="10"/>
  <c r="N98" i="10"/>
  <c r="J98" i="10"/>
  <c r="F98" i="10"/>
  <c r="L96" i="10"/>
  <c r="H96" i="10"/>
  <c r="N94" i="10"/>
  <c r="J94" i="10"/>
  <c r="F94" i="10"/>
  <c r="L92" i="10"/>
  <c r="H92" i="10"/>
  <c r="N90" i="10"/>
  <c r="J90" i="10"/>
  <c r="F90" i="10"/>
  <c r="L88" i="10"/>
  <c r="H88" i="10"/>
  <c r="N86" i="10"/>
  <c r="J86" i="10"/>
  <c r="F86" i="10"/>
  <c r="L84" i="10"/>
  <c r="H84" i="10"/>
  <c r="N82" i="10"/>
  <c r="J82" i="10"/>
  <c r="F82" i="10"/>
  <c r="L80" i="10"/>
  <c r="H80" i="10"/>
  <c r="N78" i="10"/>
  <c r="J78" i="10"/>
  <c r="F78" i="10"/>
  <c r="L76" i="10"/>
  <c r="H76" i="10"/>
  <c r="N74" i="10"/>
  <c r="J74" i="10"/>
  <c r="F74" i="10"/>
  <c r="L72" i="10"/>
  <c r="H72" i="10"/>
  <c r="N70" i="10"/>
  <c r="J70" i="10"/>
  <c r="F70" i="10"/>
  <c r="L68" i="10"/>
  <c r="H68" i="10"/>
  <c r="N66" i="10"/>
  <c r="J66" i="10"/>
  <c r="F66" i="10"/>
  <c r="L64" i="10"/>
  <c r="H64" i="10"/>
  <c r="N62" i="10"/>
  <c r="J62" i="10"/>
  <c r="F62" i="10"/>
  <c r="L60" i="10"/>
  <c r="H60" i="10"/>
  <c r="N58" i="10"/>
  <c r="J58" i="10"/>
  <c r="F58" i="10"/>
  <c r="L56" i="10"/>
  <c r="H56" i="10"/>
  <c r="N54" i="10"/>
  <c r="J54" i="10"/>
  <c r="F54" i="10"/>
  <c r="L52" i="10"/>
  <c r="H52" i="10"/>
  <c r="N50" i="10"/>
  <c r="J50" i="10"/>
  <c r="F50" i="10"/>
  <c r="L48" i="10"/>
  <c r="H48" i="10"/>
  <c r="N46" i="10"/>
  <c r="J46" i="10"/>
  <c r="F46" i="10"/>
  <c r="L44" i="10"/>
  <c r="H44" i="10"/>
  <c r="N42" i="10"/>
  <c r="J42" i="10"/>
  <c r="F42" i="10"/>
  <c r="L40" i="10"/>
  <c r="H40" i="10"/>
  <c r="N38" i="10"/>
  <c r="J38" i="10"/>
  <c r="F38" i="10"/>
  <c r="L36" i="10"/>
  <c r="H36" i="10"/>
  <c r="N34" i="10"/>
  <c r="J34" i="10"/>
  <c r="F34" i="10"/>
  <c r="L32" i="10"/>
  <c r="H32" i="10"/>
  <c r="N30" i="10"/>
  <c r="J30" i="10"/>
  <c r="F30" i="10"/>
  <c r="L28" i="10"/>
  <c r="H28" i="10"/>
  <c r="N26" i="10"/>
  <c r="J26" i="10"/>
  <c r="F26" i="10"/>
  <c r="L24" i="10"/>
  <c r="H24" i="10"/>
  <c r="N22" i="10"/>
  <c r="J22" i="10"/>
  <c r="E22" i="10"/>
  <c r="M20" i="10"/>
  <c r="H20" i="10"/>
  <c r="D18" i="10"/>
  <c r="H18" i="10"/>
  <c r="L18" i="10"/>
  <c r="J17" i="10"/>
  <c r="E17" i="10"/>
  <c r="M14" i="10"/>
  <c r="G14" i="10"/>
  <c r="C13" i="10"/>
  <c r="G13" i="10"/>
  <c r="K13" i="10"/>
  <c r="O13" i="10"/>
  <c r="K12" i="10"/>
  <c r="E12" i="10"/>
  <c r="N10" i="10"/>
  <c r="I10" i="10"/>
  <c r="B9" i="10"/>
  <c r="F9" i="10"/>
  <c r="J9" i="10"/>
  <c r="N9" i="10"/>
  <c r="C9" i="10"/>
  <c r="G9" i="10"/>
  <c r="K9" i="10"/>
  <c r="O9" i="10"/>
  <c r="J188" i="11"/>
  <c r="B187" i="11"/>
  <c r="F187" i="11"/>
  <c r="J187" i="11"/>
  <c r="N187" i="11"/>
  <c r="C187" i="11"/>
  <c r="G187" i="11"/>
  <c r="K187" i="11"/>
  <c r="O187" i="11"/>
  <c r="M184" i="11"/>
  <c r="M176" i="11"/>
  <c r="B20" i="10"/>
  <c r="F20" i="10"/>
  <c r="J20" i="10"/>
  <c r="N20" i="10"/>
  <c r="D14" i="10"/>
  <c r="H14" i="10"/>
  <c r="L14" i="10"/>
  <c r="C10" i="10"/>
  <c r="D10" i="10"/>
  <c r="H10" i="10"/>
  <c r="L10" i="10"/>
  <c r="C188" i="11"/>
  <c r="G188" i="11"/>
  <c r="K188" i="11"/>
  <c r="O188" i="11"/>
  <c r="D188" i="11"/>
  <c r="H188" i="11"/>
  <c r="L188" i="11"/>
  <c r="I184" i="11"/>
  <c r="B180" i="11"/>
  <c r="F180" i="11"/>
  <c r="J180" i="11"/>
  <c r="N180" i="11"/>
  <c r="C180" i="11"/>
  <c r="G180" i="11"/>
  <c r="K180" i="11"/>
  <c r="O180" i="11"/>
  <c r="D180" i="11"/>
  <c r="H180" i="11"/>
  <c r="L180" i="11"/>
  <c r="I176" i="11"/>
  <c r="B172" i="11"/>
  <c r="F172" i="11"/>
  <c r="J172" i="11"/>
  <c r="N172" i="11"/>
  <c r="C172" i="11"/>
  <c r="G172" i="11"/>
  <c r="K172" i="11"/>
  <c r="O172" i="11"/>
  <c r="D172" i="11"/>
  <c r="H172" i="11"/>
  <c r="L172" i="11"/>
  <c r="L143" i="11"/>
  <c r="H143" i="11"/>
  <c r="D143" i="11"/>
  <c r="N141" i="11"/>
  <c r="J141" i="11"/>
  <c r="F141" i="11"/>
  <c r="B141" i="11"/>
  <c r="L139" i="11"/>
  <c r="H139" i="11"/>
  <c r="D139" i="11"/>
  <c r="N137" i="11"/>
  <c r="J137" i="11"/>
  <c r="F137" i="11"/>
  <c r="B137" i="11"/>
  <c r="L135" i="11"/>
  <c r="H135" i="11"/>
  <c r="D135" i="11"/>
  <c r="N133" i="11"/>
  <c r="J133" i="11"/>
  <c r="F133" i="11"/>
  <c r="B133" i="11"/>
  <c r="L131" i="11"/>
  <c r="H131" i="11"/>
  <c r="D131" i="11"/>
  <c r="M128" i="11"/>
  <c r="H128" i="11"/>
  <c r="B127" i="11"/>
  <c r="F127" i="11"/>
  <c r="J127" i="11"/>
  <c r="N127" i="11"/>
  <c r="O125" i="11"/>
  <c r="J125" i="11"/>
  <c r="E125" i="11"/>
  <c r="M123" i="11"/>
  <c r="H123" i="11"/>
  <c r="D121" i="11"/>
  <c r="H121" i="11"/>
  <c r="L121" i="11"/>
  <c r="J120" i="11"/>
  <c r="E120" i="11"/>
  <c r="M117" i="11"/>
  <c r="G117" i="11"/>
  <c r="C116" i="11"/>
  <c r="G116" i="11"/>
  <c r="K116" i="11"/>
  <c r="O116" i="11"/>
  <c r="K115" i="11"/>
  <c r="E115" i="11"/>
  <c r="M112" i="11"/>
  <c r="H112" i="11"/>
  <c r="B111" i="11"/>
  <c r="F111" i="11"/>
  <c r="J111" i="11"/>
  <c r="N111" i="11"/>
  <c r="O109" i="11"/>
  <c r="J109" i="11"/>
  <c r="E109" i="11"/>
  <c r="M107" i="11"/>
  <c r="H107" i="11"/>
  <c r="D105" i="11"/>
  <c r="H105" i="11"/>
  <c r="L105" i="11"/>
  <c r="J104" i="11"/>
  <c r="E104" i="11"/>
  <c r="M101" i="11"/>
  <c r="G101" i="11"/>
  <c r="C100" i="11"/>
  <c r="G100" i="11"/>
  <c r="K100" i="11"/>
  <c r="O100" i="11"/>
  <c r="K99" i="11"/>
  <c r="E99" i="11"/>
  <c r="M96" i="11"/>
  <c r="H96" i="11"/>
  <c r="B95" i="11"/>
  <c r="F95" i="11"/>
  <c r="J95" i="11"/>
  <c r="N95" i="11"/>
  <c r="O93" i="11"/>
  <c r="J93" i="11"/>
  <c r="E93" i="11"/>
  <c r="M91" i="11"/>
  <c r="H91" i="11"/>
  <c r="D89" i="11"/>
  <c r="H89" i="11"/>
  <c r="L89" i="11"/>
  <c r="B89" i="11"/>
  <c r="F89" i="11"/>
  <c r="J89" i="11"/>
  <c r="N89" i="11"/>
  <c r="O87" i="11"/>
  <c r="G87" i="11"/>
  <c r="K83" i="11"/>
  <c r="D81" i="11"/>
  <c r="H81" i="11"/>
  <c r="L81" i="11"/>
  <c r="B81" i="11"/>
  <c r="F81" i="11"/>
  <c r="J81" i="11"/>
  <c r="N81" i="11"/>
  <c r="O79" i="11"/>
  <c r="G79" i="11"/>
  <c r="K75" i="11"/>
  <c r="D73" i="11"/>
  <c r="H73" i="11"/>
  <c r="L73" i="11"/>
  <c r="B73" i="11"/>
  <c r="F73" i="11"/>
  <c r="J73" i="11"/>
  <c r="N73" i="11"/>
  <c r="O71" i="11"/>
  <c r="G71" i="11"/>
  <c r="M63" i="11"/>
  <c r="O183" i="11"/>
  <c r="K183" i="11"/>
  <c r="G183" i="11"/>
  <c r="C183" i="11"/>
  <c r="O179" i="11"/>
  <c r="K179" i="11"/>
  <c r="G179" i="11"/>
  <c r="C179" i="11"/>
  <c r="O175" i="11"/>
  <c r="K175" i="11"/>
  <c r="G175" i="11"/>
  <c r="C175" i="11"/>
  <c r="O171" i="11"/>
  <c r="K171" i="11"/>
  <c r="G171" i="11"/>
  <c r="C171" i="11"/>
  <c r="L168" i="11"/>
  <c r="H168" i="11"/>
  <c r="D168" i="11"/>
  <c r="O167" i="11"/>
  <c r="K167" i="11"/>
  <c r="G167" i="11"/>
  <c r="C167" i="11"/>
  <c r="L164" i="11"/>
  <c r="H164" i="11"/>
  <c r="D164" i="11"/>
  <c r="O163" i="11"/>
  <c r="K163" i="11"/>
  <c r="G163" i="11"/>
  <c r="C163" i="11"/>
  <c r="L160" i="11"/>
  <c r="H160" i="11"/>
  <c r="D160" i="11"/>
  <c r="O159" i="11"/>
  <c r="K159" i="11"/>
  <c r="G159" i="11"/>
  <c r="C159" i="11"/>
  <c r="L156" i="11"/>
  <c r="H156" i="11"/>
  <c r="D156" i="11"/>
  <c r="O155" i="11"/>
  <c r="K155" i="11"/>
  <c r="G155" i="11"/>
  <c r="C155" i="11"/>
  <c r="L152" i="11"/>
  <c r="H152" i="11"/>
  <c r="D152" i="11"/>
  <c r="O151" i="11"/>
  <c r="K151" i="11"/>
  <c r="G151" i="11"/>
  <c r="C151" i="11"/>
  <c r="L148" i="11"/>
  <c r="H148" i="11"/>
  <c r="D148" i="11"/>
  <c r="O147" i="11"/>
  <c r="K147" i="11"/>
  <c r="G147" i="11"/>
  <c r="C147" i="11"/>
  <c r="O143" i="11"/>
  <c r="K143" i="11"/>
  <c r="G143" i="11"/>
  <c r="C143" i="11"/>
  <c r="O139" i="11"/>
  <c r="K139" i="11"/>
  <c r="G139" i="11"/>
  <c r="C139" i="11"/>
  <c r="O135" i="11"/>
  <c r="K135" i="11"/>
  <c r="G135" i="11"/>
  <c r="C135" i="11"/>
  <c r="O131" i="11"/>
  <c r="K131" i="11"/>
  <c r="G131" i="11"/>
  <c r="C131" i="11"/>
  <c r="C128" i="11"/>
  <c r="G128" i="11"/>
  <c r="K128" i="11"/>
  <c r="O128" i="11"/>
  <c r="N125" i="11"/>
  <c r="I125" i="11"/>
  <c r="C125" i="11"/>
  <c r="B123" i="11"/>
  <c r="F123" i="11"/>
  <c r="J123" i="11"/>
  <c r="N123" i="11"/>
  <c r="N120" i="11"/>
  <c r="I120" i="11"/>
  <c r="D120" i="11"/>
  <c r="D117" i="11"/>
  <c r="H117" i="11"/>
  <c r="L117" i="11"/>
  <c r="O115" i="11"/>
  <c r="I115" i="11"/>
  <c r="D115" i="11"/>
  <c r="C112" i="11"/>
  <c r="G112" i="11"/>
  <c r="K112" i="11"/>
  <c r="O112" i="11"/>
  <c r="N109" i="11"/>
  <c r="I109" i="11"/>
  <c r="C109" i="11"/>
  <c r="B107" i="11"/>
  <c r="F107" i="11"/>
  <c r="J107" i="11"/>
  <c r="N107" i="11"/>
  <c r="N104" i="11"/>
  <c r="I104" i="11"/>
  <c r="D104" i="11"/>
  <c r="D101" i="11"/>
  <c r="H101" i="11"/>
  <c r="L101" i="11"/>
  <c r="O99" i="11"/>
  <c r="I99" i="11"/>
  <c r="D99" i="11"/>
  <c r="C96" i="11"/>
  <c r="G96" i="11"/>
  <c r="K96" i="11"/>
  <c r="O96" i="11"/>
  <c r="N93" i="11"/>
  <c r="I93" i="11"/>
  <c r="C93" i="11"/>
  <c r="B91" i="11"/>
  <c r="F91" i="11"/>
  <c r="J91" i="11"/>
  <c r="N91" i="11"/>
  <c r="M87" i="11"/>
  <c r="E87" i="11"/>
  <c r="B83" i="11"/>
  <c r="F83" i="11"/>
  <c r="J83" i="11"/>
  <c r="N83" i="11"/>
  <c r="D83" i="11"/>
  <c r="H83" i="11"/>
  <c r="L83" i="11"/>
  <c r="M79" i="11"/>
  <c r="E79" i="11"/>
  <c r="B75" i="11"/>
  <c r="F75" i="11"/>
  <c r="J75" i="11"/>
  <c r="N75" i="11"/>
  <c r="D75" i="11"/>
  <c r="H75" i="11"/>
  <c r="L75" i="11"/>
  <c r="M71" i="11"/>
  <c r="E71" i="11"/>
  <c r="B67" i="11"/>
  <c r="F67" i="11"/>
  <c r="J67" i="11"/>
  <c r="N67" i="11"/>
  <c r="C67" i="11"/>
  <c r="G67" i="11"/>
  <c r="K67" i="11"/>
  <c r="O67" i="11"/>
  <c r="D67" i="11"/>
  <c r="H67" i="11"/>
  <c r="L67" i="11"/>
  <c r="I63" i="11"/>
  <c r="L7" i="10"/>
  <c r="H7" i="10"/>
  <c r="L189" i="11"/>
  <c r="H189" i="11"/>
  <c r="L185" i="11"/>
  <c r="H185" i="11"/>
  <c r="N183" i="11"/>
  <c r="J183" i="11"/>
  <c r="F183" i="11"/>
  <c r="L181" i="11"/>
  <c r="H181" i="11"/>
  <c r="N179" i="11"/>
  <c r="J179" i="11"/>
  <c r="F179" i="11"/>
  <c r="L177" i="11"/>
  <c r="H177" i="11"/>
  <c r="N175" i="11"/>
  <c r="J175" i="11"/>
  <c r="F175" i="11"/>
  <c r="L173" i="11"/>
  <c r="H173" i="11"/>
  <c r="N171" i="11"/>
  <c r="J171" i="11"/>
  <c r="F171" i="11"/>
  <c r="L169" i="11"/>
  <c r="H169" i="11"/>
  <c r="O168" i="11"/>
  <c r="K168" i="11"/>
  <c r="G168" i="11"/>
  <c r="C168" i="11"/>
  <c r="N167" i="11"/>
  <c r="J167" i="11"/>
  <c r="F167" i="11"/>
  <c r="L165" i="11"/>
  <c r="H165" i="11"/>
  <c r="O164" i="11"/>
  <c r="K164" i="11"/>
  <c r="G164" i="11"/>
  <c r="C164" i="11"/>
  <c r="N163" i="11"/>
  <c r="J163" i="11"/>
  <c r="F163" i="11"/>
  <c r="L161" i="11"/>
  <c r="H161" i="11"/>
  <c r="O160" i="11"/>
  <c r="K160" i="11"/>
  <c r="G160" i="11"/>
  <c r="C160" i="11"/>
  <c r="N159" i="11"/>
  <c r="J159" i="11"/>
  <c r="F159" i="11"/>
  <c r="L157" i="11"/>
  <c r="H157" i="11"/>
  <c r="O156" i="11"/>
  <c r="K156" i="11"/>
  <c r="G156" i="11"/>
  <c r="C156" i="11"/>
  <c r="N155" i="11"/>
  <c r="J155" i="11"/>
  <c r="F155" i="11"/>
  <c r="L153" i="11"/>
  <c r="H153" i="11"/>
  <c r="O152" i="11"/>
  <c r="K152" i="11"/>
  <c r="G152" i="11"/>
  <c r="C152" i="11"/>
  <c r="N151" i="11"/>
  <c r="J151" i="11"/>
  <c r="F151" i="11"/>
  <c r="L149" i="11"/>
  <c r="H149" i="11"/>
  <c r="O148" i="11"/>
  <c r="K148" i="11"/>
  <c r="G148" i="11"/>
  <c r="C148" i="11"/>
  <c r="N147" i="11"/>
  <c r="J147" i="11"/>
  <c r="F147" i="11"/>
  <c r="L145" i="11"/>
  <c r="H145" i="11"/>
  <c r="O144" i="11"/>
  <c r="K144" i="11"/>
  <c r="G144" i="11"/>
  <c r="N143" i="11"/>
  <c r="J143" i="11"/>
  <c r="F143" i="11"/>
  <c r="L141" i="11"/>
  <c r="H141" i="11"/>
  <c r="O140" i="11"/>
  <c r="K140" i="11"/>
  <c r="G140" i="11"/>
  <c r="N139" i="11"/>
  <c r="J139" i="11"/>
  <c r="F139" i="11"/>
  <c r="L137" i="11"/>
  <c r="H137" i="11"/>
  <c r="O136" i="11"/>
  <c r="K136" i="11"/>
  <c r="G136" i="11"/>
  <c r="N135" i="11"/>
  <c r="J135" i="11"/>
  <c r="F135" i="11"/>
  <c r="L133" i="11"/>
  <c r="H133" i="11"/>
  <c r="O132" i="11"/>
  <c r="K132" i="11"/>
  <c r="G132" i="11"/>
  <c r="N131" i="11"/>
  <c r="J131" i="11"/>
  <c r="F131" i="11"/>
  <c r="D129" i="11"/>
  <c r="H129" i="11"/>
  <c r="L129" i="11"/>
  <c r="J128" i="11"/>
  <c r="E128" i="11"/>
  <c r="O127" i="11"/>
  <c r="I127" i="11"/>
  <c r="D127" i="11"/>
  <c r="M125" i="11"/>
  <c r="G125" i="11"/>
  <c r="C124" i="11"/>
  <c r="G124" i="11"/>
  <c r="K124" i="11"/>
  <c r="O124" i="11"/>
  <c r="K123" i="11"/>
  <c r="E123" i="11"/>
  <c r="N121" i="11"/>
  <c r="I121" i="11"/>
  <c r="C121" i="11"/>
  <c r="M120" i="11"/>
  <c r="H120" i="11"/>
  <c r="B119" i="11"/>
  <c r="F119" i="11"/>
  <c r="J119" i="11"/>
  <c r="N119" i="11"/>
  <c r="O117" i="11"/>
  <c r="J117" i="11"/>
  <c r="E117" i="11"/>
  <c r="N116" i="11"/>
  <c r="I116" i="11"/>
  <c r="D116" i="11"/>
  <c r="M115" i="11"/>
  <c r="H115" i="11"/>
  <c r="D113" i="11"/>
  <c r="H113" i="11"/>
  <c r="L113" i="11"/>
  <c r="J112" i="11"/>
  <c r="E112" i="11"/>
  <c r="O111" i="11"/>
  <c r="I111" i="11"/>
  <c r="D111" i="11"/>
  <c r="M109" i="11"/>
  <c r="G109" i="11"/>
  <c r="C108" i="11"/>
  <c r="G108" i="11"/>
  <c r="K108" i="11"/>
  <c r="O108" i="11"/>
  <c r="K107" i="11"/>
  <c r="E107" i="11"/>
  <c r="N105" i="11"/>
  <c r="I105" i="11"/>
  <c r="C105" i="11"/>
  <c r="M104" i="11"/>
  <c r="H104" i="11"/>
  <c r="B103" i="11"/>
  <c r="F103" i="11"/>
  <c r="J103" i="11"/>
  <c r="N103" i="11"/>
  <c r="O101" i="11"/>
  <c r="J101" i="11"/>
  <c r="E101" i="11"/>
  <c r="N100" i="11"/>
  <c r="I100" i="11"/>
  <c r="D100" i="11"/>
  <c r="M99" i="11"/>
  <c r="H99" i="11"/>
  <c r="D97" i="11"/>
  <c r="H97" i="11"/>
  <c r="L97" i="11"/>
  <c r="J96" i="11"/>
  <c r="E96" i="11"/>
  <c r="O95" i="11"/>
  <c r="I95" i="11"/>
  <c r="D95" i="11"/>
  <c r="M93" i="11"/>
  <c r="G93" i="11"/>
  <c r="C92" i="11"/>
  <c r="G92" i="11"/>
  <c r="K92" i="11"/>
  <c r="O92" i="11"/>
  <c r="K91" i="11"/>
  <c r="E91" i="11"/>
  <c r="M89" i="11"/>
  <c r="E89" i="11"/>
  <c r="K87" i="11"/>
  <c r="D85" i="11"/>
  <c r="H85" i="11"/>
  <c r="L85" i="11"/>
  <c r="B85" i="11"/>
  <c r="F85" i="11"/>
  <c r="J85" i="11"/>
  <c r="N85" i="11"/>
  <c r="O83" i="11"/>
  <c r="G83" i="11"/>
  <c r="M81" i="11"/>
  <c r="E81" i="11"/>
  <c r="K79" i="11"/>
  <c r="D77" i="11"/>
  <c r="H77" i="11"/>
  <c r="L77" i="11"/>
  <c r="B77" i="11"/>
  <c r="F77" i="11"/>
  <c r="J77" i="11"/>
  <c r="N77" i="11"/>
  <c r="O75" i="11"/>
  <c r="G75" i="11"/>
  <c r="M73" i="11"/>
  <c r="E73" i="11"/>
  <c r="K71" i="11"/>
  <c r="M67" i="11"/>
  <c r="N168" i="11"/>
  <c r="J168" i="11"/>
  <c r="F168" i="11"/>
  <c r="N164" i="11"/>
  <c r="J164" i="11"/>
  <c r="F164" i="11"/>
  <c r="N160" i="11"/>
  <c r="J160" i="11"/>
  <c r="F160" i="11"/>
  <c r="N156" i="11"/>
  <c r="J156" i="11"/>
  <c r="F156" i="11"/>
  <c r="N152" i="11"/>
  <c r="J152" i="11"/>
  <c r="F152" i="11"/>
  <c r="N148" i="11"/>
  <c r="J148" i="11"/>
  <c r="F148" i="11"/>
  <c r="D125" i="11"/>
  <c r="H125" i="11"/>
  <c r="L125" i="11"/>
  <c r="C120" i="11"/>
  <c r="G120" i="11"/>
  <c r="K120" i="11"/>
  <c r="O120" i="11"/>
  <c r="B115" i="11"/>
  <c r="F115" i="11"/>
  <c r="J115" i="11"/>
  <c r="N115" i="11"/>
  <c r="D109" i="11"/>
  <c r="H109" i="11"/>
  <c r="L109" i="11"/>
  <c r="C104" i="11"/>
  <c r="G104" i="11"/>
  <c r="K104" i="11"/>
  <c r="O104" i="11"/>
  <c r="B99" i="11"/>
  <c r="F99" i="11"/>
  <c r="J99" i="11"/>
  <c r="N99" i="11"/>
  <c r="D93" i="11"/>
  <c r="H93" i="11"/>
  <c r="L93" i="11"/>
  <c r="B87" i="11"/>
  <c r="F87" i="11"/>
  <c r="J87" i="11"/>
  <c r="N87" i="11"/>
  <c r="D87" i="11"/>
  <c r="H87" i="11"/>
  <c r="L87" i="11"/>
  <c r="B79" i="11"/>
  <c r="F79" i="11"/>
  <c r="J79" i="11"/>
  <c r="N79" i="11"/>
  <c r="D79" i="11"/>
  <c r="H79" i="11"/>
  <c r="L79" i="11"/>
  <c r="B71" i="11"/>
  <c r="F71" i="11"/>
  <c r="J71" i="11"/>
  <c r="N71" i="11"/>
  <c r="D71" i="11"/>
  <c r="H71" i="11"/>
  <c r="L71" i="11"/>
  <c r="B63" i="11"/>
  <c r="F63" i="11"/>
  <c r="J63" i="11"/>
  <c r="N63" i="11"/>
  <c r="C63" i="11"/>
  <c r="G63" i="11"/>
  <c r="K63" i="11"/>
  <c r="O63" i="11"/>
  <c r="D63" i="11"/>
  <c r="H63" i="11"/>
  <c r="L63" i="11"/>
  <c r="N69" i="11"/>
  <c r="J69" i="11"/>
  <c r="F69" i="11"/>
  <c r="B69" i="11"/>
  <c r="N65" i="11"/>
  <c r="J65" i="11"/>
  <c r="F65" i="11"/>
  <c r="B65" i="11"/>
  <c r="N61" i="11"/>
  <c r="J61" i="11"/>
  <c r="F61" i="11"/>
  <c r="B61" i="11"/>
  <c r="L59" i="11"/>
  <c r="H59" i="11"/>
  <c r="D59" i="11"/>
  <c r="N57" i="11"/>
  <c r="J57" i="11"/>
  <c r="F57" i="11"/>
  <c r="B57" i="11"/>
  <c r="L55" i="11"/>
  <c r="H55" i="11"/>
  <c r="D55" i="11"/>
  <c r="N53" i="11"/>
  <c r="J53" i="11"/>
  <c r="F53" i="11"/>
  <c r="B53" i="11"/>
  <c r="L51" i="11"/>
  <c r="H51" i="11"/>
  <c r="D51" i="11"/>
  <c r="N49" i="11"/>
  <c r="J49" i="11"/>
  <c r="F49" i="11"/>
  <c r="B49" i="11"/>
  <c r="L47" i="11"/>
  <c r="H47" i="11"/>
  <c r="D45" i="11"/>
  <c r="H45" i="11"/>
  <c r="L45" i="11"/>
  <c r="J44" i="11"/>
  <c r="E44" i="11"/>
  <c r="M41" i="11"/>
  <c r="G41" i="11"/>
  <c r="C40" i="11"/>
  <c r="G40" i="11"/>
  <c r="K40" i="11"/>
  <c r="O40" i="11"/>
  <c r="K39" i="11"/>
  <c r="E39" i="11"/>
  <c r="M36" i="11"/>
  <c r="H36" i="11"/>
  <c r="B35" i="11"/>
  <c r="F35" i="11"/>
  <c r="J35" i="11"/>
  <c r="N35" i="11"/>
  <c r="O33" i="11"/>
  <c r="J33" i="11"/>
  <c r="E33" i="11"/>
  <c r="M31" i="11"/>
  <c r="H31" i="11"/>
  <c r="D29" i="11"/>
  <c r="H29" i="11"/>
  <c r="L29" i="11"/>
  <c r="J28" i="11"/>
  <c r="E28" i="11"/>
  <c r="M25" i="11"/>
  <c r="G25" i="11"/>
  <c r="C24" i="11"/>
  <c r="G24" i="11"/>
  <c r="K24" i="11"/>
  <c r="O24" i="11"/>
  <c r="K23" i="11"/>
  <c r="E23" i="11"/>
  <c r="M20" i="11"/>
  <c r="H20" i="11"/>
  <c r="B19" i="11"/>
  <c r="F19" i="11"/>
  <c r="J19" i="11"/>
  <c r="N19" i="11"/>
  <c r="O17" i="11"/>
  <c r="G17" i="11"/>
  <c r="K13" i="11"/>
  <c r="D11" i="11"/>
  <c r="H11" i="11"/>
  <c r="L11" i="11"/>
  <c r="B11" i="11"/>
  <c r="F11" i="11"/>
  <c r="J11" i="11"/>
  <c r="N11" i="11"/>
  <c r="O9" i="11"/>
  <c r="G9" i="11"/>
  <c r="D190" i="12"/>
  <c r="H190" i="12"/>
  <c r="L190" i="12"/>
  <c r="B190" i="12"/>
  <c r="F190" i="12"/>
  <c r="J190" i="12"/>
  <c r="G172" i="12"/>
  <c r="D170" i="12"/>
  <c r="B170" i="12"/>
  <c r="F170" i="12"/>
  <c r="G168" i="12"/>
  <c r="D166" i="12"/>
  <c r="B166" i="12"/>
  <c r="F166" i="12"/>
  <c r="G164" i="12"/>
  <c r="O59" i="11"/>
  <c r="K59" i="11"/>
  <c r="G59" i="11"/>
  <c r="C59" i="11"/>
  <c r="O55" i="11"/>
  <c r="K55" i="11"/>
  <c r="G55" i="11"/>
  <c r="C55" i="11"/>
  <c r="O51" i="11"/>
  <c r="K51" i="11"/>
  <c r="G51" i="11"/>
  <c r="C51" i="11"/>
  <c r="B47" i="11"/>
  <c r="F47" i="11"/>
  <c r="N44" i="11"/>
  <c r="I44" i="11"/>
  <c r="D44" i="11"/>
  <c r="D41" i="11"/>
  <c r="H41" i="11"/>
  <c r="L41" i="11"/>
  <c r="O39" i="11"/>
  <c r="I39" i="11"/>
  <c r="D39" i="11"/>
  <c r="C36" i="11"/>
  <c r="G36" i="11"/>
  <c r="K36" i="11"/>
  <c r="O36" i="11"/>
  <c r="N33" i="11"/>
  <c r="I33" i="11"/>
  <c r="C33" i="11"/>
  <c r="B31" i="11"/>
  <c r="F31" i="11"/>
  <c r="J31" i="11"/>
  <c r="N31" i="11"/>
  <c r="N28" i="11"/>
  <c r="I28" i="11"/>
  <c r="D28" i="11"/>
  <c r="D25" i="11"/>
  <c r="H25" i="11"/>
  <c r="L25" i="11"/>
  <c r="O23" i="11"/>
  <c r="I23" i="11"/>
  <c r="D23" i="11"/>
  <c r="C20" i="11"/>
  <c r="G20" i="11"/>
  <c r="K20" i="11"/>
  <c r="O20" i="11"/>
  <c r="M17" i="11"/>
  <c r="E17" i="11"/>
  <c r="B13" i="11"/>
  <c r="F13" i="11"/>
  <c r="J13" i="11"/>
  <c r="N13" i="11"/>
  <c r="D13" i="11"/>
  <c r="H13" i="11"/>
  <c r="L13" i="11"/>
  <c r="M9" i="11"/>
  <c r="E9" i="11"/>
  <c r="B188" i="12"/>
  <c r="F188" i="12"/>
  <c r="N188" i="12"/>
  <c r="D188" i="12"/>
  <c r="B184" i="12"/>
  <c r="F184" i="12"/>
  <c r="N184" i="12"/>
  <c r="D184" i="12"/>
  <c r="B180" i="12"/>
  <c r="F180" i="12"/>
  <c r="D180" i="12"/>
  <c r="B176" i="12"/>
  <c r="F176" i="12"/>
  <c r="N176" i="12"/>
  <c r="D176" i="12"/>
  <c r="M172" i="12"/>
  <c r="E172" i="12"/>
  <c r="M168" i="12"/>
  <c r="E168" i="12"/>
  <c r="E164" i="12"/>
  <c r="C162" i="12"/>
  <c r="G162" i="12"/>
  <c r="D162" i="12"/>
  <c r="L162" i="12"/>
  <c r="B162" i="12"/>
  <c r="F162" i="12"/>
  <c r="C154" i="12"/>
  <c r="G154" i="12"/>
  <c r="D154" i="12"/>
  <c r="B154" i="12"/>
  <c r="F154" i="12"/>
  <c r="O88" i="11"/>
  <c r="K88" i="11"/>
  <c r="G88" i="11"/>
  <c r="O84" i="11"/>
  <c r="K84" i="11"/>
  <c r="G84" i="11"/>
  <c r="O80" i="11"/>
  <c r="K80" i="11"/>
  <c r="G80" i="11"/>
  <c r="O76" i="11"/>
  <c r="K76" i="11"/>
  <c r="G76" i="11"/>
  <c r="O72" i="11"/>
  <c r="K72" i="11"/>
  <c r="G72" i="11"/>
  <c r="L69" i="11"/>
  <c r="H69" i="11"/>
  <c r="O68" i="11"/>
  <c r="K68" i="11"/>
  <c r="G68" i="11"/>
  <c r="L65" i="11"/>
  <c r="H65" i="11"/>
  <c r="O64" i="11"/>
  <c r="K64" i="11"/>
  <c r="G64" i="11"/>
  <c r="L61" i="11"/>
  <c r="H61" i="11"/>
  <c r="O60" i="11"/>
  <c r="K60" i="11"/>
  <c r="G60" i="11"/>
  <c r="N59" i="11"/>
  <c r="J59" i="11"/>
  <c r="F59" i="11"/>
  <c r="L57" i="11"/>
  <c r="H57" i="11"/>
  <c r="O56" i="11"/>
  <c r="K56" i="11"/>
  <c r="G56" i="11"/>
  <c r="N55" i="11"/>
  <c r="J55" i="11"/>
  <c r="F55" i="11"/>
  <c r="L53" i="11"/>
  <c r="H53" i="11"/>
  <c r="O52" i="11"/>
  <c r="K52" i="11"/>
  <c r="G52" i="11"/>
  <c r="N51" i="11"/>
  <c r="J51" i="11"/>
  <c r="F51" i="11"/>
  <c r="L49" i="11"/>
  <c r="H49" i="11"/>
  <c r="O48" i="11"/>
  <c r="K48" i="11"/>
  <c r="G48" i="11"/>
  <c r="N47" i="11"/>
  <c r="J47" i="11"/>
  <c r="E47" i="11"/>
  <c r="N45" i="11"/>
  <c r="I45" i="11"/>
  <c r="C45" i="11"/>
  <c r="M44" i="11"/>
  <c r="H44" i="11"/>
  <c r="B43" i="11"/>
  <c r="F43" i="11"/>
  <c r="J43" i="11"/>
  <c r="N43" i="11"/>
  <c r="O41" i="11"/>
  <c r="J41" i="11"/>
  <c r="E41" i="11"/>
  <c r="N40" i="11"/>
  <c r="I40" i="11"/>
  <c r="D40" i="11"/>
  <c r="M39" i="11"/>
  <c r="H39" i="11"/>
  <c r="D37" i="11"/>
  <c r="H37" i="11"/>
  <c r="L37" i="11"/>
  <c r="J36" i="11"/>
  <c r="E36" i="11"/>
  <c r="O35" i="11"/>
  <c r="I35" i="11"/>
  <c r="D35" i="11"/>
  <c r="M33" i="11"/>
  <c r="G33" i="11"/>
  <c r="C32" i="11"/>
  <c r="G32" i="11"/>
  <c r="K32" i="11"/>
  <c r="O32" i="11"/>
  <c r="K31" i="11"/>
  <c r="E31" i="11"/>
  <c r="N29" i="11"/>
  <c r="I29" i="11"/>
  <c r="C29" i="11"/>
  <c r="M28" i="11"/>
  <c r="H28" i="11"/>
  <c r="B27" i="11"/>
  <c r="F27" i="11"/>
  <c r="J27" i="11"/>
  <c r="N27" i="11"/>
  <c r="O25" i="11"/>
  <c r="J25" i="11"/>
  <c r="E25" i="11"/>
  <c r="N24" i="11"/>
  <c r="I24" i="11"/>
  <c r="D24" i="11"/>
  <c r="M23" i="11"/>
  <c r="H23" i="11"/>
  <c r="D21" i="11"/>
  <c r="H21" i="11"/>
  <c r="L21" i="11"/>
  <c r="J20" i="11"/>
  <c r="E20" i="11"/>
  <c r="O19" i="11"/>
  <c r="I19" i="11"/>
  <c r="D19" i="11"/>
  <c r="K17" i="11"/>
  <c r="D15" i="11"/>
  <c r="H15" i="11"/>
  <c r="L15" i="11"/>
  <c r="B15" i="11"/>
  <c r="F15" i="11"/>
  <c r="J15" i="11"/>
  <c r="N15" i="11"/>
  <c r="O13" i="11"/>
  <c r="G13" i="11"/>
  <c r="M11" i="11"/>
  <c r="E11" i="11"/>
  <c r="K9" i="11"/>
  <c r="D7" i="11"/>
  <c r="H7" i="11"/>
  <c r="L7" i="11"/>
  <c r="B7" i="11"/>
  <c r="F7" i="11"/>
  <c r="J7" i="11"/>
  <c r="N7" i="11"/>
  <c r="E190" i="12"/>
  <c r="G188" i="12"/>
  <c r="D186" i="12"/>
  <c r="B186" i="12"/>
  <c r="F186" i="12"/>
  <c r="G184" i="12"/>
  <c r="D182" i="12"/>
  <c r="B182" i="12"/>
  <c r="F182" i="12"/>
  <c r="G180" i="12"/>
  <c r="D178" i="12"/>
  <c r="B178" i="12"/>
  <c r="F178" i="12"/>
  <c r="G176" i="12"/>
  <c r="D174" i="12"/>
  <c r="B174" i="12"/>
  <c r="F174" i="12"/>
  <c r="M170" i="12"/>
  <c r="E170" i="12"/>
  <c r="S168" i="12"/>
  <c r="E166" i="12"/>
  <c r="S164" i="12"/>
  <c r="M162" i="12"/>
  <c r="C44" i="11"/>
  <c r="G44" i="11"/>
  <c r="K44" i="11"/>
  <c r="O44" i="11"/>
  <c r="B39" i="11"/>
  <c r="F39" i="11"/>
  <c r="J39" i="11"/>
  <c r="N39" i="11"/>
  <c r="D33" i="11"/>
  <c r="H33" i="11"/>
  <c r="L33" i="11"/>
  <c r="C28" i="11"/>
  <c r="G28" i="11"/>
  <c r="K28" i="11"/>
  <c r="O28" i="11"/>
  <c r="B23" i="11"/>
  <c r="F23" i="11"/>
  <c r="J23" i="11"/>
  <c r="N23" i="11"/>
  <c r="B17" i="11"/>
  <c r="F17" i="11"/>
  <c r="J17" i="11"/>
  <c r="N17" i="11"/>
  <c r="D17" i="11"/>
  <c r="H17" i="11"/>
  <c r="L17" i="11"/>
  <c r="B9" i="11"/>
  <c r="F9" i="11"/>
  <c r="J9" i="11"/>
  <c r="N9" i="11"/>
  <c r="D9" i="11"/>
  <c r="H9" i="11"/>
  <c r="L9" i="11"/>
  <c r="B172" i="12"/>
  <c r="F172" i="12"/>
  <c r="D172" i="12"/>
  <c r="B168" i="12"/>
  <c r="F168" i="12"/>
  <c r="N168" i="12"/>
  <c r="R168" i="12"/>
  <c r="D168" i="12"/>
  <c r="B164" i="12"/>
  <c r="F164" i="12"/>
  <c r="N164" i="12"/>
  <c r="R164" i="12"/>
  <c r="D164" i="12"/>
  <c r="C158" i="12"/>
  <c r="G158" i="12"/>
  <c r="D158" i="12"/>
  <c r="B158" i="12"/>
  <c r="F158" i="12"/>
  <c r="O16" i="11"/>
  <c r="K16" i="11"/>
  <c r="G16" i="11"/>
  <c r="O12" i="11"/>
  <c r="K12" i="11"/>
  <c r="G12" i="11"/>
  <c r="O8" i="11"/>
  <c r="K8" i="11"/>
  <c r="G8" i="11"/>
  <c r="O187" i="12"/>
  <c r="G187" i="12"/>
  <c r="O183" i="12"/>
  <c r="G183" i="12"/>
  <c r="O179" i="12"/>
  <c r="G179" i="12"/>
  <c r="O175" i="12"/>
  <c r="G175" i="12"/>
  <c r="O171" i="12"/>
  <c r="G171" i="12"/>
  <c r="O167" i="12"/>
  <c r="G167" i="12"/>
  <c r="G163" i="12"/>
  <c r="L160" i="12"/>
  <c r="D160" i="12"/>
  <c r="G159" i="12"/>
  <c r="D156" i="12"/>
  <c r="O155" i="12"/>
  <c r="G155" i="12"/>
  <c r="D152" i="12"/>
  <c r="G151" i="12"/>
  <c r="F150" i="12"/>
  <c r="B150" i="12"/>
  <c r="H148" i="12"/>
  <c r="D148" i="12"/>
  <c r="O147" i="12"/>
  <c r="G147" i="12"/>
  <c r="F146" i="12"/>
  <c r="B146" i="12"/>
  <c r="P144" i="12"/>
  <c r="L144" i="12"/>
  <c r="D144" i="12"/>
  <c r="R142" i="12"/>
  <c r="G142" i="12"/>
  <c r="E141" i="12"/>
  <c r="D138" i="12"/>
  <c r="B136" i="12"/>
  <c r="F136" i="12"/>
  <c r="E134" i="12"/>
  <c r="M133" i="12"/>
  <c r="E132" i="12"/>
  <c r="S130" i="12"/>
  <c r="N130" i="12"/>
  <c r="C129" i="12"/>
  <c r="G129" i="12"/>
  <c r="O129" i="12"/>
  <c r="G126" i="12"/>
  <c r="E125" i="12"/>
  <c r="D122" i="12"/>
  <c r="B118" i="12"/>
  <c r="F118" i="12"/>
  <c r="D118" i="12"/>
  <c r="B114" i="12"/>
  <c r="F114" i="12"/>
  <c r="R114" i="12"/>
  <c r="D114" i="12"/>
  <c r="S112" i="12"/>
  <c r="B110" i="12"/>
  <c r="F110" i="12"/>
  <c r="R110" i="12"/>
  <c r="D110" i="12"/>
  <c r="S108" i="12"/>
  <c r="B106" i="12"/>
  <c r="F106" i="12"/>
  <c r="D106" i="12"/>
  <c r="B102" i="12"/>
  <c r="F102" i="12"/>
  <c r="N102" i="12"/>
  <c r="R102" i="12"/>
  <c r="D102" i="12"/>
  <c r="D142" i="12"/>
  <c r="B140" i="12"/>
  <c r="F140" i="12"/>
  <c r="C133" i="12"/>
  <c r="G133" i="12"/>
  <c r="O133" i="12"/>
  <c r="D126" i="12"/>
  <c r="B124" i="12"/>
  <c r="F124" i="12"/>
  <c r="D120" i="12"/>
  <c r="P120" i="12"/>
  <c r="B120" i="12"/>
  <c r="F120" i="12"/>
  <c r="D116" i="12"/>
  <c r="B116" i="12"/>
  <c r="F116" i="12"/>
  <c r="D112" i="12"/>
  <c r="P112" i="12"/>
  <c r="B112" i="12"/>
  <c r="F112" i="12"/>
  <c r="N112" i="12"/>
  <c r="R112" i="12"/>
  <c r="D108" i="12"/>
  <c r="B108" i="12"/>
  <c r="F108" i="12"/>
  <c r="D104" i="12"/>
  <c r="L104" i="12"/>
  <c r="B104" i="12"/>
  <c r="F104" i="12"/>
  <c r="R104" i="12"/>
  <c r="D100" i="12"/>
  <c r="B100" i="12"/>
  <c r="F100" i="12"/>
  <c r="F160" i="12"/>
  <c r="R156" i="12"/>
  <c r="N156" i="12"/>
  <c r="F156" i="12"/>
  <c r="F152" i="12"/>
  <c r="D150" i="12"/>
  <c r="J148" i="12"/>
  <c r="F148" i="12"/>
  <c r="D146" i="12"/>
  <c r="F144" i="12"/>
  <c r="E142" i="12"/>
  <c r="E140" i="12"/>
  <c r="C137" i="12"/>
  <c r="G137" i="12"/>
  <c r="R134" i="12"/>
  <c r="G134" i="12"/>
  <c r="E133" i="12"/>
  <c r="D130" i="12"/>
  <c r="B128" i="12"/>
  <c r="F128" i="12"/>
  <c r="O126" i="12"/>
  <c r="E126" i="12"/>
  <c r="E124" i="12"/>
  <c r="G120" i="12"/>
  <c r="G116" i="12"/>
  <c r="O112" i="12"/>
  <c r="G112" i="12"/>
  <c r="G108" i="12"/>
  <c r="M106" i="12"/>
  <c r="E106" i="12"/>
  <c r="G104" i="12"/>
  <c r="M102" i="12"/>
  <c r="E102" i="12"/>
  <c r="G100" i="12"/>
  <c r="C96" i="12"/>
  <c r="G96" i="12"/>
  <c r="S96" i="12"/>
  <c r="D96" i="12"/>
  <c r="L96" i="12"/>
  <c r="B96" i="12"/>
  <c r="F96" i="12"/>
  <c r="J96" i="12"/>
  <c r="N96" i="12"/>
  <c r="R96" i="12"/>
  <c r="G150" i="12"/>
  <c r="G146" i="12"/>
  <c r="S142" i="12"/>
  <c r="N142" i="12"/>
  <c r="C142" i="12"/>
  <c r="C141" i="12"/>
  <c r="G141" i="12"/>
  <c r="O141" i="12"/>
  <c r="D140" i="12"/>
  <c r="D134" i="12"/>
  <c r="P134" i="12"/>
  <c r="D133" i="12"/>
  <c r="B132" i="12"/>
  <c r="F132" i="12"/>
  <c r="S126" i="12"/>
  <c r="C126" i="12"/>
  <c r="C125" i="12"/>
  <c r="G125" i="12"/>
  <c r="D124" i="12"/>
  <c r="E120" i="12"/>
  <c r="E116" i="12"/>
  <c r="M112" i="12"/>
  <c r="E112" i="12"/>
  <c r="M108" i="12"/>
  <c r="E108" i="12"/>
  <c r="E104" i="12"/>
  <c r="E100" i="12"/>
  <c r="G121" i="12"/>
  <c r="G117" i="12"/>
  <c r="G113" i="12"/>
  <c r="G109" i="12"/>
  <c r="G105" i="12"/>
  <c r="O101" i="12"/>
  <c r="G101" i="12"/>
  <c r="D98" i="12"/>
  <c r="O97" i="12"/>
  <c r="G97" i="12"/>
  <c r="D94" i="12"/>
  <c r="G93" i="12"/>
  <c r="R92" i="12"/>
  <c r="N92" i="12"/>
  <c r="F92" i="12"/>
  <c r="B92" i="12"/>
  <c r="D90" i="12"/>
  <c r="G89" i="12"/>
  <c r="R88" i="12"/>
  <c r="N88" i="12"/>
  <c r="F88" i="12"/>
  <c r="B88" i="12"/>
  <c r="D86" i="12"/>
  <c r="O85" i="12"/>
  <c r="G85" i="12"/>
  <c r="F84" i="12"/>
  <c r="B84" i="12"/>
  <c r="C80" i="12"/>
  <c r="G80" i="12"/>
  <c r="S80" i="12"/>
  <c r="M77" i="12"/>
  <c r="G77" i="12"/>
  <c r="P76" i="12"/>
  <c r="E76" i="12"/>
  <c r="D73" i="12"/>
  <c r="B71" i="12"/>
  <c r="F71" i="12"/>
  <c r="D71" i="12"/>
  <c r="O69" i="12"/>
  <c r="G69" i="12"/>
  <c r="R68" i="12"/>
  <c r="D60" i="12"/>
  <c r="L60" i="12"/>
  <c r="P60" i="12"/>
  <c r="B60" i="12"/>
  <c r="G60" i="12"/>
  <c r="E60" i="12"/>
  <c r="O60" i="12"/>
  <c r="Q52" i="12"/>
  <c r="N51" i="12"/>
  <c r="D77" i="12"/>
  <c r="L77" i="12"/>
  <c r="P77" i="12"/>
  <c r="B75" i="12"/>
  <c r="F75" i="12"/>
  <c r="B66" i="12"/>
  <c r="F66" i="12"/>
  <c r="E66" i="12"/>
  <c r="C66" i="12"/>
  <c r="M66" i="12"/>
  <c r="C51" i="12"/>
  <c r="G51" i="12"/>
  <c r="S51" i="12"/>
  <c r="B51" i="12"/>
  <c r="R51" i="12"/>
  <c r="E51" i="12"/>
  <c r="B50" i="12"/>
  <c r="F50" i="12"/>
  <c r="N50" i="12"/>
  <c r="R50" i="12"/>
  <c r="D50" i="12"/>
  <c r="E50" i="12"/>
  <c r="C50" i="12"/>
  <c r="S50" i="12"/>
  <c r="F98" i="12"/>
  <c r="F94" i="12"/>
  <c r="D92" i="12"/>
  <c r="R90" i="12"/>
  <c r="F90" i="12"/>
  <c r="D88" i="12"/>
  <c r="R86" i="12"/>
  <c r="N86" i="12"/>
  <c r="F86" i="12"/>
  <c r="D84" i="12"/>
  <c r="D81" i="12"/>
  <c r="B79" i="12"/>
  <c r="F79" i="12"/>
  <c r="E77" i="12"/>
  <c r="P75" i="12"/>
  <c r="E75" i="12"/>
  <c r="N68" i="12"/>
  <c r="C67" i="12"/>
  <c r="G67" i="12"/>
  <c r="S67" i="12"/>
  <c r="B67" i="12"/>
  <c r="E67" i="12"/>
  <c r="P67" i="12"/>
  <c r="N59" i="12"/>
  <c r="B58" i="12"/>
  <c r="F58" i="12"/>
  <c r="N58" i="12"/>
  <c r="R58" i="12"/>
  <c r="C58" i="12"/>
  <c r="H58" i="12"/>
  <c r="S58" i="12"/>
  <c r="E58" i="12"/>
  <c r="K58" i="12"/>
  <c r="D52" i="12"/>
  <c r="L52" i="12"/>
  <c r="P52" i="12"/>
  <c r="E52" i="12"/>
  <c r="B52" i="12"/>
  <c r="G52" i="12"/>
  <c r="M52" i="12"/>
  <c r="S92" i="12"/>
  <c r="G92" i="12"/>
  <c r="S88" i="12"/>
  <c r="G88" i="12"/>
  <c r="G84" i="12"/>
  <c r="C77" i="12"/>
  <c r="C76" i="12"/>
  <c r="G76" i="12"/>
  <c r="D75" i="12"/>
  <c r="D69" i="12"/>
  <c r="L69" i="12"/>
  <c r="P69" i="12"/>
  <c r="B69" i="12"/>
  <c r="F69" i="12"/>
  <c r="D68" i="12"/>
  <c r="E68" i="12"/>
  <c r="S68" i="12"/>
  <c r="B68" i="12"/>
  <c r="G68" i="12"/>
  <c r="M68" i="12"/>
  <c r="Q68" i="12"/>
  <c r="Q66" i="12"/>
  <c r="G66" i="12"/>
  <c r="C59" i="12"/>
  <c r="G59" i="12"/>
  <c r="O59" i="12"/>
  <c r="S59" i="12"/>
  <c r="E59" i="12"/>
  <c r="B59" i="12"/>
  <c r="R59" i="12"/>
  <c r="Q51" i="12"/>
  <c r="F51" i="12"/>
  <c r="D64" i="12"/>
  <c r="B62" i="12"/>
  <c r="F62" i="12"/>
  <c r="N62" i="12"/>
  <c r="R62" i="12"/>
  <c r="C55" i="12"/>
  <c r="G55" i="12"/>
  <c r="O55" i="12"/>
  <c r="S55" i="12"/>
  <c r="D48" i="12"/>
  <c r="B46" i="12"/>
  <c r="F46" i="12"/>
  <c r="R46" i="12"/>
  <c r="O44" i="12"/>
  <c r="E44" i="12"/>
  <c r="R43" i="12"/>
  <c r="E42" i="12"/>
  <c r="C39" i="12"/>
  <c r="G39" i="12"/>
  <c r="O39" i="12"/>
  <c r="R36" i="12"/>
  <c r="G36" i="12"/>
  <c r="D34" i="12"/>
  <c r="B34" i="12"/>
  <c r="F34" i="12"/>
  <c r="O32" i="12"/>
  <c r="G32" i="12"/>
  <c r="D30" i="12"/>
  <c r="B30" i="12"/>
  <c r="F30" i="12"/>
  <c r="G28" i="12"/>
  <c r="D26" i="12"/>
  <c r="B26" i="12"/>
  <c r="F26" i="12"/>
  <c r="R26" i="12"/>
  <c r="G24" i="12"/>
  <c r="D22" i="12"/>
  <c r="L22" i="12"/>
  <c r="P22" i="12"/>
  <c r="B22" i="12"/>
  <c r="F22" i="12"/>
  <c r="N22" i="12"/>
  <c r="R22" i="12"/>
  <c r="G20" i="12"/>
  <c r="D18" i="12"/>
  <c r="B18" i="12"/>
  <c r="F18" i="12"/>
  <c r="G16" i="12"/>
  <c r="D14" i="12"/>
  <c r="B14" i="12"/>
  <c r="F14" i="12"/>
  <c r="G12" i="12"/>
  <c r="D10" i="12"/>
  <c r="B10" i="12"/>
  <c r="F10" i="12"/>
  <c r="G8" i="12"/>
  <c r="C43" i="12"/>
  <c r="G43" i="12"/>
  <c r="S43" i="12"/>
  <c r="D36" i="12"/>
  <c r="L36" i="12"/>
  <c r="P36" i="12"/>
  <c r="E8" i="12"/>
  <c r="B187" i="13"/>
  <c r="F187" i="13"/>
  <c r="D187" i="13"/>
  <c r="B183" i="13"/>
  <c r="F183" i="13"/>
  <c r="D183" i="13"/>
  <c r="B179" i="13"/>
  <c r="F179" i="13"/>
  <c r="D179" i="13"/>
  <c r="K72" i="12"/>
  <c r="G72" i="12"/>
  <c r="I64" i="12"/>
  <c r="C64" i="12"/>
  <c r="C63" i="12"/>
  <c r="G63" i="12"/>
  <c r="O63" i="12"/>
  <c r="D62" i="12"/>
  <c r="D56" i="12"/>
  <c r="N55" i="12"/>
  <c r="D55" i="12"/>
  <c r="B54" i="12"/>
  <c r="F54" i="12"/>
  <c r="N54" i="12"/>
  <c r="R54" i="12"/>
  <c r="C48" i="12"/>
  <c r="C47" i="12"/>
  <c r="G47" i="12"/>
  <c r="O47" i="12"/>
  <c r="D46" i="12"/>
  <c r="R44" i="12"/>
  <c r="G44" i="12"/>
  <c r="E43" i="12"/>
  <c r="D40" i="12"/>
  <c r="P40" i="12"/>
  <c r="D39" i="12"/>
  <c r="B38" i="12"/>
  <c r="F38" i="12"/>
  <c r="O36" i="12"/>
  <c r="E36" i="12"/>
  <c r="E34" i="12"/>
  <c r="M30" i="12"/>
  <c r="E30" i="12"/>
  <c r="M26" i="12"/>
  <c r="E26" i="12"/>
  <c r="E22" i="12"/>
  <c r="M18" i="12"/>
  <c r="E18" i="12"/>
  <c r="E14" i="12"/>
  <c r="S12" i="12"/>
  <c r="E10" i="12"/>
  <c r="G187" i="13"/>
  <c r="D185" i="13"/>
  <c r="B185" i="13"/>
  <c r="F185" i="13"/>
  <c r="G183" i="13"/>
  <c r="D181" i="13"/>
  <c r="B181" i="13"/>
  <c r="F181" i="13"/>
  <c r="G179" i="13"/>
  <c r="C172" i="13"/>
  <c r="G172" i="13"/>
  <c r="B172" i="13"/>
  <c r="D172" i="13"/>
  <c r="E172" i="13"/>
  <c r="D44" i="12"/>
  <c r="L44" i="12"/>
  <c r="P44" i="12"/>
  <c r="N43" i="12"/>
  <c r="D43" i="12"/>
  <c r="B42" i="12"/>
  <c r="F42" i="12"/>
  <c r="S36" i="12"/>
  <c r="N36" i="12"/>
  <c r="C36" i="12"/>
  <c r="B32" i="12"/>
  <c r="F32" i="12"/>
  <c r="D32" i="12"/>
  <c r="B28" i="12"/>
  <c r="F28" i="12"/>
  <c r="D28" i="12"/>
  <c r="B24" i="12"/>
  <c r="F24" i="12"/>
  <c r="R24" i="12"/>
  <c r="D24" i="12"/>
  <c r="B20" i="12"/>
  <c r="F20" i="12"/>
  <c r="D20" i="12"/>
  <c r="B16" i="12"/>
  <c r="F16" i="12"/>
  <c r="R16" i="12"/>
  <c r="D16" i="12"/>
  <c r="B12" i="12"/>
  <c r="F12" i="12"/>
  <c r="N12" i="12"/>
  <c r="R12" i="12"/>
  <c r="D12" i="12"/>
  <c r="B8" i="12"/>
  <c r="F8" i="12"/>
  <c r="D8" i="12"/>
  <c r="S35" i="12"/>
  <c r="O35" i="12"/>
  <c r="G35" i="12"/>
  <c r="G31" i="12"/>
  <c r="S27" i="12"/>
  <c r="G27" i="12"/>
  <c r="G23" i="12"/>
  <c r="G19" i="12"/>
  <c r="O15" i="12"/>
  <c r="G15" i="12"/>
  <c r="G11" i="12"/>
  <c r="S7" i="12"/>
  <c r="O7" i="12"/>
  <c r="G7" i="12"/>
  <c r="G186" i="13"/>
  <c r="G182" i="13"/>
  <c r="G178" i="13"/>
  <c r="F177" i="13"/>
  <c r="B177" i="13"/>
  <c r="C173" i="13"/>
  <c r="B171" i="13"/>
  <c r="F171" i="13"/>
  <c r="G169" i="13"/>
  <c r="B169" i="13"/>
  <c r="E167" i="13"/>
  <c r="E161" i="13"/>
  <c r="C160" i="13"/>
  <c r="G160" i="13"/>
  <c r="C157" i="13"/>
  <c r="E156" i="13"/>
  <c r="B155" i="13"/>
  <c r="F155" i="13"/>
  <c r="G153" i="13"/>
  <c r="B153" i="13"/>
  <c r="E151" i="13"/>
  <c r="E145" i="13"/>
  <c r="C144" i="13"/>
  <c r="G144" i="13"/>
  <c r="C141" i="13"/>
  <c r="E140" i="13"/>
  <c r="B139" i="13"/>
  <c r="F139" i="13"/>
  <c r="G137" i="13"/>
  <c r="B137" i="13"/>
  <c r="E135" i="13"/>
  <c r="E129" i="13"/>
  <c r="C128" i="13"/>
  <c r="G128" i="13"/>
  <c r="C125" i="13"/>
  <c r="E124" i="13"/>
  <c r="B123" i="13"/>
  <c r="F123" i="13"/>
  <c r="G121" i="13"/>
  <c r="B121" i="13"/>
  <c r="E119" i="13"/>
  <c r="G115" i="13"/>
  <c r="G111" i="13"/>
  <c r="G107" i="13"/>
  <c r="G103" i="13"/>
  <c r="G99" i="13"/>
  <c r="G95" i="13"/>
  <c r="G91" i="13"/>
  <c r="G87" i="13"/>
  <c r="B82" i="13"/>
  <c r="F82" i="13"/>
  <c r="C82" i="13"/>
  <c r="E82" i="13"/>
  <c r="C79" i="13"/>
  <c r="G79" i="13"/>
  <c r="E79" i="13"/>
  <c r="B79" i="13"/>
  <c r="D68" i="13"/>
  <c r="E68" i="13"/>
  <c r="B68" i="13"/>
  <c r="G68" i="13"/>
  <c r="B175" i="13"/>
  <c r="F175" i="13"/>
  <c r="D167" i="13"/>
  <c r="C164" i="13"/>
  <c r="G164" i="13"/>
  <c r="C161" i="13"/>
  <c r="B159" i="13"/>
  <c r="F159" i="13"/>
  <c r="D156" i="13"/>
  <c r="D151" i="13"/>
  <c r="C148" i="13"/>
  <c r="G148" i="13"/>
  <c r="C145" i="13"/>
  <c r="B143" i="13"/>
  <c r="F143" i="13"/>
  <c r="D140" i="13"/>
  <c r="D135" i="13"/>
  <c r="C132" i="13"/>
  <c r="G132" i="13"/>
  <c r="C129" i="13"/>
  <c r="B127" i="13"/>
  <c r="F127" i="13"/>
  <c r="D124" i="13"/>
  <c r="D119" i="13"/>
  <c r="E115" i="13"/>
  <c r="E111" i="13"/>
  <c r="E107" i="13"/>
  <c r="E103" i="13"/>
  <c r="E99" i="13"/>
  <c r="E95" i="13"/>
  <c r="E91" i="13"/>
  <c r="E87" i="13"/>
  <c r="D84" i="13"/>
  <c r="E84" i="13"/>
  <c r="B84" i="13"/>
  <c r="G84" i="13"/>
  <c r="C71" i="13"/>
  <c r="G71" i="13"/>
  <c r="B71" i="13"/>
  <c r="E71" i="13"/>
  <c r="G66" i="13"/>
  <c r="E175" i="13"/>
  <c r="E169" i="13"/>
  <c r="C168" i="13"/>
  <c r="G168" i="13"/>
  <c r="E164" i="13"/>
  <c r="B163" i="13"/>
  <c r="F163" i="13"/>
  <c r="G161" i="13"/>
  <c r="B161" i="13"/>
  <c r="E159" i="13"/>
  <c r="E153" i="13"/>
  <c r="C152" i="13"/>
  <c r="G152" i="13"/>
  <c r="E148" i="13"/>
  <c r="B147" i="13"/>
  <c r="F147" i="13"/>
  <c r="G145" i="13"/>
  <c r="B145" i="13"/>
  <c r="E143" i="13"/>
  <c r="E137" i="13"/>
  <c r="C136" i="13"/>
  <c r="G136" i="13"/>
  <c r="E132" i="13"/>
  <c r="B131" i="13"/>
  <c r="F131" i="13"/>
  <c r="G129" i="13"/>
  <c r="B129" i="13"/>
  <c r="E127" i="13"/>
  <c r="E121" i="13"/>
  <c r="C120" i="13"/>
  <c r="G120" i="13"/>
  <c r="B117" i="13"/>
  <c r="F117" i="13"/>
  <c r="D117" i="13"/>
  <c r="B113" i="13"/>
  <c r="F113" i="13"/>
  <c r="D113" i="13"/>
  <c r="B109" i="13"/>
  <c r="F109" i="13"/>
  <c r="D109" i="13"/>
  <c r="B105" i="13"/>
  <c r="F105" i="13"/>
  <c r="D105" i="13"/>
  <c r="B101" i="13"/>
  <c r="F101" i="13"/>
  <c r="D101" i="13"/>
  <c r="B97" i="13"/>
  <c r="F97" i="13"/>
  <c r="D97" i="13"/>
  <c r="B93" i="13"/>
  <c r="F93" i="13"/>
  <c r="D93" i="13"/>
  <c r="B89" i="13"/>
  <c r="F89" i="13"/>
  <c r="D89" i="13"/>
  <c r="B85" i="13"/>
  <c r="F85" i="13"/>
  <c r="D85" i="13"/>
  <c r="D76" i="13"/>
  <c r="B76" i="13"/>
  <c r="G76" i="13"/>
  <c r="E76" i="13"/>
  <c r="B74" i="13"/>
  <c r="F74" i="13"/>
  <c r="E74" i="13"/>
  <c r="C74" i="13"/>
  <c r="C63" i="13"/>
  <c r="G63" i="13"/>
  <c r="D63" i="13"/>
  <c r="E63" i="13"/>
  <c r="B63" i="13"/>
  <c r="B167" i="13"/>
  <c r="F167" i="13"/>
  <c r="C156" i="13"/>
  <c r="G156" i="13"/>
  <c r="B151" i="13"/>
  <c r="F151" i="13"/>
  <c r="C140" i="13"/>
  <c r="G140" i="13"/>
  <c r="B135" i="13"/>
  <c r="F135" i="13"/>
  <c r="C124" i="13"/>
  <c r="G124" i="13"/>
  <c r="B119" i="13"/>
  <c r="F119" i="13"/>
  <c r="D115" i="13"/>
  <c r="B115" i="13"/>
  <c r="F115" i="13"/>
  <c r="D111" i="13"/>
  <c r="B111" i="13"/>
  <c r="F111" i="13"/>
  <c r="D107" i="13"/>
  <c r="B107" i="13"/>
  <c r="F107" i="13"/>
  <c r="D103" i="13"/>
  <c r="B103" i="13"/>
  <c r="F103" i="13"/>
  <c r="D99" i="13"/>
  <c r="B99" i="13"/>
  <c r="F99" i="13"/>
  <c r="D95" i="13"/>
  <c r="B95" i="13"/>
  <c r="F95" i="13"/>
  <c r="D91" i="13"/>
  <c r="B91" i="13"/>
  <c r="F91" i="13"/>
  <c r="D87" i="13"/>
  <c r="B87" i="13"/>
  <c r="F87" i="13"/>
  <c r="B66" i="13"/>
  <c r="F66" i="13"/>
  <c r="C66" i="13"/>
  <c r="E66" i="13"/>
  <c r="B58" i="13"/>
  <c r="F58" i="13"/>
  <c r="D58" i="13"/>
  <c r="E58" i="13"/>
  <c r="C58" i="13"/>
  <c r="G116" i="13"/>
  <c r="G112" i="13"/>
  <c r="G108" i="13"/>
  <c r="G104" i="13"/>
  <c r="G100" i="13"/>
  <c r="G96" i="13"/>
  <c r="G92" i="13"/>
  <c r="G88" i="13"/>
  <c r="C75" i="13"/>
  <c r="G75" i="13"/>
  <c r="C72" i="13"/>
  <c r="B70" i="13"/>
  <c r="F70" i="13"/>
  <c r="E60" i="13"/>
  <c r="C59" i="13"/>
  <c r="G59" i="13"/>
  <c r="C56" i="13"/>
  <c r="E55" i="13"/>
  <c r="B54" i="13"/>
  <c r="F54" i="13"/>
  <c r="G52" i="13"/>
  <c r="B52" i="13"/>
  <c r="E50" i="13"/>
  <c r="E44" i="13"/>
  <c r="C43" i="13"/>
  <c r="G43" i="13"/>
  <c r="C40" i="13"/>
  <c r="E39" i="13"/>
  <c r="B38" i="13"/>
  <c r="F38" i="13"/>
  <c r="G36" i="13"/>
  <c r="B36" i="13"/>
  <c r="E34" i="13"/>
  <c r="G30" i="13"/>
  <c r="G26" i="13"/>
  <c r="G22" i="13"/>
  <c r="G18" i="13"/>
  <c r="G14" i="13"/>
  <c r="G10" i="13"/>
  <c r="G6" i="13"/>
  <c r="B184" i="14"/>
  <c r="G184" i="14" s="1"/>
  <c r="F184" i="14"/>
  <c r="D184" i="14"/>
  <c r="C47" i="13"/>
  <c r="G47" i="13"/>
  <c r="B42" i="13"/>
  <c r="F42" i="13"/>
  <c r="B188" i="14"/>
  <c r="F188" i="14"/>
  <c r="D188" i="14"/>
  <c r="D178" i="14"/>
  <c r="B178" i="14"/>
  <c r="F178" i="14"/>
  <c r="D168" i="14"/>
  <c r="C168" i="14"/>
  <c r="E168" i="14"/>
  <c r="B168" i="14"/>
  <c r="C83" i="13"/>
  <c r="G83" i="13"/>
  <c r="B78" i="13"/>
  <c r="F78" i="13"/>
  <c r="C67" i="13"/>
  <c r="G67" i="13"/>
  <c r="B62" i="13"/>
  <c r="F62" i="13"/>
  <c r="G60" i="13"/>
  <c r="B60" i="13"/>
  <c r="E52" i="13"/>
  <c r="C51" i="13"/>
  <c r="G51" i="13"/>
  <c r="E47" i="13"/>
  <c r="B46" i="13"/>
  <c r="F46" i="13"/>
  <c r="G44" i="13"/>
  <c r="B44" i="13"/>
  <c r="E42" i="13"/>
  <c r="E36" i="13"/>
  <c r="C35" i="13"/>
  <c r="G35" i="13"/>
  <c r="D32" i="13"/>
  <c r="B32" i="13"/>
  <c r="F32" i="13"/>
  <c r="D28" i="13"/>
  <c r="B28" i="13"/>
  <c r="F28" i="13"/>
  <c r="D24" i="13"/>
  <c r="B24" i="13"/>
  <c r="F24" i="13"/>
  <c r="D20" i="13"/>
  <c r="B20" i="13"/>
  <c r="F20" i="13"/>
  <c r="D16" i="13"/>
  <c r="B16" i="13"/>
  <c r="F16" i="13"/>
  <c r="D12" i="13"/>
  <c r="B12" i="13"/>
  <c r="F12" i="13"/>
  <c r="D8" i="13"/>
  <c r="B8" i="13"/>
  <c r="F8" i="13"/>
  <c r="D182" i="14"/>
  <c r="B182" i="14"/>
  <c r="G182" i="14" s="1"/>
  <c r="F182" i="14"/>
  <c r="C174" i="14"/>
  <c r="D174" i="14"/>
  <c r="B174" i="14"/>
  <c r="G174" i="14" s="1"/>
  <c r="F174" i="14"/>
  <c r="C55" i="13"/>
  <c r="G55" i="13"/>
  <c r="C52" i="13"/>
  <c r="B50" i="13"/>
  <c r="F50" i="13"/>
  <c r="D47" i="13"/>
  <c r="D42" i="13"/>
  <c r="C39" i="13"/>
  <c r="G39" i="13"/>
  <c r="C36" i="13"/>
  <c r="B34" i="13"/>
  <c r="F34" i="13"/>
  <c r="B30" i="13"/>
  <c r="F30" i="13"/>
  <c r="D30" i="13"/>
  <c r="B26" i="13"/>
  <c r="F26" i="13"/>
  <c r="D26" i="13"/>
  <c r="B22" i="13"/>
  <c r="F22" i="13"/>
  <c r="D22" i="13"/>
  <c r="B18" i="13"/>
  <c r="F18" i="13"/>
  <c r="D18" i="13"/>
  <c r="B14" i="13"/>
  <c r="F14" i="13"/>
  <c r="D14" i="13"/>
  <c r="B10" i="13"/>
  <c r="F10" i="13"/>
  <c r="D10" i="13"/>
  <c r="B6" i="13"/>
  <c r="F6" i="13"/>
  <c r="D6" i="13"/>
  <c r="E188" i="14"/>
  <c r="D186" i="14"/>
  <c r="B186" i="14"/>
  <c r="F186" i="14"/>
  <c r="B180" i="14"/>
  <c r="G180" i="14" s="1"/>
  <c r="F180" i="14"/>
  <c r="D180" i="14"/>
  <c r="E178" i="14"/>
  <c r="D176" i="14"/>
  <c r="E171" i="14"/>
  <c r="B170" i="14"/>
  <c r="F170" i="14"/>
  <c r="E166" i="14"/>
  <c r="B163" i="14"/>
  <c r="E160" i="14"/>
  <c r="E155" i="14"/>
  <c r="B154" i="14"/>
  <c r="G154" i="14" s="1"/>
  <c r="F154" i="14"/>
  <c r="B152" i="14"/>
  <c r="E150" i="14"/>
  <c r="B147" i="14"/>
  <c r="E144" i="14"/>
  <c r="E139" i="14"/>
  <c r="B138" i="14"/>
  <c r="F138" i="14"/>
  <c r="B136" i="14"/>
  <c r="E134" i="14"/>
  <c r="F132" i="14"/>
  <c r="D130" i="14"/>
  <c r="B130" i="14"/>
  <c r="F130" i="14"/>
  <c r="B120" i="14"/>
  <c r="F120" i="14"/>
  <c r="D120" i="14"/>
  <c r="D114" i="14"/>
  <c r="B114" i="14"/>
  <c r="F114" i="14"/>
  <c r="B104" i="14"/>
  <c r="F104" i="14"/>
  <c r="D104" i="14"/>
  <c r="D98" i="14"/>
  <c r="B98" i="14"/>
  <c r="F98" i="14"/>
  <c r="B88" i="14"/>
  <c r="F88" i="14"/>
  <c r="D88" i="14"/>
  <c r="B158" i="14"/>
  <c r="F158" i="14"/>
  <c r="B142" i="14"/>
  <c r="F142" i="14"/>
  <c r="B124" i="14"/>
  <c r="F124" i="14"/>
  <c r="D124" i="14"/>
  <c r="D118" i="14"/>
  <c r="B118" i="14"/>
  <c r="F118" i="14"/>
  <c r="B108" i="14"/>
  <c r="F108" i="14"/>
  <c r="D108" i="14"/>
  <c r="D102" i="14"/>
  <c r="B102" i="14"/>
  <c r="F102" i="14"/>
  <c r="B92" i="14"/>
  <c r="F92" i="14"/>
  <c r="D92" i="14"/>
  <c r="D86" i="14"/>
  <c r="B86" i="14"/>
  <c r="F86" i="14"/>
  <c r="G31" i="13"/>
  <c r="G27" i="13"/>
  <c r="G23" i="13"/>
  <c r="G19" i="13"/>
  <c r="G15" i="13"/>
  <c r="G11" i="13"/>
  <c r="G7" i="13"/>
  <c r="F176" i="14"/>
  <c r="B171" i="14"/>
  <c r="D170" i="14"/>
  <c r="C164" i="14"/>
  <c r="E163" i="14"/>
  <c r="B162" i="14"/>
  <c r="G162" i="14" s="1"/>
  <c r="F162" i="14"/>
  <c r="B160" i="14"/>
  <c r="D159" i="14"/>
  <c r="E158" i="14"/>
  <c r="B155" i="14"/>
  <c r="D154" i="14"/>
  <c r="E152" i="14"/>
  <c r="C148" i="14"/>
  <c r="E147" i="14"/>
  <c r="B146" i="14"/>
  <c r="F146" i="14"/>
  <c r="B144" i="14"/>
  <c r="D143" i="14"/>
  <c r="E142" i="14"/>
  <c r="B139" i="14"/>
  <c r="D138" i="14"/>
  <c r="E136" i="14"/>
  <c r="E130" i="14"/>
  <c r="B128" i="14"/>
  <c r="F128" i="14"/>
  <c r="D128" i="14"/>
  <c r="D122" i="14"/>
  <c r="B122" i="14"/>
  <c r="G122" i="14" s="1"/>
  <c r="F122" i="14"/>
  <c r="E120" i="14"/>
  <c r="E114" i="14"/>
  <c r="B112" i="14"/>
  <c r="F112" i="14"/>
  <c r="D112" i="14"/>
  <c r="D106" i="14"/>
  <c r="B106" i="14"/>
  <c r="F106" i="14"/>
  <c r="E104" i="14"/>
  <c r="E98" i="14"/>
  <c r="B96" i="14"/>
  <c r="G96" i="14" s="1"/>
  <c r="F96" i="14"/>
  <c r="D96" i="14"/>
  <c r="D90" i="14"/>
  <c r="B90" i="14"/>
  <c r="F90" i="14"/>
  <c r="E88" i="14"/>
  <c r="C82" i="14"/>
  <c r="D82" i="14"/>
  <c r="B82" i="14"/>
  <c r="G82" i="14" s="1"/>
  <c r="F82" i="14"/>
  <c r="B166" i="14"/>
  <c r="F166" i="14"/>
  <c r="D163" i="14"/>
  <c r="D158" i="14"/>
  <c r="C152" i="14"/>
  <c r="B150" i="14"/>
  <c r="F150" i="14"/>
  <c r="D147" i="14"/>
  <c r="G143" i="14"/>
  <c r="D142" i="14"/>
  <c r="C136" i="14"/>
  <c r="B134" i="14"/>
  <c r="F134" i="14"/>
  <c r="B132" i="14"/>
  <c r="D132" i="14"/>
  <c r="D126" i="14"/>
  <c r="B126" i="14"/>
  <c r="G126" i="14" s="1"/>
  <c r="F126" i="14"/>
  <c r="E124" i="14"/>
  <c r="E118" i="14"/>
  <c r="B116" i="14"/>
  <c r="F116" i="14"/>
  <c r="D116" i="14"/>
  <c r="D110" i="14"/>
  <c r="B110" i="14"/>
  <c r="F110" i="14"/>
  <c r="E108" i="14"/>
  <c r="E102" i="14"/>
  <c r="B100" i="14"/>
  <c r="F100" i="14"/>
  <c r="D100" i="14"/>
  <c r="D94" i="14"/>
  <c r="B94" i="14"/>
  <c r="G94" i="14" s="1"/>
  <c r="F94" i="14"/>
  <c r="E92" i="14"/>
  <c r="E86" i="14"/>
  <c r="D84" i="14"/>
  <c r="D80" i="14"/>
  <c r="F78" i="14"/>
  <c r="B78" i="14"/>
  <c r="G78" i="14" s="1"/>
  <c r="D76" i="14"/>
  <c r="F74" i="14"/>
  <c r="B74" i="14"/>
  <c r="G74" i="14" s="1"/>
  <c r="D72" i="14"/>
  <c r="F70" i="14"/>
  <c r="B70" i="14"/>
  <c r="D68" i="14"/>
  <c r="F66" i="14"/>
  <c r="B66" i="14"/>
  <c r="D64" i="14"/>
  <c r="E62" i="14"/>
  <c r="B59" i="14"/>
  <c r="E56" i="14"/>
  <c r="C52" i="14"/>
  <c r="E51" i="14"/>
  <c r="B50" i="14"/>
  <c r="G50" i="14" s="1"/>
  <c r="F50" i="14"/>
  <c r="B48" i="14"/>
  <c r="B44" i="14"/>
  <c r="G44" i="14" s="1"/>
  <c r="F44" i="14"/>
  <c r="D44" i="14"/>
  <c r="D38" i="14"/>
  <c r="B38" i="14"/>
  <c r="G38" i="14" s="1"/>
  <c r="F38" i="14"/>
  <c r="B28" i="14"/>
  <c r="F28" i="14"/>
  <c r="D28" i="14"/>
  <c r="D22" i="14"/>
  <c r="B22" i="14"/>
  <c r="G22" i="14" s="1"/>
  <c r="F22" i="14"/>
  <c r="B54" i="14"/>
  <c r="F54" i="14"/>
  <c r="D42" i="14"/>
  <c r="B42" i="14"/>
  <c r="F42" i="14"/>
  <c r="E40" i="14"/>
  <c r="G37" i="14"/>
  <c r="B32" i="14"/>
  <c r="G4" i="21" s="1"/>
  <c r="F32" i="14"/>
  <c r="D32" i="14"/>
  <c r="D26" i="14"/>
  <c r="B26" i="14"/>
  <c r="G26" i="14" s="1"/>
  <c r="F26" i="14"/>
  <c r="E24" i="14"/>
  <c r="F84" i="14"/>
  <c r="F80" i="14"/>
  <c r="D78" i="14"/>
  <c r="F76" i="14"/>
  <c r="D74" i="14"/>
  <c r="F72" i="14"/>
  <c r="D70" i="14"/>
  <c r="F68" i="14"/>
  <c r="D66" i="14"/>
  <c r="F64" i="14"/>
  <c r="E59" i="14"/>
  <c r="B58" i="14"/>
  <c r="F58" i="14"/>
  <c r="B56" i="14"/>
  <c r="E54" i="14"/>
  <c r="B51" i="14"/>
  <c r="E48" i="14"/>
  <c r="D46" i="14"/>
  <c r="B46" i="14"/>
  <c r="G46" i="14" s="1"/>
  <c r="F46" i="14"/>
  <c r="B36" i="14"/>
  <c r="F36" i="14"/>
  <c r="D36" i="14"/>
  <c r="D30" i="14"/>
  <c r="B30" i="14"/>
  <c r="G30" i="14" s="1"/>
  <c r="F30" i="14"/>
  <c r="B62" i="14"/>
  <c r="F62" i="14"/>
  <c r="D54" i="14"/>
  <c r="C48" i="14"/>
  <c r="E42" i="14"/>
  <c r="B40" i="14"/>
  <c r="F40" i="14"/>
  <c r="D40" i="14"/>
  <c r="D34" i="14"/>
  <c r="B34" i="14"/>
  <c r="F34" i="14"/>
  <c r="E32" i="14"/>
  <c r="F4" i="21" s="1"/>
  <c r="B24" i="14"/>
  <c r="F24" i="14"/>
  <c r="D24" i="14"/>
  <c r="D20" i="14"/>
  <c r="F18" i="14"/>
  <c r="B18" i="14"/>
  <c r="G18" i="14" s="1"/>
  <c r="D16" i="14"/>
  <c r="F14" i="14"/>
  <c r="B14" i="14"/>
  <c r="G14" i="14" s="1"/>
  <c r="D12" i="14"/>
  <c r="F10" i="14"/>
  <c r="B10" i="14"/>
  <c r="D8" i="14"/>
  <c r="F20" i="14"/>
  <c r="D18" i="14"/>
  <c r="F16" i="14"/>
  <c r="D14" i="14"/>
  <c r="F12" i="14"/>
  <c r="D10" i="14"/>
  <c r="F8" i="14"/>
  <c r="F52" i="2" l="1"/>
  <c r="P146" i="12"/>
  <c r="P172" i="12"/>
  <c r="R154" i="12"/>
  <c r="P124" i="12"/>
  <c r="N154" i="12"/>
  <c r="P30" i="12"/>
  <c r="S69" i="12"/>
  <c r="P159" i="5"/>
  <c r="O172" i="12"/>
  <c r="B233" i="2"/>
  <c r="L10" i="7"/>
  <c r="M56" i="5"/>
  <c r="L32" i="12"/>
  <c r="S137" i="12"/>
  <c r="L110" i="12"/>
  <c r="O104" i="12"/>
  <c r="P102" i="12"/>
  <c r="S116" i="12"/>
  <c r="L98" i="12"/>
  <c r="N137" i="12"/>
  <c r="S155" i="12"/>
  <c r="H48" i="3"/>
  <c r="L109" i="12"/>
  <c r="O107" i="12"/>
  <c r="S150" i="12"/>
  <c r="Q124" i="12"/>
  <c r="S162" i="12"/>
  <c r="K111" i="12"/>
  <c r="R145" i="12"/>
  <c r="L108" i="5"/>
  <c r="O105" i="12"/>
  <c r="R100" i="12"/>
  <c r="L107" i="12"/>
  <c r="O153" i="12"/>
  <c r="P157" i="12"/>
  <c r="P123" i="12"/>
  <c r="L100" i="5"/>
  <c r="R131" i="12"/>
  <c r="O121" i="12"/>
  <c r="J111" i="12"/>
  <c r="R148" i="12"/>
  <c r="M173" i="12"/>
  <c r="O151" i="12"/>
  <c r="N160" i="12"/>
  <c r="E117" i="5"/>
  <c r="O135" i="12"/>
  <c r="M122" i="12"/>
  <c r="Q112" i="12"/>
  <c r="O109" i="12"/>
  <c r="L121" i="12"/>
  <c r="S124" i="12"/>
  <c r="L124" i="5"/>
  <c r="M124" i="5" s="1"/>
  <c r="L146" i="5"/>
  <c r="R170" i="12"/>
  <c r="H111" i="12"/>
  <c r="E128" i="5"/>
  <c r="O117" i="12"/>
  <c r="L116" i="5"/>
  <c r="Q128" i="12"/>
  <c r="O157" i="12"/>
  <c r="R115" i="12"/>
  <c r="N152" i="12"/>
  <c r="E139" i="5"/>
  <c r="E115" i="5"/>
  <c r="O137" i="12"/>
  <c r="N126" i="12"/>
  <c r="P141" i="12"/>
  <c r="M153" i="12"/>
  <c r="M143" i="12"/>
  <c r="M157" i="12"/>
  <c r="S110" i="12"/>
  <c r="Q152" i="12"/>
  <c r="P125" i="12"/>
  <c r="Q109" i="12"/>
  <c r="N169" i="12"/>
  <c r="N128" i="12"/>
  <c r="S104" i="12"/>
  <c r="R119" i="12"/>
  <c r="Q140" i="12"/>
  <c r="L150" i="5"/>
  <c r="Q113" i="12"/>
  <c r="L113" i="5"/>
  <c r="M113" i="5" s="1"/>
  <c r="P145" i="12"/>
  <c r="L145" i="5"/>
  <c r="M145" i="5" s="1"/>
  <c r="N120" i="12"/>
  <c r="P139" i="12"/>
  <c r="R165" i="12"/>
  <c r="Q117" i="12"/>
  <c r="S114" i="12"/>
  <c r="L151" i="12"/>
  <c r="E119" i="5"/>
  <c r="S123" i="12"/>
  <c r="P155" i="12"/>
  <c r="L128" i="5"/>
  <c r="L137" i="12"/>
  <c r="S140" i="12"/>
  <c r="L140" i="5"/>
  <c r="S158" i="12"/>
  <c r="L129" i="5"/>
  <c r="M129" i="5" s="1"/>
  <c r="E124" i="5"/>
  <c r="Q123" i="12"/>
  <c r="N157" i="12"/>
  <c r="P153" i="12"/>
  <c r="Q104" i="12"/>
  <c r="O139" i="12"/>
  <c r="O116" i="12"/>
  <c r="O125" i="12"/>
  <c r="R149" i="12"/>
  <c r="L157" i="5"/>
  <c r="M157" i="5" s="1"/>
  <c r="M149" i="12"/>
  <c r="O163" i="12"/>
  <c r="Q135" i="12"/>
  <c r="N108" i="12"/>
  <c r="P128" i="12"/>
  <c r="O120" i="12"/>
  <c r="C11" i="28"/>
  <c r="B8" i="28"/>
  <c r="E232" i="2"/>
  <c r="K10" i="3"/>
  <c r="N182" i="12"/>
  <c r="M177" i="12"/>
  <c r="N174" i="12"/>
  <c r="N178" i="12"/>
  <c r="N185" i="12"/>
  <c r="N177" i="12"/>
  <c r="E29" i="3"/>
  <c r="N96" i="2"/>
  <c r="O96" i="2" s="1"/>
  <c r="G163" i="2"/>
  <c r="L146" i="7"/>
  <c r="F193" i="2"/>
  <c r="P165" i="5"/>
  <c r="P13" i="5"/>
  <c r="P37" i="5"/>
  <c r="P73" i="5"/>
  <c r="P71" i="12"/>
  <c r="S89" i="12"/>
  <c r="M97" i="5"/>
  <c r="S115" i="12"/>
  <c r="O132" i="12"/>
  <c r="L51" i="12"/>
  <c r="M20" i="12"/>
  <c r="L15" i="7"/>
  <c r="D117" i="7"/>
  <c r="C51" i="7"/>
  <c r="D91" i="7"/>
  <c r="J127" i="7"/>
  <c r="E15" i="7"/>
  <c r="L127" i="7"/>
  <c r="D51" i="7"/>
  <c r="C62" i="7"/>
  <c r="B188" i="7"/>
  <c r="H170" i="7"/>
  <c r="H170" i="12" s="1"/>
  <c r="J49" i="2"/>
  <c r="K49" i="2" s="1"/>
  <c r="F89" i="2"/>
  <c r="N105" i="2"/>
  <c r="O105" i="2" s="1"/>
  <c r="P108" i="5"/>
  <c r="I15" i="7"/>
  <c r="O8" i="7"/>
  <c r="F51" i="7"/>
  <c r="D16" i="7"/>
  <c r="O24" i="7"/>
  <c r="N91" i="7"/>
  <c r="E60" i="7"/>
  <c r="C84" i="7"/>
  <c r="I118" i="7"/>
  <c r="I170" i="7"/>
  <c r="P36" i="5"/>
  <c r="M16" i="7"/>
  <c r="E52" i="7"/>
  <c r="M38" i="7"/>
  <c r="F38" i="7"/>
  <c r="H65" i="7"/>
  <c r="H65" i="12" s="1"/>
  <c r="C65" i="7"/>
  <c r="I33" i="7"/>
  <c r="C8" i="7"/>
  <c r="N181" i="7"/>
  <c r="J69" i="7"/>
  <c r="J182" i="12"/>
  <c r="O170" i="7"/>
  <c r="H14" i="3"/>
  <c r="H168" i="3"/>
  <c r="N38" i="2"/>
  <c r="O38" i="2" s="1"/>
  <c r="P25" i="5"/>
  <c r="P64" i="5"/>
  <c r="B51" i="7"/>
  <c r="C69" i="7"/>
  <c r="G24" i="7"/>
  <c r="G91" i="7"/>
  <c r="C117" i="7"/>
  <c r="F118" i="7"/>
  <c r="K96" i="3"/>
  <c r="G23" i="14"/>
  <c r="J38" i="7"/>
  <c r="I52" i="7"/>
  <c r="I52" i="12" s="1"/>
  <c r="M62" i="7"/>
  <c r="N20" i="2"/>
  <c r="O20" i="2" s="1"/>
  <c r="R39" i="12"/>
  <c r="G89" i="2"/>
  <c r="J101" i="2"/>
  <c r="K101" i="2" s="1"/>
  <c r="L68" i="12"/>
  <c r="P92" i="12"/>
  <c r="N104" i="12"/>
  <c r="K171" i="12"/>
  <c r="R123" i="12"/>
  <c r="S128" i="12"/>
  <c r="P159" i="12"/>
  <c r="K117" i="7"/>
  <c r="F69" i="7"/>
  <c r="H171" i="12"/>
  <c r="J86" i="5"/>
  <c r="K13" i="3"/>
  <c r="H74" i="3"/>
  <c r="K170" i="7"/>
  <c r="J170" i="12" s="1"/>
  <c r="G61" i="2"/>
  <c r="C24" i="7"/>
  <c r="J43" i="7"/>
  <c r="B91" i="7"/>
  <c r="G187" i="2"/>
  <c r="G123" i="14"/>
  <c r="E38" i="7"/>
  <c r="D52" i="7"/>
  <c r="I60" i="7"/>
  <c r="F62" i="7"/>
  <c r="J118" i="7"/>
  <c r="L52" i="7"/>
  <c r="H86" i="7"/>
  <c r="J169" i="7"/>
  <c r="G33" i="7"/>
  <c r="F127" i="7"/>
  <c r="E117" i="7"/>
  <c r="S34" i="12"/>
  <c r="S152" i="12"/>
  <c r="O118" i="7"/>
  <c r="B69" i="7"/>
  <c r="H181" i="12"/>
  <c r="K78" i="7"/>
  <c r="J78" i="12" s="1"/>
  <c r="H31" i="3"/>
  <c r="E74" i="3"/>
  <c r="G170" i="7"/>
  <c r="E25" i="3"/>
  <c r="F121" i="2"/>
  <c r="G167" i="14"/>
  <c r="P66" i="5"/>
  <c r="G52" i="7"/>
  <c r="K11" i="7"/>
  <c r="N60" i="7"/>
  <c r="K60" i="7"/>
  <c r="J60" i="12" s="1"/>
  <c r="N123" i="7"/>
  <c r="K129" i="3"/>
  <c r="N38" i="7"/>
  <c r="C52" i="7"/>
  <c r="C60" i="7"/>
  <c r="E62" i="7"/>
  <c r="E86" i="7"/>
  <c r="F167" i="7"/>
  <c r="I188" i="7"/>
  <c r="N136" i="2"/>
  <c r="O136" i="2" s="1"/>
  <c r="F86" i="7"/>
  <c r="M170" i="7"/>
  <c r="M52" i="7"/>
  <c r="K127" i="7"/>
  <c r="E33" i="7"/>
  <c r="L33" i="7"/>
  <c r="Q97" i="12"/>
  <c r="R69" i="12"/>
  <c r="R128" i="12"/>
  <c r="R152" i="12"/>
  <c r="R25" i="12"/>
  <c r="K15" i="7"/>
  <c r="O38" i="7"/>
  <c r="K118" i="7"/>
  <c r="H117" i="7"/>
  <c r="G188" i="7"/>
  <c r="C170" i="7"/>
  <c r="E27" i="3"/>
  <c r="K164" i="3"/>
  <c r="N85" i="2"/>
  <c r="O85" i="2" s="1"/>
  <c r="F106" i="2"/>
  <c r="P84" i="5"/>
  <c r="K52" i="7"/>
  <c r="J52" i="12" s="1"/>
  <c r="C11" i="7"/>
  <c r="G60" i="7"/>
  <c r="N24" i="7"/>
  <c r="J60" i="7"/>
  <c r="D129" i="7"/>
  <c r="K56" i="3"/>
  <c r="E170" i="3"/>
  <c r="M67" i="5"/>
  <c r="I38" i="7"/>
  <c r="L65" i="7"/>
  <c r="O164" i="7"/>
  <c r="H38" i="7"/>
  <c r="J86" i="7"/>
  <c r="I169" i="7"/>
  <c r="C188" i="7"/>
  <c r="J68" i="2"/>
  <c r="K68" i="2" s="1"/>
  <c r="J177" i="2"/>
  <c r="K177" i="2" s="1"/>
  <c r="K65" i="7"/>
  <c r="M86" i="7"/>
  <c r="E170" i="7"/>
  <c r="F181" i="7"/>
  <c r="N39" i="12"/>
  <c r="M124" i="12"/>
  <c r="Q122" i="12"/>
  <c r="R34" i="12"/>
  <c r="N98" i="12"/>
  <c r="R75" i="12"/>
  <c r="M75" i="12"/>
  <c r="R116" i="12"/>
  <c r="M166" i="12"/>
  <c r="R72" i="12"/>
  <c r="M151" i="5"/>
  <c r="M89" i="12"/>
  <c r="C127" i="7"/>
  <c r="K38" i="7"/>
  <c r="D62" i="7"/>
  <c r="G118" i="7"/>
  <c r="H69" i="7"/>
  <c r="H69" i="12" s="1"/>
  <c r="M117" i="7"/>
  <c r="O188" i="7"/>
  <c r="J110" i="5"/>
  <c r="L188" i="7"/>
  <c r="L178" i="7"/>
  <c r="N102" i="2"/>
  <c r="O102" i="2" s="1"/>
  <c r="O52" i="7"/>
  <c r="O11" i="7"/>
  <c r="O60" i="7"/>
  <c r="J24" i="7"/>
  <c r="F60" i="7"/>
  <c r="I24" i="7"/>
  <c r="I129" i="7"/>
  <c r="P99" i="5"/>
  <c r="D38" i="7"/>
  <c r="E65" i="7"/>
  <c r="L181" i="7"/>
  <c r="K181" i="12" s="1"/>
  <c r="N175" i="2"/>
  <c r="O175" i="2" s="1"/>
  <c r="B86" i="7"/>
  <c r="M181" i="7"/>
  <c r="E178" i="3"/>
  <c r="M65" i="7"/>
  <c r="D15" i="7"/>
  <c r="R98" i="12"/>
  <c r="I127" i="7"/>
  <c r="G38" i="7"/>
  <c r="I62" i="7"/>
  <c r="E69" i="7"/>
  <c r="C118" i="7"/>
  <c r="J63" i="12"/>
  <c r="N117" i="7"/>
  <c r="M69" i="7"/>
  <c r="K77" i="3"/>
  <c r="H188" i="7"/>
  <c r="N170" i="7"/>
  <c r="K188" i="7"/>
  <c r="F61" i="2"/>
  <c r="N169" i="2"/>
  <c r="O169" i="2" s="1"/>
  <c r="G157" i="14"/>
  <c r="F24" i="7"/>
  <c r="E181" i="7"/>
  <c r="M8" i="7"/>
  <c r="D65" i="7"/>
  <c r="E129" i="7"/>
  <c r="O51" i="7"/>
  <c r="D181" i="7"/>
  <c r="H33" i="7"/>
  <c r="D86" i="7"/>
  <c r="O117" i="7"/>
  <c r="D127" i="7"/>
  <c r="R126" i="12"/>
  <c r="R106" i="12"/>
  <c r="N15" i="7"/>
  <c r="D69" i="7"/>
  <c r="N127" i="7"/>
  <c r="N33" i="7"/>
  <c r="C38" i="7"/>
  <c r="N62" i="7"/>
  <c r="K69" i="7"/>
  <c r="G181" i="7"/>
  <c r="J117" i="7"/>
  <c r="G15" i="7"/>
  <c r="H95" i="3"/>
  <c r="D188" i="7"/>
  <c r="J170" i="7"/>
  <c r="E161" i="3"/>
  <c r="J113" i="2"/>
  <c r="K113" i="2" s="1"/>
  <c r="N176" i="2"/>
  <c r="O176" i="2" s="1"/>
  <c r="J75" i="2"/>
  <c r="K75" i="2" s="1"/>
  <c r="J123" i="2"/>
  <c r="K123" i="2" s="1"/>
  <c r="N130" i="2"/>
  <c r="O130" i="2" s="1"/>
  <c r="E233" i="2"/>
  <c r="O65" i="7"/>
  <c r="M11" i="7"/>
  <c r="B24" i="7"/>
  <c r="L60" i="7"/>
  <c r="K60" i="12" s="1"/>
  <c r="J99" i="7"/>
  <c r="J181" i="7"/>
  <c r="P143" i="5"/>
  <c r="I86" i="7"/>
  <c r="I86" i="12" s="1"/>
  <c r="E51" i="7"/>
  <c r="H64" i="3"/>
  <c r="K28" i="3"/>
  <c r="I181" i="7"/>
  <c r="I180" i="12" s="1"/>
  <c r="M33" i="7"/>
  <c r="K129" i="7"/>
  <c r="E91" i="7"/>
  <c r="K33" i="7"/>
  <c r="J33" i="12" s="1"/>
  <c r="J91" i="7"/>
  <c r="P152" i="12"/>
  <c r="N51" i="7"/>
  <c r="Q103" i="12"/>
  <c r="J15" i="7"/>
  <c r="I69" i="7"/>
  <c r="I69" i="12" s="1"/>
  <c r="J33" i="7"/>
  <c r="M55" i="7"/>
  <c r="K181" i="7"/>
  <c r="J181" i="12" s="1"/>
  <c r="F117" i="7"/>
  <c r="O15" i="7"/>
  <c r="O62" i="7"/>
  <c r="H172" i="12"/>
  <c r="J152" i="5"/>
  <c r="K162" i="3"/>
  <c r="N188" i="7"/>
  <c r="F170" i="7"/>
  <c r="H30" i="3"/>
  <c r="N45" i="2"/>
  <c r="O45" i="2" s="1"/>
  <c r="N117" i="2"/>
  <c r="O117" i="2" s="1"/>
  <c r="E11" i="7"/>
  <c r="L24" i="7"/>
  <c r="K24" i="12" s="1"/>
  <c r="H60" i="7"/>
  <c r="K51" i="7"/>
  <c r="J51" i="12" s="1"/>
  <c r="B99" i="7"/>
  <c r="M143" i="5"/>
  <c r="N86" i="7"/>
  <c r="G51" i="7"/>
  <c r="B181" i="7"/>
  <c r="L38" i="7"/>
  <c r="G31" i="14"/>
  <c r="O91" i="7"/>
  <c r="M75" i="5"/>
  <c r="K69" i="12"/>
  <c r="M56" i="12"/>
  <c r="L55" i="12"/>
  <c r="F15" i="7"/>
  <c r="O69" i="7"/>
  <c r="F33" i="7"/>
  <c r="L91" i="7"/>
  <c r="L123" i="7"/>
  <c r="O181" i="7"/>
  <c r="B117" i="7"/>
  <c r="J89" i="7"/>
  <c r="G127" i="7"/>
  <c r="K172" i="12"/>
  <c r="K182" i="12"/>
  <c r="M84" i="5"/>
  <c r="E53" i="3"/>
  <c r="J188" i="7"/>
  <c r="N161" i="2"/>
  <c r="O161" i="2" s="1"/>
  <c r="D11" i="7"/>
  <c r="H24" i="7"/>
  <c r="C164" i="7"/>
  <c r="M24" i="7"/>
  <c r="H52" i="7"/>
  <c r="H52" i="12" s="1"/>
  <c r="C181" i="7"/>
  <c r="H187" i="3"/>
  <c r="K136" i="3"/>
  <c r="E76" i="3"/>
  <c r="P10" i="12"/>
  <c r="S125" i="12"/>
  <c r="G40" i="2"/>
  <c r="N181" i="2"/>
  <c r="O181" i="2" s="1"/>
  <c r="J88" i="2"/>
  <c r="K88" i="2" s="1"/>
  <c r="D98" i="7"/>
  <c r="O132" i="7"/>
  <c r="B134" i="7"/>
  <c r="B144" i="7"/>
  <c r="K136" i="7"/>
  <c r="M136" i="7"/>
  <c r="G13" i="7"/>
  <c r="D136" i="7"/>
  <c r="E100" i="7"/>
  <c r="P101" i="5"/>
  <c r="C96" i="7"/>
  <c r="B100" i="7"/>
  <c r="G136" i="7"/>
  <c r="H96" i="7"/>
  <c r="M96" i="7"/>
  <c r="E183" i="3"/>
  <c r="O96" i="7"/>
  <c r="J95" i="12"/>
  <c r="R125" i="12"/>
  <c r="H68" i="3"/>
  <c r="G122" i="2"/>
  <c r="H100" i="7"/>
  <c r="F98" i="7"/>
  <c r="E132" i="7"/>
  <c r="B136" i="7"/>
  <c r="K132" i="7"/>
  <c r="L144" i="7"/>
  <c r="E13" i="7"/>
  <c r="N136" i="7"/>
  <c r="N92" i="2"/>
  <c r="O92" i="2" s="1"/>
  <c r="J100" i="7"/>
  <c r="M188" i="7"/>
  <c r="P69" i="5"/>
  <c r="L96" i="7"/>
  <c r="K100" i="7"/>
  <c r="D100" i="7"/>
  <c r="K171" i="3"/>
  <c r="L90" i="7"/>
  <c r="K90" i="12" s="1"/>
  <c r="G100" i="7"/>
  <c r="M100" i="7"/>
  <c r="P131" i="5"/>
  <c r="L100" i="7"/>
  <c r="J35" i="7"/>
  <c r="C107" i="7"/>
  <c r="D132" i="7"/>
  <c r="J136" i="7"/>
  <c r="L121" i="7"/>
  <c r="I136" i="7"/>
  <c r="P42" i="5"/>
  <c r="O100" i="7"/>
  <c r="D96" i="7"/>
  <c r="C100" i="7"/>
  <c r="L113" i="7"/>
  <c r="K113" i="12" s="1"/>
  <c r="N100" i="7"/>
  <c r="C25" i="7"/>
  <c r="N24" i="12"/>
  <c r="S28" i="12"/>
  <c r="N110" i="12"/>
  <c r="P63" i="12"/>
  <c r="Q157" i="12"/>
  <c r="M128" i="12"/>
  <c r="L43" i="7"/>
  <c r="H123" i="7"/>
  <c r="G78" i="7"/>
  <c r="F89" i="7"/>
  <c r="H178" i="7"/>
  <c r="G137" i="2"/>
  <c r="F134" i="2"/>
  <c r="O16" i="7"/>
  <c r="E43" i="7"/>
  <c r="K55" i="7"/>
  <c r="E16" i="7"/>
  <c r="C121" i="7"/>
  <c r="C89" i="7"/>
  <c r="E89" i="7"/>
  <c r="F123" i="7"/>
  <c r="M77" i="5"/>
  <c r="H43" i="7"/>
  <c r="G87" i="7"/>
  <c r="D123" i="7"/>
  <c r="C78" i="7"/>
  <c r="B89" i="7"/>
  <c r="N121" i="7"/>
  <c r="D178" i="7"/>
  <c r="K16" i="7"/>
  <c r="J16" i="12" s="1"/>
  <c r="M43" i="7"/>
  <c r="F78" i="7"/>
  <c r="H121" i="7"/>
  <c r="K87" i="7"/>
  <c r="M178" i="7"/>
  <c r="M121" i="7"/>
  <c r="L89" i="7"/>
  <c r="O123" i="7"/>
  <c r="S131" i="12"/>
  <c r="Q93" i="12"/>
  <c r="N122" i="12"/>
  <c r="D43" i="7"/>
  <c r="M87" i="7"/>
  <c r="I126" i="7"/>
  <c r="N133" i="7"/>
  <c r="J121" i="7"/>
  <c r="O178" i="7"/>
  <c r="E133" i="3"/>
  <c r="K148" i="3"/>
  <c r="J122" i="2"/>
  <c r="K122" i="2" s="1"/>
  <c r="G16" i="7"/>
  <c r="G43" i="7"/>
  <c r="M78" i="7"/>
  <c r="G123" i="7"/>
  <c r="I87" i="7"/>
  <c r="I178" i="7"/>
  <c r="I178" i="12" s="1"/>
  <c r="I43" i="7"/>
  <c r="E123" i="7"/>
  <c r="P97" i="5"/>
  <c r="N66" i="2"/>
  <c r="O66" i="2" s="1"/>
  <c r="C16" i="7"/>
  <c r="B43" i="7"/>
  <c r="B78" i="7"/>
  <c r="M123" i="7"/>
  <c r="N87" i="7"/>
  <c r="E178" i="7"/>
  <c r="F43" i="7"/>
  <c r="M89" i="7"/>
  <c r="B123" i="7"/>
  <c r="H89" i="7"/>
  <c r="G66" i="14"/>
  <c r="R28" i="12"/>
  <c r="L56" i="12"/>
  <c r="L123" i="12"/>
  <c r="H55" i="7"/>
  <c r="D133" i="7"/>
  <c r="I89" i="7"/>
  <c r="I89" i="12" s="1"/>
  <c r="F133" i="7"/>
  <c r="B121" i="7"/>
  <c r="G178" i="7"/>
  <c r="K149" i="3"/>
  <c r="J39" i="2"/>
  <c r="K39" i="2" s="1"/>
  <c r="N65" i="2"/>
  <c r="O65" i="2" s="1"/>
  <c r="H78" i="7"/>
  <c r="H78" i="12" s="1"/>
  <c r="C87" i="7"/>
  <c r="C43" i="7"/>
  <c r="E126" i="7"/>
  <c r="K89" i="7"/>
  <c r="J89" i="12" s="1"/>
  <c r="D89" i="7"/>
  <c r="J133" i="7"/>
  <c r="F121" i="7"/>
  <c r="K178" i="7"/>
  <c r="J178" i="12" s="1"/>
  <c r="P35" i="12"/>
  <c r="S122" i="12"/>
  <c r="D55" i="7"/>
  <c r="I133" i="7"/>
  <c r="I133" i="12" s="1"/>
  <c r="O89" i="7"/>
  <c r="B133" i="7"/>
  <c r="J116" i="5"/>
  <c r="H26" i="3"/>
  <c r="E39" i="3"/>
  <c r="C178" i="7"/>
  <c r="F122" i="2"/>
  <c r="G153" i="14"/>
  <c r="N16" i="7"/>
  <c r="L78" i="7"/>
  <c r="K78" i="12" s="1"/>
  <c r="B87" i="7"/>
  <c r="G121" i="7"/>
  <c r="N76" i="2"/>
  <c r="O76" i="2" s="1"/>
  <c r="L126" i="7"/>
  <c r="R20" i="12"/>
  <c r="O9" i="12"/>
  <c r="O133" i="7"/>
  <c r="D78" i="7"/>
  <c r="E55" i="7"/>
  <c r="N186" i="7"/>
  <c r="F21" i="2"/>
  <c r="J25" i="2"/>
  <c r="K25" i="2" s="1"/>
  <c r="N160" i="2"/>
  <c r="O160" i="2" s="1"/>
  <c r="J16" i="7"/>
  <c r="I16" i="7"/>
  <c r="E78" i="7"/>
  <c r="G191" i="2"/>
  <c r="G133" i="7"/>
  <c r="K123" i="7"/>
  <c r="L55" i="7"/>
  <c r="K55" i="12" s="1"/>
  <c r="N20" i="12"/>
  <c r="P168" i="12"/>
  <c r="Q143" i="12"/>
  <c r="I78" i="7"/>
  <c r="I78" i="12" s="1"/>
  <c r="E133" i="7"/>
  <c r="J55" i="7"/>
  <c r="E87" i="7"/>
  <c r="J128" i="5"/>
  <c r="N178" i="7"/>
  <c r="F16" i="7"/>
  <c r="N55" i="7"/>
  <c r="N170" i="12"/>
  <c r="L168" i="12"/>
  <c r="Q107" i="12"/>
  <c r="N78" i="7"/>
  <c r="D121" i="7"/>
  <c r="K133" i="7"/>
  <c r="O55" i="7"/>
  <c r="J87" i="7"/>
  <c r="H133" i="7"/>
  <c r="J140" i="5"/>
  <c r="J178" i="7"/>
  <c r="F81" i="2"/>
  <c r="B16" i="7"/>
  <c r="C55" i="7"/>
  <c r="K121" i="7"/>
  <c r="S113" i="12"/>
  <c r="R124" i="12"/>
  <c r="L87" i="7"/>
  <c r="I121" i="7"/>
  <c r="O87" i="7"/>
  <c r="M133" i="7"/>
  <c r="F178" i="7"/>
  <c r="J174" i="2"/>
  <c r="K174" i="2" s="1"/>
  <c r="L16" i="7"/>
  <c r="I55" i="7"/>
  <c r="I55" i="12" s="1"/>
  <c r="C123" i="7"/>
  <c r="L133" i="7"/>
  <c r="K133" i="12" s="1"/>
  <c r="M186" i="7"/>
  <c r="N124" i="12"/>
  <c r="H87" i="7"/>
  <c r="G55" i="7"/>
  <c r="O121" i="7"/>
  <c r="O78" i="7"/>
  <c r="N89" i="7"/>
  <c r="G81" i="2"/>
  <c r="F137" i="2"/>
  <c r="G134" i="2"/>
  <c r="B55" i="7"/>
  <c r="O43" i="7"/>
  <c r="N43" i="7"/>
  <c r="I123" i="7"/>
  <c r="G21" i="7"/>
  <c r="S11" i="12"/>
  <c r="F123" i="5"/>
  <c r="G123" i="5" s="1"/>
  <c r="O168" i="12"/>
  <c r="N90" i="12"/>
  <c r="M134" i="12"/>
  <c r="L116" i="12"/>
  <c r="E97" i="5"/>
  <c r="N98" i="7"/>
  <c r="M49" i="7"/>
  <c r="D163" i="7"/>
  <c r="H97" i="7"/>
  <c r="H97" i="12" s="1"/>
  <c r="J180" i="12"/>
  <c r="L97" i="7"/>
  <c r="K97" i="12" s="1"/>
  <c r="N106" i="12"/>
  <c r="H121" i="3"/>
  <c r="H49" i="7"/>
  <c r="H49" i="12" s="1"/>
  <c r="G49" i="7"/>
  <c r="O163" i="7"/>
  <c r="O175" i="7"/>
  <c r="P81" i="5"/>
  <c r="G116" i="7"/>
  <c r="P107" i="12"/>
  <c r="L111" i="12"/>
  <c r="O97" i="7"/>
  <c r="C49" i="7"/>
  <c r="K163" i="7"/>
  <c r="E182" i="7"/>
  <c r="L109" i="7"/>
  <c r="J175" i="7"/>
  <c r="F111" i="7"/>
  <c r="P80" i="5"/>
  <c r="G37" i="7"/>
  <c r="I97" i="7"/>
  <c r="D177" i="7"/>
  <c r="G163" i="7"/>
  <c r="I182" i="7"/>
  <c r="I182" i="12" s="1"/>
  <c r="E175" i="7"/>
  <c r="K97" i="7"/>
  <c r="J97" i="12" s="1"/>
  <c r="G175" i="7"/>
  <c r="I116" i="7"/>
  <c r="D175" i="7"/>
  <c r="E116" i="7"/>
  <c r="N116" i="7"/>
  <c r="P154" i="12"/>
  <c r="B177" i="7"/>
  <c r="N177" i="7"/>
  <c r="G100" i="2"/>
  <c r="H116" i="7"/>
  <c r="J140" i="2"/>
  <c r="K140" i="2" s="1"/>
  <c r="I109" i="7"/>
  <c r="J177" i="7"/>
  <c r="E118" i="7"/>
  <c r="B118" i="7"/>
  <c r="G69" i="2"/>
  <c r="H177" i="7"/>
  <c r="L116" i="7"/>
  <c r="G57" i="7"/>
  <c r="C177" i="7"/>
  <c r="M118" i="7"/>
  <c r="J73" i="2"/>
  <c r="K73" i="2" s="1"/>
  <c r="M177" i="7"/>
  <c r="E151" i="3"/>
  <c r="K49" i="7"/>
  <c r="J49" i="12" s="1"/>
  <c r="M57" i="7"/>
  <c r="L37" i="7"/>
  <c r="F175" i="7"/>
  <c r="F154" i="7"/>
  <c r="F116" i="7"/>
  <c r="M171" i="12"/>
  <c r="M39" i="5"/>
  <c r="L57" i="7"/>
  <c r="K57" i="12" s="1"/>
  <c r="E163" i="7"/>
  <c r="I37" i="7"/>
  <c r="G109" i="7"/>
  <c r="L118" i="7"/>
  <c r="K118" i="12" s="1"/>
  <c r="M175" i="7"/>
  <c r="F177" i="7"/>
  <c r="S167" i="12"/>
  <c r="J162" i="5"/>
  <c r="N49" i="2"/>
  <c r="O49" i="2" s="1"/>
  <c r="P104" i="5"/>
  <c r="E57" i="7"/>
  <c r="O49" i="7"/>
  <c r="H175" i="7"/>
  <c r="H175" i="12" s="1"/>
  <c r="M163" i="7"/>
  <c r="D37" i="7"/>
  <c r="I163" i="7"/>
  <c r="O109" i="7"/>
  <c r="K175" i="7"/>
  <c r="B175" i="7"/>
  <c r="C97" i="7"/>
  <c r="L20" i="12"/>
  <c r="J31" i="5"/>
  <c r="F69" i="2"/>
  <c r="I170" i="12"/>
  <c r="K57" i="7"/>
  <c r="J57" i="12" s="1"/>
  <c r="I49" i="7"/>
  <c r="L175" i="7"/>
  <c r="F163" i="7"/>
  <c r="L163" i="7"/>
  <c r="K163" i="12" s="1"/>
  <c r="C37" i="7"/>
  <c r="L177" i="7"/>
  <c r="E97" i="7"/>
  <c r="D13" i="28"/>
  <c r="D12" i="28"/>
  <c r="G153" i="2"/>
  <c r="E158" i="3"/>
  <c r="F179" i="2"/>
  <c r="K53" i="3"/>
  <c r="E142" i="3"/>
  <c r="F153" i="2"/>
  <c r="S85" i="12"/>
  <c r="J153" i="2"/>
  <c r="K153" i="2" s="1"/>
  <c r="P155" i="5"/>
  <c r="B10" i="28"/>
  <c r="J171" i="2"/>
  <c r="K171" i="2" s="1"/>
  <c r="D10" i="28"/>
  <c r="E234" i="2"/>
  <c r="D11" i="28"/>
  <c r="I171" i="12"/>
  <c r="P151" i="5"/>
  <c r="G74" i="2"/>
  <c r="N75" i="12"/>
  <c r="M158" i="12"/>
  <c r="J66" i="5"/>
  <c r="K170" i="3"/>
  <c r="K172" i="3"/>
  <c r="B82" i="7"/>
  <c r="C179" i="7"/>
  <c r="B10" i="7"/>
  <c r="N26" i="7"/>
  <c r="E10" i="7"/>
  <c r="J58" i="12"/>
  <c r="L90" i="12"/>
  <c r="S141" i="12"/>
  <c r="O161" i="7"/>
  <c r="K26" i="7"/>
  <c r="I179" i="12"/>
  <c r="H131" i="7"/>
  <c r="H131" i="12" s="1"/>
  <c r="J74" i="2"/>
  <c r="K74" i="2" s="1"/>
  <c r="P68" i="5"/>
  <c r="N70" i="7"/>
  <c r="N179" i="7"/>
  <c r="E131" i="7"/>
  <c r="F161" i="7"/>
  <c r="F131" i="7"/>
  <c r="H10" i="7"/>
  <c r="H161" i="7"/>
  <c r="H161" i="12" s="1"/>
  <c r="J10" i="7"/>
  <c r="Q149" i="12"/>
  <c r="G26" i="7"/>
  <c r="M118" i="5"/>
  <c r="D131" i="7"/>
  <c r="I70" i="7"/>
  <c r="I70" i="12" s="1"/>
  <c r="E161" i="7"/>
  <c r="J179" i="7"/>
  <c r="H44" i="3"/>
  <c r="K131" i="7"/>
  <c r="M161" i="7"/>
  <c r="M131" i="7"/>
  <c r="M10" i="7"/>
  <c r="C161" i="7"/>
  <c r="O131" i="7"/>
  <c r="K116" i="7"/>
  <c r="C26" i="7"/>
  <c r="G18" i="2"/>
  <c r="J83" i="2"/>
  <c r="K83" i="2" s="1"/>
  <c r="D70" i="7"/>
  <c r="J161" i="7"/>
  <c r="F179" i="7"/>
  <c r="I26" i="7"/>
  <c r="J70" i="7"/>
  <c r="E165" i="7"/>
  <c r="L26" i="7"/>
  <c r="F70" i="7"/>
  <c r="K183" i="3"/>
  <c r="G131" i="7"/>
  <c r="G110" i="14"/>
  <c r="H166" i="12"/>
  <c r="H15" i="3"/>
  <c r="E41" i="3"/>
  <c r="G98" i="2"/>
  <c r="B179" i="7"/>
  <c r="K24" i="3"/>
  <c r="J165" i="7"/>
  <c r="D150" i="7"/>
  <c r="F150" i="7"/>
  <c r="K135" i="3"/>
  <c r="C165" i="7"/>
  <c r="R140" i="12"/>
  <c r="G165" i="7"/>
  <c r="K83" i="3"/>
  <c r="N86" i="2"/>
  <c r="O86" i="2" s="1"/>
  <c r="J131" i="7"/>
  <c r="B161" i="7"/>
  <c r="E179" i="7"/>
  <c r="M116" i="7"/>
  <c r="S8" i="12"/>
  <c r="N79" i="12"/>
  <c r="N140" i="12"/>
  <c r="L157" i="12"/>
  <c r="C131" i="7"/>
  <c r="K165" i="7"/>
  <c r="J165" i="12" s="1"/>
  <c r="H53" i="3"/>
  <c r="F16" i="2"/>
  <c r="B165" i="7"/>
  <c r="L179" i="7"/>
  <c r="K179" i="12" s="1"/>
  <c r="N161" i="7"/>
  <c r="M179" i="7"/>
  <c r="E70" i="7"/>
  <c r="P8" i="12"/>
  <c r="J69" i="12"/>
  <c r="I131" i="7"/>
  <c r="I131" i="12" s="1"/>
  <c r="O165" i="7"/>
  <c r="M16" i="5"/>
  <c r="E82" i="7"/>
  <c r="F73" i="2"/>
  <c r="P92" i="5"/>
  <c r="H165" i="7"/>
  <c r="H165" i="12" s="1"/>
  <c r="D165" i="7"/>
  <c r="H179" i="7"/>
  <c r="H179" i="12" s="1"/>
  <c r="D26" i="7"/>
  <c r="D161" i="7"/>
  <c r="M70" i="7"/>
  <c r="F10" i="7"/>
  <c r="C116" i="7"/>
  <c r="L8" i="12"/>
  <c r="R169" i="12"/>
  <c r="N35" i="12"/>
  <c r="O70" i="7"/>
  <c r="J83" i="12"/>
  <c r="J82" i="7"/>
  <c r="N34" i="2"/>
  <c r="O34" i="2" s="1"/>
  <c r="F26" i="7"/>
  <c r="L82" i="7"/>
  <c r="K82" i="12" s="1"/>
  <c r="M165" i="7"/>
  <c r="I165" i="7"/>
  <c r="D179" i="7"/>
  <c r="F32" i="2"/>
  <c r="F165" i="7"/>
  <c r="L165" i="7"/>
  <c r="K165" i="12" s="1"/>
  <c r="O116" i="7"/>
  <c r="L130" i="12"/>
  <c r="R141" i="12"/>
  <c r="M150" i="12"/>
  <c r="K70" i="7"/>
  <c r="J70" i="12" s="1"/>
  <c r="K83" i="12"/>
  <c r="K79" i="3"/>
  <c r="E188" i="3"/>
  <c r="I82" i="7"/>
  <c r="I82" i="12" s="1"/>
  <c r="O179" i="7"/>
  <c r="D10" i="7"/>
  <c r="H70" i="7"/>
  <c r="M34" i="12"/>
  <c r="G70" i="7"/>
  <c r="H83" i="12"/>
  <c r="H164" i="12"/>
  <c r="F18" i="2"/>
  <c r="F98" i="2"/>
  <c r="N82" i="7"/>
  <c r="M150" i="7"/>
  <c r="I10" i="7"/>
  <c r="B116" i="7"/>
  <c r="L70" i="7"/>
  <c r="K70" i="12" s="1"/>
  <c r="G19" i="14"/>
  <c r="H22" i="12"/>
  <c r="H135" i="3"/>
  <c r="H52" i="3"/>
  <c r="J116" i="7"/>
  <c r="M160" i="5"/>
  <c r="K40" i="3"/>
  <c r="H131" i="3"/>
  <c r="H96" i="3"/>
  <c r="K119" i="3"/>
  <c r="P79" i="5"/>
  <c r="P123" i="5"/>
  <c r="K32" i="3"/>
  <c r="H112" i="3"/>
  <c r="L64" i="12"/>
  <c r="D47" i="7"/>
  <c r="N73" i="2"/>
  <c r="O73" i="2" s="1"/>
  <c r="G152" i="2"/>
  <c r="O156" i="7"/>
  <c r="D187" i="7"/>
  <c r="J187" i="7"/>
  <c r="I47" i="7"/>
  <c r="N47" i="7"/>
  <c r="M29" i="5"/>
  <c r="C6" i="28"/>
  <c r="D6" i="28" s="1"/>
  <c r="N164" i="2"/>
  <c r="O164" i="2" s="1"/>
  <c r="J125" i="2"/>
  <c r="K125" i="2" s="1"/>
  <c r="J59" i="7"/>
  <c r="N120" i="7"/>
  <c r="D130" i="7"/>
  <c r="G75" i="14"/>
  <c r="G85" i="7"/>
  <c r="N16" i="12"/>
  <c r="P39" i="12"/>
  <c r="E47" i="7"/>
  <c r="J10" i="5"/>
  <c r="J172" i="2"/>
  <c r="K172" i="2" s="1"/>
  <c r="O172" i="7"/>
  <c r="P103" i="5"/>
  <c r="M75" i="7"/>
  <c r="L126" i="12"/>
  <c r="P118" i="12"/>
  <c r="J47" i="7"/>
  <c r="J11" i="5"/>
  <c r="M95" i="5"/>
  <c r="E185" i="3"/>
  <c r="J48" i="7"/>
  <c r="E76" i="7"/>
  <c r="G172" i="7"/>
  <c r="L130" i="7"/>
  <c r="K130" i="12" s="1"/>
  <c r="G186" i="14"/>
  <c r="P28" i="12"/>
  <c r="M83" i="12"/>
  <c r="O47" i="7"/>
  <c r="J134" i="5"/>
  <c r="H82" i="3"/>
  <c r="H78" i="3"/>
  <c r="F49" i="2"/>
  <c r="J145" i="2"/>
  <c r="K145" i="2" s="1"/>
  <c r="J90" i="2"/>
  <c r="K90" i="2" s="1"/>
  <c r="J166" i="2"/>
  <c r="K166" i="2" s="1"/>
  <c r="I59" i="7"/>
  <c r="I59" i="12" s="1"/>
  <c r="G160" i="7"/>
  <c r="H187" i="7"/>
  <c r="M172" i="7"/>
  <c r="F47" i="7"/>
  <c r="B160" i="7"/>
  <c r="S93" i="12"/>
  <c r="E71" i="3"/>
  <c r="J65" i="2"/>
  <c r="K65" i="2" s="1"/>
  <c r="F37" i="2"/>
  <c r="G45" i="2"/>
  <c r="O160" i="7"/>
  <c r="L187" i="7"/>
  <c r="K187" i="12" s="1"/>
  <c r="E172" i="7"/>
  <c r="H88" i="3"/>
  <c r="K59" i="7"/>
  <c r="B47" i="7"/>
  <c r="J116" i="2"/>
  <c r="K116" i="2" s="1"/>
  <c r="R71" i="12"/>
  <c r="P166" i="12"/>
  <c r="O130" i="7"/>
  <c r="H130" i="7"/>
  <c r="J34" i="5"/>
  <c r="G49" i="2"/>
  <c r="J26" i="2"/>
  <c r="K26" i="2" s="1"/>
  <c r="P19" i="5"/>
  <c r="K172" i="7"/>
  <c r="J172" i="12" s="1"/>
  <c r="E159" i="3"/>
  <c r="F59" i="7"/>
  <c r="G112" i="14"/>
  <c r="O8" i="12"/>
  <c r="N71" i="12"/>
  <c r="K130" i="7"/>
  <c r="M130" i="7"/>
  <c r="J25" i="5"/>
  <c r="E143" i="5"/>
  <c r="N141" i="2"/>
  <c r="O141" i="2" s="1"/>
  <c r="D231" i="2"/>
  <c r="K47" i="7"/>
  <c r="C172" i="7"/>
  <c r="P129" i="5"/>
  <c r="B176" i="7"/>
  <c r="K144" i="3"/>
  <c r="S143" i="12"/>
  <c r="M45" i="5"/>
  <c r="G130" i="7"/>
  <c r="G47" i="7"/>
  <c r="H85" i="7"/>
  <c r="H85" i="12" s="1"/>
  <c r="E141" i="3"/>
  <c r="N118" i="2"/>
  <c r="O118" i="2" s="1"/>
  <c r="J141" i="2"/>
  <c r="K141" i="2" s="1"/>
  <c r="P96" i="5"/>
  <c r="M59" i="7"/>
  <c r="I130" i="7"/>
  <c r="B172" i="7"/>
  <c r="N187" i="7"/>
  <c r="H76" i="3"/>
  <c r="K76" i="3"/>
  <c r="P26" i="5"/>
  <c r="C130" i="7"/>
  <c r="L47" i="7"/>
  <c r="M47" i="7"/>
  <c r="E130" i="7"/>
  <c r="H134" i="3"/>
  <c r="H152" i="3"/>
  <c r="F45" i="2"/>
  <c r="G59" i="7"/>
  <c r="F130" i="7"/>
  <c r="E127" i="3"/>
  <c r="G175" i="2"/>
  <c r="M76" i="7"/>
  <c r="N59" i="7"/>
  <c r="I187" i="7"/>
  <c r="N143" i="12"/>
  <c r="M113" i="12"/>
  <c r="C47" i="7"/>
  <c r="J130" i="7"/>
  <c r="H87" i="3"/>
  <c r="J178" i="2"/>
  <c r="K178" i="2" s="1"/>
  <c r="J66" i="2"/>
  <c r="K66" i="2" s="1"/>
  <c r="F130" i="2"/>
  <c r="B59" i="7"/>
  <c r="N155" i="2"/>
  <c r="O155" i="2" s="1"/>
  <c r="E96" i="3"/>
  <c r="P45" i="5"/>
  <c r="P46" i="5"/>
  <c r="J173" i="2"/>
  <c r="K173" i="2" s="1"/>
  <c r="H126" i="12"/>
  <c r="K121" i="3"/>
  <c r="P28" i="5"/>
  <c r="G55" i="14"/>
  <c r="M164" i="5"/>
  <c r="M9" i="5"/>
  <c r="F108" i="2"/>
  <c r="G107" i="14"/>
  <c r="P91" i="5"/>
  <c r="P77" i="5"/>
  <c r="M142" i="5"/>
  <c r="M100" i="5"/>
  <c r="J24" i="12"/>
  <c r="E150" i="3"/>
  <c r="P43" i="5"/>
  <c r="N191" i="2"/>
  <c r="O191" i="2" s="1"/>
  <c r="P94" i="12"/>
  <c r="L94" i="12"/>
  <c r="P170" i="12"/>
  <c r="L170" i="12"/>
  <c r="N162" i="12"/>
  <c r="N146" i="12"/>
  <c r="R146" i="12"/>
  <c r="S146" i="12"/>
  <c r="H28" i="3"/>
  <c r="P87" i="12"/>
  <c r="L87" i="12"/>
  <c r="S160" i="12"/>
  <c r="R160" i="12"/>
  <c r="Q125" i="12"/>
  <c r="M125" i="12"/>
  <c r="L125" i="7"/>
  <c r="K125" i="12" s="1"/>
  <c r="M125" i="7"/>
  <c r="K125" i="7"/>
  <c r="H125" i="7"/>
  <c r="H125" i="12" s="1"/>
  <c r="B125" i="7"/>
  <c r="E125" i="7"/>
  <c r="F125" i="7"/>
  <c r="J125" i="7"/>
  <c r="O125" i="7"/>
  <c r="N125" i="7"/>
  <c r="D125" i="7"/>
  <c r="G125" i="7"/>
  <c r="B122" i="7"/>
  <c r="L122" i="7"/>
  <c r="K122" i="12" s="1"/>
  <c r="O122" i="7"/>
  <c r="M122" i="7"/>
  <c r="H122" i="7"/>
  <c r="J122" i="7"/>
  <c r="N122" i="7"/>
  <c r="E122" i="7"/>
  <c r="I122" i="7"/>
  <c r="F122" i="7"/>
  <c r="G122" i="7"/>
  <c r="B48" i="7"/>
  <c r="H72" i="3"/>
  <c r="D102" i="7"/>
  <c r="I102" i="7"/>
  <c r="I102" i="12" s="1"/>
  <c r="N102" i="7"/>
  <c r="L102" i="7"/>
  <c r="K102" i="12" s="1"/>
  <c r="F102" i="7"/>
  <c r="M102" i="7"/>
  <c r="C102" i="7"/>
  <c r="G102" i="7"/>
  <c r="K102" i="7"/>
  <c r="O102" i="7"/>
  <c r="G137" i="7"/>
  <c r="O137" i="7"/>
  <c r="E137" i="7"/>
  <c r="I157" i="12"/>
  <c r="I137" i="7"/>
  <c r="I137" i="12" s="1"/>
  <c r="K154" i="12"/>
  <c r="D137" i="7"/>
  <c r="H162" i="12"/>
  <c r="M137" i="7"/>
  <c r="K112" i="12"/>
  <c r="H154" i="12"/>
  <c r="C137" i="7"/>
  <c r="H112" i="12"/>
  <c r="H132" i="12"/>
  <c r="H137" i="7"/>
  <c r="H137" i="12" s="1"/>
  <c r="J162" i="12"/>
  <c r="H144" i="12"/>
  <c r="K162" i="12"/>
  <c r="I158" i="12"/>
  <c r="L148" i="12"/>
  <c r="K66" i="3"/>
  <c r="Q42" i="12"/>
  <c r="M42" i="12"/>
  <c r="C153" i="7"/>
  <c r="O153" i="7"/>
  <c r="I153" i="7"/>
  <c r="I153" i="12" s="1"/>
  <c r="B153" i="7"/>
  <c r="F153" i="7"/>
  <c r="J153" i="7"/>
  <c r="M153" i="7"/>
  <c r="H40" i="3"/>
  <c r="E40" i="5"/>
  <c r="F40" i="5" s="1"/>
  <c r="G40" i="5" s="1"/>
  <c r="I141" i="7"/>
  <c r="K141" i="7"/>
  <c r="N141" i="7"/>
  <c r="E141" i="7"/>
  <c r="M141" i="7"/>
  <c r="F141" i="7"/>
  <c r="C36" i="7"/>
  <c r="H36" i="7"/>
  <c r="H36" i="12" s="1"/>
  <c r="I36" i="7"/>
  <c r="I36" i="12" s="1"/>
  <c r="O36" i="7"/>
  <c r="L36" i="7"/>
  <c r="K36" i="12" s="1"/>
  <c r="K36" i="7"/>
  <c r="J36" i="12" s="1"/>
  <c r="G36" i="7"/>
  <c r="B36" i="7"/>
  <c r="F36" i="7"/>
  <c r="J36" i="7"/>
  <c r="N36" i="7"/>
  <c r="M36" i="7"/>
  <c r="P150" i="12"/>
  <c r="L150" i="12"/>
  <c r="L158" i="12"/>
  <c r="P158" i="12"/>
  <c r="K56" i="7"/>
  <c r="H56" i="7"/>
  <c r="C56" i="7"/>
  <c r="L56" i="7"/>
  <c r="I56" i="7"/>
  <c r="O56" i="7"/>
  <c r="G56" i="7"/>
  <c r="L114" i="12"/>
  <c r="P114" i="12"/>
  <c r="K34" i="7"/>
  <c r="P129" i="12"/>
  <c r="L129" i="12"/>
  <c r="M76" i="12"/>
  <c r="Q76" i="12"/>
  <c r="P131" i="12"/>
  <c r="L131" i="12"/>
  <c r="M71" i="12"/>
  <c r="Q71" i="12"/>
  <c r="L49" i="12"/>
  <c r="P49" i="12"/>
  <c r="S76" i="12"/>
  <c r="R76" i="12"/>
  <c r="N76" i="12"/>
  <c r="R144" i="12"/>
  <c r="N144" i="12"/>
  <c r="S144" i="12"/>
  <c r="G17" i="7"/>
  <c r="I17" i="7"/>
  <c r="B17" i="7"/>
  <c r="M17" i="7"/>
  <c r="F17" i="7"/>
  <c r="E17" i="7"/>
  <c r="J17" i="7"/>
  <c r="N17" i="7"/>
  <c r="D17" i="7"/>
  <c r="H17" i="7"/>
  <c r="L17" i="7"/>
  <c r="K17" i="12" s="1"/>
  <c r="K17" i="7"/>
  <c r="C17" i="7"/>
  <c r="O17" i="7"/>
  <c r="C122" i="7"/>
  <c r="L48" i="12"/>
  <c r="J134" i="12"/>
  <c r="Q14" i="12"/>
  <c r="M14" i="12"/>
  <c r="O22" i="12"/>
  <c r="O20" i="12"/>
  <c r="N166" i="12"/>
  <c r="R166" i="12"/>
  <c r="G153" i="7"/>
  <c r="L34" i="7"/>
  <c r="K34" i="12" s="1"/>
  <c r="N34" i="7"/>
  <c r="I34" i="7"/>
  <c r="I34" i="12" s="1"/>
  <c r="B34" i="7"/>
  <c r="D34" i="7"/>
  <c r="F34" i="7"/>
  <c r="M34" i="7"/>
  <c r="J34" i="7"/>
  <c r="H34" i="7"/>
  <c r="H34" i="12" s="1"/>
  <c r="E34" i="7"/>
  <c r="C34" i="7"/>
  <c r="O34" i="7"/>
  <c r="R48" i="12"/>
  <c r="S48" i="12"/>
  <c r="S94" i="12"/>
  <c r="R94" i="12"/>
  <c r="N94" i="12"/>
  <c r="P108" i="12"/>
  <c r="L108" i="12"/>
  <c r="S32" i="12"/>
  <c r="R32" i="12"/>
  <c r="D122" i="7"/>
  <c r="N30" i="12"/>
  <c r="R30" i="12"/>
  <c r="S30" i="12"/>
  <c r="N38" i="12"/>
  <c r="R38" i="12"/>
  <c r="S38" i="12"/>
  <c r="Q159" i="12"/>
  <c r="M159" i="12"/>
  <c r="L133" i="12"/>
  <c r="P133" i="12"/>
  <c r="C48" i="7"/>
  <c r="N48" i="7"/>
  <c r="M48" i="7"/>
  <c r="D48" i="7"/>
  <c r="H48" i="7"/>
  <c r="H48" i="12" s="1"/>
  <c r="G48" i="7"/>
  <c r="L48" i="7"/>
  <c r="E48" i="7"/>
  <c r="O48" i="7"/>
  <c r="I48" i="7"/>
  <c r="F48" i="7"/>
  <c r="L163" i="12"/>
  <c r="L164" i="12"/>
  <c r="P164" i="12"/>
  <c r="R129" i="12"/>
  <c r="S129" i="12"/>
  <c r="N192" i="2"/>
  <c r="O192" i="2" s="1"/>
  <c r="L103" i="12"/>
  <c r="P103" i="12"/>
  <c r="E174" i="7"/>
  <c r="I174" i="7"/>
  <c r="I174" i="12" s="1"/>
  <c r="K174" i="7"/>
  <c r="J174" i="12" s="1"/>
  <c r="M174" i="7"/>
  <c r="O174" i="7"/>
  <c r="D174" i="7"/>
  <c r="L12" i="12"/>
  <c r="P12" i="12"/>
  <c r="E69" i="5"/>
  <c r="F69" i="5" s="1"/>
  <c r="G69" i="5" s="1"/>
  <c r="L27" i="12"/>
  <c r="P27" i="12"/>
  <c r="S42" i="12"/>
  <c r="R42" i="12"/>
  <c r="M81" i="12"/>
  <c r="Q81" i="12"/>
  <c r="Q92" i="12"/>
  <c r="M92" i="12"/>
  <c r="Q142" i="12"/>
  <c r="M142" i="12"/>
  <c r="E36" i="7"/>
  <c r="J48" i="2"/>
  <c r="K48" i="2" s="1"/>
  <c r="P89" i="5"/>
  <c r="G36" i="14"/>
  <c r="G116" i="14"/>
  <c r="G106" i="14"/>
  <c r="H64" i="12"/>
  <c r="I77" i="12"/>
  <c r="J79" i="12"/>
  <c r="K89" i="12"/>
  <c r="K93" i="12"/>
  <c r="L11" i="12"/>
  <c r="Q151" i="12"/>
  <c r="H50" i="7"/>
  <c r="I62" i="12"/>
  <c r="N99" i="7"/>
  <c r="E106" i="7"/>
  <c r="J45" i="5"/>
  <c r="H95" i="12"/>
  <c r="H89" i="12"/>
  <c r="B73" i="7"/>
  <c r="L99" i="7"/>
  <c r="K99" i="12" s="1"/>
  <c r="H106" i="7"/>
  <c r="H106" i="12" s="1"/>
  <c r="J146" i="7"/>
  <c r="L176" i="7"/>
  <c r="K176" i="12" s="1"/>
  <c r="K166" i="12"/>
  <c r="J161" i="5"/>
  <c r="H90" i="3"/>
  <c r="H91" i="3"/>
  <c r="H19" i="3"/>
  <c r="H160" i="3"/>
  <c r="J21" i="2"/>
  <c r="K21" i="2" s="1"/>
  <c r="J33" i="2"/>
  <c r="K33" i="2" s="1"/>
  <c r="G8" i="7"/>
  <c r="G61" i="7"/>
  <c r="L73" i="7"/>
  <c r="K73" i="12" s="1"/>
  <c r="L50" i="7"/>
  <c r="K50" i="12" s="1"/>
  <c r="G84" i="7"/>
  <c r="J80" i="7"/>
  <c r="G99" i="7"/>
  <c r="N163" i="2"/>
  <c r="O163" i="2" s="1"/>
  <c r="J68" i="7"/>
  <c r="H73" i="7"/>
  <c r="H73" i="12" s="1"/>
  <c r="N169" i="7"/>
  <c r="L129" i="7"/>
  <c r="G137" i="14"/>
  <c r="F84" i="7"/>
  <c r="D169" i="7"/>
  <c r="C129" i="7"/>
  <c r="H84" i="7"/>
  <c r="H84" i="12" s="1"/>
  <c r="H160" i="12"/>
  <c r="K31" i="3"/>
  <c r="K150" i="3"/>
  <c r="H81" i="12"/>
  <c r="H92" i="12"/>
  <c r="H90" i="12"/>
  <c r="H94" i="12"/>
  <c r="M116" i="12"/>
  <c r="Q57" i="12"/>
  <c r="S149" i="12"/>
  <c r="K50" i="7"/>
  <c r="J50" i="12" s="1"/>
  <c r="N61" i="7"/>
  <c r="K146" i="7"/>
  <c r="N129" i="7"/>
  <c r="M8" i="5"/>
  <c r="J18" i="5"/>
  <c r="J29" i="5"/>
  <c r="K77" i="12"/>
  <c r="J81" i="12"/>
  <c r="J93" i="12"/>
  <c r="H106" i="3"/>
  <c r="H125" i="3"/>
  <c r="H144" i="3"/>
  <c r="J79" i="2"/>
  <c r="K79" i="2" s="1"/>
  <c r="F165" i="2"/>
  <c r="N54" i="2"/>
  <c r="O54" i="2" s="1"/>
  <c r="J37" i="2"/>
  <c r="K37" i="2" s="1"/>
  <c r="J85" i="2"/>
  <c r="K85" i="2" s="1"/>
  <c r="E84" i="7"/>
  <c r="H80" i="7"/>
  <c r="L167" i="7"/>
  <c r="O129" i="7"/>
  <c r="G25" i="14"/>
  <c r="L84" i="7"/>
  <c r="K84" i="12" s="1"/>
  <c r="M84" i="7"/>
  <c r="M169" i="7"/>
  <c r="F80" i="7"/>
  <c r="E169" i="7"/>
  <c r="K85" i="3"/>
  <c r="D84" i="7"/>
  <c r="P9" i="5"/>
  <c r="R108" i="12"/>
  <c r="M154" i="12"/>
  <c r="O106" i="12"/>
  <c r="L143" i="12"/>
  <c r="G50" i="7"/>
  <c r="J61" i="7"/>
  <c r="J82" i="12"/>
  <c r="G146" i="7"/>
  <c r="J129" i="7"/>
  <c r="F176" i="7"/>
  <c r="J9" i="5"/>
  <c r="K79" i="12"/>
  <c r="J77" i="12"/>
  <c r="M76" i="5"/>
  <c r="J118" i="5"/>
  <c r="K45" i="3"/>
  <c r="H138" i="3"/>
  <c r="H154" i="3"/>
  <c r="G93" i="2"/>
  <c r="J84" i="7"/>
  <c r="D80" i="7"/>
  <c r="O99" i="7"/>
  <c r="N132" i="2"/>
  <c r="O132" i="2" s="1"/>
  <c r="E32" i="3"/>
  <c r="H169" i="7"/>
  <c r="H169" i="12" s="1"/>
  <c r="B84" i="7"/>
  <c r="M99" i="7"/>
  <c r="I61" i="7"/>
  <c r="I61" i="12" s="1"/>
  <c r="L61" i="7"/>
  <c r="K61" i="12" s="1"/>
  <c r="L169" i="7"/>
  <c r="M73" i="7"/>
  <c r="P94" i="5"/>
  <c r="K88" i="12"/>
  <c r="N8" i="12"/>
  <c r="R14" i="12"/>
  <c r="M59" i="12"/>
  <c r="H96" i="12"/>
  <c r="C50" i="7"/>
  <c r="F61" i="7"/>
  <c r="C146" i="7"/>
  <c r="K91" i="12"/>
  <c r="F129" i="7"/>
  <c r="H146" i="7"/>
  <c r="J176" i="7"/>
  <c r="J30" i="5"/>
  <c r="H79" i="12"/>
  <c r="H72" i="12"/>
  <c r="E61" i="7"/>
  <c r="E51" i="3"/>
  <c r="E69" i="3"/>
  <c r="K138" i="3"/>
  <c r="K186" i="3"/>
  <c r="J27" i="2"/>
  <c r="K27" i="2" s="1"/>
  <c r="J169" i="2"/>
  <c r="K169" i="2" s="1"/>
  <c r="N138" i="2"/>
  <c r="O138" i="2" s="1"/>
  <c r="N50" i="7"/>
  <c r="N80" i="7"/>
  <c r="F99" i="7"/>
  <c r="H123" i="3"/>
  <c r="P135" i="5"/>
  <c r="N167" i="7"/>
  <c r="B169" i="7"/>
  <c r="N16" i="2"/>
  <c r="O16" i="2" s="1"/>
  <c r="N8" i="7"/>
  <c r="F146" i="7"/>
  <c r="E99" i="7"/>
  <c r="G52" i="14"/>
  <c r="K73" i="7"/>
  <c r="J73" i="12" s="1"/>
  <c r="N129" i="2"/>
  <c r="O129" i="2" s="1"/>
  <c r="P21" i="5"/>
  <c r="N14" i="12"/>
  <c r="I79" i="12"/>
  <c r="B61" i="7"/>
  <c r="I95" i="12"/>
  <c r="D106" i="7"/>
  <c r="K64" i="12"/>
  <c r="H91" i="12"/>
  <c r="B129" i="7"/>
  <c r="M146" i="7"/>
  <c r="N176" i="7"/>
  <c r="J40" i="5"/>
  <c r="H63" i="12"/>
  <c r="O106" i="7"/>
  <c r="K94" i="12"/>
  <c r="I97" i="12"/>
  <c r="K61" i="7"/>
  <c r="J61" i="12" s="1"/>
  <c r="J102" i="5"/>
  <c r="F25" i="2"/>
  <c r="F105" i="2"/>
  <c r="J138" i="2"/>
  <c r="K138" i="2" s="1"/>
  <c r="D50" i="7"/>
  <c r="I80" i="7"/>
  <c r="I80" i="12" s="1"/>
  <c r="H129" i="7"/>
  <c r="H129" i="12" s="1"/>
  <c r="K99" i="7"/>
  <c r="G44" i="2"/>
  <c r="H68" i="7"/>
  <c r="H68" i="12" s="1"/>
  <c r="I167" i="7"/>
  <c r="I166" i="12" s="1"/>
  <c r="C169" i="7"/>
  <c r="N108" i="2"/>
  <c r="O108" i="2" s="1"/>
  <c r="F8" i="7"/>
  <c r="B146" i="7"/>
  <c r="I176" i="7"/>
  <c r="I175" i="12" s="1"/>
  <c r="N84" i="7"/>
  <c r="K173" i="3"/>
  <c r="G100" i="14"/>
  <c r="G132" i="14"/>
  <c r="K63" i="12"/>
  <c r="J62" i="12"/>
  <c r="J67" i="12"/>
  <c r="J94" i="12"/>
  <c r="H77" i="12"/>
  <c r="H60" i="12"/>
  <c r="K175" i="12"/>
  <c r="M89" i="5"/>
  <c r="L181" i="12"/>
  <c r="K87" i="12"/>
  <c r="I106" i="7"/>
  <c r="I106" i="12" s="1"/>
  <c r="H151" i="12"/>
  <c r="H59" i="12"/>
  <c r="J91" i="12"/>
  <c r="G169" i="7"/>
  <c r="K106" i="7"/>
  <c r="J106" i="12" s="1"/>
  <c r="I91" i="12"/>
  <c r="I93" i="12"/>
  <c r="H142" i="3"/>
  <c r="H158" i="3"/>
  <c r="H174" i="3"/>
  <c r="H46" i="3"/>
  <c r="J69" i="2"/>
  <c r="K69" i="2" s="1"/>
  <c r="J117" i="2"/>
  <c r="K117" i="2" s="1"/>
  <c r="P102" i="5"/>
  <c r="I50" i="7"/>
  <c r="I50" i="12" s="1"/>
  <c r="C80" i="7"/>
  <c r="M129" i="7"/>
  <c r="C176" i="7"/>
  <c r="P75" i="5"/>
  <c r="L68" i="7"/>
  <c r="K68" i="12" s="1"/>
  <c r="J167" i="7"/>
  <c r="C167" i="7"/>
  <c r="O167" i="7"/>
  <c r="K163" i="3"/>
  <c r="M68" i="7"/>
  <c r="L8" i="7"/>
  <c r="K8" i="12" s="1"/>
  <c r="G7" i="14"/>
  <c r="N146" i="7"/>
  <c r="H176" i="12"/>
  <c r="Q36" i="12"/>
  <c r="I63" i="12"/>
  <c r="H87" i="12"/>
  <c r="N106" i="7"/>
  <c r="D73" i="7"/>
  <c r="H93" i="12"/>
  <c r="K169" i="7"/>
  <c r="J169" i="12" s="1"/>
  <c r="J42" i="5"/>
  <c r="G106" i="7"/>
  <c r="I165" i="12"/>
  <c r="I87" i="12"/>
  <c r="K81" i="12"/>
  <c r="K82" i="3"/>
  <c r="E103" i="3"/>
  <c r="K67" i="3"/>
  <c r="G25" i="2"/>
  <c r="G105" i="2"/>
  <c r="J184" i="2"/>
  <c r="K184" i="2" s="1"/>
  <c r="F93" i="2"/>
  <c r="P138" i="5"/>
  <c r="P88" i="5"/>
  <c r="B50" i="7"/>
  <c r="M80" i="7"/>
  <c r="F106" i="7"/>
  <c r="I146" i="7"/>
  <c r="K176" i="7"/>
  <c r="J176" i="12" s="1"/>
  <c r="E176" i="7"/>
  <c r="E8" i="3"/>
  <c r="C68" i="7"/>
  <c r="M167" i="7"/>
  <c r="I68" i="7"/>
  <c r="I68" i="12" s="1"/>
  <c r="G176" i="7"/>
  <c r="E8" i="7"/>
  <c r="J8" i="5"/>
  <c r="P33" i="5"/>
  <c r="P73" i="12"/>
  <c r="G58" i="14"/>
  <c r="G146" i="14"/>
  <c r="K80" i="12"/>
  <c r="M104" i="12"/>
  <c r="K96" i="12"/>
  <c r="O81" i="12"/>
  <c r="H61" i="7"/>
  <c r="H61" i="12" s="1"/>
  <c r="I73" i="7"/>
  <c r="I73" i="12" s="1"/>
  <c r="O169" i="7"/>
  <c r="J33" i="5"/>
  <c r="C106" i="7"/>
  <c r="J64" i="12"/>
  <c r="N73" i="7"/>
  <c r="J78" i="5"/>
  <c r="K29" i="3"/>
  <c r="E58" i="3"/>
  <c r="H11" i="3"/>
  <c r="H176" i="3"/>
  <c r="N137" i="2"/>
  <c r="O137" i="2" s="1"/>
  <c r="N165" i="2"/>
  <c r="O165" i="2" s="1"/>
  <c r="J107" i="2"/>
  <c r="K107" i="2" s="1"/>
  <c r="J186" i="2"/>
  <c r="K186" i="2" s="1"/>
  <c r="G89" i="14"/>
  <c r="P106" i="5"/>
  <c r="G80" i="7"/>
  <c r="L106" i="7"/>
  <c r="K106" i="12" s="1"/>
  <c r="M176" i="7"/>
  <c r="K151" i="3"/>
  <c r="B8" i="7"/>
  <c r="G68" i="7"/>
  <c r="G167" i="7"/>
  <c r="N147" i="2"/>
  <c r="O147" i="2" s="1"/>
  <c r="J76" i="2"/>
  <c r="K76" i="2" s="1"/>
  <c r="E68" i="7"/>
  <c r="J8" i="7"/>
  <c r="I84" i="7"/>
  <c r="I84" i="12" s="1"/>
  <c r="K92" i="12"/>
  <c r="J88" i="12"/>
  <c r="J92" i="12"/>
  <c r="R79" i="12"/>
  <c r="H88" i="12"/>
  <c r="K100" i="12"/>
  <c r="M61" i="7"/>
  <c r="I67" i="12"/>
  <c r="O73" i="7"/>
  <c r="D126" i="7"/>
  <c r="J43" i="5"/>
  <c r="I92" i="12"/>
  <c r="H70" i="12"/>
  <c r="J73" i="7"/>
  <c r="D176" i="7"/>
  <c r="J126" i="5"/>
  <c r="E11" i="5"/>
  <c r="F11" i="5" s="1"/>
  <c r="G11" i="5" s="1"/>
  <c r="K94" i="3"/>
  <c r="G21" i="14"/>
  <c r="P146" i="5"/>
  <c r="B80" i="7"/>
  <c r="F163" i="2"/>
  <c r="G57" i="14"/>
  <c r="H8" i="7"/>
  <c r="H8" i="12" s="1"/>
  <c r="B68" i="7"/>
  <c r="M126" i="7"/>
  <c r="D17" i="28" s="1"/>
  <c r="K68" i="7"/>
  <c r="J68" i="12" s="1"/>
  <c r="B167" i="7"/>
  <c r="D8" i="7"/>
  <c r="K167" i="7"/>
  <c r="G103" i="14"/>
  <c r="H147" i="3"/>
  <c r="N24" i="2"/>
  <c r="O24" i="2" s="1"/>
  <c r="F72" i="5"/>
  <c r="G72" i="5" s="1"/>
  <c r="J191" i="2"/>
  <c r="K191" i="2" s="1"/>
  <c r="F84" i="2"/>
  <c r="F60" i="2"/>
  <c r="G29" i="14"/>
  <c r="G148" i="14"/>
  <c r="K88" i="3"/>
  <c r="C232" i="2"/>
  <c r="F142" i="5"/>
  <c r="G142" i="5" s="1"/>
  <c r="F154" i="5"/>
  <c r="G154" i="5" s="1"/>
  <c r="I126" i="12"/>
  <c r="E65" i="5"/>
  <c r="F65" i="5" s="1"/>
  <c r="G65" i="5" s="1"/>
  <c r="N26" i="12"/>
  <c r="H81" i="3"/>
  <c r="H164" i="3"/>
  <c r="K44" i="3"/>
  <c r="G27" i="14"/>
  <c r="L187" i="12"/>
  <c r="L171" i="12"/>
  <c r="L159" i="12"/>
  <c r="L162" i="5"/>
  <c r="M162" i="5" s="1"/>
  <c r="N186" i="12"/>
  <c r="M156" i="5"/>
  <c r="N161" i="12"/>
  <c r="O169" i="12"/>
  <c r="E104" i="3"/>
  <c r="O161" i="12"/>
  <c r="K36" i="3"/>
  <c r="G173" i="2"/>
  <c r="P163" i="12"/>
  <c r="P167" i="12"/>
  <c r="P171" i="12"/>
  <c r="S166" i="12"/>
  <c r="E163" i="5"/>
  <c r="F163" i="5" s="1"/>
  <c r="G163" i="5" s="1"/>
  <c r="O159" i="12"/>
  <c r="N112" i="2"/>
  <c r="O112" i="2" s="1"/>
  <c r="L173" i="12"/>
  <c r="Q165" i="12"/>
  <c r="B232" i="2"/>
  <c r="L179" i="12"/>
  <c r="S170" i="12"/>
  <c r="L161" i="5"/>
  <c r="M161" i="5" s="1"/>
  <c r="J112" i="12"/>
  <c r="P95" i="5"/>
  <c r="F166" i="5"/>
  <c r="G166" i="5" s="1"/>
  <c r="E102" i="5"/>
  <c r="F102" i="5" s="1"/>
  <c r="G102" i="5" s="1"/>
  <c r="M152" i="5"/>
  <c r="M72" i="5"/>
  <c r="J120" i="5"/>
  <c r="E118" i="5"/>
  <c r="F137" i="5"/>
  <c r="G137" i="5" s="1"/>
  <c r="H18" i="3"/>
  <c r="P63" i="5"/>
  <c r="E171" i="3"/>
  <c r="J132" i="5"/>
  <c r="J144" i="5"/>
  <c r="H183" i="3"/>
  <c r="K117" i="3"/>
  <c r="G15" i="14"/>
  <c r="J35" i="5"/>
  <c r="K179" i="3"/>
  <c r="G90" i="14"/>
  <c r="P27" i="5"/>
  <c r="K131" i="3"/>
  <c r="E119" i="3"/>
  <c r="J90" i="5"/>
  <c r="H111" i="3"/>
  <c r="K37" i="3"/>
  <c r="E70" i="3"/>
  <c r="H93" i="3"/>
  <c r="E88" i="3"/>
  <c r="E98" i="5"/>
  <c r="F98" i="5" s="1"/>
  <c r="G98" i="5" s="1"/>
  <c r="M12" i="5"/>
  <c r="K16" i="3"/>
  <c r="H139" i="3"/>
  <c r="F71" i="5"/>
  <c r="G71" i="5" s="1"/>
  <c r="K52" i="3"/>
  <c r="K159" i="3"/>
  <c r="H20" i="12"/>
  <c r="H18" i="12"/>
  <c r="N46" i="12"/>
  <c r="I51" i="12"/>
  <c r="J84" i="12"/>
  <c r="N114" i="12"/>
  <c r="S120" i="12"/>
  <c r="Q96" i="12"/>
  <c r="Q147" i="12"/>
  <c r="L75" i="7"/>
  <c r="K75" i="12" s="1"/>
  <c r="M31" i="5"/>
  <c r="N85" i="7"/>
  <c r="K74" i="12"/>
  <c r="M85" i="7"/>
  <c r="F165" i="5"/>
  <c r="G165" i="5" s="1"/>
  <c r="E181" i="3"/>
  <c r="J76" i="7"/>
  <c r="J120" i="7"/>
  <c r="H120" i="7"/>
  <c r="H120" i="12" s="1"/>
  <c r="G60" i="2"/>
  <c r="M108" i="7"/>
  <c r="C76" i="7"/>
  <c r="N139" i="7"/>
  <c r="J14" i="12"/>
  <c r="H122" i="12"/>
  <c r="H75" i="7"/>
  <c r="J85" i="7"/>
  <c r="F85" i="5"/>
  <c r="G85" i="5" s="1"/>
  <c r="M166" i="5"/>
  <c r="H117" i="3"/>
  <c r="N93" i="2"/>
  <c r="O93" i="2" s="1"/>
  <c r="O76" i="7"/>
  <c r="F120" i="7"/>
  <c r="M120" i="7"/>
  <c r="K76" i="7"/>
  <c r="J76" i="12" s="1"/>
  <c r="J12" i="12"/>
  <c r="J46" i="12"/>
  <c r="K27" i="12"/>
  <c r="R10" i="12"/>
  <c r="L84" i="12"/>
  <c r="L155" i="12"/>
  <c r="D75" i="7"/>
  <c r="F85" i="7"/>
  <c r="J112" i="5"/>
  <c r="E55" i="3"/>
  <c r="E126" i="3"/>
  <c r="D232" i="2"/>
  <c r="B120" i="7"/>
  <c r="N75" i="7"/>
  <c r="C128" i="7"/>
  <c r="K15" i="12"/>
  <c r="K20" i="12"/>
  <c r="N10" i="12"/>
  <c r="P84" i="12"/>
  <c r="P106" i="12"/>
  <c r="M152" i="12"/>
  <c r="M87" i="12"/>
  <c r="M117" i="12"/>
  <c r="N60" i="12"/>
  <c r="D85" i="7"/>
  <c r="B85" i="7"/>
  <c r="J124" i="5"/>
  <c r="J129" i="5"/>
  <c r="F90" i="2"/>
  <c r="D120" i="7"/>
  <c r="K108" i="3"/>
  <c r="J20" i="2"/>
  <c r="K20" i="2" s="1"/>
  <c r="L156" i="7"/>
  <c r="K156" i="12" s="1"/>
  <c r="M156" i="7"/>
  <c r="J20" i="12"/>
  <c r="I48" i="12"/>
  <c r="P14" i="12"/>
  <c r="J26" i="12"/>
  <c r="P99" i="12"/>
  <c r="I85" i="7"/>
  <c r="I85" i="12" s="1"/>
  <c r="H86" i="3"/>
  <c r="B2" i="28"/>
  <c r="J35" i="2"/>
  <c r="K35" i="2" s="1"/>
  <c r="N108" i="7"/>
  <c r="I120" i="7"/>
  <c r="L85" i="7"/>
  <c r="K85" i="12" s="1"/>
  <c r="H50" i="12"/>
  <c r="H16" i="12"/>
  <c r="J8" i="12"/>
  <c r="J86" i="12"/>
  <c r="H51" i="12"/>
  <c r="P140" i="12"/>
  <c r="M85" i="5"/>
  <c r="R107" i="12"/>
  <c r="S161" i="12"/>
  <c r="N63" i="12"/>
  <c r="O85" i="7"/>
  <c r="K86" i="12"/>
  <c r="H85" i="3"/>
  <c r="H70" i="3"/>
  <c r="N53" i="2"/>
  <c r="O53" i="2" s="1"/>
  <c r="P82" i="5"/>
  <c r="I108" i="7"/>
  <c r="I108" i="12" s="1"/>
  <c r="O120" i="7"/>
  <c r="E179" i="3"/>
  <c r="I156" i="7"/>
  <c r="I156" i="12" s="1"/>
  <c r="L120" i="7"/>
  <c r="K120" i="12" s="1"/>
  <c r="K31" i="12"/>
  <c r="H14" i="12"/>
  <c r="J22" i="12"/>
  <c r="H86" i="12"/>
  <c r="R120" i="12"/>
  <c r="H118" i="12"/>
  <c r="R31" i="12"/>
  <c r="R63" i="12"/>
  <c r="Q72" i="12"/>
  <c r="R161" i="12"/>
  <c r="J136" i="5"/>
  <c r="H62" i="3"/>
  <c r="J53" i="2"/>
  <c r="K53" i="2" s="1"/>
  <c r="C108" i="7"/>
  <c r="B156" i="7"/>
  <c r="G120" i="7"/>
  <c r="K19" i="12"/>
  <c r="H24" i="12"/>
  <c r="H26" i="12"/>
  <c r="N129" i="12"/>
  <c r="E26" i="3"/>
  <c r="N22" i="2"/>
  <c r="O22" i="2" s="1"/>
  <c r="G37" i="2"/>
  <c r="L76" i="7"/>
  <c r="K76" i="12" s="1"/>
  <c r="L108" i="7"/>
  <c r="K108" i="12" s="1"/>
  <c r="J108" i="7"/>
  <c r="E108" i="7"/>
  <c r="E120" i="7"/>
  <c r="G71" i="14"/>
  <c r="K75" i="7"/>
  <c r="J75" i="12" s="1"/>
  <c r="I75" i="7"/>
  <c r="I75" i="12" s="1"/>
  <c r="C120" i="7"/>
  <c r="K7" i="12"/>
  <c r="K12" i="12"/>
  <c r="J54" i="12"/>
  <c r="O76" i="12"/>
  <c r="J120" i="12"/>
  <c r="J118" i="12"/>
  <c r="M43" i="5"/>
  <c r="E85" i="7"/>
  <c r="F142" i="2"/>
  <c r="O75" i="7"/>
  <c r="H76" i="7"/>
  <c r="H76" i="12" s="1"/>
  <c r="H108" i="7"/>
  <c r="F156" i="7"/>
  <c r="K108" i="7"/>
  <c r="C156" i="7"/>
  <c r="B76" i="7"/>
  <c r="G108" i="7"/>
  <c r="G75" i="7"/>
  <c r="O108" i="7"/>
  <c r="K51" i="12"/>
  <c r="R60" i="12"/>
  <c r="S52" i="12"/>
  <c r="K85" i="7"/>
  <c r="J85" i="12" s="1"/>
  <c r="J49" i="5"/>
  <c r="F99" i="5"/>
  <c r="G99" i="5" s="1"/>
  <c r="K154" i="3"/>
  <c r="G90" i="2"/>
  <c r="P142" i="5"/>
  <c r="J75" i="7"/>
  <c r="D76" i="7"/>
  <c r="D108" i="7"/>
  <c r="J156" i="7"/>
  <c r="G156" i="7"/>
  <c r="H80" i="3"/>
  <c r="K188" i="3"/>
  <c r="F108" i="7"/>
  <c r="H156" i="7"/>
  <c r="H156" i="12" s="1"/>
  <c r="H32" i="3"/>
  <c r="B75" i="7"/>
  <c r="K23" i="12"/>
  <c r="E152" i="5"/>
  <c r="F152" i="5" s="1"/>
  <c r="G152" i="5" s="1"/>
  <c r="F114" i="2"/>
  <c r="E75" i="7"/>
  <c r="N156" i="7"/>
  <c r="K156" i="7"/>
  <c r="J156" i="12" s="1"/>
  <c r="F75" i="7"/>
  <c r="P18" i="5"/>
  <c r="D156" i="7"/>
  <c r="F38" i="2"/>
  <c r="J159" i="2"/>
  <c r="K159" i="2" s="1"/>
  <c r="G34" i="14"/>
  <c r="G38" i="2"/>
  <c r="H155" i="3"/>
  <c r="P38" i="5"/>
  <c r="G115" i="14"/>
  <c r="G11" i="14"/>
  <c r="G161" i="14"/>
  <c r="Q8" i="12"/>
  <c r="M9" i="12"/>
  <c r="L18" i="12"/>
  <c r="L81" i="5"/>
  <c r="M81" i="5" s="1"/>
  <c r="L86" i="5"/>
  <c r="L101" i="5"/>
  <c r="M101" i="5" s="1"/>
  <c r="L107" i="5"/>
  <c r="M107" i="5" s="1"/>
  <c r="L105" i="5"/>
  <c r="M105" i="5" s="1"/>
  <c r="L111" i="5"/>
  <c r="M111" i="5" s="1"/>
  <c r="L65" i="5"/>
  <c r="M65" i="5" s="1"/>
  <c r="L70" i="5"/>
  <c r="M70" i="5" s="1"/>
  <c r="N15" i="12"/>
  <c r="N17" i="12"/>
  <c r="O42" i="12"/>
  <c r="O45" i="12"/>
  <c r="Q45" i="12"/>
  <c r="M48" i="12"/>
  <c r="L82" i="5"/>
  <c r="M82" i="5" s="1"/>
  <c r="L87" i="5"/>
  <c r="M87" i="5" s="1"/>
  <c r="L98" i="5"/>
  <c r="M98" i="5" s="1"/>
  <c r="L104" i="5"/>
  <c r="M104" i="5" s="1"/>
  <c r="N117" i="12"/>
  <c r="N123" i="12"/>
  <c r="L156" i="12"/>
  <c r="L159" i="5"/>
  <c r="M159" i="5" s="1"/>
  <c r="D233" i="2"/>
  <c r="O164" i="12"/>
  <c r="N171" i="12"/>
  <c r="L176" i="12"/>
  <c r="L185" i="12"/>
  <c r="B231" i="2"/>
  <c r="P142" i="12"/>
  <c r="L149" i="12"/>
  <c r="O24" i="12"/>
  <c r="O26" i="12"/>
  <c r="L11" i="5"/>
  <c r="L13" i="5"/>
  <c r="M13" i="5" s="1"/>
  <c r="L18" i="5"/>
  <c r="M18" i="5" s="1"/>
  <c r="L20" i="5"/>
  <c r="M20" i="5" s="1"/>
  <c r="N41" i="12"/>
  <c r="N44" i="12"/>
  <c r="N97" i="12"/>
  <c r="N103" i="12"/>
  <c r="P15" i="12"/>
  <c r="L17" i="12"/>
  <c r="L50" i="12"/>
  <c r="P61" i="12"/>
  <c r="L66" i="12"/>
  <c r="L80" i="12"/>
  <c r="L85" i="12"/>
  <c r="L130" i="5"/>
  <c r="M130" i="5" s="1"/>
  <c r="L136" i="5"/>
  <c r="M136" i="5" s="1"/>
  <c r="S132" i="12"/>
  <c r="N138" i="12"/>
  <c r="L133" i="5"/>
  <c r="M133" i="5" s="1"/>
  <c r="L139" i="5"/>
  <c r="M139" i="5" s="1"/>
  <c r="B11" i="28"/>
  <c r="L145" i="12"/>
  <c r="Q141" i="12"/>
  <c r="M148" i="12"/>
  <c r="C233" i="2"/>
  <c r="P78" i="12"/>
  <c r="L83" i="12"/>
  <c r="L121" i="5"/>
  <c r="M121" i="5" s="1"/>
  <c r="L127" i="5"/>
  <c r="M127" i="5" s="1"/>
  <c r="Q10" i="12"/>
  <c r="M11" i="12"/>
  <c r="M19" i="12"/>
  <c r="M21" i="12"/>
  <c r="L26" i="12"/>
  <c r="Q44" i="12"/>
  <c r="M47" i="12"/>
  <c r="Q49" i="12"/>
  <c r="M53" i="12"/>
  <c r="P62" i="12"/>
  <c r="L67" i="12"/>
  <c r="L73" i="5"/>
  <c r="M73" i="5" s="1"/>
  <c r="L78" i="5"/>
  <c r="M78" i="5" s="1"/>
  <c r="L93" i="5"/>
  <c r="M93" i="5" s="1"/>
  <c r="L99" i="5"/>
  <c r="R101" i="12"/>
  <c r="N107" i="12"/>
  <c r="N105" i="12"/>
  <c r="N111" i="12"/>
  <c r="N109" i="12"/>
  <c r="N115" i="12"/>
  <c r="L23" i="12"/>
  <c r="L25" i="12"/>
  <c r="L15" i="5"/>
  <c r="M15" i="5" s="1"/>
  <c r="L17" i="5"/>
  <c r="L53" i="12"/>
  <c r="L58" i="12"/>
  <c r="L58" i="5"/>
  <c r="M58" i="5" s="1"/>
  <c r="L63" i="5"/>
  <c r="M63" i="5" s="1"/>
  <c r="M64" i="12"/>
  <c r="M69" i="12"/>
  <c r="L74" i="5"/>
  <c r="M74" i="5" s="1"/>
  <c r="L90" i="5"/>
  <c r="M90" i="5" s="1"/>
  <c r="L96" i="5"/>
  <c r="M96" i="5" s="1"/>
  <c r="L114" i="5"/>
  <c r="M114" i="5" s="1"/>
  <c r="L120" i="5"/>
  <c r="M120" i="5" s="1"/>
  <c r="L117" i="5"/>
  <c r="M117" i="5" s="1"/>
  <c r="L123" i="5"/>
  <c r="M123" i="5" s="1"/>
  <c r="O160" i="12"/>
  <c r="L163" i="5"/>
  <c r="M163" i="5" s="1"/>
  <c r="I60" i="12"/>
  <c r="L28" i="5"/>
  <c r="M28" i="5" s="1"/>
  <c r="L30" i="5"/>
  <c r="M30" i="5" s="1"/>
  <c r="C231" i="2"/>
  <c r="L45" i="12"/>
  <c r="O86" i="12"/>
  <c r="O91" i="12"/>
  <c r="O102" i="12"/>
  <c r="O110" i="12"/>
  <c r="L137" i="5"/>
  <c r="M137" i="5" s="1"/>
  <c r="L144" i="5"/>
  <c r="L19" i="5"/>
  <c r="M19" i="5" s="1"/>
  <c r="L21" i="5"/>
  <c r="M21" i="5" s="1"/>
  <c r="N29" i="12"/>
  <c r="N31" i="12"/>
  <c r="L41" i="5"/>
  <c r="M41" i="5" s="1"/>
  <c r="L44" i="5"/>
  <c r="M44" i="5" s="1"/>
  <c r="L57" i="5"/>
  <c r="M57" i="5" s="1"/>
  <c r="L62" i="5"/>
  <c r="Q65" i="12"/>
  <c r="M70" i="12"/>
  <c r="N23" i="12"/>
  <c r="N25" i="12"/>
  <c r="O38" i="12"/>
  <c r="O41" i="12"/>
  <c r="M15" i="12"/>
  <c r="M17" i="12"/>
  <c r="L53" i="5"/>
  <c r="M53" i="5" s="1"/>
  <c r="L66" i="5"/>
  <c r="M66" i="5" s="1"/>
  <c r="L71" i="5"/>
  <c r="M71" i="5" s="1"/>
  <c r="P88" i="12"/>
  <c r="L93" i="12"/>
  <c r="L122" i="12"/>
  <c r="L128" i="12"/>
  <c r="L155" i="5"/>
  <c r="M155" i="5" s="1"/>
  <c r="E231" i="2"/>
  <c r="O34" i="12"/>
  <c r="O37" i="12"/>
  <c r="P86" i="12"/>
  <c r="L91" i="12"/>
  <c r="L102" i="12"/>
  <c r="N121" i="12"/>
  <c r="N127" i="12"/>
  <c r="Q32" i="12"/>
  <c r="M35" i="12"/>
  <c r="N70" i="12"/>
  <c r="N78" i="12"/>
  <c r="L100" i="12"/>
  <c r="L127" i="12"/>
  <c r="I58" i="12"/>
  <c r="O145" i="12"/>
  <c r="J90" i="12"/>
  <c r="J87" i="12"/>
  <c r="L131" i="5"/>
  <c r="M131" i="5" s="1"/>
  <c r="E45" i="5"/>
  <c r="F45" i="5" s="1"/>
  <c r="G45" i="5" s="1"/>
  <c r="K170" i="12"/>
  <c r="E91" i="5"/>
  <c r="F91" i="5" s="1"/>
  <c r="G91" i="5" s="1"/>
  <c r="J154" i="12"/>
  <c r="E24" i="5"/>
  <c r="F24" i="5" s="1"/>
  <c r="G24" i="5" s="1"/>
  <c r="L94" i="5"/>
  <c r="O185" i="12"/>
  <c r="J183" i="12"/>
  <c r="M28" i="12"/>
  <c r="O21" i="12"/>
  <c r="L59" i="5"/>
  <c r="M59" i="5" s="1"/>
  <c r="L79" i="5"/>
  <c r="M79" i="5" s="1"/>
  <c r="O89" i="12"/>
  <c r="L103" i="5"/>
  <c r="M103" i="5" s="1"/>
  <c r="L161" i="12"/>
  <c r="O149" i="12"/>
  <c r="L177" i="12"/>
  <c r="E16" i="5"/>
  <c r="F16" i="5" s="1"/>
  <c r="G16" i="5" s="1"/>
  <c r="E75" i="5"/>
  <c r="F75" i="5" s="1"/>
  <c r="G75" i="5" s="1"/>
  <c r="E122" i="5"/>
  <c r="F122" i="5" s="1"/>
  <c r="G122" i="5" s="1"/>
  <c r="E112" i="5"/>
  <c r="F112" i="5" s="1"/>
  <c r="G112" i="5" s="1"/>
  <c r="L36" i="5"/>
  <c r="M36" i="5" s="1"/>
  <c r="O119" i="12"/>
  <c r="O93" i="12"/>
  <c r="O18" i="12"/>
  <c r="O56" i="12"/>
  <c r="M119" i="12"/>
  <c r="I176" i="12"/>
  <c r="K127" i="3"/>
  <c r="I81" i="12"/>
  <c r="G116" i="2"/>
  <c r="K104" i="3"/>
  <c r="N173" i="2"/>
  <c r="O173" i="2" s="1"/>
  <c r="P31" i="5"/>
  <c r="P153" i="5"/>
  <c r="N128" i="2"/>
  <c r="O128" i="2" s="1"/>
  <c r="O114" i="12"/>
  <c r="N91" i="12"/>
  <c r="I74" i="12"/>
  <c r="I90" i="12"/>
  <c r="I83" i="12"/>
  <c r="J74" i="12"/>
  <c r="I96" i="12"/>
  <c r="I72" i="12"/>
  <c r="H74" i="12"/>
  <c r="H133" i="12"/>
  <c r="L119" i="5"/>
  <c r="M119" i="5" s="1"/>
  <c r="L148" i="5"/>
  <c r="M148" i="5" s="1"/>
  <c r="L153" i="5"/>
  <c r="M153" i="5" s="1"/>
  <c r="E78" i="5"/>
  <c r="F78" i="5" s="1"/>
  <c r="G78" i="5" s="1"/>
  <c r="E96" i="5"/>
  <c r="F96" i="5" s="1"/>
  <c r="G96" i="5" s="1"/>
  <c r="E131" i="5"/>
  <c r="F131" i="5" s="1"/>
  <c r="G131" i="5" s="1"/>
  <c r="E135" i="5"/>
  <c r="F135" i="5" s="1"/>
  <c r="G135" i="5" s="1"/>
  <c r="E28" i="5"/>
  <c r="F28" i="5" s="1"/>
  <c r="G28" i="5" s="1"/>
  <c r="E148" i="5"/>
  <c r="F148" i="5" s="1"/>
  <c r="G148" i="5" s="1"/>
  <c r="L43" i="12"/>
  <c r="O83" i="12"/>
  <c r="O79" i="12"/>
  <c r="O111" i="12"/>
  <c r="M132" i="12"/>
  <c r="N165" i="12"/>
  <c r="I88" i="12"/>
  <c r="K132" i="12"/>
  <c r="E16" i="3"/>
  <c r="K26" i="3"/>
  <c r="K74" i="3"/>
  <c r="E52" i="3"/>
  <c r="E126" i="5"/>
  <c r="F126" i="5" s="1"/>
  <c r="G126" i="5" s="1"/>
  <c r="E155" i="5"/>
  <c r="F155" i="5" s="1"/>
  <c r="G155" i="5" s="1"/>
  <c r="G114" i="2"/>
  <c r="H184" i="3"/>
  <c r="K106" i="3"/>
  <c r="P30" i="5"/>
  <c r="P14" i="5"/>
  <c r="P161" i="5"/>
  <c r="M41" i="12"/>
  <c r="E104" i="5"/>
  <c r="F104" i="5" s="1"/>
  <c r="G104" i="5" s="1"/>
  <c r="N72" i="12"/>
  <c r="N48" i="2"/>
  <c r="O48" i="2" s="1"/>
  <c r="B13" i="28"/>
  <c r="P166" i="5"/>
  <c r="L97" i="12"/>
  <c r="M181" i="12"/>
  <c r="P133" i="5"/>
  <c r="G140" i="2"/>
  <c r="G50" i="2"/>
  <c r="L48" i="5"/>
  <c r="M48" i="5" s="1"/>
  <c r="N131" i="12"/>
  <c r="O136" i="12"/>
  <c r="N83" i="12"/>
  <c r="O98" i="12"/>
  <c r="L158" i="5"/>
  <c r="M158" i="5" s="1"/>
  <c r="H82" i="12"/>
  <c r="I94" i="12"/>
  <c r="L35" i="5"/>
  <c r="M35" i="5" s="1"/>
  <c r="L154" i="5"/>
  <c r="M154" i="5" s="1"/>
  <c r="O170" i="12"/>
  <c r="J166" i="12"/>
  <c r="L112" i="5"/>
  <c r="M112" i="5" s="1"/>
  <c r="L135" i="5"/>
  <c r="M135" i="5" s="1"/>
  <c r="E27" i="5"/>
  <c r="F27" i="5" s="1"/>
  <c r="G27" i="5" s="1"/>
  <c r="E111" i="5"/>
  <c r="F111" i="5" s="1"/>
  <c r="G111" i="5" s="1"/>
  <c r="K159" i="12"/>
  <c r="L52" i="5"/>
  <c r="M52" i="5" s="1"/>
  <c r="C234" i="2"/>
  <c r="L24" i="5"/>
  <c r="M24" i="5" s="1"/>
  <c r="L115" i="5"/>
  <c r="M115" i="5" s="1"/>
  <c r="C7" i="28"/>
  <c r="G42" i="2"/>
  <c r="L25" i="5"/>
  <c r="M25" i="5" s="1"/>
  <c r="N139" i="12"/>
  <c r="L59" i="12"/>
  <c r="L149" i="5"/>
  <c r="M149" i="5" s="1"/>
  <c r="N173" i="12"/>
  <c r="J59" i="12"/>
  <c r="K8" i="3"/>
  <c r="B7" i="28"/>
  <c r="E146" i="5"/>
  <c r="F146" i="5" s="1"/>
  <c r="G146" i="5" s="1"/>
  <c r="P121" i="5"/>
  <c r="P40" i="5"/>
  <c r="L27" i="5"/>
  <c r="M27" i="5" s="1"/>
  <c r="O29" i="12"/>
  <c r="N181" i="12"/>
  <c r="L120" i="12"/>
  <c r="L51" i="5"/>
  <c r="O99" i="12"/>
  <c r="M183" i="12"/>
  <c r="I169" i="12"/>
  <c r="O100" i="12"/>
  <c r="L132" i="12"/>
  <c r="M63" i="12"/>
  <c r="O73" i="12"/>
  <c r="L40" i="5"/>
  <c r="M40" i="5" s="1"/>
  <c r="E94" i="5"/>
  <c r="F94" i="5" s="1"/>
  <c r="G94" i="5" s="1"/>
  <c r="E20" i="5"/>
  <c r="F20" i="5" s="1"/>
  <c r="G20" i="5" s="1"/>
  <c r="E36" i="5"/>
  <c r="F36" i="5" s="1"/>
  <c r="G36" i="5" s="1"/>
  <c r="E120" i="5"/>
  <c r="F120" i="5" s="1"/>
  <c r="G120" i="5" s="1"/>
  <c r="E161" i="5"/>
  <c r="F161" i="5" s="1"/>
  <c r="G161" i="5" s="1"/>
  <c r="M16" i="12"/>
  <c r="L14" i="5"/>
  <c r="M14" i="5" s="1"/>
  <c r="L75" i="12"/>
  <c r="H56" i="12"/>
  <c r="J72" i="12"/>
  <c r="J179" i="12"/>
  <c r="E130" i="5"/>
  <c r="F130" i="5" s="1"/>
  <c r="G130" i="5" s="1"/>
  <c r="E100" i="3"/>
  <c r="K84" i="3"/>
  <c r="F159" i="2"/>
  <c r="P17" i="5"/>
  <c r="P29" i="5"/>
  <c r="P41" i="5"/>
  <c r="M46" i="5"/>
  <c r="O14" i="12"/>
  <c r="M131" i="12"/>
  <c r="M67" i="12"/>
  <c r="L81" i="12"/>
  <c r="L112" i="12"/>
  <c r="L183" i="12"/>
  <c r="I76" i="12"/>
  <c r="E79" i="5"/>
  <c r="F79" i="5" s="1"/>
  <c r="G79" i="5" s="1"/>
  <c r="E83" i="5"/>
  <c r="F83" i="5" s="1"/>
  <c r="G83" i="5" s="1"/>
  <c r="E87" i="5"/>
  <c r="F87" i="5" s="1"/>
  <c r="G87" i="5" s="1"/>
  <c r="E63" i="5"/>
  <c r="F63" i="5" s="1"/>
  <c r="G63" i="5" s="1"/>
  <c r="K175" i="3"/>
  <c r="F152" i="2"/>
  <c r="P115" i="5"/>
  <c r="N99" i="12"/>
  <c r="C10" i="28"/>
  <c r="N13" i="12"/>
  <c r="L125" i="12"/>
  <c r="J72" i="2"/>
  <c r="K72" i="2" s="1"/>
  <c r="P16" i="5"/>
  <c r="P71" i="5"/>
  <c r="M109" i="12"/>
  <c r="O165" i="12"/>
  <c r="E127" i="5"/>
  <c r="F127" i="5" s="1"/>
  <c r="G127" i="5" s="1"/>
  <c r="P44" i="5"/>
  <c r="P157" i="5"/>
  <c r="L21" i="12"/>
  <c r="P21" i="12"/>
  <c r="K115" i="7"/>
  <c r="J115" i="12" s="1"/>
  <c r="L138" i="5"/>
  <c r="M138" i="5" s="1"/>
  <c r="C13" i="28"/>
  <c r="M101" i="12"/>
  <c r="Q101" i="12"/>
  <c r="C104" i="7"/>
  <c r="F104" i="7"/>
  <c r="I98" i="12"/>
  <c r="J104" i="7"/>
  <c r="L104" i="7"/>
  <c r="K104" i="12" s="1"/>
  <c r="N104" i="7"/>
  <c r="E104" i="7"/>
  <c r="D104" i="7"/>
  <c r="M104" i="7"/>
  <c r="I104" i="7"/>
  <c r="I104" i="12" s="1"/>
  <c r="G104" i="7"/>
  <c r="K104" i="7"/>
  <c r="J104" i="12" s="1"/>
  <c r="O104" i="7"/>
  <c r="I103" i="12"/>
  <c r="I107" i="12"/>
  <c r="K98" i="12"/>
  <c r="R159" i="12"/>
  <c r="S159" i="12"/>
  <c r="F141" i="5"/>
  <c r="G141" i="5" s="1"/>
  <c r="E129" i="3"/>
  <c r="G131" i="14"/>
  <c r="E37" i="5"/>
  <c r="F37" i="5" s="1"/>
  <c r="G37" i="5" s="1"/>
  <c r="H37" i="3"/>
  <c r="B142" i="7"/>
  <c r="N142" i="7"/>
  <c r="I142" i="7"/>
  <c r="I149" i="12" s="1"/>
  <c r="D142" i="7"/>
  <c r="L142" i="7"/>
  <c r="K142" i="12" s="1"/>
  <c r="M142" i="7"/>
  <c r="E142" i="7"/>
  <c r="F142" i="7"/>
  <c r="C142" i="7"/>
  <c r="H142" i="7"/>
  <c r="H142" i="12" s="1"/>
  <c r="G142" i="7"/>
  <c r="B128" i="7"/>
  <c r="M128" i="7"/>
  <c r="D128" i="7"/>
  <c r="I128" i="7"/>
  <c r="I128" i="12" s="1"/>
  <c r="N128" i="7"/>
  <c r="E128" i="7"/>
  <c r="J128" i="7"/>
  <c r="O128" i="7"/>
  <c r="F128" i="7"/>
  <c r="L128" i="7"/>
  <c r="K128" i="12" s="1"/>
  <c r="G128" i="7"/>
  <c r="K44" i="7"/>
  <c r="J44" i="12" s="1"/>
  <c r="O44" i="7"/>
  <c r="M44" i="7"/>
  <c r="G44" i="7"/>
  <c r="B44" i="7"/>
  <c r="F44" i="7"/>
  <c r="E44" i="7"/>
  <c r="J44" i="7"/>
  <c r="C44" i="7"/>
  <c r="N44" i="7"/>
  <c r="G70" i="14"/>
  <c r="P59" i="12"/>
  <c r="M84" i="12"/>
  <c r="L44" i="7"/>
  <c r="J38" i="12"/>
  <c r="N81" i="12"/>
  <c r="K105" i="12"/>
  <c r="N39" i="7"/>
  <c r="J142" i="5"/>
  <c r="H44" i="7"/>
  <c r="H44" i="12" s="1"/>
  <c r="P29" i="12"/>
  <c r="L29" i="12"/>
  <c r="M155" i="12"/>
  <c r="Q155" i="12"/>
  <c r="M110" i="12"/>
  <c r="Q110" i="12"/>
  <c r="H104" i="7"/>
  <c r="H104" i="12" s="1"/>
  <c r="R139" i="12"/>
  <c r="S139" i="12"/>
  <c r="Q99" i="12"/>
  <c r="M99" i="12"/>
  <c r="M43" i="12"/>
  <c r="S81" i="12"/>
  <c r="J102" i="12"/>
  <c r="J101" i="12"/>
  <c r="K107" i="12"/>
  <c r="P113" i="12"/>
  <c r="L113" i="12"/>
  <c r="O142" i="7"/>
  <c r="M128" i="5"/>
  <c r="N98" i="2"/>
  <c r="O98" i="2" s="1"/>
  <c r="N100" i="12"/>
  <c r="S100" i="12"/>
  <c r="P115" i="12"/>
  <c r="L115" i="12"/>
  <c r="S136" i="12"/>
  <c r="N136" i="12"/>
  <c r="R136" i="12"/>
  <c r="D44" i="7"/>
  <c r="H104" i="3"/>
  <c r="P74" i="5"/>
  <c r="Q58" i="12"/>
  <c r="R21" i="12"/>
  <c r="Q129" i="12"/>
  <c r="M129" i="12"/>
  <c r="K142" i="7"/>
  <c r="J142" i="12" s="1"/>
  <c r="F50" i="2"/>
  <c r="N9" i="12"/>
  <c r="S9" i="12"/>
  <c r="M116" i="5"/>
  <c r="Q126" i="12"/>
  <c r="M126" i="12"/>
  <c r="N172" i="12"/>
  <c r="S172" i="12"/>
  <c r="R172" i="12"/>
  <c r="R95" i="12"/>
  <c r="N95" i="12"/>
  <c r="Q167" i="12"/>
  <c r="M167" i="12"/>
  <c r="J167" i="2"/>
  <c r="K167" i="2" s="1"/>
  <c r="K3" i="21"/>
  <c r="F167" i="2"/>
  <c r="M139" i="12"/>
  <c r="Q139" i="12"/>
  <c r="R80" i="12"/>
  <c r="N80" i="12"/>
  <c r="R138" i="12"/>
  <c r="S138" i="12"/>
  <c r="B12" i="28"/>
  <c r="I168" i="7"/>
  <c r="I177" i="12" s="1"/>
  <c r="G168" i="7"/>
  <c r="C168" i="7"/>
  <c r="J168" i="7"/>
  <c r="K168" i="7"/>
  <c r="K169" i="12"/>
  <c r="F168" i="7"/>
  <c r="O168" i="7"/>
  <c r="E168" i="7"/>
  <c r="J167" i="12"/>
  <c r="M168" i="7"/>
  <c r="H167" i="12"/>
  <c r="L168" i="7"/>
  <c r="H168" i="7"/>
  <c r="D168" i="7"/>
  <c r="J128" i="12"/>
  <c r="P161" i="12"/>
  <c r="J107" i="12"/>
  <c r="M127" i="12"/>
  <c r="Q127" i="12"/>
  <c r="R153" i="12"/>
  <c r="S153" i="12"/>
  <c r="N153" i="12"/>
  <c r="M137" i="12"/>
  <c r="Q137" i="12"/>
  <c r="L147" i="12"/>
  <c r="P147" i="12"/>
  <c r="J142" i="7"/>
  <c r="L41" i="12"/>
  <c r="P41" i="12"/>
  <c r="H115" i="7"/>
  <c r="H114" i="12" s="1"/>
  <c r="Q79" i="12"/>
  <c r="M79" i="12"/>
  <c r="P136" i="12"/>
  <c r="L136" i="12"/>
  <c r="D115" i="7"/>
  <c r="G24" i="14"/>
  <c r="G28" i="14"/>
  <c r="G138" i="14"/>
  <c r="L16" i="12"/>
  <c r="S84" i="12"/>
  <c r="R67" i="12"/>
  <c r="J100" i="12"/>
  <c r="Q131" i="12"/>
  <c r="H141" i="12"/>
  <c r="J105" i="12"/>
  <c r="H105" i="12"/>
  <c r="P114" i="5"/>
  <c r="B104" i="7"/>
  <c r="B168" i="7"/>
  <c r="G82" i="2"/>
  <c r="H179" i="3"/>
  <c r="E134" i="3"/>
  <c r="H128" i="7"/>
  <c r="H128" i="12" s="1"/>
  <c r="K39" i="7"/>
  <c r="J42" i="12" s="1"/>
  <c r="B39" i="7"/>
  <c r="J39" i="7"/>
  <c r="I39" i="7"/>
  <c r="I39" i="12" s="1"/>
  <c r="F39" i="7"/>
  <c r="E39" i="7"/>
  <c r="C39" i="7"/>
  <c r="M39" i="7"/>
  <c r="G39" i="7"/>
  <c r="D39" i="7"/>
  <c r="H39" i="7"/>
  <c r="H42" i="12" s="1"/>
  <c r="L39" i="7"/>
  <c r="P33" i="12"/>
  <c r="L33" i="12"/>
  <c r="C139" i="7"/>
  <c r="M139" i="7"/>
  <c r="G139" i="7"/>
  <c r="D139" i="7"/>
  <c r="K139" i="7"/>
  <c r="E139" i="7"/>
  <c r="H139" i="7"/>
  <c r="B139" i="7"/>
  <c r="L139" i="7"/>
  <c r="F139" i="7"/>
  <c r="Q67" i="12"/>
  <c r="G10" i="14"/>
  <c r="G62" i="14"/>
  <c r="G160" i="14"/>
  <c r="G170" i="14"/>
  <c r="P81" i="12"/>
  <c r="N84" i="12"/>
  <c r="S109" i="12"/>
  <c r="R151" i="12"/>
  <c r="S151" i="12"/>
  <c r="P151" i="12"/>
  <c r="N119" i="12"/>
  <c r="N21" i="12"/>
  <c r="M42" i="5"/>
  <c r="I100" i="12"/>
  <c r="J103" i="12"/>
  <c r="J139" i="7"/>
  <c r="G92" i="2"/>
  <c r="F92" i="2"/>
  <c r="F115" i="7"/>
  <c r="L115" i="7"/>
  <c r="K121" i="12" s="1"/>
  <c r="G115" i="7"/>
  <c r="E115" i="7"/>
  <c r="M115" i="7"/>
  <c r="O115" i="7"/>
  <c r="B115" i="7"/>
  <c r="N115" i="7"/>
  <c r="J115" i="7"/>
  <c r="I115" i="7"/>
  <c r="I115" i="12" s="1"/>
  <c r="C115" i="7"/>
  <c r="M8" i="12"/>
  <c r="S19" i="12"/>
  <c r="J98" i="12"/>
  <c r="K129" i="12"/>
  <c r="Q39" i="12"/>
  <c r="S119" i="12"/>
  <c r="N147" i="12"/>
  <c r="S147" i="12"/>
  <c r="M150" i="5"/>
  <c r="N168" i="7"/>
  <c r="E80" i="5"/>
  <c r="F80" i="5" s="1"/>
  <c r="G80" i="5" s="1"/>
  <c r="O139" i="7"/>
  <c r="S148" i="12"/>
  <c r="N148" i="12"/>
  <c r="I44" i="7"/>
  <c r="I44" i="12" s="1"/>
  <c r="R99" i="12"/>
  <c r="M61" i="5"/>
  <c r="M140" i="5"/>
  <c r="H107" i="12"/>
  <c r="N126" i="7"/>
  <c r="J20" i="5"/>
  <c r="I145" i="12"/>
  <c r="I159" i="12"/>
  <c r="H163" i="12"/>
  <c r="O126" i="7"/>
  <c r="G174" i="7"/>
  <c r="F95" i="5"/>
  <c r="G95" i="5" s="1"/>
  <c r="K61" i="3"/>
  <c r="H17" i="3"/>
  <c r="H34" i="3"/>
  <c r="K89" i="3"/>
  <c r="N15" i="2"/>
  <c r="O15" i="2" s="1"/>
  <c r="K177" i="3"/>
  <c r="N81" i="2"/>
  <c r="O81" i="2" s="1"/>
  <c r="G149" i="2"/>
  <c r="J161" i="2"/>
  <c r="K161" i="2" s="1"/>
  <c r="F34" i="2"/>
  <c r="F116" i="2"/>
  <c r="N144" i="2"/>
  <c r="O144" i="2" s="1"/>
  <c r="P78" i="5"/>
  <c r="P23" i="5"/>
  <c r="P39" i="5"/>
  <c r="D56" i="7"/>
  <c r="M56" i="7"/>
  <c r="J99" i="12"/>
  <c r="L137" i="7"/>
  <c r="K137" i="12" s="1"/>
  <c r="E24" i="3"/>
  <c r="E56" i="7"/>
  <c r="H127" i="3"/>
  <c r="B126" i="7"/>
  <c r="B18" i="28" s="1"/>
  <c r="L153" i="7"/>
  <c r="K161" i="12" s="1"/>
  <c r="M32" i="5"/>
  <c r="J13" i="5"/>
  <c r="K157" i="12"/>
  <c r="I160" i="12"/>
  <c r="H99" i="12"/>
  <c r="K126" i="7"/>
  <c r="B17" i="28" s="1"/>
  <c r="J157" i="12"/>
  <c r="C174" i="7"/>
  <c r="F119" i="5"/>
  <c r="G119" i="5" s="1"/>
  <c r="F128" i="5"/>
  <c r="G128" i="5" s="1"/>
  <c r="J138" i="5"/>
  <c r="H146" i="3"/>
  <c r="H178" i="3"/>
  <c r="J143" i="12"/>
  <c r="E75" i="3"/>
  <c r="J71" i="2"/>
  <c r="K71" i="2" s="1"/>
  <c r="G66" i="2"/>
  <c r="N74" i="2"/>
  <c r="O74" i="2" s="1"/>
  <c r="J160" i="2"/>
  <c r="K160" i="2" s="1"/>
  <c r="P118" i="5"/>
  <c r="N56" i="7"/>
  <c r="K137" i="7"/>
  <c r="J136" i="12" s="1"/>
  <c r="K139" i="3"/>
  <c r="H150" i="7"/>
  <c r="F126" i="7"/>
  <c r="G149" i="14"/>
  <c r="M23" i="5"/>
  <c r="O150" i="7"/>
  <c r="H157" i="12"/>
  <c r="J44" i="5"/>
  <c r="K152" i="12"/>
  <c r="H159" i="12"/>
  <c r="G126" i="7"/>
  <c r="D15" i="28" s="1"/>
  <c r="K98" i="3"/>
  <c r="H49" i="3"/>
  <c r="K9" i="3"/>
  <c r="E14" i="3"/>
  <c r="K35" i="3"/>
  <c r="H115" i="3"/>
  <c r="K137" i="3"/>
  <c r="G21" i="2"/>
  <c r="F129" i="2"/>
  <c r="F149" i="2"/>
  <c r="N29" i="2"/>
  <c r="O29" i="2" s="1"/>
  <c r="N77" i="2"/>
  <c r="O77" i="2" s="1"/>
  <c r="N101" i="2"/>
  <c r="O101" i="2" s="1"/>
  <c r="J56" i="7"/>
  <c r="G63" i="14"/>
  <c r="J16" i="2"/>
  <c r="K16" i="2" s="1"/>
  <c r="K153" i="7"/>
  <c r="J161" i="12" s="1"/>
  <c r="M11" i="5"/>
  <c r="S99" i="12"/>
  <c r="M31" i="12"/>
  <c r="I101" i="12"/>
  <c r="K150" i="7"/>
  <c r="J163" i="12"/>
  <c r="J151" i="12"/>
  <c r="C126" i="7"/>
  <c r="N174" i="7"/>
  <c r="M92" i="5"/>
  <c r="F101" i="5"/>
  <c r="G101" i="5" s="1"/>
  <c r="F115" i="5"/>
  <c r="G115" i="5" s="1"/>
  <c r="F134" i="5"/>
  <c r="G134" i="5" s="1"/>
  <c r="H122" i="3"/>
  <c r="H35" i="3"/>
  <c r="E145" i="3"/>
  <c r="N110" i="2"/>
  <c r="O110" i="2" s="1"/>
  <c r="J77" i="2"/>
  <c r="K77" i="2" s="1"/>
  <c r="G130" i="2"/>
  <c r="F56" i="7"/>
  <c r="N28" i="2"/>
  <c r="O28" i="2" s="1"/>
  <c r="G193" i="2"/>
  <c r="C175" i="7"/>
  <c r="N175" i="7"/>
  <c r="G150" i="7"/>
  <c r="J22" i="5"/>
  <c r="I162" i="12"/>
  <c r="I150" i="12"/>
  <c r="I151" i="12"/>
  <c r="N137" i="7"/>
  <c r="H149" i="12"/>
  <c r="J174" i="7"/>
  <c r="J74" i="5"/>
  <c r="M102" i="5"/>
  <c r="K15" i="3"/>
  <c r="H150" i="3"/>
  <c r="H55" i="3"/>
  <c r="H99" i="3"/>
  <c r="K140" i="3"/>
  <c r="G129" i="2"/>
  <c r="F82" i="2"/>
  <c r="G141" i="14"/>
  <c r="B56" i="7"/>
  <c r="J28" i="2"/>
  <c r="K28" i="2" s="1"/>
  <c r="G67" i="14"/>
  <c r="E153" i="7"/>
  <c r="N140" i="2"/>
  <c r="O140" i="2" s="1"/>
  <c r="K103" i="12"/>
  <c r="H98" i="12"/>
  <c r="C150" i="7"/>
  <c r="J173" i="12"/>
  <c r="J15" i="5"/>
  <c r="J46" i="5"/>
  <c r="I152" i="12"/>
  <c r="J137" i="7"/>
  <c r="F174" i="7"/>
  <c r="J121" i="5"/>
  <c r="F164" i="5"/>
  <c r="G164" i="5" s="1"/>
  <c r="K34" i="3"/>
  <c r="K134" i="3"/>
  <c r="K153" i="3"/>
  <c r="J91" i="2"/>
  <c r="K91" i="2" s="1"/>
  <c r="J58" i="2"/>
  <c r="K58" i="2" s="1"/>
  <c r="F74" i="2"/>
  <c r="E166" i="3"/>
  <c r="N187" i="2"/>
  <c r="O187" i="2" s="1"/>
  <c r="J150" i="7"/>
  <c r="H119" i="3"/>
  <c r="E121" i="3"/>
  <c r="H153" i="7"/>
  <c r="H153" i="12" s="1"/>
  <c r="G13" i="14"/>
  <c r="H103" i="12"/>
  <c r="J16" i="5"/>
  <c r="M146" i="5"/>
  <c r="H145" i="12"/>
  <c r="K145" i="12"/>
  <c r="I148" i="12"/>
  <c r="F137" i="7"/>
  <c r="J149" i="12"/>
  <c r="B174" i="7"/>
  <c r="J70" i="5"/>
  <c r="J98" i="5"/>
  <c r="M165" i="5"/>
  <c r="E122" i="3"/>
  <c r="E78" i="3"/>
  <c r="N156" i="2"/>
  <c r="O156" i="2" s="1"/>
  <c r="N61" i="2"/>
  <c r="O61" i="2" s="1"/>
  <c r="N109" i="2"/>
  <c r="O109" i="2" s="1"/>
  <c r="H189" i="3"/>
  <c r="G34" i="2"/>
  <c r="P70" i="5"/>
  <c r="K72" i="3"/>
  <c r="N56" i="2"/>
  <c r="O56" i="2" s="1"/>
  <c r="G159" i="2"/>
  <c r="G169" i="14"/>
  <c r="E150" i="7"/>
  <c r="I105" i="12"/>
  <c r="J24" i="5"/>
  <c r="K144" i="12"/>
  <c r="I143" i="12"/>
  <c r="I144" i="12"/>
  <c r="B137" i="7"/>
  <c r="L174" i="7"/>
  <c r="K173" i="12" s="1"/>
  <c r="M108" i="5"/>
  <c r="J117" i="5"/>
  <c r="M122" i="5"/>
  <c r="K87" i="3"/>
  <c r="E109" i="3"/>
  <c r="E115" i="3"/>
  <c r="K143" i="12"/>
  <c r="E137" i="3"/>
  <c r="J182" i="2"/>
  <c r="K182" i="2" s="1"/>
  <c r="N78" i="2"/>
  <c r="O78" i="2" s="1"/>
  <c r="N126" i="2"/>
  <c r="O126" i="2" s="1"/>
  <c r="J133" i="2"/>
  <c r="K133" i="2" s="1"/>
  <c r="J42" i="2"/>
  <c r="K42" i="2" s="1"/>
  <c r="F66" i="2"/>
  <c r="J152" i="2"/>
  <c r="K152" i="2" s="1"/>
  <c r="P158" i="5"/>
  <c r="J56" i="2"/>
  <c r="K56" i="2" s="1"/>
  <c r="J52" i="2"/>
  <c r="K52" i="2" s="1"/>
  <c r="N159" i="2"/>
  <c r="O159" i="2" s="1"/>
  <c r="N150" i="7"/>
  <c r="H100" i="12"/>
  <c r="J126" i="7"/>
  <c r="D16" i="28" s="1"/>
  <c r="K151" i="12"/>
  <c r="I99" i="12"/>
  <c r="D153" i="7"/>
  <c r="J17" i="5"/>
  <c r="J48" i="5"/>
  <c r="I173" i="12"/>
  <c r="H143" i="12"/>
  <c r="N153" i="7"/>
  <c r="K160" i="12"/>
  <c r="H174" i="7"/>
  <c r="H173" i="12" s="1"/>
  <c r="J94" i="5"/>
  <c r="M99" i="5"/>
  <c r="J146" i="5"/>
  <c r="E10" i="3"/>
  <c r="K47" i="3"/>
  <c r="E77" i="3"/>
  <c r="H126" i="3"/>
  <c r="H75" i="3"/>
  <c r="I154" i="12"/>
  <c r="N149" i="2"/>
  <c r="O149" i="2" s="1"/>
  <c r="J168" i="2"/>
  <c r="K168" i="2" s="1"/>
  <c r="G53" i="14"/>
  <c r="J108" i="12"/>
  <c r="J145" i="12"/>
  <c r="H56" i="3"/>
  <c r="M60" i="12"/>
  <c r="G132" i="2"/>
  <c r="J64" i="2"/>
  <c r="K64" i="2" s="1"/>
  <c r="N12" i="2"/>
  <c r="O12" i="2" s="1"/>
  <c r="J155" i="2"/>
  <c r="K155" i="2" s="1"/>
  <c r="G35" i="14"/>
  <c r="N36" i="2"/>
  <c r="O36" i="2" s="1"/>
  <c r="K128" i="3"/>
  <c r="G80" i="14"/>
  <c r="E167" i="3"/>
  <c r="G39" i="14"/>
  <c r="K101" i="3"/>
  <c r="F40" i="2"/>
  <c r="G99" i="14"/>
  <c r="G33" i="14"/>
  <c r="G51" i="14"/>
  <c r="H151" i="3"/>
  <c r="G68" i="2"/>
  <c r="J34" i="12"/>
  <c r="K16" i="12"/>
  <c r="H12" i="12"/>
  <c r="G52" i="2"/>
  <c r="H101" i="3"/>
  <c r="E40" i="3"/>
  <c r="F13" i="2"/>
  <c r="E125" i="3"/>
  <c r="F36" i="2"/>
  <c r="P113" i="5"/>
  <c r="P127" i="5"/>
  <c r="P145" i="5"/>
  <c r="H134" i="12"/>
  <c r="P11" i="5"/>
  <c r="P24" i="5"/>
  <c r="P35" i="5"/>
  <c r="P147" i="5"/>
  <c r="I161" i="12"/>
  <c r="P122" i="5"/>
  <c r="F173" i="2"/>
  <c r="P47" i="5"/>
  <c r="E186" i="3"/>
  <c r="P141" i="5"/>
  <c r="P109" i="5"/>
  <c r="F68" i="2"/>
  <c r="N32" i="12"/>
  <c r="M22" i="12"/>
  <c r="S47" i="12"/>
  <c r="R158" i="12"/>
  <c r="M164" i="12"/>
  <c r="Q119" i="12"/>
  <c r="R157" i="12"/>
  <c r="N52" i="12"/>
  <c r="K66" i="7"/>
  <c r="J71" i="12" s="1"/>
  <c r="D110" i="7"/>
  <c r="J65" i="12"/>
  <c r="K65" i="12"/>
  <c r="L9" i="7"/>
  <c r="K9" i="12" s="1"/>
  <c r="H147" i="7"/>
  <c r="H155" i="12" s="1"/>
  <c r="F157" i="5"/>
  <c r="G157" i="5" s="1"/>
  <c r="K174" i="3"/>
  <c r="K188" i="12"/>
  <c r="J186" i="7"/>
  <c r="E44" i="5"/>
  <c r="F44" i="5" s="1"/>
  <c r="G44" i="5" s="1"/>
  <c r="K19" i="3"/>
  <c r="E173" i="3"/>
  <c r="N121" i="2"/>
  <c r="O121" i="2" s="1"/>
  <c r="L66" i="7"/>
  <c r="K71" i="12" s="1"/>
  <c r="J147" i="7"/>
  <c r="E147" i="7"/>
  <c r="E12" i="3"/>
  <c r="M147" i="7"/>
  <c r="C186" i="7"/>
  <c r="I186" i="7"/>
  <c r="I186" i="12" s="1"/>
  <c r="L88" i="12"/>
  <c r="N158" i="12"/>
  <c r="H188" i="12"/>
  <c r="M135" i="12"/>
  <c r="G66" i="7"/>
  <c r="I110" i="7"/>
  <c r="I110" i="12" s="1"/>
  <c r="J133" i="12"/>
  <c r="C147" i="7"/>
  <c r="J19" i="5"/>
  <c r="H189" i="12"/>
  <c r="H9" i="7"/>
  <c r="H9" i="12" s="1"/>
  <c r="E66" i="7"/>
  <c r="D147" i="7"/>
  <c r="J106" i="5"/>
  <c r="F186" i="7"/>
  <c r="E105" i="3"/>
  <c r="H163" i="3"/>
  <c r="F66" i="7"/>
  <c r="K147" i="7"/>
  <c r="J155" i="12" s="1"/>
  <c r="E146" i="3"/>
  <c r="N193" i="2"/>
  <c r="O193" i="2" s="1"/>
  <c r="G186" i="7"/>
  <c r="S171" i="12"/>
  <c r="Q29" i="12"/>
  <c r="L141" i="12"/>
  <c r="C66" i="7"/>
  <c r="N110" i="7"/>
  <c r="I147" i="7"/>
  <c r="J189" i="12"/>
  <c r="D9" i="7"/>
  <c r="J66" i="7"/>
  <c r="F143" i="5"/>
  <c r="G143" i="5" s="1"/>
  <c r="B186" i="7"/>
  <c r="I66" i="7"/>
  <c r="I71" i="12" s="1"/>
  <c r="O186" i="7"/>
  <c r="K146" i="12"/>
  <c r="J141" i="12"/>
  <c r="Q28" i="12"/>
  <c r="L139" i="12"/>
  <c r="L65" i="12"/>
  <c r="N87" i="12"/>
  <c r="N147" i="7"/>
  <c r="I188" i="12"/>
  <c r="I109" i="12"/>
  <c r="O9" i="7"/>
  <c r="K178" i="3"/>
  <c r="L186" i="7"/>
  <c r="K186" i="12" s="1"/>
  <c r="G26" i="2"/>
  <c r="P110" i="5"/>
  <c r="H16" i="3"/>
  <c r="I65" i="12"/>
  <c r="N66" i="7"/>
  <c r="H187" i="12"/>
  <c r="G119" i="14"/>
  <c r="P24" i="12"/>
  <c r="Q50" i="12"/>
  <c r="R66" i="12"/>
  <c r="N150" i="12"/>
  <c r="J188" i="12"/>
  <c r="S87" i="12"/>
  <c r="L95" i="12"/>
  <c r="I184" i="12"/>
  <c r="K9" i="7"/>
  <c r="J10" i="12" s="1"/>
  <c r="H186" i="7"/>
  <c r="H186" i="12" s="1"/>
  <c r="E62" i="3"/>
  <c r="G13" i="2"/>
  <c r="D66" i="7"/>
  <c r="M9" i="7"/>
  <c r="H10" i="12"/>
  <c r="I7" i="12"/>
  <c r="M165" i="12"/>
  <c r="I189" i="12"/>
  <c r="G9" i="7"/>
  <c r="D186" i="7"/>
  <c r="E100" i="5"/>
  <c r="F100" i="5" s="1"/>
  <c r="G100" i="5" s="1"/>
  <c r="H83" i="3"/>
  <c r="H136" i="3"/>
  <c r="J51" i="2"/>
  <c r="K51" i="2" s="1"/>
  <c r="N168" i="2"/>
  <c r="O168" i="2" s="1"/>
  <c r="B66" i="7"/>
  <c r="E9" i="7"/>
  <c r="G128" i="14"/>
  <c r="N64" i="12"/>
  <c r="S121" i="12"/>
  <c r="N132" i="12"/>
  <c r="N118" i="12"/>
  <c r="H184" i="12"/>
  <c r="K184" i="12"/>
  <c r="Q100" i="12"/>
  <c r="I185" i="12"/>
  <c r="C9" i="7"/>
  <c r="H63" i="3"/>
  <c r="G30" i="2"/>
  <c r="F110" i="7"/>
  <c r="N189" i="2"/>
  <c r="O189" i="2" s="1"/>
  <c r="K186" i="7"/>
  <c r="J185" i="12" s="1"/>
  <c r="S64" i="12"/>
  <c r="P26" i="12"/>
  <c r="Q95" i="12"/>
  <c r="H66" i="7"/>
  <c r="N9" i="7"/>
  <c r="O110" i="7"/>
  <c r="H54" i="3"/>
  <c r="M110" i="7"/>
  <c r="R132" i="12"/>
  <c r="R150" i="12"/>
  <c r="R18" i="12"/>
  <c r="I9" i="7"/>
  <c r="I9" i="12" s="1"/>
  <c r="I187" i="12"/>
  <c r="J9" i="7"/>
  <c r="K110" i="7"/>
  <c r="J110" i="12" s="1"/>
  <c r="E54" i="3"/>
  <c r="K105" i="3"/>
  <c r="J31" i="2"/>
  <c r="K31" i="2" s="1"/>
  <c r="F30" i="2"/>
  <c r="J147" i="2"/>
  <c r="K147" i="2" s="1"/>
  <c r="L110" i="7"/>
  <c r="K110" i="12" s="1"/>
  <c r="G88" i="2"/>
  <c r="N66" i="12"/>
  <c r="R118" i="12"/>
  <c r="N18" i="12"/>
  <c r="L86" i="12"/>
  <c r="J184" i="12"/>
  <c r="Q105" i="12"/>
  <c r="M118" i="12"/>
  <c r="K185" i="12"/>
  <c r="F9" i="7"/>
  <c r="G110" i="7"/>
  <c r="H50" i="3"/>
  <c r="E113" i="3"/>
  <c r="J131" i="2"/>
  <c r="K131" i="2" s="1"/>
  <c r="F26" i="2"/>
  <c r="N124" i="2"/>
  <c r="O124" i="2" s="1"/>
  <c r="J175" i="2"/>
  <c r="K175" i="2" s="1"/>
  <c r="P138" i="12"/>
  <c r="M145" i="12"/>
  <c r="F109" i="5"/>
  <c r="G109" i="5" s="1"/>
  <c r="N125" i="2"/>
  <c r="O125" i="2" s="1"/>
  <c r="F48" i="2"/>
  <c r="N44" i="2"/>
  <c r="O44" i="2" s="1"/>
  <c r="F67" i="5"/>
  <c r="G67" i="5" s="1"/>
  <c r="F84" i="5"/>
  <c r="G84" i="5" s="1"/>
  <c r="F153" i="5"/>
  <c r="G153" i="5" s="1"/>
  <c r="E38" i="3"/>
  <c r="H180" i="3"/>
  <c r="K60" i="3"/>
  <c r="H175" i="3"/>
  <c r="N167" i="2"/>
  <c r="O167" i="2" s="1"/>
  <c r="C160" i="7"/>
  <c r="F149" i="5"/>
  <c r="G149" i="5" s="1"/>
  <c r="K55" i="3"/>
  <c r="E136" i="5"/>
  <c r="F136" i="5" s="1"/>
  <c r="G136" i="5" s="1"/>
  <c r="N52" i="2"/>
  <c r="O52" i="2" s="1"/>
  <c r="N185" i="2"/>
  <c r="O185" i="2" s="1"/>
  <c r="E160" i="7"/>
  <c r="E13" i="3"/>
  <c r="E45" i="3"/>
  <c r="E160" i="5"/>
  <c r="F160" i="5" s="1"/>
  <c r="G160" i="5" s="1"/>
  <c r="E14" i="5"/>
  <c r="F14" i="5" s="1"/>
  <c r="G14" i="5" s="1"/>
  <c r="J12" i="2"/>
  <c r="K12" i="2" s="1"/>
  <c r="F151" i="2"/>
  <c r="K143" i="3"/>
  <c r="J124" i="2"/>
  <c r="K124" i="2" s="1"/>
  <c r="M160" i="7"/>
  <c r="K160" i="7"/>
  <c r="J160" i="12" s="1"/>
  <c r="E63" i="3"/>
  <c r="G111" i="14"/>
  <c r="E113" i="5"/>
  <c r="F113" i="5" s="1"/>
  <c r="G113" i="5" s="1"/>
  <c r="E144" i="5"/>
  <c r="F144" i="5" s="1"/>
  <c r="G144" i="5" s="1"/>
  <c r="E30" i="5"/>
  <c r="F30" i="5" s="1"/>
  <c r="G30" i="5" s="1"/>
  <c r="J112" i="2"/>
  <c r="K112" i="2" s="1"/>
  <c r="K123" i="3"/>
  <c r="E116" i="3"/>
  <c r="E84" i="3"/>
  <c r="N72" i="2"/>
  <c r="O72" i="2" s="1"/>
  <c r="J189" i="2"/>
  <c r="K189" i="2" s="1"/>
  <c r="K11" i="12"/>
  <c r="I46" i="12"/>
  <c r="H138" i="12"/>
  <c r="M47" i="5"/>
  <c r="M68" i="5"/>
  <c r="Q24" i="12"/>
  <c r="J18" i="12"/>
  <c r="H33" i="3"/>
  <c r="E66" i="5"/>
  <c r="F66" i="5" s="1"/>
  <c r="G66" i="5" s="1"/>
  <c r="E80" i="3"/>
  <c r="K176" i="3"/>
  <c r="K69" i="3"/>
  <c r="J23" i="5"/>
  <c r="F124" i="5"/>
  <c r="G124" i="5" s="1"/>
  <c r="F138" i="5"/>
  <c r="G138" i="5" s="1"/>
  <c r="F162" i="5"/>
  <c r="G162" i="5" s="1"/>
  <c r="E11" i="3"/>
  <c r="F97" i="2"/>
  <c r="N153" i="2"/>
  <c r="O153" i="2" s="1"/>
  <c r="N177" i="2"/>
  <c r="O177" i="2" s="1"/>
  <c r="N145" i="12"/>
  <c r="N113" i="12"/>
  <c r="F92" i="5"/>
  <c r="G92" i="5" s="1"/>
  <c r="J80" i="2"/>
  <c r="K80" i="2" s="1"/>
  <c r="G91" i="14"/>
  <c r="N133" i="12"/>
  <c r="G144" i="14"/>
  <c r="P34" i="12"/>
  <c r="S133" i="12"/>
  <c r="S165" i="12"/>
  <c r="M163" i="12"/>
  <c r="K189" i="12"/>
  <c r="F97" i="5"/>
  <c r="G97" i="5" s="1"/>
  <c r="M144" i="5"/>
  <c r="F158" i="5"/>
  <c r="G158" i="5" s="1"/>
  <c r="G73" i="2"/>
  <c r="G97" i="2"/>
  <c r="G121" i="2"/>
  <c r="F29" i="2"/>
  <c r="O191" i="5"/>
  <c r="O192" i="5" s="1"/>
  <c r="J183" i="2"/>
  <c r="K183" i="2" s="1"/>
  <c r="N68" i="2"/>
  <c r="O68" i="2" s="1"/>
  <c r="M54" i="5"/>
  <c r="P137" i="12"/>
  <c r="M17" i="5"/>
  <c r="F93" i="5"/>
  <c r="G93" i="5" s="1"/>
  <c r="E61" i="3"/>
  <c r="H107" i="3"/>
  <c r="K124" i="3"/>
  <c r="G167" i="2"/>
  <c r="G60" i="14"/>
  <c r="P76" i="5"/>
  <c r="P100" i="5"/>
  <c r="K92" i="3"/>
  <c r="L142" i="12"/>
  <c r="G134" i="14"/>
  <c r="P42" i="12"/>
  <c r="M140" i="12"/>
  <c r="F107" i="5"/>
  <c r="G107" i="5" s="1"/>
  <c r="K103" i="3"/>
  <c r="E62" i="5"/>
  <c r="F62" i="5" s="1"/>
  <c r="E22" i="3"/>
  <c r="E86" i="3"/>
  <c r="E110" i="5"/>
  <c r="F110" i="5" s="1"/>
  <c r="G110" i="5" s="1"/>
  <c r="H148" i="3"/>
  <c r="E245" i="2"/>
  <c r="J14" i="2"/>
  <c r="K14" i="2" s="1"/>
  <c r="N58" i="2"/>
  <c r="O58" i="2" s="1"/>
  <c r="F100" i="2"/>
  <c r="G127" i="14"/>
  <c r="F140" i="5"/>
  <c r="G140" i="5" s="1"/>
  <c r="P18" i="12"/>
  <c r="M120" i="12"/>
  <c r="L82" i="12"/>
  <c r="F103" i="5"/>
  <c r="G103" i="5" s="1"/>
  <c r="F117" i="5"/>
  <c r="G117" i="5" s="1"/>
  <c r="F145" i="5"/>
  <c r="G145" i="5" s="1"/>
  <c r="F150" i="5"/>
  <c r="G150" i="5" s="1"/>
  <c r="J160" i="5"/>
  <c r="G171" i="14"/>
  <c r="P50" i="12"/>
  <c r="M123" i="12"/>
  <c r="L74" i="12"/>
  <c r="R40" i="12"/>
  <c r="F76" i="5"/>
  <c r="G76" i="5" s="1"/>
  <c r="M86" i="5"/>
  <c r="M132" i="5"/>
  <c r="H21" i="3"/>
  <c r="H79" i="3"/>
  <c r="H130" i="3"/>
  <c r="E169" i="3"/>
  <c r="H245" i="2"/>
  <c r="N64" i="2"/>
  <c r="O64" i="2" s="1"/>
  <c r="J36" i="2"/>
  <c r="K36" i="2" s="1"/>
  <c r="N40" i="12"/>
  <c r="F81" i="5"/>
  <c r="G81" i="5" s="1"/>
  <c r="F118" i="5"/>
  <c r="G118" i="5" s="1"/>
  <c r="J156" i="5"/>
  <c r="H10" i="3"/>
  <c r="E114" i="5"/>
  <c r="F114" i="5" s="1"/>
  <c r="G114" i="5" s="1"/>
  <c r="N77" i="12"/>
  <c r="R77" i="12"/>
  <c r="R78" i="12"/>
  <c r="F77" i="5"/>
  <c r="G77" i="5" s="1"/>
  <c r="J82" i="5"/>
  <c r="F132" i="5"/>
  <c r="G132" i="5" s="1"/>
  <c r="F156" i="5"/>
  <c r="G156" i="5" s="1"/>
  <c r="E93" i="3"/>
  <c r="E97" i="3"/>
  <c r="N70" i="2"/>
  <c r="O70" i="2" s="1"/>
  <c r="J17" i="2"/>
  <c r="K17" i="2" s="1"/>
  <c r="G43" i="14"/>
  <c r="N100" i="2"/>
  <c r="O100" i="2" s="1"/>
  <c r="P122" i="12"/>
  <c r="P132" i="12"/>
  <c r="R70" i="12"/>
  <c r="S78" i="12"/>
  <c r="M110" i="5"/>
  <c r="E46" i="5"/>
  <c r="F46" i="5" s="1"/>
  <c r="G46" i="5" s="1"/>
  <c r="N25" i="2"/>
  <c r="O25" i="2" s="1"/>
  <c r="G29" i="2"/>
  <c r="J114" i="2"/>
  <c r="K114" i="2" s="1"/>
  <c r="G76" i="14"/>
  <c r="N48" i="12"/>
  <c r="Q19" i="12"/>
  <c r="P121" i="12"/>
  <c r="F133" i="5"/>
  <c r="G133" i="5" s="1"/>
  <c r="K23" i="3"/>
  <c r="J63" i="2"/>
  <c r="K63" i="2" s="1"/>
  <c r="F185" i="2"/>
  <c r="J187" i="2"/>
  <c r="K187" i="2" s="1"/>
  <c r="F68" i="5"/>
  <c r="G68" i="5" s="1"/>
  <c r="F147" i="5"/>
  <c r="G147" i="5" s="1"/>
  <c r="K71" i="3"/>
  <c r="G166" i="14"/>
  <c r="F88" i="5"/>
  <c r="G88" i="5" s="1"/>
  <c r="F108" i="5"/>
  <c r="G108" i="5" s="1"/>
  <c r="F139" i="5"/>
  <c r="G139" i="5" s="1"/>
  <c r="F64" i="5"/>
  <c r="G64" i="5" s="1"/>
  <c r="F116" i="5"/>
  <c r="G116" i="5" s="1"/>
  <c r="F151" i="5"/>
  <c r="G151" i="5" s="1"/>
  <c r="F159" i="5"/>
  <c r="G159" i="5" s="1"/>
  <c r="K39" i="3"/>
  <c r="E82" i="5"/>
  <c r="F82" i="5" s="1"/>
  <c r="G82" i="5" s="1"/>
  <c r="G47" i="14"/>
  <c r="G88" i="14"/>
  <c r="G120" i="14"/>
  <c r="G93" i="14"/>
  <c r="G179" i="2"/>
  <c r="N47" i="2"/>
  <c r="O47" i="2" s="1"/>
  <c r="K189" i="3"/>
  <c r="E189" i="3"/>
  <c r="G139" i="14"/>
  <c r="G135" i="14"/>
  <c r="G156" i="14"/>
  <c r="B150" i="7"/>
  <c r="L150" i="7"/>
  <c r="K149" i="12" s="1"/>
  <c r="B187" i="7"/>
  <c r="F187" i="7"/>
  <c r="O187" i="7"/>
  <c r="G187" i="7"/>
  <c r="K187" i="7"/>
  <c r="J187" i="12" s="1"/>
  <c r="E187" i="7"/>
  <c r="M187" i="7"/>
  <c r="F54" i="7"/>
  <c r="L54" i="7"/>
  <c r="K59" i="12" s="1"/>
  <c r="E54" i="7"/>
  <c r="G36" i="2"/>
  <c r="E110" i="7"/>
  <c r="J110" i="7"/>
  <c r="B110" i="7"/>
  <c r="H110" i="7"/>
  <c r="H110" i="12" s="1"/>
  <c r="B147" i="7"/>
  <c r="F147" i="7"/>
  <c r="G147" i="7"/>
  <c r="O147" i="7"/>
  <c r="F76" i="7"/>
  <c r="G76" i="7"/>
  <c r="N76" i="7"/>
  <c r="C141" i="7"/>
  <c r="O141" i="7"/>
  <c r="G141" i="7"/>
  <c r="L141" i="7"/>
  <c r="K141" i="12" s="1"/>
  <c r="D141" i="7"/>
  <c r="N111" i="2"/>
  <c r="O111" i="2" s="1"/>
  <c r="D28" i="7"/>
  <c r="H28" i="7"/>
  <c r="L28" i="7"/>
  <c r="K28" i="12" s="1"/>
  <c r="E28" i="7"/>
  <c r="I28" i="7"/>
  <c r="I28" i="12" s="1"/>
  <c r="M28" i="7"/>
  <c r="B28" i="7"/>
  <c r="F28" i="7"/>
  <c r="J28" i="7"/>
  <c r="N28" i="7"/>
  <c r="G28" i="7"/>
  <c r="K28" i="7"/>
  <c r="O28" i="7"/>
  <c r="C28" i="7"/>
  <c r="B102" i="7"/>
  <c r="J102" i="7"/>
  <c r="E102" i="7"/>
  <c r="H102" i="7"/>
  <c r="H102" i="12" s="1"/>
  <c r="H62" i="7"/>
  <c r="J62" i="7"/>
  <c r="L62" i="7"/>
  <c r="B62" i="7"/>
  <c r="C125" i="7"/>
  <c r="I125" i="7"/>
  <c r="I125" i="12" s="1"/>
  <c r="B164" i="7"/>
  <c r="G164" i="7"/>
  <c r="I164" i="7"/>
  <c r="I163" i="12" s="1"/>
  <c r="G151" i="14"/>
  <c r="G92" i="14"/>
  <c r="G124" i="14"/>
  <c r="G181" i="14"/>
  <c r="S70" i="12"/>
  <c r="N79" i="2"/>
  <c r="O79" i="2" s="1"/>
  <c r="P154" i="5"/>
  <c r="K100" i="3"/>
  <c r="G171" i="2"/>
  <c r="N183" i="2"/>
  <c r="O183" i="2" s="1"/>
  <c r="G84" i="2"/>
  <c r="D212" i="10"/>
  <c r="S29" i="12"/>
  <c r="S41" i="12"/>
  <c r="P53" i="12"/>
  <c r="N84" i="2"/>
  <c r="O84" i="2" s="1"/>
  <c r="G212" i="10"/>
  <c r="R57" i="12"/>
  <c r="S61" i="12"/>
  <c r="N158" i="2"/>
  <c r="O158" i="2" s="1"/>
  <c r="J108" i="2"/>
  <c r="K108" i="2" s="1"/>
  <c r="E164" i="3"/>
  <c r="H177" i="3"/>
  <c r="G185" i="14"/>
  <c r="G65" i="14"/>
  <c r="G73" i="14"/>
  <c r="K97" i="3"/>
  <c r="G133" i="14"/>
  <c r="H132" i="3"/>
  <c r="K116" i="3"/>
  <c r="G61" i="14"/>
  <c r="G69" i="14"/>
  <c r="G77" i="14"/>
  <c r="G49" i="14"/>
  <c r="H212" i="10"/>
  <c r="R29" i="12"/>
  <c r="R33" i="12"/>
  <c r="R49" i="12"/>
  <c r="R15" i="12"/>
  <c r="R37" i="12"/>
  <c r="S45" i="12"/>
  <c r="E160" i="3"/>
  <c r="N19" i="2"/>
  <c r="O19" i="2" s="1"/>
  <c r="N63" i="2"/>
  <c r="O63" i="2" s="1"/>
  <c r="N127" i="2"/>
  <c r="O127" i="2" s="1"/>
  <c r="E95" i="3"/>
  <c r="G56" i="2"/>
  <c r="F56" i="2"/>
  <c r="H116" i="3"/>
  <c r="G80" i="2"/>
  <c r="F80" i="2"/>
  <c r="H84" i="3"/>
  <c r="J132" i="2"/>
  <c r="K132" i="2" s="1"/>
  <c r="J163" i="2"/>
  <c r="K163" i="2" s="1"/>
  <c r="S37" i="12"/>
  <c r="R56" i="12"/>
  <c r="H8" i="3"/>
  <c r="G112" i="2"/>
  <c r="F112" i="2"/>
  <c r="J104" i="2"/>
  <c r="K104" i="2" s="1"/>
  <c r="J181" i="2"/>
  <c r="K181" i="2" s="1"/>
  <c r="G155" i="2"/>
  <c r="F155" i="2"/>
  <c r="N171" i="2"/>
  <c r="O171" i="2" s="1"/>
  <c r="K212" i="10"/>
  <c r="M212" i="10"/>
  <c r="E212" i="10"/>
  <c r="R11" i="12"/>
  <c r="P23" i="12"/>
  <c r="R61" i="12"/>
  <c r="P70" i="12"/>
  <c r="S56" i="12"/>
  <c r="S145" i="12"/>
  <c r="H145" i="3"/>
  <c r="N31" i="2"/>
  <c r="O31" i="2" s="1"/>
  <c r="N95" i="2"/>
  <c r="O95" i="2" s="1"/>
  <c r="K48" i="3"/>
  <c r="K80" i="3"/>
  <c r="G151" i="2"/>
  <c r="G24" i="2"/>
  <c r="F24" i="2"/>
  <c r="K167" i="3"/>
  <c r="G20" i="2"/>
  <c r="F20" i="2"/>
  <c r="N60" i="2"/>
  <c r="O60" i="2" s="1"/>
  <c r="J136" i="2"/>
  <c r="K136" i="2" s="1"/>
  <c r="J185" i="2"/>
  <c r="K185" i="2" s="1"/>
  <c r="N179" i="2"/>
  <c r="O179" i="2" s="1"/>
  <c r="S65" i="12"/>
  <c r="R53" i="12"/>
  <c r="G64" i="2"/>
  <c r="F64" i="2"/>
  <c r="N151" i="2"/>
  <c r="O151" i="2" s="1"/>
  <c r="J24" i="2"/>
  <c r="K24" i="2" s="1"/>
  <c r="N40" i="2"/>
  <c r="O40" i="2" s="1"/>
  <c r="J100" i="2"/>
  <c r="K100" i="2" s="1"/>
  <c r="J193" i="2"/>
  <c r="K193" i="2" s="1"/>
  <c r="G183" i="2"/>
  <c r="F183" i="2"/>
  <c r="H94" i="8"/>
  <c r="H95" i="8" s="1"/>
  <c r="G114" i="14"/>
  <c r="G188" i="14"/>
  <c r="K119" i="12"/>
  <c r="K113" i="3"/>
  <c r="E120" i="3"/>
  <c r="H157" i="3"/>
  <c r="E128" i="3"/>
  <c r="E148" i="3"/>
  <c r="H161" i="3"/>
  <c r="G64" i="14"/>
  <c r="G117" i="14"/>
  <c r="G164" i="14"/>
  <c r="G45" i="14"/>
  <c r="G158" i="14"/>
  <c r="G145" i="14"/>
  <c r="E94" i="8"/>
  <c r="E95" i="8" s="1"/>
  <c r="E54" i="5"/>
  <c r="F54" i="5" s="1"/>
  <c r="G54" i="5" s="1"/>
  <c r="E132" i="3"/>
  <c r="E180" i="3"/>
  <c r="G72" i="14"/>
  <c r="G140" i="14"/>
  <c r="G121" i="14"/>
  <c r="G179" i="14"/>
  <c r="P148" i="5"/>
  <c r="P164" i="5"/>
  <c r="G68" i="14"/>
  <c r="G83" i="14"/>
  <c r="M37" i="5"/>
  <c r="G40" i="14"/>
  <c r="G42" i="14"/>
  <c r="G48" i="14"/>
  <c r="G150" i="14"/>
  <c r="G102" i="14"/>
  <c r="G108" i="14"/>
  <c r="G142" i="14"/>
  <c r="G147" i="14"/>
  <c r="G168" i="14"/>
  <c r="K209" i="11"/>
  <c r="K210" i="11" s="1"/>
  <c r="N209" i="11"/>
  <c r="N210" i="11" s="1"/>
  <c r="N212" i="10"/>
  <c r="Q38" i="12"/>
  <c r="P54" i="12"/>
  <c r="R65" i="12"/>
  <c r="R97" i="12"/>
  <c r="F210" i="6"/>
  <c r="Q15" i="12"/>
  <c r="R117" i="12"/>
  <c r="L210" i="6"/>
  <c r="C17" i="28"/>
  <c r="Q114" i="12"/>
  <c r="N210" i="6"/>
  <c r="O210" i="6" s="1"/>
  <c r="B210" i="6"/>
  <c r="K210" i="6"/>
  <c r="N167" i="12"/>
  <c r="N101" i="12"/>
  <c r="L78" i="12"/>
  <c r="N53" i="12"/>
  <c r="N82" i="12"/>
  <c r="N74" i="12"/>
  <c r="M54" i="12"/>
  <c r="M40" i="12"/>
  <c r="M32" i="12"/>
  <c r="P7" i="12"/>
  <c r="L38" i="12"/>
  <c r="L15" i="12"/>
  <c r="M37" i="12"/>
  <c r="C12" i="28"/>
  <c r="S82" i="12"/>
  <c r="I114" i="12"/>
  <c r="I132" i="12"/>
  <c r="K126" i="12"/>
  <c r="J121" i="12"/>
  <c r="J113" i="12"/>
  <c r="I136" i="12"/>
  <c r="J127" i="12"/>
  <c r="J119" i="12"/>
  <c r="H136" i="12"/>
  <c r="H119" i="12"/>
  <c r="H55" i="12"/>
  <c r="K53" i="12"/>
  <c r="H53" i="12"/>
  <c r="K49" i="12"/>
  <c r="H41" i="12"/>
  <c r="I26" i="12"/>
  <c r="I18" i="12"/>
  <c r="I10" i="12"/>
  <c r="H27" i="12"/>
  <c r="H19" i="12"/>
  <c r="H11" i="12"/>
  <c r="K56" i="12"/>
  <c r="H25" i="12"/>
  <c r="K38" i="12"/>
  <c r="K30" i="12"/>
  <c r="K22" i="12"/>
  <c r="K14" i="12"/>
  <c r="I49" i="12"/>
  <c r="I33" i="12"/>
  <c r="I17" i="12"/>
  <c r="K33" i="12"/>
  <c r="K25" i="12"/>
  <c r="I191" i="5"/>
  <c r="F73" i="5"/>
  <c r="G73" i="5" s="1"/>
  <c r="F89" i="5"/>
  <c r="G89" i="5" s="1"/>
  <c r="F105" i="5"/>
  <c r="G105" i="5" s="1"/>
  <c r="E70" i="5"/>
  <c r="F70" i="5" s="1"/>
  <c r="G70" i="5" s="1"/>
  <c r="E74" i="5"/>
  <c r="F74" i="5" s="1"/>
  <c r="G74" i="5" s="1"/>
  <c r="E86" i="5"/>
  <c r="F86" i="5" s="1"/>
  <c r="G86" i="5" s="1"/>
  <c r="E90" i="5"/>
  <c r="F90" i="5" s="1"/>
  <c r="G90" i="5" s="1"/>
  <c r="E106" i="5"/>
  <c r="F106" i="5" s="1"/>
  <c r="G106" i="5" s="1"/>
  <c r="E34" i="3"/>
  <c r="E66" i="3"/>
  <c r="E114" i="3"/>
  <c r="E10" i="5"/>
  <c r="F10" i="5" s="1"/>
  <c r="G10" i="5" s="1"/>
  <c r="E18" i="5"/>
  <c r="F18" i="5" s="1"/>
  <c r="G18" i="5" s="1"/>
  <c r="E22" i="5"/>
  <c r="F22" i="5" s="1"/>
  <c r="G22" i="5" s="1"/>
  <c r="E26" i="5"/>
  <c r="F26" i="5" s="1"/>
  <c r="G26" i="5" s="1"/>
  <c r="E34" i="5"/>
  <c r="F34" i="5" s="1"/>
  <c r="G34" i="5" s="1"/>
  <c r="E38" i="5"/>
  <c r="F38" i="5" s="1"/>
  <c r="G38" i="5" s="1"/>
  <c r="E42" i="5"/>
  <c r="F42" i="5" s="1"/>
  <c r="G42" i="5" s="1"/>
  <c r="J50" i="5"/>
  <c r="F51" i="5"/>
  <c r="G51" i="5" s="1"/>
  <c r="J54" i="5"/>
  <c r="F55" i="5"/>
  <c r="G55" i="5" s="1"/>
  <c r="J58" i="5"/>
  <c r="F59" i="5"/>
  <c r="G59" i="5" s="1"/>
  <c r="K11" i="3"/>
  <c r="K27" i="3"/>
  <c r="K43" i="3"/>
  <c r="K59" i="3"/>
  <c r="K75" i="3"/>
  <c r="K91" i="3"/>
  <c r="H105" i="3"/>
  <c r="K107" i="3"/>
  <c r="H137" i="3"/>
  <c r="E140" i="3"/>
  <c r="H169" i="3"/>
  <c r="E172" i="3"/>
  <c r="H141" i="3"/>
  <c r="E144" i="3"/>
  <c r="K102" i="3"/>
  <c r="E102" i="3"/>
  <c r="K118" i="3"/>
  <c r="E118" i="3"/>
  <c r="H128" i="3"/>
  <c r="E124" i="3"/>
  <c r="H133" i="3"/>
  <c r="E136" i="3"/>
  <c r="H156" i="3"/>
  <c r="H165" i="3"/>
  <c r="E168" i="3"/>
  <c r="N23" i="2"/>
  <c r="O23" i="2" s="1"/>
  <c r="J19" i="2"/>
  <c r="K19" i="2" s="1"/>
  <c r="G39" i="2"/>
  <c r="F39" i="2"/>
  <c r="N55" i="2"/>
  <c r="O55" i="2" s="1"/>
  <c r="G71" i="2"/>
  <c r="F71" i="2"/>
  <c r="N87" i="2"/>
  <c r="O87" i="2" s="1"/>
  <c r="G103" i="2"/>
  <c r="F103" i="2"/>
  <c r="N119" i="2"/>
  <c r="O119" i="2" s="1"/>
  <c r="G135" i="2"/>
  <c r="F135" i="2"/>
  <c r="F190" i="2"/>
  <c r="G190" i="2"/>
  <c r="J70" i="2"/>
  <c r="K70" i="2" s="1"/>
  <c r="J102" i="2"/>
  <c r="K102" i="2" s="1"/>
  <c r="J134" i="2"/>
  <c r="K134" i="2" s="1"/>
  <c r="N146" i="2"/>
  <c r="O146" i="2" s="1"/>
  <c r="G154" i="2"/>
  <c r="F154" i="2"/>
  <c r="N162" i="2"/>
  <c r="O162" i="2" s="1"/>
  <c r="J22" i="2"/>
  <c r="K22" i="2" s="1"/>
  <c r="N35" i="2"/>
  <c r="O35" i="2" s="1"/>
  <c r="G51" i="2"/>
  <c r="F51" i="2"/>
  <c r="N67" i="2"/>
  <c r="O67" i="2" s="1"/>
  <c r="G83" i="2"/>
  <c r="F83" i="2"/>
  <c r="N99" i="2"/>
  <c r="O99" i="2" s="1"/>
  <c r="G115" i="2"/>
  <c r="F115" i="2"/>
  <c r="N131" i="2"/>
  <c r="O131" i="2" s="1"/>
  <c r="N11" i="2"/>
  <c r="O11" i="2" s="1"/>
  <c r="L225" i="2"/>
  <c r="G150" i="2"/>
  <c r="F150" i="2"/>
  <c r="N166" i="2"/>
  <c r="O166" i="2" s="1"/>
  <c r="J192" i="2"/>
  <c r="K192" i="2" s="1"/>
  <c r="F170" i="2"/>
  <c r="G170" i="2"/>
  <c r="G142" i="2"/>
  <c r="G178" i="14"/>
  <c r="J209" i="11"/>
  <c r="H209" i="11"/>
  <c r="H210" i="11" s="1"/>
  <c r="J212" i="10"/>
  <c r="R19" i="12"/>
  <c r="R41" i="12"/>
  <c r="S57" i="12"/>
  <c r="R23" i="12"/>
  <c r="S49" i="12"/>
  <c r="R93" i="12"/>
  <c r="R109" i="12"/>
  <c r="P80" i="12"/>
  <c r="R45" i="12"/>
  <c r="R121" i="12"/>
  <c r="B16" i="28"/>
  <c r="C16" i="28"/>
  <c r="Q136" i="12"/>
  <c r="R147" i="12"/>
  <c r="R155" i="12"/>
  <c r="R163" i="12"/>
  <c r="R171" i="12"/>
  <c r="N159" i="12"/>
  <c r="N163" i="12"/>
  <c r="M130" i="12"/>
  <c r="N73" i="12"/>
  <c r="L62" i="12"/>
  <c r="L46" i="12"/>
  <c r="N7" i="12"/>
  <c r="N37" i="12"/>
  <c r="M65" i="12"/>
  <c r="M49" i="12"/>
  <c r="M33" i="12"/>
  <c r="Q7" i="12"/>
  <c r="S74" i="12"/>
  <c r="E124" i="7"/>
  <c r="I124" i="7"/>
  <c r="M124" i="7"/>
  <c r="F124" i="7"/>
  <c r="K124" i="7"/>
  <c r="J124" i="12" s="1"/>
  <c r="B124" i="7"/>
  <c r="G124" i="7"/>
  <c r="L124" i="7"/>
  <c r="K124" i="12" s="1"/>
  <c r="C124" i="7"/>
  <c r="H124" i="7"/>
  <c r="N124" i="7"/>
  <c r="D124" i="7"/>
  <c r="J124" i="7"/>
  <c r="O124" i="7"/>
  <c r="I141" i="12"/>
  <c r="K136" i="12"/>
  <c r="J129" i="12"/>
  <c r="I120" i="12"/>
  <c r="I112" i="12"/>
  <c r="K131" i="12"/>
  <c r="H123" i="12"/>
  <c r="H117" i="12"/>
  <c r="K135" i="12"/>
  <c r="I135" i="12"/>
  <c r="I119" i="12"/>
  <c r="J56" i="12"/>
  <c r="I117" i="12"/>
  <c r="K52" i="12"/>
  <c r="H57" i="12"/>
  <c r="K48" i="12"/>
  <c r="J31" i="12"/>
  <c r="J23" i="12"/>
  <c r="J15" i="12"/>
  <c r="J7" i="12"/>
  <c r="H38" i="12"/>
  <c r="J25" i="12"/>
  <c r="J17" i="12"/>
  <c r="J53" i="12"/>
  <c r="J37" i="12"/>
  <c r="H21" i="12"/>
  <c r="J47" i="12"/>
  <c r="J41" i="12"/>
  <c r="H37" i="12"/>
  <c r="I20" i="12"/>
  <c r="I12" i="12"/>
  <c r="I45" i="12"/>
  <c r="I29" i="12"/>
  <c r="I13" i="12"/>
  <c r="I31" i="12"/>
  <c r="I23" i="12"/>
  <c r="I15" i="12"/>
  <c r="P53" i="5"/>
  <c r="N191" i="5"/>
  <c r="G231" i="3"/>
  <c r="G232" i="3" s="1"/>
  <c r="J231" i="3"/>
  <c r="J232" i="3" s="1"/>
  <c r="F50" i="5"/>
  <c r="G50" i="5" s="1"/>
  <c r="J53" i="5"/>
  <c r="J57" i="5"/>
  <c r="M60" i="5"/>
  <c r="J61" i="5"/>
  <c r="E17" i="3"/>
  <c r="K22" i="3"/>
  <c r="E33" i="3"/>
  <c r="K38" i="3"/>
  <c r="E49" i="3"/>
  <c r="K54" i="3"/>
  <c r="E65" i="3"/>
  <c r="K70" i="3"/>
  <c r="E81" i="3"/>
  <c r="K86" i="3"/>
  <c r="G19" i="2"/>
  <c r="F19" i="2"/>
  <c r="G47" i="2"/>
  <c r="F47" i="2"/>
  <c r="G79" i="2"/>
  <c r="F79" i="2"/>
  <c r="G111" i="2"/>
  <c r="F111" i="2"/>
  <c r="G143" i="2"/>
  <c r="F143" i="2"/>
  <c r="F41" i="2"/>
  <c r="J46" i="2"/>
  <c r="K46" i="2" s="1"/>
  <c r="J78" i="2"/>
  <c r="K78" i="2" s="1"/>
  <c r="J110" i="2"/>
  <c r="K110" i="2" s="1"/>
  <c r="J142" i="2"/>
  <c r="K142" i="2" s="1"/>
  <c r="J146" i="2"/>
  <c r="K146" i="2" s="1"/>
  <c r="J162" i="2"/>
  <c r="K162" i="2" s="1"/>
  <c r="G22" i="2"/>
  <c r="F22" i="2"/>
  <c r="G27" i="2"/>
  <c r="F27" i="2"/>
  <c r="N43" i="2"/>
  <c r="O43" i="2" s="1"/>
  <c r="G59" i="2"/>
  <c r="F59" i="2"/>
  <c r="N75" i="2"/>
  <c r="O75" i="2" s="1"/>
  <c r="G91" i="2"/>
  <c r="F91" i="2"/>
  <c r="N107" i="2"/>
  <c r="O107" i="2" s="1"/>
  <c r="G123" i="2"/>
  <c r="F123" i="2"/>
  <c r="N139" i="2"/>
  <c r="O139" i="2" s="1"/>
  <c r="F156" i="2"/>
  <c r="G156" i="2"/>
  <c r="N172" i="2"/>
  <c r="O172" i="2" s="1"/>
  <c r="N178" i="2"/>
  <c r="O178" i="2" s="1"/>
  <c r="N180" i="2"/>
  <c r="O180" i="2" s="1"/>
  <c r="N186" i="2"/>
  <c r="O186" i="2" s="1"/>
  <c r="N188" i="2"/>
  <c r="O188" i="2" s="1"/>
  <c r="M225" i="2"/>
  <c r="I225" i="2"/>
  <c r="J11" i="2"/>
  <c r="K11" i="2" s="1"/>
  <c r="H225" i="2"/>
  <c r="B3" i="28"/>
  <c r="F192" i="2"/>
  <c r="G192" i="2"/>
  <c r="G59" i="14"/>
  <c r="G86" i="14"/>
  <c r="G118" i="14"/>
  <c r="G152" i="14"/>
  <c r="D209" i="11"/>
  <c r="E209" i="11"/>
  <c r="E210" i="11" s="1"/>
  <c r="S73" i="12"/>
  <c r="R89" i="12"/>
  <c r="R105" i="12"/>
  <c r="P72" i="12"/>
  <c r="E32" i="7"/>
  <c r="I32" i="7"/>
  <c r="M32" i="7"/>
  <c r="D32" i="7"/>
  <c r="J32" i="7"/>
  <c r="O32" i="7"/>
  <c r="F32" i="7"/>
  <c r="K32" i="7"/>
  <c r="J32" i="12" s="1"/>
  <c r="B32" i="7"/>
  <c r="G32" i="7"/>
  <c r="C4" i="21" s="1"/>
  <c r="L32" i="7"/>
  <c r="C32" i="7"/>
  <c r="H32" i="7"/>
  <c r="H32" i="12" s="1"/>
  <c r="N32" i="7"/>
  <c r="P45" i="12"/>
  <c r="B15" i="28"/>
  <c r="E210" i="6"/>
  <c r="C210" i="6"/>
  <c r="N151" i="12"/>
  <c r="L61" i="12"/>
  <c r="M45" i="12"/>
  <c r="H191" i="5"/>
  <c r="H192" i="5" s="1"/>
  <c r="J37" i="5"/>
  <c r="K138" i="12"/>
  <c r="H135" i="12"/>
  <c r="J123" i="12"/>
  <c r="J117" i="12"/>
  <c r="I122" i="12"/>
  <c r="K134" i="12"/>
  <c r="J48" i="12"/>
  <c r="H54" i="12"/>
  <c r="H45" i="12"/>
  <c r="I56" i="12"/>
  <c r="I47" i="12"/>
  <c r="I38" i="12"/>
  <c r="I30" i="12"/>
  <c r="I22" i="12"/>
  <c r="I14" i="12"/>
  <c r="K37" i="12"/>
  <c r="H31" i="12"/>
  <c r="H23" i="12"/>
  <c r="H15" i="12"/>
  <c r="H7" i="12"/>
  <c r="H33" i="12"/>
  <c r="H17" i="12"/>
  <c r="H46" i="12"/>
  <c r="K26" i="12"/>
  <c r="K18" i="12"/>
  <c r="K10" i="12"/>
  <c r="I57" i="12"/>
  <c r="I41" i="12"/>
  <c r="I25" i="12"/>
  <c r="K29" i="12"/>
  <c r="K21" i="12"/>
  <c r="K13" i="12"/>
  <c r="K7" i="3"/>
  <c r="I231" i="3"/>
  <c r="E9" i="5"/>
  <c r="F9" i="5" s="1"/>
  <c r="G9" i="5" s="1"/>
  <c r="E25" i="5"/>
  <c r="F25" i="5" s="1"/>
  <c r="G25" i="5" s="1"/>
  <c r="E41" i="5"/>
  <c r="F41" i="5" s="1"/>
  <c r="G41" i="5" s="1"/>
  <c r="E57" i="5"/>
  <c r="F57" i="5" s="1"/>
  <c r="G57" i="5" s="1"/>
  <c r="H7" i="3"/>
  <c r="F231" i="3"/>
  <c r="E18" i="3"/>
  <c r="E50" i="3"/>
  <c r="E82" i="3"/>
  <c r="E98" i="3"/>
  <c r="M51" i="5"/>
  <c r="J52" i="5"/>
  <c r="F53" i="5"/>
  <c r="G53" i="5" s="1"/>
  <c r="D191" i="5"/>
  <c r="D192" i="5" s="1"/>
  <c r="M55" i="5"/>
  <c r="J56" i="5"/>
  <c r="J60" i="5"/>
  <c r="F61" i="5"/>
  <c r="G61" i="5" s="1"/>
  <c r="H9" i="3"/>
  <c r="K17" i="3"/>
  <c r="K33" i="3"/>
  <c r="K49" i="3"/>
  <c r="K65" i="3"/>
  <c r="H73" i="3"/>
  <c r="K81" i="3"/>
  <c r="H89" i="3"/>
  <c r="H120" i="3"/>
  <c r="H153" i="3"/>
  <c r="E156" i="3"/>
  <c r="H185" i="3"/>
  <c r="G15" i="2"/>
  <c r="F15" i="2"/>
  <c r="H173" i="3"/>
  <c r="E176" i="3"/>
  <c r="H140" i="3"/>
  <c r="H149" i="3"/>
  <c r="E152" i="3"/>
  <c r="H172" i="3"/>
  <c r="H181" i="3"/>
  <c r="E184" i="3"/>
  <c r="F23" i="2"/>
  <c r="G23" i="2"/>
  <c r="N39" i="2"/>
  <c r="O39" i="2" s="1"/>
  <c r="G55" i="2"/>
  <c r="F55" i="2"/>
  <c r="N71" i="2"/>
  <c r="O71" i="2" s="1"/>
  <c r="G87" i="2"/>
  <c r="F87" i="2"/>
  <c r="N103" i="2"/>
  <c r="O103" i="2" s="1"/>
  <c r="G119" i="2"/>
  <c r="F119" i="2"/>
  <c r="N135" i="2"/>
  <c r="O135" i="2" s="1"/>
  <c r="F174" i="2"/>
  <c r="G174" i="2"/>
  <c r="F176" i="2"/>
  <c r="G176" i="2"/>
  <c r="J30" i="2"/>
  <c r="K30" i="2" s="1"/>
  <c r="K4" i="21"/>
  <c r="J54" i="2"/>
  <c r="K54" i="2" s="1"/>
  <c r="J86" i="2"/>
  <c r="K86" i="2" s="1"/>
  <c r="J118" i="2"/>
  <c r="K118" i="2" s="1"/>
  <c r="G146" i="2"/>
  <c r="F146" i="2"/>
  <c r="N154" i="2"/>
  <c r="O154" i="2" s="1"/>
  <c r="G162" i="2"/>
  <c r="F162" i="2"/>
  <c r="G35" i="2"/>
  <c r="F35" i="2"/>
  <c r="N51" i="2"/>
  <c r="O51" i="2" s="1"/>
  <c r="G67" i="2"/>
  <c r="F67" i="2"/>
  <c r="N83" i="2"/>
  <c r="O83" i="2" s="1"/>
  <c r="G99" i="2"/>
  <c r="F99" i="2"/>
  <c r="N115" i="2"/>
  <c r="O115" i="2" s="1"/>
  <c r="G131" i="2"/>
  <c r="F131" i="2"/>
  <c r="F164" i="2"/>
  <c r="G164" i="2"/>
  <c r="G11" i="2"/>
  <c r="F11" i="2"/>
  <c r="N150" i="2"/>
  <c r="O150" i="2" s="1"/>
  <c r="G166" i="2"/>
  <c r="F166" i="2"/>
  <c r="J156" i="2"/>
  <c r="K156" i="2" s="1"/>
  <c r="J164" i="2"/>
  <c r="K164" i="2" s="1"/>
  <c r="N170" i="2"/>
  <c r="O170" i="2" s="1"/>
  <c r="G56" i="14"/>
  <c r="G32" i="14"/>
  <c r="G54" i="14"/>
  <c r="G155" i="14"/>
  <c r="G98" i="14"/>
  <c r="G104" i="14"/>
  <c r="G130" i="14"/>
  <c r="G136" i="14"/>
  <c r="G163" i="14"/>
  <c r="G209" i="11"/>
  <c r="M209" i="11"/>
  <c r="F94" i="8"/>
  <c r="F95" i="8" s="1"/>
  <c r="I94" i="8"/>
  <c r="S33" i="12"/>
  <c r="R85" i="12"/>
  <c r="E40" i="7"/>
  <c r="I40" i="7"/>
  <c r="I40" i="12" s="1"/>
  <c r="M40" i="7"/>
  <c r="B40" i="7"/>
  <c r="G40" i="7"/>
  <c r="L40" i="7"/>
  <c r="C40" i="7"/>
  <c r="H40" i="7"/>
  <c r="H40" i="12" s="1"/>
  <c r="N40" i="7"/>
  <c r="D40" i="7"/>
  <c r="J40" i="7"/>
  <c r="O40" i="7"/>
  <c r="F40" i="7"/>
  <c r="K40" i="7"/>
  <c r="J40" i="12" s="1"/>
  <c r="P37" i="12"/>
  <c r="Q64" i="12"/>
  <c r="D18" i="28"/>
  <c r="C15" i="28"/>
  <c r="I210" i="6"/>
  <c r="H210" i="6"/>
  <c r="L37" i="12"/>
  <c r="R7" i="12"/>
  <c r="E140" i="7"/>
  <c r="I140" i="7"/>
  <c r="I140" i="12" s="1"/>
  <c r="M140" i="7"/>
  <c r="F140" i="7"/>
  <c r="K140" i="7"/>
  <c r="J140" i="12" s="1"/>
  <c r="B140" i="7"/>
  <c r="G140" i="7"/>
  <c r="L140" i="7"/>
  <c r="K140" i="12" s="1"/>
  <c r="D140" i="7"/>
  <c r="J140" i="7"/>
  <c r="O140" i="7"/>
  <c r="C140" i="7"/>
  <c r="H140" i="7"/>
  <c r="H140" i="12" s="1"/>
  <c r="N140" i="7"/>
  <c r="L7" i="5"/>
  <c r="M7" i="5" s="1"/>
  <c r="J135" i="12"/>
  <c r="I118" i="12"/>
  <c r="J138" i="12"/>
  <c r="I134" i="12"/>
  <c r="K127" i="12"/>
  <c r="J122" i="12"/>
  <c r="I116" i="12"/>
  <c r="I138" i="12"/>
  <c r="I129" i="12"/>
  <c r="H121" i="12"/>
  <c r="H113" i="12"/>
  <c r="J131" i="12"/>
  <c r="H127" i="12"/>
  <c r="K114" i="12"/>
  <c r="I127" i="12"/>
  <c r="H47" i="12"/>
  <c r="I113" i="12"/>
  <c r="J55" i="12"/>
  <c r="K46" i="12"/>
  <c r="I54" i="12"/>
  <c r="J45" i="12"/>
  <c r="J27" i="12"/>
  <c r="J19" i="12"/>
  <c r="J11" i="12"/>
  <c r="I42" i="12"/>
  <c r="J29" i="12"/>
  <c r="J21" i="12"/>
  <c r="J13" i="12"/>
  <c r="K41" i="12"/>
  <c r="H29" i="12"/>
  <c r="H13" i="12"/>
  <c r="K45" i="12"/>
  <c r="I24" i="12"/>
  <c r="I16" i="12"/>
  <c r="I8" i="12"/>
  <c r="I53" i="12"/>
  <c r="I37" i="12"/>
  <c r="I21" i="12"/>
  <c r="I35" i="12"/>
  <c r="I27" i="12"/>
  <c r="I19" i="12"/>
  <c r="I11" i="12"/>
  <c r="E58" i="5"/>
  <c r="F58" i="5" s="1"/>
  <c r="K191" i="5"/>
  <c r="K192" i="5" s="1"/>
  <c r="E121" i="5"/>
  <c r="F121" i="5" s="1"/>
  <c r="G121" i="5" s="1"/>
  <c r="E125" i="5"/>
  <c r="F125" i="5" s="1"/>
  <c r="G125" i="5" s="1"/>
  <c r="E129" i="5"/>
  <c r="F129" i="5" s="1"/>
  <c r="G129" i="5" s="1"/>
  <c r="D8" i="28"/>
  <c r="M50" i="5"/>
  <c r="J51" i="5"/>
  <c r="F52" i="5"/>
  <c r="G52" i="5" s="1"/>
  <c r="J55" i="5"/>
  <c r="F56" i="5"/>
  <c r="G56" i="5" s="1"/>
  <c r="J59" i="5"/>
  <c r="F60" i="5"/>
  <c r="G60" i="5" s="1"/>
  <c r="E107" i="3"/>
  <c r="E6" i="6"/>
  <c r="B6" i="7"/>
  <c r="H124" i="3"/>
  <c r="N18" i="2"/>
  <c r="O18" i="2" s="1"/>
  <c r="G31" i="2"/>
  <c r="F31" i="2"/>
  <c r="J41" i="2"/>
  <c r="K41" i="2" s="1"/>
  <c r="G63" i="2"/>
  <c r="F63" i="2"/>
  <c r="G95" i="2"/>
  <c r="F95" i="2"/>
  <c r="G127" i="2"/>
  <c r="F127" i="2"/>
  <c r="F182" i="2"/>
  <c r="G182" i="2"/>
  <c r="F184" i="2"/>
  <c r="G184" i="2"/>
  <c r="G14" i="2"/>
  <c r="F14" i="2"/>
  <c r="J38" i="2"/>
  <c r="K38" i="2" s="1"/>
  <c r="J62" i="2"/>
  <c r="K62" i="2" s="1"/>
  <c r="J94" i="2"/>
  <c r="K94" i="2" s="1"/>
  <c r="J126" i="2"/>
  <c r="K126" i="2" s="1"/>
  <c r="J148" i="2"/>
  <c r="K148" i="2" s="1"/>
  <c r="J154" i="2"/>
  <c r="K154" i="2" s="1"/>
  <c r="N27" i="2"/>
  <c r="O27" i="2" s="1"/>
  <c r="G43" i="2"/>
  <c r="F43" i="2"/>
  <c r="N59" i="2"/>
  <c r="O59" i="2" s="1"/>
  <c r="G75" i="2"/>
  <c r="F75" i="2"/>
  <c r="N91" i="2"/>
  <c r="O91" i="2" s="1"/>
  <c r="G107" i="2"/>
  <c r="F107" i="2"/>
  <c r="N123" i="2"/>
  <c r="O123" i="2" s="1"/>
  <c r="G139" i="2"/>
  <c r="F139" i="2"/>
  <c r="F172" i="2"/>
  <c r="G172" i="2"/>
  <c r="F178" i="2"/>
  <c r="G178" i="2"/>
  <c r="F180" i="2"/>
  <c r="G180" i="2"/>
  <c r="F186" i="2"/>
  <c r="G186" i="2"/>
  <c r="F188" i="2"/>
  <c r="G188" i="2"/>
  <c r="F17" i="2"/>
  <c r="G17" i="2"/>
  <c r="G158" i="2"/>
  <c r="F158" i="2"/>
  <c r="J170" i="2"/>
  <c r="K170" i="2" s="1"/>
  <c r="G41" i="2"/>
  <c r="J9" i="12" l="1"/>
  <c r="K167" i="12"/>
  <c r="H115" i="12"/>
  <c r="I181" i="12"/>
  <c r="K115" i="12"/>
  <c r="K123" i="12"/>
  <c r="H109" i="12"/>
  <c r="K139" i="12"/>
  <c r="J139" i="12"/>
  <c r="J152" i="12"/>
  <c r="K155" i="12"/>
  <c r="K101" i="12"/>
  <c r="J171" i="12"/>
  <c r="K117" i="12"/>
  <c r="H101" i="12"/>
  <c r="H146" i="12"/>
  <c r="I123" i="12"/>
  <c r="K109" i="12"/>
  <c r="H139" i="12"/>
  <c r="I146" i="12"/>
  <c r="J146" i="12"/>
  <c r="H152" i="12"/>
  <c r="J164" i="12"/>
  <c r="K164" i="12"/>
  <c r="I139" i="12"/>
  <c r="J109" i="12"/>
  <c r="J114" i="12"/>
  <c r="J125" i="12"/>
  <c r="I121" i="12"/>
  <c r="C18" i="28"/>
  <c r="B4" i="28"/>
  <c r="J175" i="12"/>
  <c r="H185" i="12"/>
  <c r="K180" i="12"/>
  <c r="H178" i="12"/>
  <c r="K178" i="12"/>
  <c r="B234" i="2"/>
  <c r="D234" i="2"/>
  <c r="K54" i="12"/>
  <c r="D7" i="28"/>
  <c r="J66" i="12"/>
  <c r="L191" i="5"/>
  <c r="L192" i="5" s="1"/>
  <c r="M192" i="5" s="1"/>
  <c r="H80" i="12"/>
  <c r="H75" i="12"/>
  <c r="O192" i="12"/>
  <c r="O193" i="12" s="1"/>
  <c r="M94" i="5"/>
  <c r="I212" i="10"/>
  <c r="J159" i="12"/>
  <c r="I167" i="12"/>
  <c r="J186" i="12"/>
  <c r="H39" i="12"/>
  <c r="I66" i="12"/>
  <c r="J39" i="12"/>
  <c r="L212" i="10"/>
  <c r="K66" i="12"/>
  <c r="J94" i="8"/>
  <c r="C103" i="8" s="1"/>
  <c r="I142" i="12"/>
  <c r="J153" i="12"/>
  <c r="K153" i="12"/>
  <c r="I168" i="12"/>
  <c r="H35" i="12"/>
  <c r="I164" i="12"/>
  <c r="I172" i="12"/>
  <c r="H62" i="12"/>
  <c r="H67" i="12"/>
  <c r="I147" i="12"/>
  <c r="K148" i="12"/>
  <c r="I155" i="12"/>
  <c r="H150" i="12"/>
  <c r="H158" i="12"/>
  <c r="K168" i="12"/>
  <c r="K177" i="12"/>
  <c r="I43" i="12"/>
  <c r="J116" i="12"/>
  <c r="H43" i="12"/>
  <c r="J35" i="12"/>
  <c r="K40" i="12"/>
  <c r="K43" i="12"/>
  <c r="H28" i="12"/>
  <c r="H30" i="12"/>
  <c r="J147" i="12"/>
  <c r="J150" i="12"/>
  <c r="J158" i="12"/>
  <c r="J168" i="12"/>
  <c r="J43" i="12"/>
  <c r="K116" i="12"/>
  <c r="H124" i="12"/>
  <c r="H130" i="12"/>
  <c r="I124" i="12"/>
  <c r="I130" i="12"/>
  <c r="J130" i="12"/>
  <c r="K62" i="12"/>
  <c r="K67" i="12"/>
  <c r="H66" i="12"/>
  <c r="H71" i="12"/>
  <c r="K147" i="12"/>
  <c r="H147" i="12"/>
  <c r="H174" i="12"/>
  <c r="H183" i="12"/>
  <c r="K174" i="12"/>
  <c r="K183" i="12"/>
  <c r="J137" i="12"/>
  <c r="J144" i="12"/>
  <c r="J126" i="12"/>
  <c r="J132" i="12"/>
  <c r="H116" i="12"/>
  <c r="K39" i="12"/>
  <c r="K42" i="12"/>
  <c r="H168" i="12"/>
  <c r="H177" i="12"/>
  <c r="K32" i="12"/>
  <c r="K35" i="12"/>
  <c r="J28" i="12"/>
  <c r="J30" i="12"/>
  <c r="K150" i="12"/>
  <c r="K158" i="12"/>
  <c r="K44" i="12"/>
  <c r="K47" i="12"/>
  <c r="H108" i="12"/>
  <c r="J177" i="12"/>
  <c r="F212" i="10"/>
  <c r="O212" i="10"/>
  <c r="E216" i="7"/>
  <c r="E217" i="7" s="1"/>
  <c r="B227" i="7" s="1"/>
  <c r="N225" i="2"/>
  <c r="O225" i="2" s="1"/>
  <c r="A103" i="8"/>
  <c r="C216" i="7"/>
  <c r="C217" i="7" s="1"/>
  <c r="M192" i="12"/>
  <c r="M193" i="12" s="1"/>
  <c r="N216" i="7"/>
  <c r="O216" i="7" s="1"/>
  <c r="O217" i="7" s="1"/>
  <c r="I216" i="7"/>
  <c r="I217" i="7" s="1"/>
  <c r="C228" i="7" s="1"/>
  <c r="L192" i="12"/>
  <c r="L193" i="12" s="1"/>
  <c r="F216" i="7"/>
  <c r="F217" i="7" s="1"/>
  <c r="C227" i="7" s="1"/>
  <c r="B216" i="7"/>
  <c r="B217" i="7" s="1"/>
  <c r="G58" i="5"/>
  <c r="F191" i="5"/>
  <c r="C218" i="6"/>
  <c r="J210" i="6"/>
  <c r="L216" i="7"/>
  <c r="D210" i="11"/>
  <c r="F210" i="11" s="1"/>
  <c r="F209" i="11"/>
  <c r="N192" i="5"/>
  <c r="P192" i="5" s="1"/>
  <c r="P191" i="5"/>
  <c r="K216" i="7"/>
  <c r="K217" i="7" s="1"/>
  <c r="B229" i="7" s="1"/>
  <c r="G210" i="6"/>
  <c r="C217" i="6"/>
  <c r="G95" i="8"/>
  <c r="H6" i="6"/>
  <c r="K6" i="6"/>
  <c r="I32" i="12"/>
  <c r="M210" i="11"/>
  <c r="O210" i="11" s="1"/>
  <c r="O209" i="11"/>
  <c r="H231" i="3"/>
  <c r="F232" i="3"/>
  <c r="H232" i="3" s="1"/>
  <c r="B217" i="6"/>
  <c r="G231" i="2"/>
  <c r="H216" i="7"/>
  <c r="H217" i="7" s="1"/>
  <c r="B228" i="7" s="1"/>
  <c r="J225" i="2"/>
  <c r="K225" i="2" s="1"/>
  <c r="D210" i="6" s="1"/>
  <c r="C219" i="6"/>
  <c r="M210" i="6"/>
  <c r="G94" i="8"/>
  <c r="B103" i="8"/>
  <c r="I95" i="8"/>
  <c r="J95" i="8" s="1"/>
  <c r="K231" i="3"/>
  <c r="I232" i="3"/>
  <c r="K232" i="3" s="1"/>
  <c r="J191" i="5"/>
  <c r="I192" i="5"/>
  <c r="J192" i="5" s="1"/>
  <c r="B6" i="8"/>
  <c r="K6" i="7"/>
  <c r="E6" i="7"/>
  <c r="H6" i="7"/>
  <c r="B218" i="6"/>
  <c r="G232" i="2"/>
  <c r="F232" i="2" s="1"/>
  <c r="I209" i="11"/>
  <c r="G210" i="11"/>
  <c r="I210" i="11" s="1"/>
  <c r="N192" i="12"/>
  <c r="N193" i="12" s="1"/>
  <c r="L209" i="11"/>
  <c r="J210" i="11"/>
  <c r="L210" i="11" s="1"/>
  <c r="B219" i="6"/>
  <c r="G233" i="2"/>
  <c r="F233" i="2" s="1"/>
  <c r="M191" i="5" l="1"/>
  <c r="J192" i="12"/>
  <c r="J193" i="12" s="1"/>
  <c r="H192" i="12"/>
  <c r="H193" i="12" s="1"/>
  <c r="K192" i="12"/>
  <c r="K193" i="12" s="1"/>
  <c r="I192" i="12"/>
  <c r="I193" i="12" s="1"/>
  <c r="N217" i="7"/>
  <c r="B230" i="7"/>
  <c r="D216" i="7"/>
  <c r="D217" i="7" s="1"/>
  <c r="G216" i="7"/>
  <c r="G217" i="7" s="1"/>
  <c r="B6" i="10"/>
  <c r="C6" i="8"/>
  <c r="E6" i="8"/>
  <c r="H6" i="8" s="1"/>
  <c r="G234" i="2"/>
  <c r="F231" i="2"/>
  <c r="F234" i="2" s="1"/>
  <c r="D227" i="7"/>
  <c r="J216" i="7"/>
  <c r="J217" i="7" s="1"/>
  <c r="G191" i="5"/>
  <c r="F192" i="5"/>
  <c r="G192" i="5" s="1"/>
  <c r="M216" i="7"/>
  <c r="M217" i="7" s="1"/>
  <c r="L217" i="7"/>
  <c r="C229" i="7" s="1"/>
  <c r="D229" i="7" s="1"/>
  <c r="H233" i="2" s="1"/>
  <c r="D217" i="6"/>
  <c r="H231" i="2" s="1"/>
  <c r="C220" i="6"/>
  <c r="D219" i="6"/>
  <c r="B220" i="6"/>
  <c r="D218" i="6"/>
  <c r="H232" i="2" s="1"/>
  <c r="D228" i="7"/>
  <c r="C230" i="7" l="1"/>
  <c r="D230" i="7" s="1"/>
  <c r="D220" i="6"/>
  <c r="H234" i="2" s="1"/>
  <c r="B6" i="11"/>
  <c r="D6" i="10"/>
  <c r="B6" i="12" l="1"/>
  <c r="D6" i="11"/>
  <c r="M6" i="10"/>
  <c r="G6" i="10"/>
  <c r="J6" i="10"/>
  <c r="M6" i="11" l="1"/>
  <c r="G6" i="11"/>
  <c r="J6" i="11"/>
  <c r="B5" i="13"/>
  <c r="C5" i="13" s="1"/>
  <c r="E6" i="12"/>
  <c r="H6" i="12" l="1"/>
  <c r="L6" i="12"/>
  <c r="N6" i="12"/>
  <c r="J6" i="12"/>
</calcChain>
</file>

<file path=xl/connections.xml><?xml version="1.0" encoding="utf-8"?>
<connections xmlns="http://schemas.openxmlformats.org/spreadsheetml/2006/main">
  <connection id="1" odcFile="C:\Users\Ambujkumar\Downloads\Expry Roll  (19).iqy" name="Expry Roll  (19)" type="4" refreshedVersion="4" background="1" saveData="1">
    <webPr consecutive="1" xl2000="1" url="https://myfno.com/api/stats?&amp;days=1d&amp;units=shares&amp;data=z,d,9,p,o,v,b,r,l,i,h,j,g,a,5,6,7,8,w,n,s,f,c,u,e,k,1,2,3,4,0,m" htmlFormat="all"/>
  </connection>
  <connection id="2" odcFile="C:\Users\Ambujkumar\Downloads\Expry Roll  (20).iqy" name="Expry Roll  (20)" type="4" refreshedVersion="4" background="1" saveData="1">
    <webPr consecutive="1" xl2000="1" url="https://myfno.com/api/stats?&amp;list=NIFTY_&amp;days=1d&amp;data=z,d,p,o,v,b,r,l,i,h,j,a,5,6,7,8,w,n,s,f,c,u,1,2,3,4,0,m" htmlTables="1" htmlFormat="all"/>
  </connection>
  <connection id="3" odcFile="C:\Users\Ambujkumar\Downloads\fii.iqy" name="fii" type="4" refreshedVersion="4" background="1" saveData="1">
    <webPr consecutive="1" xl2000="1" url="https://myfno.com/api/fii?&amp;days=1d" htmlTables="1" htmlFormat="all"/>
  </connection>
  <connection id="4" odcFile="C:\Users\Ambujkumar\Downloads\stats (2).iqy" name="stats (2)" type="4" refreshedVersion="4" background="1" saveData="1">
    <webPr consecutive="1" xl2000="1" url="https://myfno.com/api/stats?&amp;days=1d&amp;units=value&amp;inr=cr&amp;data=z,d,9,x,p,o,v,b,r,l,i,h,j,g,a,5,6,7,8,w,n,s,f,c,u,e,k,1,2,3,4,0,m" htmlFormat="all"/>
  </connection>
</connections>
</file>

<file path=xl/sharedStrings.xml><?xml version="1.0" encoding="utf-8"?>
<sst xmlns="http://schemas.openxmlformats.org/spreadsheetml/2006/main" count="3463" uniqueCount="692">
  <si>
    <t>date</t>
  </si>
  <si>
    <t>sector</t>
  </si>
  <si>
    <t>symbol</t>
  </si>
  <si>
    <t>lots</t>
  </si>
  <si>
    <t>dte</t>
  </si>
  <si>
    <t>price</t>
  </si>
  <si>
    <t>price prev</t>
  </si>
  <si>
    <t>price chg</t>
  </si>
  <si>
    <t>price %</t>
  </si>
  <si>
    <t>spot</t>
  </si>
  <si>
    <t>spot prev</t>
  </si>
  <si>
    <t>spot chg</t>
  </si>
  <si>
    <t>spot %</t>
  </si>
  <si>
    <t>future near price</t>
  </si>
  <si>
    <t>future near prev</t>
  </si>
  <si>
    <t>future near chg</t>
  </si>
  <si>
    <t>future near %</t>
  </si>
  <si>
    <t>future next price</t>
  </si>
  <si>
    <t>future next prev</t>
  </si>
  <si>
    <t>future next chg</t>
  </si>
  <si>
    <t>future next %</t>
  </si>
  <si>
    <t>future far price</t>
  </si>
  <si>
    <t>future far prev</t>
  </si>
  <si>
    <t>future far chg</t>
  </si>
  <si>
    <t>future far %</t>
  </si>
  <si>
    <t>basis</t>
  </si>
  <si>
    <t>basis prev</t>
  </si>
  <si>
    <t>basis chg</t>
  </si>
  <si>
    <t>basis %</t>
  </si>
  <si>
    <t>coc near</t>
  </si>
  <si>
    <t>coc near prev</t>
  </si>
  <si>
    <t>coc near chg</t>
  </si>
  <si>
    <t>coc near %</t>
  </si>
  <si>
    <t>coc next</t>
  </si>
  <si>
    <t>coc next prev</t>
  </si>
  <si>
    <t>coc next chg</t>
  </si>
  <si>
    <t>coc next %</t>
  </si>
  <si>
    <t>coc far</t>
  </si>
  <si>
    <t>coc far prev</t>
  </si>
  <si>
    <t>coc far chg</t>
  </si>
  <si>
    <t>coc far %</t>
  </si>
  <si>
    <t>vwap</t>
  </si>
  <si>
    <t>vwap next</t>
  </si>
  <si>
    <t>vwap spot</t>
  </si>
  <si>
    <t>volume</t>
  </si>
  <si>
    <t>volume prev</t>
  </si>
  <si>
    <t>volume chg</t>
  </si>
  <si>
    <t>volume %</t>
  </si>
  <si>
    <t>volume near</t>
  </si>
  <si>
    <t>volume near prev</t>
  </si>
  <si>
    <t>volume near chg</t>
  </si>
  <si>
    <t>volume near %</t>
  </si>
  <si>
    <t>volume next</t>
  </si>
  <si>
    <t>volume next prev</t>
  </si>
  <si>
    <t>volume next chg</t>
  </si>
  <si>
    <t>volume next %</t>
  </si>
  <si>
    <t>volume far</t>
  </si>
  <si>
    <t>volume far prev</t>
  </si>
  <si>
    <t>volume far chg</t>
  </si>
  <si>
    <t>volume far %</t>
  </si>
  <si>
    <t>volume call</t>
  </si>
  <si>
    <t>volume call prev</t>
  </si>
  <si>
    <t>volume call chg</t>
  </si>
  <si>
    <t>volume call %</t>
  </si>
  <si>
    <t>volume put</t>
  </si>
  <si>
    <t>volume put prev</t>
  </si>
  <si>
    <t>volume put chg</t>
  </si>
  <si>
    <t>volume put %</t>
  </si>
  <si>
    <t>volume total</t>
  </si>
  <si>
    <t>volume total prev</t>
  </si>
  <si>
    <t>volume total chg</t>
  </si>
  <si>
    <t>volume total %</t>
  </si>
  <si>
    <t>volume spot</t>
  </si>
  <si>
    <t>volume spot prev</t>
  </si>
  <si>
    <t>volume spot chg</t>
  </si>
  <si>
    <t>volume spot %</t>
  </si>
  <si>
    <t>oi</t>
  </si>
  <si>
    <t>oi prev</t>
  </si>
  <si>
    <t>oi chg</t>
  </si>
  <si>
    <t>oi %</t>
  </si>
  <si>
    <t>oi near</t>
  </si>
  <si>
    <t>oi near prev</t>
  </si>
  <si>
    <t>oi near chg</t>
  </si>
  <si>
    <t>oi near %</t>
  </si>
  <si>
    <t>oi next</t>
  </si>
  <si>
    <t>oi next prev</t>
  </si>
  <si>
    <t>oi next chg</t>
  </si>
  <si>
    <t>oi next %</t>
  </si>
  <si>
    <t>oi far</t>
  </si>
  <si>
    <t>oi far prev</t>
  </si>
  <si>
    <t>oi far chg</t>
  </si>
  <si>
    <t>oi far %</t>
  </si>
  <si>
    <t>oi call</t>
  </si>
  <si>
    <t>oi call prev</t>
  </si>
  <si>
    <t>oi call chg</t>
  </si>
  <si>
    <t>oi call %</t>
  </si>
  <si>
    <t>oi put</t>
  </si>
  <si>
    <t>oi put prev</t>
  </si>
  <si>
    <t>oi put chg</t>
  </si>
  <si>
    <t>oi put %</t>
  </si>
  <si>
    <t>oi total</t>
  </si>
  <si>
    <t>oi total prev</t>
  </si>
  <si>
    <t>oi total chg</t>
  </si>
  <si>
    <t>oi total %</t>
  </si>
  <si>
    <t>iv</t>
  </si>
  <si>
    <t>iv prev</t>
  </si>
  <si>
    <t>iv chg</t>
  </si>
  <si>
    <t>iv %</t>
  </si>
  <si>
    <t>hv</t>
  </si>
  <si>
    <t>hv prev</t>
  </si>
  <si>
    <t>iv_hv_diff</t>
  </si>
  <si>
    <t>hv %</t>
  </si>
  <si>
    <t>iv call</t>
  </si>
  <si>
    <t>iv call prev</t>
  </si>
  <si>
    <t>iv call chg</t>
  </si>
  <si>
    <t>iv call %</t>
  </si>
  <si>
    <t>iv put</t>
  </si>
  <si>
    <t>iv put prev</t>
  </si>
  <si>
    <t>iv put chg</t>
  </si>
  <si>
    <t>iv put %</t>
  </si>
  <si>
    <t>pcr oi</t>
  </si>
  <si>
    <t>pcr oi prev</t>
  </si>
  <si>
    <t>pcr oi chg</t>
  </si>
  <si>
    <t>pcr oi %</t>
  </si>
  <si>
    <t>pcr near</t>
  </si>
  <si>
    <t>pcr next</t>
  </si>
  <si>
    <t>pcr vol</t>
  </si>
  <si>
    <t>pcr vol prev</t>
  </si>
  <si>
    <t>pcr vol chg</t>
  </si>
  <si>
    <t>pcr vol %</t>
  </si>
  <si>
    <t>rollover</t>
  </si>
  <si>
    <t>rollover prev</t>
  </si>
  <si>
    <t>rollover cost</t>
  </si>
  <si>
    <t>rollover %</t>
  </si>
  <si>
    <t>roll vwap</t>
  </si>
  <si>
    <t>roll vwap%</t>
  </si>
  <si>
    <t>delivery</t>
  </si>
  <si>
    <t>delivery prev</t>
  </si>
  <si>
    <t>del chg%</t>
  </si>
  <si>
    <t>delivery %</t>
  </si>
  <si>
    <t>volume value call</t>
  </si>
  <si>
    <t>volume value put</t>
  </si>
  <si>
    <t>volume value future</t>
  </si>
  <si>
    <t>volume value total</t>
  </si>
  <si>
    <t>volume value prev</t>
  </si>
  <si>
    <t>volume value chg</t>
  </si>
  <si>
    <t>volume value %</t>
  </si>
  <si>
    <t>oi value call</t>
  </si>
  <si>
    <t>oi value put</t>
  </si>
  <si>
    <t>oi value future</t>
  </si>
  <si>
    <t>oi market limit</t>
  </si>
  <si>
    <t>oi value total</t>
  </si>
  <si>
    <t>oi value prev</t>
  </si>
  <si>
    <t>oi value chg</t>
  </si>
  <si>
    <t>oi value %</t>
  </si>
  <si>
    <t>oi% of limit</t>
  </si>
  <si>
    <t>longshort</t>
  </si>
  <si>
    <t>Cement</t>
  </si>
  <si>
    <t>ACC</t>
  </si>
  <si>
    <t>ADANIENT</t>
  </si>
  <si>
    <t>ADANIPORTS</t>
  </si>
  <si>
    <t>Power</t>
  </si>
  <si>
    <t>Automobile</t>
  </si>
  <si>
    <t>AMARAJABAT</t>
  </si>
  <si>
    <t>AMBUJACEM</t>
  </si>
  <si>
    <t>APOLLOHOSP</t>
  </si>
  <si>
    <t>APOLLOTYRE</t>
  </si>
  <si>
    <t>ASHOKLEY</t>
  </si>
  <si>
    <t>FMCG</t>
  </si>
  <si>
    <t>ASIANPAINT</t>
  </si>
  <si>
    <t>Pharma</t>
  </si>
  <si>
    <t>AUROPHARMA</t>
  </si>
  <si>
    <t>Banking</t>
  </si>
  <si>
    <t>AXISBANK</t>
  </si>
  <si>
    <t>BAJAJ-AUTO</t>
  </si>
  <si>
    <t>Finance</t>
  </si>
  <si>
    <t>BAJAJFINSV</t>
  </si>
  <si>
    <t>BAJFINANCE</t>
  </si>
  <si>
    <t>BALKRISIND</t>
  </si>
  <si>
    <t>BANDHANBNK</t>
  </si>
  <si>
    <t>BANKBARODA</t>
  </si>
  <si>
    <t>Index</t>
  </si>
  <si>
    <t>BANKNIFTY</t>
  </si>
  <si>
    <t>BATAINDIA</t>
  </si>
  <si>
    <t>Capital_Goods</t>
  </si>
  <si>
    <t>BEL</t>
  </si>
  <si>
    <t>BERGEPAINT</t>
  </si>
  <si>
    <t>BHARATFORG</t>
  </si>
  <si>
    <t>Telecom</t>
  </si>
  <si>
    <t>BHARTIARTL</t>
  </si>
  <si>
    <t>BHEL</t>
  </si>
  <si>
    <t>BIOCON</t>
  </si>
  <si>
    <t>BOSCHLTD</t>
  </si>
  <si>
    <t>Oil_Gas</t>
  </si>
  <si>
    <t>BPCL</t>
  </si>
  <si>
    <t>BRITANNIA</t>
  </si>
  <si>
    <t>CANBK</t>
  </si>
  <si>
    <t>Textile</t>
  </si>
  <si>
    <t>CHOLAFIN</t>
  </si>
  <si>
    <t>CIPLA</t>
  </si>
  <si>
    <t>COALINDIA</t>
  </si>
  <si>
    <t>COLPAL</t>
  </si>
  <si>
    <t>CONCOR</t>
  </si>
  <si>
    <t>CUMMINSIND</t>
  </si>
  <si>
    <t>DABUR</t>
  </si>
  <si>
    <t>DIVISLAB</t>
  </si>
  <si>
    <t>Realty</t>
  </si>
  <si>
    <t>DLF</t>
  </si>
  <si>
    <t>DRREDDY</t>
  </si>
  <si>
    <t>EICHERMOT</t>
  </si>
  <si>
    <t>ESCORTS</t>
  </si>
  <si>
    <t>EXIDEIND</t>
  </si>
  <si>
    <t>FEDERALBNK</t>
  </si>
  <si>
    <t>GAIL</t>
  </si>
  <si>
    <t>GLENMARK</t>
  </si>
  <si>
    <t>Infrastructure</t>
  </si>
  <si>
    <t>GMRINFRA</t>
  </si>
  <si>
    <t>GODREJCP</t>
  </si>
  <si>
    <t>GODREJPROP</t>
  </si>
  <si>
    <t>GRASIM</t>
  </si>
  <si>
    <t>HAVELLS</t>
  </si>
  <si>
    <t>Technology</t>
  </si>
  <si>
    <t>HCLTECH</t>
  </si>
  <si>
    <t>HDFC</t>
  </si>
  <si>
    <t>HDFCBANK</t>
  </si>
  <si>
    <t>HDFCLIFE</t>
  </si>
  <si>
    <t>HEROMOTOCO</t>
  </si>
  <si>
    <t>Metals</t>
  </si>
  <si>
    <t>HINDALCO</t>
  </si>
  <si>
    <t>HINDPETRO</t>
  </si>
  <si>
    <t>HINDUNILVR</t>
  </si>
  <si>
    <t>IBULHSGFIN</t>
  </si>
  <si>
    <t>ICICIBANK</t>
  </si>
  <si>
    <t>ICICIPRULI</t>
  </si>
  <si>
    <t>IDEA</t>
  </si>
  <si>
    <t>IDFCFIRSTB</t>
  </si>
  <si>
    <t>IGL</t>
  </si>
  <si>
    <t>none</t>
  </si>
  <si>
    <t>INDIGO</t>
  </si>
  <si>
    <t>INDUSINDBK</t>
  </si>
  <si>
    <t>INFY</t>
  </si>
  <si>
    <t>IOC</t>
  </si>
  <si>
    <t>ITC</t>
  </si>
  <si>
    <t>JINDALSTEL</t>
  </si>
  <si>
    <t>JSWSTEEL</t>
  </si>
  <si>
    <t>JUBLFOOD</t>
  </si>
  <si>
    <t>KOTAKBANK</t>
  </si>
  <si>
    <t>L&amp;TFH</t>
  </si>
  <si>
    <t>LICHSGFIN</t>
  </si>
  <si>
    <t>LT</t>
  </si>
  <si>
    <t>LUPIN</t>
  </si>
  <si>
    <t>M&amp;M</t>
  </si>
  <si>
    <t>M&amp;MFIN</t>
  </si>
  <si>
    <t>MANAPPURAM</t>
  </si>
  <si>
    <t>MARICO</t>
  </si>
  <si>
    <t>MARUTI</t>
  </si>
  <si>
    <t>MCDOWELL-N</t>
  </si>
  <si>
    <t>MFSL</t>
  </si>
  <si>
    <t>MGL</t>
  </si>
  <si>
    <t>MINDTREE</t>
  </si>
  <si>
    <t>MOTHERSUMI</t>
  </si>
  <si>
    <t>MRF</t>
  </si>
  <si>
    <t>MUTHOOTFIN</t>
  </si>
  <si>
    <t>NATIONALUM</t>
  </si>
  <si>
    <t>NAUKRI</t>
  </si>
  <si>
    <t>NESTLEIND</t>
  </si>
  <si>
    <t>NIFTY</t>
  </si>
  <si>
    <t>NMDC</t>
  </si>
  <si>
    <t>NTPC</t>
  </si>
  <si>
    <t>ONGC</t>
  </si>
  <si>
    <t>PAGEIND</t>
  </si>
  <si>
    <t>PEL</t>
  </si>
  <si>
    <t>PETRONET</t>
  </si>
  <si>
    <t>PFC</t>
  </si>
  <si>
    <t>PIDILITIND</t>
  </si>
  <si>
    <t>PNB</t>
  </si>
  <si>
    <t>POWERGRID</t>
  </si>
  <si>
    <t>PVR</t>
  </si>
  <si>
    <t>RAMCOCEM</t>
  </si>
  <si>
    <t>RBLBANK</t>
  </si>
  <si>
    <t>RECLTD</t>
  </si>
  <si>
    <t>RELIANCE</t>
  </si>
  <si>
    <t>SAIL</t>
  </si>
  <si>
    <t>SBIN</t>
  </si>
  <si>
    <t>SHREECEM</t>
  </si>
  <si>
    <t>SIEMENS</t>
  </si>
  <si>
    <t>SRF</t>
  </si>
  <si>
    <t>SRTRANSFIN</t>
  </si>
  <si>
    <t>SUNPHARMA</t>
  </si>
  <si>
    <t>SUNTV</t>
  </si>
  <si>
    <t>TATACHEM</t>
  </si>
  <si>
    <t>TATACONSUM</t>
  </si>
  <si>
    <t>TATAMOTORS</t>
  </si>
  <si>
    <t>TATAPOWER</t>
  </si>
  <si>
    <t>TATASTEEL</t>
  </si>
  <si>
    <t>TCS</t>
  </si>
  <si>
    <t>TECHM</t>
  </si>
  <si>
    <t>TITAN</t>
  </si>
  <si>
    <t>TORNTPHARM</t>
  </si>
  <si>
    <t>TORNTPOWER</t>
  </si>
  <si>
    <t>TVSMOTOR</t>
  </si>
  <si>
    <t>UBL</t>
  </si>
  <si>
    <t>ULTRACEMCO</t>
  </si>
  <si>
    <t>UPL</t>
  </si>
  <si>
    <t>VEDL</t>
  </si>
  <si>
    <t>VOLTAS</t>
  </si>
  <si>
    <t>WIPRO</t>
  </si>
  <si>
    <t>ZEEL</t>
  </si>
  <si>
    <t>Price</t>
  </si>
  <si>
    <t>Open Interest (Rs. Cr)</t>
  </si>
  <si>
    <t>Daily Trading Volume (Rs. Cr)</t>
  </si>
  <si>
    <t>Put Call Ratio</t>
  </si>
  <si>
    <t>Spot Price</t>
  </si>
  <si>
    <t>Future Price</t>
  </si>
  <si>
    <t>OI Total</t>
  </si>
  <si>
    <t>Total Volume</t>
  </si>
  <si>
    <t>PCR OI</t>
  </si>
  <si>
    <t>PCR Volume</t>
  </si>
  <si>
    <t>Name</t>
  </si>
  <si>
    <t>Mkt.lot</t>
  </si>
  <si>
    <t>Prem/Dis</t>
  </si>
  <si>
    <t>% Chg</t>
  </si>
  <si>
    <t>previous</t>
  </si>
  <si>
    <t>Change (Rs Cr)</t>
  </si>
  <si>
    <t>%chg</t>
  </si>
  <si>
    <t>Snapshot (Volume)</t>
  </si>
  <si>
    <t>Open Interest (No.shares)</t>
  </si>
  <si>
    <t>Daily Trading Volume (No.shares)</t>
  </si>
  <si>
    <t>% chg</t>
  </si>
  <si>
    <t xml:space="preserve">           Sector-wise Open Interest Positions</t>
  </si>
  <si>
    <t>Scrip Details</t>
  </si>
  <si>
    <t>Volumes (Rs. Cr)</t>
  </si>
  <si>
    <t>Sector</t>
  </si>
  <si>
    <t>change</t>
  </si>
  <si>
    <t>Open Interest Break Up</t>
  </si>
  <si>
    <t>Future OI</t>
  </si>
  <si>
    <t>Call OI</t>
  </si>
  <si>
    <t>PUT OI</t>
  </si>
  <si>
    <t>Near Month OI</t>
  </si>
  <si>
    <t>Near</t>
  </si>
  <si>
    <t>Open Interest (No. shares)</t>
  </si>
  <si>
    <t>Futures OI</t>
  </si>
  <si>
    <t>Put OI</t>
  </si>
  <si>
    <t xml:space="preserve">         Nifty Basket</t>
  </si>
  <si>
    <t>future price</t>
  </si>
  <si>
    <t>future price prev</t>
  </si>
  <si>
    <t>future price chg</t>
  </si>
  <si>
    <t>future price %</t>
  </si>
  <si>
    <t>volume future</t>
  </si>
  <si>
    <t>volume future prev</t>
  </si>
  <si>
    <t>volume future chg</t>
  </si>
  <si>
    <t>volume future %</t>
  </si>
  <si>
    <t>oi future</t>
  </si>
  <si>
    <t>oi future prev</t>
  </si>
  <si>
    <t>oi future chg</t>
  </si>
  <si>
    <t>oi future %</t>
  </si>
  <si>
    <t>Total Value</t>
  </si>
  <si>
    <t>Total Value ( Rs. Cr.)</t>
  </si>
  <si>
    <t>Future Value</t>
  </si>
  <si>
    <t>Call Value</t>
  </si>
  <si>
    <t>Put Value</t>
  </si>
  <si>
    <t xml:space="preserve"> Total Volume (No. of Shares)</t>
  </si>
  <si>
    <t>Futures Volume</t>
  </si>
  <si>
    <t>Calls Volume</t>
  </si>
  <si>
    <t>Puts Volumes</t>
  </si>
  <si>
    <t>Open Interest(No. shares)</t>
  </si>
  <si>
    <t>Scripts</t>
  </si>
  <si>
    <t>Basis</t>
  </si>
  <si>
    <t>Previous</t>
  </si>
  <si>
    <t>Change</t>
  </si>
  <si>
    <t>Implied Volatility</t>
  </si>
  <si>
    <t>Volatility</t>
  </si>
  <si>
    <t>Implied Volatility (IV)</t>
  </si>
  <si>
    <t>Historical Volatility (HV)</t>
  </si>
  <si>
    <t>Iv</t>
  </si>
  <si>
    <t>call</t>
  </si>
  <si>
    <t>put</t>
  </si>
  <si>
    <t>HV</t>
  </si>
  <si>
    <t>Difference</t>
  </si>
  <si>
    <t>Ratio</t>
  </si>
  <si>
    <t>Rollover</t>
  </si>
  <si>
    <t>Rollover(No.shares)</t>
  </si>
  <si>
    <t>Rollover(Rs.Cr)</t>
  </si>
  <si>
    <t>Rollover(value)</t>
  </si>
  <si>
    <t>Rollover %</t>
  </si>
  <si>
    <t>(Rs. Cr)</t>
  </si>
  <si>
    <t>%Chg</t>
  </si>
  <si>
    <t>TOTAL</t>
  </si>
  <si>
    <t xml:space="preserve">Future </t>
  </si>
  <si>
    <t xml:space="preserve">Call </t>
  </si>
  <si>
    <t xml:space="preserve">Put </t>
  </si>
  <si>
    <t>Total</t>
  </si>
  <si>
    <t>FII Open Interest</t>
  </si>
  <si>
    <t>Index Futures</t>
  </si>
  <si>
    <t>Index Options</t>
  </si>
  <si>
    <t>Stock Futures</t>
  </si>
  <si>
    <t>Stock Options</t>
  </si>
  <si>
    <t>Preious</t>
  </si>
  <si>
    <t>Total (Cr)</t>
  </si>
  <si>
    <t>Grand Total</t>
  </si>
  <si>
    <t>Grand Total (Cr)</t>
  </si>
  <si>
    <t>Instrument</t>
  </si>
  <si>
    <t>Current</t>
  </si>
  <si>
    <t>Futures</t>
  </si>
  <si>
    <t>Calls</t>
  </si>
  <si>
    <t>Puts</t>
  </si>
  <si>
    <t xml:space="preserve">Total </t>
  </si>
  <si>
    <t>%change</t>
  </si>
  <si>
    <t>Open Interest (Rs Cr)</t>
  </si>
  <si>
    <t>Total (Rs Cr)</t>
  </si>
  <si>
    <t>Open Interest (Sh Cr)</t>
  </si>
  <si>
    <t>Total Open Interest of Nifty Stocks</t>
  </si>
  <si>
    <t>Open Interest</t>
  </si>
  <si>
    <t>OI Previous</t>
  </si>
  <si>
    <t>% change</t>
  </si>
  <si>
    <t>Total(Cr)</t>
  </si>
  <si>
    <t>Market Wide Limit</t>
  </si>
  <si>
    <t>MWPL</t>
  </si>
  <si>
    <t>Limit for Today</t>
  </si>
  <si>
    <t>OI% to MWPL</t>
  </si>
  <si>
    <t xml:space="preserve">F&amp;O MARGIN </t>
  </si>
  <si>
    <t>Expirydate</t>
  </si>
  <si>
    <t>Total Margin</t>
  </si>
  <si>
    <t>Settle Price</t>
  </si>
  <si>
    <t>Lotvalue</t>
  </si>
  <si>
    <t>Series</t>
  </si>
  <si>
    <t>Exposure Margin Unit</t>
  </si>
  <si>
    <t>MLot</t>
  </si>
  <si>
    <t>DISCLAIMER</t>
  </si>
  <si>
    <t xml:space="preserve">The information and opinions contained herein have been compiled or arrived at based on the information obtained in good faith from sources believed to be reliable. Such information has not been independently verified and no guaranty, representation of warranty, express or implied, is made as to its accuracy completeness or correctness. </t>
  </si>
  <si>
    <t>This document is for information purposes only. This report is based on information that we consider reliable; we do not represent that it is accurate or complete and one should exercise due caution while acting on it.  Description of any company(ies) or its/their securities mentioned herein are not complete and this document is not and should not be construed as an offer or solicitation of an offer to buy or sell any securities or other financial instruments. Past performance is not a guide for future performance, future returns are not guaranteed and a loss of original capital may occur. All opinions, projections and estimates constitute the judgment of the author as on the date of the report and these, plus any other information contained in the report, are subject to change without notice. Prices and availability of financial instruments are also subject to change without notice. This report is intended for distribution to institutional investors.</t>
  </si>
  <si>
    <t xml:space="preserve">This report is not directed to or intended for display, downloading, printing, reproducing or for distribution to or use by, any person or entity that is a citizen or resident or located in any locality, state, country or other jurisdiction where such distribution, publication, reproduction, availability or use would be contrary to law or regulation or what would subject to SSSIL or its affiliates to any registration or licensing requirement within such jurisdiction. If this report is inadvertently sent or has reached any individual in such country, especially USA, the same may be ignored and brought to the attention of the sender. Neither this document nor any copy of it may be taken or transmitted into the United States (to U.S. persons), Canada, or Japan or distributed, directly or indirectly, in the United States or Canada or distributed or redistributed in Japan or to any resident thereof. Any unauthorized use, duplication, redistribution or disclosure of this report including, but not limited to, redistribution by electronic mail, posting of the report on a website or page, and/or providing to a third party a link, is prohibited by law and will result in prosecution. The information contained in the report is intended solely for the recipient and may not be further distributed by the recipient to any third party. </t>
  </si>
  <si>
    <t>SSSIL generally prohibits its analysts, persons reporting to analysts, and members of their households from maintaining a financial interest in the securities or derivatives of any companies that the analysts cover. Additionally, SSSIL generally prohibits its analysts and persons reporting to analysts from serving as an officer, director, or advisory board member of any companies that they cover. Our salespeople, traders, and other professionals or affiliates may provide oral or written market commentary or trading strategies to our clients that reflect opinions that are contrary to the opinions expressed herein. Our proprietary trading and investing businesses may make investment decisions that are inconsistent with the recommendations expressed herein. The views expressed in this research report reflect the personal views of the analyst(s) about the subject securities or issues and no part of the compensation of the research analyst(s) was, is, or will be directly or indirectly related to the specific recommendations and views expressed by research analyst(s) in this report. The compensation of the analyst who prepared this document is determined exclusively by SSSIL; however, compensation may relate to the revenues of the Systematix Group as a whole, of which investment banking, sales and trading are a part. Research analysts and sales persons of SSSIL may provide important inputs to its affiliated company(ies).</t>
  </si>
  <si>
    <t>Foreign currencies denominated securities, wherever mentioned, are subject to exchange rate fluctuations which could have an adverse effect on their value or price or the income derived from them. In addition, investors in securities such as ADRs, the values of which are influenced by foreign currencies, effectively assume currency risk. SSSIL, its directors, analysts or employees do not take any responsibility, financial or otherwise, of the losses or the damages sustained due to the investments made or any action taken on the basis of this report including but not restricted to fluctuation in the prices of shares and bonds, changes in the currency rates, diminution in the NAVs, reduction in the dividend or income, etc.</t>
  </si>
  <si>
    <t xml:space="preserve">SSSIL and its affiliates, officers, directors, and employees subject to the information given in the disclosures may: (a) from time to time, have long or short positions in, and buy or sell, the securities thereof, of company (ies) mentioned herein or (b) be engaged in any other transaction involving such securities and earn brokerage or other compensation (financial interest) or act as a market maker in the financial instruments of the company (ies) discussed herein or act as advisor or lender / borrower to such company (ies) or have other potential material conflict of interest with respect to any recommendation and related information and opinions. The views expressed are those of the analyst and the company may or may not subscribe to the views expressed therein. </t>
  </si>
  <si>
    <t xml:space="preserve">SSSIL, its affiliates and any third party involved in, or related to, computing or compiling the information hereby expressly disclaim all warranties of originality, accuracy, completeness, merchantability or fitness for a particular purpose with respect to any of this information. Without limiting any of the foregoing, in no event shall SSSIL, any of its affiliates or any third party involved in, or related to, computing or compiling the information have any liability for any damages of any kind. The company accepts no liability whatsoever for the actions of third parties. The report may provide the addresses of, or contain hyperlinks to, websites. Except to the extent to which the report refers to website material of the company, the company has not reviewed the linked site. Accessing such website or following such link through the report or the website of the company shall be at your own risk and the company shall have no liability arising out of, or in connection with, any such referenced website. </t>
  </si>
  <si>
    <t>SSSIL will not be liable for any delay or any other interruption which may occur in presenting the data due to any technical glitch to present the data. In no event shall SSSIL be liable for any damages, including without limitation, direct or indirect, special, incidental, or consequential damages, losses or expenses arising in connection with the data presented by SSSIL through this presentation.</t>
  </si>
  <si>
    <t>SSSIL or any of its other group companies or associates will not be responsible for any decisions taken on the basis of this report. Investors are advised to consult their investment and tax consultants before taking any investment decisions based on this report.</t>
  </si>
  <si>
    <t>scripid</t>
  </si>
  <si>
    <t>xdate</t>
  </si>
  <si>
    <t>buyqty</t>
  </si>
  <si>
    <t>buyamt</t>
  </si>
  <si>
    <t>sellqty</t>
  </si>
  <si>
    <t>sellamt</t>
  </si>
  <si>
    <t>netqty</t>
  </si>
  <si>
    <t>netamt</t>
  </si>
  <si>
    <t>oiprevqty</t>
  </si>
  <si>
    <t>oiprevamt</t>
  </si>
  <si>
    <t>oichgqty</t>
  </si>
  <si>
    <t>oichgamt</t>
  </si>
  <si>
    <t>oiqty</t>
  </si>
  <si>
    <t>oiamt</t>
  </si>
  <si>
    <t>PREV DATA</t>
  </si>
  <si>
    <t>NEAR FUT OI</t>
  </si>
  <si>
    <t>VALUE IN CR</t>
  </si>
  <si>
    <t>SHARES TERM</t>
  </si>
  <si>
    <t>Basis in Futures</t>
  </si>
  <si>
    <t>Volume (No. shares)</t>
  </si>
  <si>
    <t>Open Interest (Rs.Cr)</t>
  </si>
  <si>
    <t xml:space="preserve"> OI (Rs. Cr)</t>
  </si>
  <si>
    <t>OI (Qty)</t>
  </si>
  <si>
    <t>STOCKS</t>
  </si>
  <si>
    <t>SBILIFE</t>
  </si>
  <si>
    <t xml:space="preserve">Nifty </t>
  </si>
  <si>
    <t xml:space="preserve">bank nifty </t>
  </si>
  <si>
    <t>OI Rc(CR)</t>
  </si>
  <si>
    <t xml:space="preserve">IO % change </t>
  </si>
  <si>
    <t>pcr OI</t>
  </si>
  <si>
    <t xml:space="preserve">ROLL </t>
  </si>
  <si>
    <t>ROLL</t>
  </si>
  <si>
    <t>COFORGE</t>
  </si>
  <si>
    <t>Symbol</t>
  </si>
  <si>
    <t>ICICIGI</t>
  </si>
  <si>
    <t>INDUSTOWER</t>
  </si>
  <si>
    <t>LALPATHLAB</t>
  </si>
  <si>
    <t>HDFCAMC</t>
  </si>
  <si>
    <t>AARTIIND</t>
  </si>
  <si>
    <t xml:space="preserve">cmp </t>
  </si>
  <si>
    <t>cmp Fut</t>
  </si>
  <si>
    <t>Pre Fut</t>
  </si>
  <si>
    <t>FINNIFTY</t>
  </si>
  <si>
    <r>
      <rPr>
        <b/>
        <sz val="8"/>
        <color indexed="8"/>
        <rFont val="Arial"/>
        <family val="2"/>
      </rPr>
      <t>Systematix Shares and Stocks (India) Limited </t>
    </r>
    <r>
      <rPr>
        <sz val="8"/>
        <color indexed="8"/>
        <rFont val="Arial"/>
        <family val="2"/>
      </rPr>
      <t xml:space="preserve"> : Registered and Corporate address: The Capital, A-wing, No. 603 – 606, 6th Floor, Plot No. C-70, G Block, Bandra Kurla Complex, Bandra (East), Mumbai – 400 051 CIN - U65993MH1995PLC268414 | BSE SEBI Reg. No.: INZ000171134 (Member Code: 182) | NSE SEBI Reg. No.: INZ000171134 (Member Code: 11327) | MCX SEBI Reg. No.: INZ000171134 (Member Code: 56625) | NCDEX SEBI Reg. No.: INZ000171134 (Member Code: 1281) | Depository Participant SEBI Reg. No.: IN-DP-480-2020 (DP Id: 34600) | PMS SEBI Reg. No.: INP000002692 | Research Analyst SEBI Reg. No.: INH200000840 | Investment Advisor SEBI Reg. No. INA000010414 | AMFI : ARN - 64917 
</t>
    </r>
  </si>
  <si>
    <t>TRENT</t>
  </si>
  <si>
    <t>PIIND</t>
  </si>
  <si>
    <t>PFIZER</t>
  </si>
  <si>
    <t>NAVINFLUOR</t>
  </si>
  <si>
    <t>NAM-INDIA</t>
  </si>
  <si>
    <t>MPHASIS</t>
  </si>
  <si>
    <t>LTTS</t>
  </si>
  <si>
    <t>LTI</t>
  </si>
  <si>
    <t>IRCTC</t>
  </si>
  <si>
    <t>GUJGASLTD</t>
  </si>
  <si>
    <t>GRANULES</t>
  </si>
  <si>
    <t>DEEPAKNTR</t>
  </si>
  <si>
    <t>CUB</t>
  </si>
  <si>
    <t>AUBANK</t>
  </si>
  <si>
    <t>APLLTD</t>
  </si>
  <si>
    <t>ALKEM</t>
  </si>
  <si>
    <t>Chemicals</t>
  </si>
  <si>
    <t>ABFRL</t>
  </si>
  <si>
    <t>COROMANDEL</t>
  </si>
  <si>
    <t>INDHOTEL</t>
  </si>
  <si>
    <t>METROPOLIS</t>
  </si>
  <si>
    <t>ASTRAL</t>
  </si>
  <si>
    <t>STAR</t>
  </si>
  <si>
    <t>Span Margin Per Unit</t>
  </si>
  <si>
    <t>Span Margin%</t>
  </si>
  <si>
    <t>Exposure Margin%</t>
  </si>
  <si>
    <t>Total Margin%</t>
  </si>
  <si>
    <t>Span Margin Per Lot</t>
  </si>
  <si>
    <t>Exposure Margin Per Lot</t>
  </si>
  <si>
    <t>CANFINHOME</t>
  </si>
  <si>
    <t>DIXON</t>
  </si>
  <si>
    <t>HAL</t>
  </si>
  <si>
    <t>IEX</t>
  </si>
  <si>
    <t>INDIAMART</t>
  </si>
  <si>
    <t>IPCALAB</t>
  </si>
  <si>
    <t>MCX</t>
  </si>
  <si>
    <t>OFSS</t>
  </si>
  <si>
    <t>POLYCAB</t>
  </si>
  <si>
    <t>SYNGENE</t>
  </si>
  <si>
    <t>IV</t>
  </si>
  <si>
    <t>ABBOTINDIA</t>
  </si>
  <si>
    <t>CROMPTON</t>
  </si>
  <si>
    <t>DALBHARAT</t>
  </si>
  <si>
    <t>DELTACORP</t>
  </si>
  <si>
    <t>INDIACEM</t>
  </si>
  <si>
    <t>JKCEMENT</t>
  </si>
  <si>
    <t>OBEROIRLTY</t>
  </si>
  <si>
    <t>PERSISTENT</t>
  </si>
  <si>
    <t>ATUL</t>
  </si>
  <si>
    <t>BSOFT</t>
  </si>
  <si>
    <t>CHAMBLFERT</t>
  </si>
  <si>
    <t>FSL</t>
  </si>
  <si>
    <t>GSPL</t>
  </si>
  <si>
    <t>LAURUSLABS</t>
  </si>
  <si>
    <t>SBICARD</t>
  </si>
  <si>
    <t>WHIRLPOOL</t>
  </si>
  <si>
    <t>Compatibility Report for FnO_Market_Trading_Kit_22-Dec-21.xls</t>
  </si>
  <si>
    <t>Run on 23-12-2021 18:48</t>
  </si>
  <si>
    <t>The following features in this workbook are not supported by earlier versions of Excel. These features may be lost or degraded when you save this workbook in an earlier file format.</t>
  </si>
  <si>
    <t>Minor loss of fidelity</t>
  </si>
  <si>
    <t># of occurrences</t>
  </si>
  <si>
    <t>Some cells or styles in this workbook contain formatting that is not supported by the selected file format. These formats will be converted to the closest format available.</t>
  </si>
  <si>
    <t>ABCAPITAL</t>
  </si>
  <si>
    <t>BALRAMCHIN</t>
  </si>
  <si>
    <t>GNFC</t>
  </si>
  <si>
    <t>HINDCOPPER</t>
  </si>
  <si>
    <t>HONAUT</t>
  </si>
  <si>
    <t>IDFC</t>
  </si>
  <si>
    <t>NBCC</t>
  </si>
  <si>
    <t>RAIN</t>
  </si>
  <si>
    <t>TATACOMM</t>
  </si>
  <si>
    <t>ABB</t>
  </si>
  <si>
    <t>INTELLECT</t>
  </si>
  <si>
    <t>Long_Buildup</t>
  </si>
  <si>
    <t>Short_Covering</t>
  </si>
  <si>
    <t>ZYDUSLIFE</t>
  </si>
  <si>
    <t>F&amp;O Market Trading Kit for 2 May 2022</t>
  </si>
  <si>
    <t>MOTHERSON</t>
  </si>
  <si>
    <t>`</t>
  </si>
  <si>
    <t>LTIM</t>
  </si>
  <si>
    <t>SHRIRAMFIN</t>
  </si>
  <si>
    <t>MIDCPNIFTY</t>
  </si>
  <si>
    <t>PVRINOX</t>
  </si>
  <si>
    <t>LTF</t>
  </si>
  <si>
    <t>NIFTYNXT50</t>
  </si>
  <si>
    <t>Short_Buildup</t>
  </si>
  <si>
    <t>Long_Unwinding</t>
  </si>
  <si>
    <t>UNITDSPR</t>
  </si>
  <si>
    <t>JIOFIN</t>
  </si>
  <si>
    <t>ZOMATO</t>
  </si>
  <si>
    <t>CYIENT</t>
  </si>
  <si>
    <t>POLICYBZR</t>
  </si>
  <si>
    <t>SUPREMEIND</t>
  </si>
  <si>
    <t>PAYTM</t>
  </si>
  <si>
    <t>HFCL</t>
  </si>
  <si>
    <t>KPITTECH</t>
  </si>
  <si>
    <t>INDIANB</t>
  </si>
  <si>
    <t>ADANIENSOL</t>
  </si>
  <si>
    <t>JSWENERGY</t>
  </si>
  <si>
    <t>JSL</t>
  </si>
  <si>
    <t>KALYANKJIL</t>
  </si>
  <si>
    <t>DMART</t>
  </si>
  <si>
    <t>BSE</t>
  </si>
  <si>
    <t>NHPC</t>
  </si>
  <si>
    <t>VBL</t>
  </si>
  <si>
    <t>OIL</t>
  </si>
  <si>
    <t>LODHA</t>
  </si>
  <si>
    <t>ATGL</t>
  </si>
  <si>
    <t>YESBANK</t>
  </si>
  <si>
    <t>NCC</t>
  </si>
  <si>
    <t>IRFC</t>
  </si>
  <si>
    <t>UNIONBANK</t>
  </si>
  <si>
    <t>IRB</t>
  </si>
  <si>
    <t>TIINDIA</t>
  </si>
  <si>
    <t>POONAWALLA</t>
  </si>
  <si>
    <t>CDSL</t>
  </si>
  <si>
    <t>APLAPOLLO</t>
  </si>
  <si>
    <t>SJVN</t>
  </si>
  <si>
    <t>DELHIVERY</t>
  </si>
  <si>
    <t>CESC</t>
  </si>
  <si>
    <t>BANKINDIA</t>
  </si>
  <si>
    <t>MAXHEALTH</t>
  </si>
  <si>
    <t>TATAELXSI</t>
  </si>
  <si>
    <t>PRESTIGE</t>
  </si>
  <si>
    <t>ADANIGREEN</t>
  </si>
  <si>
    <t>LICI</t>
  </si>
  <si>
    <t>HUDCO</t>
  </si>
  <si>
    <t>ANGELONE</t>
  </si>
  <si>
    <t>KEI</t>
  </si>
  <si>
    <t>CAMS</t>
  </si>
  <si>
    <t>CGPOWER</t>
  </si>
  <si>
    <t>NYKAA</t>
  </si>
  <si>
    <t>SONACOMS</t>
  </si>
  <si>
    <t>New_Age</t>
  </si>
  <si>
    <t>ALL</t>
  </si>
  <si>
    <t>BANKNIFTY FUTURES</t>
  </si>
  <si>
    <t>BANKNIFTY OPTIONS</t>
  </si>
  <si>
    <t>FINNIFTY FUTURES</t>
  </si>
  <si>
    <t>FINNIFTY OPTIONS</t>
  </si>
  <si>
    <t>INDEX FUTURES</t>
  </si>
  <si>
    <t>INDEX OPTIONS</t>
  </si>
  <si>
    <t>MIDCPNIFTY FUTURES</t>
  </si>
  <si>
    <t>MIDCPNIFTY OPTIONS</t>
  </si>
  <si>
    <t>NIFTY FUTURES</t>
  </si>
  <si>
    <t>NIFTY OPTIONS</t>
  </si>
  <si>
    <t>NIFTYNXT50 FUTURES</t>
  </si>
  <si>
    <t>NIFTYNXT50 OPTIONS</t>
  </si>
  <si>
    <t>STOCK FUTURES</t>
  </si>
  <si>
    <t>STOCK OPTIONS</t>
  </si>
  <si>
    <t>GMRAIRPORT</t>
  </si>
  <si>
    <t>Client</t>
  </si>
  <si>
    <t>DII</t>
  </si>
  <si>
    <t>FII</t>
  </si>
  <si>
    <t>Pro</t>
  </si>
  <si>
    <t>Yesterday</t>
  </si>
  <si>
    <t>Today</t>
  </si>
  <si>
    <t>Long</t>
  </si>
  <si>
    <t>Short</t>
  </si>
  <si>
    <t>Net</t>
  </si>
  <si>
    <t>Index Call Option</t>
  </si>
  <si>
    <t>Index Put Option</t>
  </si>
  <si>
    <t>Stock Call Option</t>
  </si>
  <si>
    <t>Stock Put Option</t>
  </si>
  <si>
    <t>PHOENIXLTD</t>
  </si>
  <si>
    <t>SOLARINDS</t>
  </si>
  <si>
    <t>Scrip Name</t>
  </si>
  <si>
    <t>Lot</t>
  </si>
  <si>
    <t>T</t>
  </si>
  <si>
    <t>T-1</t>
  </si>
  <si>
    <t>Change %</t>
  </si>
  <si>
    <t>Fut. Price</t>
  </si>
  <si>
    <t>PCR Vol</t>
  </si>
  <si>
    <t>Value</t>
  </si>
  <si>
    <t>Rs.cr</t>
  </si>
  <si>
    <t>Fut. OI</t>
  </si>
  <si>
    <t>CE OI</t>
  </si>
  <si>
    <t>PE OI</t>
  </si>
  <si>
    <t>Tot. OI</t>
  </si>
  <si>
    <t xml:space="preserve">OI nos. </t>
  </si>
  <si>
    <t>in Lacs</t>
  </si>
  <si>
    <t>Tot. OI (Rs.cr.)</t>
  </si>
  <si>
    <t>TITAGARH</t>
  </si>
  <si>
    <t>TATATECH</t>
  </si>
  <si>
    <t>IREDA</t>
  </si>
  <si>
    <t>PATANJALI</t>
  </si>
  <si>
    <t>IIFL</t>
  </si>
  <si>
    <t>ETERNAL</t>
  </si>
  <si>
    <t>HINDZINC</t>
  </si>
  <si>
    <t>INOXWIND</t>
  </si>
  <si>
    <t>PNBHOUSING</t>
  </si>
  <si>
    <t>BDL</t>
  </si>
  <si>
    <t>MANKIND</t>
  </si>
  <si>
    <t>MAZDOCK</t>
  </si>
  <si>
    <t>UNOMINDA</t>
  </si>
  <si>
    <t>RVNL</t>
  </si>
  <si>
    <t>KAYNES</t>
  </si>
  <si>
    <t>FORTIS</t>
  </si>
  <si>
    <t>PPLPHARMA</t>
  </si>
  <si>
    <t>BLUESTARCO</t>
  </si>
  <si>
    <t>PGEL</t>
  </si>
  <si>
    <t>AMBER</t>
  </si>
  <si>
    <t>360ONE</t>
  </si>
  <si>
    <t>KFINTECH</t>
  </si>
  <si>
    <t>SUZLON</t>
  </si>
  <si>
    <t>NUVAMA</t>
  </si>
  <si>
    <t>SAMMAANCAP</t>
  </si>
  <si>
    <t>POWERINDIA</t>
  </si>
  <si>
    <t>INDIAVIX</t>
  </si>
  <si>
    <t>TMPV</t>
  </si>
  <si>
    <t>F&amp;O Market Trading Kit for 21 Nov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</si>
</sst>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409]d\-mmm;@"/>
    <numFmt numFmtId="166" formatCode="#,##0.0"/>
    <numFmt numFmtId="167" formatCode="0.0%"/>
    <numFmt numFmtId="168" formatCode="0.00;[Red]0.00"/>
    <numFmt numFmtId="169" formatCode="0.000"/>
  </numFmts>
  <fonts count="49" x14ac:knownFonts="1">
    <font>
      <sz val="11"/>
      <color theme="1"/>
      <name val="Calibri"/>
      <family val="2"/>
      <scheme val="minor"/>
    </font>
    <font>
      <sz val="10"/>
      <name val="Arial"/>
      <family val="2"/>
    </font>
    <font>
      <b/>
      <sz val="10"/>
      <name val="Arial"/>
      <family val="2"/>
    </font>
    <font>
      <sz val="8"/>
      <name val="Arial"/>
      <family val="2"/>
    </font>
    <font>
      <b/>
      <sz val="8"/>
      <name val="Arial"/>
      <family val="2"/>
    </font>
    <font>
      <sz val="8"/>
      <color indexed="8"/>
      <name val="Arial"/>
      <family val="2"/>
    </font>
    <font>
      <b/>
      <sz val="10"/>
      <color indexed="8"/>
      <name val="Arial"/>
      <family val="2"/>
    </font>
    <font>
      <b/>
      <sz val="8"/>
      <color indexed="9"/>
      <name val="Arial"/>
      <family val="2"/>
    </font>
    <font>
      <b/>
      <sz val="8"/>
      <color indexed="8"/>
      <name val="Arial"/>
      <family val="2"/>
    </font>
    <font>
      <b/>
      <sz val="11"/>
      <color indexed="8"/>
      <name val="Arial"/>
      <family val="2"/>
    </font>
    <font>
      <b/>
      <sz val="11"/>
      <name val="Arial"/>
      <family val="2"/>
    </font>
    <font>
      <sz val="11"/>
      <name val="Arial"/>
      <family val="2"/>
    </font>
    <font>
      <sz val="8"/>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sz val="12"/>
      <color theme="1"/>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Calibri"/>
      <family val="2"/>
      <scheme val="minor"/>
    </font>
    <font>
      <b/>
      <sz val="7.2"/>
      <color theme="1"/>
      <name val="Calibri"/>
      <family val="2"/>
      <scheme val="minor"/>
    </font>
    <font>
      <sz val="7"/>
      <color theme="1"/>
      <name val="Arial"/>
      <family val="2"/>
    </font>
    <font>
      <b/>
      <sz val="7.2"/>
      <color theme="1"/>
      <name val="Arial"/>
      <family val="2"/>
    </font>
    <font>
      <b/>
      <sz val="12.1"/>
      <color theme="1"/>
      <name val="Segoe UI"/>
      <family val="2"/>
    </font>
    <font>
      <sz val="11"/>
      <color theme="1"/>
      <name val="Segoe UI"/>
      <family val="2"/>
    </font>
    <font>
      <b/>
      <sz val="8"/>
      <color theme="1"/>
      <name val="Arial"/>
      <family val="2"/>
    </font>
    <font>
      <b/>
      <sz val="8"/>
      <color theme="1"/>
      <name val="Calibri"/>
      <family val="2"/>
      <scheme val="minor"/>
    </font>
    <font>
      <sz val="11"/>
      <color theme="1"/>
      <name val="Arial"/>
      <family val="2"/>
    </font>
    <font>
      <sz val="10"/>
      <color theme="1"/>
      <name val="Calibri"/>
      <family val="2"/>
      <scheme val="minor"/>
    </font>
    <font>
      <b/>
      <sz val="10"/>
      <color rgb="FF000000"/>
      <name val="Arial"/>
      <family val="2"/>
    </font>
    <font>
      <sz val="10"/>
      <color rgb="FF000000"/>
      <name val="Arial"/>
      <family val="2"/>
    </font>
    <font>
      <b/>
      <sz val="10"/>
      <color rgb="FFC80000"/>
      <name val="Arial"/>
      <family val="2"/>
    </font>
    <font>
      <sz val="10"/>
      <color rgb="FFFF0000"/>
      <name val="Arial"/>
      <family val="2"/>
    </font>
    <font>
      <b/>
      <sz val="10"/>
      <color theme="1"/>
      <name val="Calibri"/>
      <family val="2"/>
      <scheme val="minor"/>
    </font>
    <font>
      <b/>
      <sz val="11"/>
      <color theme="4" tint="-0.499984740745262"/>
      <name val="Arial"/>
      <family val="2"/>
    </font>
    <font>
      <b/>
      <sz val="10"/>
      <color rgb="FFFFFFFF"/>
      <name val="Arial"/>
      <family val="2"/>
    </font>
  </fonts>
  <fills count="51">
    <fill>
      <patternFill patternType="none"/>
    </fill>
    <fill>
      <patternFill patternType="gray125"/>
    </fill>
    <fill>
      <patternFill patternType="solid">
        <fgColor indexed="40"/>
        <bgColor indexed="64"/>
      </patternFill>
    </fill>
    <fill>
      <patternFill patternType="solid">
        <fgColor indexed="51"/>
        <bgColor indexed="64"/>
      </patternFill>
    </fill>
    <fill>
      <patternFill patternType="solid">
        <fgColor indexed="2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4" tint="0.59999389629810485"/>
        <bgColor indexed="64"/>
      </patternFill>
    </fill>
    <fill>
      <patternFill patternType="solid">
        <fgColor rgb="FFFFFFFF"/>
        <bgColor indexed="64"/>
      </patternFill>
    </fill>
    <fill>
      <patternFill patternType="solid">
        <fgColor rgb="FFFF7C80"/>
        <bgColor indexed="64"/>
      </patternFill>
    </fill>
    <fill>
      <patternFill patternType="solid">
        <fgColor rgb="FFFFCF37"/>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D9F2F2"/>
        <bgColor indexed="64"/>
      </patternFill>
    </fill>
    <fill>
      <patternFill patternType="solid">
        <fgColor rgb="FFE8F4FD"/>
        <bgColor indexed="64"/>
      </patternFill>
    </fill>
    <fill>
      <patternFill patternType="solid">
        <fgColor rgb="FFFFE6EB"/>
        <bgColor indexed="64"/>
      </patternFill>
    </fill>
    <fill>
      <patternFill patternType="solid">
        <fgColor rgb="FFFFF6E6"/>
        <bgColor indexed="64"/>
      </patternFill>
    </fill>
    <fill>
      <patternFill patternType="solid">
        <fgColor rgb="FFFFA500"/>
        <bgColor indexed="64"/>
      </patternFill>
    </fill>
    <fill>
      <patternFill patternType="solid">
        <fgColor rgb="FFFF6384"/>
        <bgColor indexed="64"/>
      </patternFill>
    </fill>
    <fill>
      <patternFill patternType="solid">
        <fgColor rgb="FF36A2EB"/>
        <bgColor indexed="64"/>
      </patternFill>
    </fill>
    <fill>
      <patternFill patternType="solid">
        <fgColor rgb="FF4BC0C0"/>
        <bgColor indexed="64"/>
      </patternFill>
    </fill>
    <fill>
      <patternFill patternType="solid">
        <fgColor rgb="FFE0E0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0"/>
      </left>
      <right style="thin">
        <color indexed="60"/>
      </right>
      <top style="thin">
        <color indexed="60"/>
      </top>
      <bottom style="thin">
        <color indexed="60"/>
      </bottom>
      <diagonal/>
    </border>
    <border>
      <left/>
      <right/>
      <top style="thin">
        <color indexed="64"/>
      </top>
      <bottom style="thin">
        <color indexed="64"/>
      </bottom>
      <diagonal/>
    </border>
    <border>
      <left/>
      <right/>
      <top/>
      <bottom style="thin">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medium">
        <color rgb="FFDDDDDD"/>
      </right>
      <top/>
      <bottom/>
      <diagonal/>
    </border>
    <border>
      <left/>
      <right style="medium">
        <color rgb="FFDDDDDD"/>
      </right>
      <top style="medium">
        <color rgb="FFDDDDDD"/>
      </top>
      <bottom style="medium">
        <color rgb="FFDDDDDD"/>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DDDDDD"/>
      </right>
      <top/>
      <bottom style="medium">
        <color rgb="FFDDDDDD"/>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s>
  <cellStyleXfs count="53">
    <xf numFmtId="0" fontId="0" fillId="0" borderId="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15" fillId="29" borderId="0" applyNumberFormat="0" applyBorder="0" applyAlignment="0" applyProtection="0"/>
    <xf numFmtId="0" fontId="16" fillId="30" borderId="27" applyNumberFormat="0" applyAlignment="0" applyProtection="0"/>
    <xf numFmtId="0" fontId="17" fillId="31" borderId="28" applyNumberFormat="0" applyAlignment="0" applyProtection="0"/>
    <xf numFmtId="0" fontId="18" fillId="0" borderId="0" applyNumberFormat="0" applyFill="0" applyBorder="0" applyAlignment="0" applyProtection="0"/>
    <xf numFmtId="0" fontId="19" fillId="32" borderId="0" applyNumberFormat="0" applyBorder="0" applyAlignment="0" applyProtection="0"/>
    <xf numFmtId="0" fontId="20" fillId="0" borderId="29" applyNumberFormat="0" applyFill="0" applyAlignment="0" applyProtection="0"/>
    <xf numFmtId="0" fontId="21" fillId="0" borderId="30" applyNumberFormat="0" applyFill="0" applyAlignment="0" applyProtection="0"/>
    <xf numFmtId="0" fontId="22" fillId="0" borderId="31" applyNumberFormat="0" applyFill="0" applyAlignment="0" applyProtection="0"/>
    <xf numFmtId="0" fontId="22" fillId="0" borderId="0" applyNumberFormat="0" applyFill="0" applyBorder="0" applyAlignment="0" applyProtection="0"/>
    <xf numFmtId="0" fontId="23" fillId="33" borderId="27" applyNumberFormat="0" applyAlignment="0" applyProtection="0"/>
    <xf numFmtId="0" fontId="24" fillId="0" borderId="32" applyNumberFormat="0" applyFill="0" applyAlignment="0" applyProtection="0"/>
    <xf numFmtId="0" fontId="25" fillId="34" borderId="0" applyNumberFormat="0" applyBorder="0" applyAlignment="0" applyProtection="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35" borderId="33" applyNumberFormat="0" applyFont="0" applyAlignment="0" applyProtection="0"/>
    <xf numFmtId="0" fontId="27" fillId="30" borderId="34" applyNumberFormat="0" applyAlignment="0" applyProtection="0"/>
    <xf numFmtId="9" fontId="13" fillId="0" borderId="0" applyFont="0" applyFill="0" applyBorder="0" applyAlignment="0" applyProtection="0"/>
    <xf numFmtId="9" fontId="1" fillId="0" borderId="0" applyFont="0" applyFill="0" applyBorder="0" applyAlignment="0" applyProtection="0"/>
    <xf numFmtId="0" fontId="28" fillId="0" borderId="0" applyNumberFormat="0" applyFill="0" applyBorder="0" applyAlignment="0" applyProtection="0"/>
    <xf numFmtId="0" fontId="29" fillId="0" borderId="35" applyNumberFormat="0" applyFill="0" applyAlignment="0" applyProtection="0"/>
    <xf numFmtId="0" fontId="30" fillId="0" borderId="0" applyNumberFormat="0" applyFill="0" applyBorder="0" applyAlignment="0" applyProtection="0"/>
  </cellStyleXfs>
  <cellXfs count="341">
    <xf numFmtId="0" fontId="0" fillId="0" borderId="0" xfId="0"/>
    <xf numFmtId="2" fontId="3" fillId="0" borderId="0" xfId="0" applyNumberFormat="1" applyFont="1" applyAlignment="1">
      <alignment horizontal="left" vertical="center"/>
    </xf>
    <xf numFmtId="164"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center" vertical="center"/>
    </xf>
    <xf numFmtId="2" fontId="3" fillId="0" borderId="1" xfId="0" applyNumberFormat="1" applyFont="1" applyBorder="1" applyAlignment="1">
      <alignment horizontal="left" vertical="center"/>
    </xf>
    <xf numFmtId="2" fontId="3" fillId="0" borderId="1" xfId="0" applyNumberFormat="1" applyFont="1" applyBorder="1" applyAlignment="1">
      <alignment horizontal="right" vertical="center"/>
    </xf>
    <xf numFmtId="0" fontId="4" fillId="0" borderId="0" xfId="0" applyFont="1"/>
    <xf numFmtId="164" fontId="5" fillId="0" borderId="0" xfId="0" applyNumberFormat="1" applyFont="1" applyAlignment="1"/>
    <xf numFmtId="164" fontId="5" fillId="0" borderId="0" xfId="0" applyNumberFormat="1" applyFont="1" applyAlignment="1">
      <alignment horizontal="right"/>
    </xf>
    <xf numFmtId="2" fontId="3" fillId="0" borderId="1" xfId="0" applyNumberFormat="1" applyFont="1" applyBorder="1"/>
    <xf numFmtId="168" fontId="3" fillId="0" borderId="1" xfId="0" applyNumberFormat="1" applyFont="1" applyBorder="1"/>
    <xf numFmtId="164" fontId="5" fillId="3" borderId="2" xfId="0" applyNumberFormat="1" applyFont="1" applyFill="1" applyBorder="1" applyAlignment="1"/>
    <xf numFmtId="164" fontId="5" fillId="3" borderId="3" xfId="0" applyNumberFormat="1" applyFont="1" applyFill="1" applyBorder="1" applyAlignment="1"/>
    <xf numFmtId="2" fontId="5" fillId="0" borderId="1" xfId="38" applyNumberFormat="1" applyFont="1" applyBorder="1"/>
    <xf numFmtId="10" fontId="5" fillId="0" borderId="1" xfId="0" applyNumberFormat="1" applyFont="1" applyBorder="1"/>
    <xf numFmtId="164" fontId="3" fillId="4" borderId="0" xfId="0" applyNumberFormat="1" applyFont="1" applyFill="1" applyBorder="1" applyAlignment="1" applyProtection="1">
      <alignment horizontal="right" vertical="top"/>
    </xf>
    <xf numFmtId="164" fontId="3" fillId="4" borderId="0" xfId="0" applyNumberFormat="1" applyFont="1" applyFill="1" applyBorder="1" applyAlignment="1" applyProtection="1">
      <alignment horizontal="right" vertical="center"/>
    </xf>
    <xf numFmtId="0" fontId="0" fillId="0" borderId="1" xfId="0" applyBorder="1"/>
    <xf numFmtId="164" fontId="4" fillId="4" borderId="1" xfId="0" applyNumberFormat="1" applyFont="1" applyFill="1" applyBorder="1" applyAlignment="1" applyProtection="1">
      <alignment horizontal="center" vertical="center"/>
    </xf>
    <xf numFmtId="9" fontId="4" fillId="4" borderId="1" xfId="48" applyFont="1" applyFill="1" applyBorder="1" applyAlignment="1" applyProtection="1">
      <alignment horizontal="center" vertical="center"/>
    </xf>
    <xf numFmtId="164" fontId="8" fillId="3" borderId="2" xfId="0" applyNumberFormat="1" applyFont="1" applyFill="1" applyBorder="1" applyAlignment="1"/>
    <xf numFmtId="165" fontId="4" fillId="2" borderId="1" xfId="0" applyNumberFormat="1" applyFont="1" applyFill="1" applyBorder="1" applyAlignment="1">
      <alignment horizontal="center" vertical="top"/>
    </xf>
    <xf numFmtId="0" fontId="4" fillId="2" borderId="1" xfId="0" applyFont="1" applyFill="1" applyBorder="1"/>
    <xf numFmtId="0" fontId="4" fillId="2" borderId="1" xfId="0" applyFont="1" applyFill="1" applyBorder="1" applyAlignment="1">
      <alignment horizontal="center"/>
    </xf>
    <xf numFmtId="0" fontId="4" fillId="2" borderId="1" xfId="0" applyFont="1" applyFill="1" applyBorder="1" applyAlignment="1">
      <alignment horizontal="right"/>
    </xf>
    <xf numFmtId="2" fontId="4" fillId="2" borderId="1" xfId="49" applyNumberFormat="1" applyFont="1" applyFill="1" applyBorder="1" applyAlignment="1">
      <alignment horizontal="center"/>
    </xf>
    <xf numFmtId="0" fontId="3" fillId="2" borderId="1" xfId="0" applyFont="1" applyFill="1" applyBorder="1"/>
    <xf numFmtId="164" fontId="8" fillId="2" borderId="1" xfId="0" applyNumberFormat="1" applyFont="1" applyFill="1" applyBorder="1" applyAlignment="1"/>
    <xf numFmtId="164" fontId="8" fillId="2" borderId="1" xfId="0" applyNumberFormat="1" applyFont="1" applyFill="1" applyBorder="1"/>
    <xf numFmtId="164" fontId="8" fillId="2" borderId="4" xfId="0" applyNumberFormat="1" applyFont="1" applyFill="1" applyBorder="1" applyAlignment="1"/>
    <xf numFmtId="164" fontId="8" fillId="2" borderId="5" xfId="0" applyNumberFormat="1" applyFont="1" applyFill="1" applyBorder="1" applyAlignment="1"/>
    <xf numFmtId="165" fontId="4" fillId="2" borderId="6" xfId="0" applyNumberFormat="1" applyFont="1" applyFill="1" applyBorder="1" applyAlignment="1" applyProtection="1">
      <alignment horizontal="center" vertical="center"/>
    </xf>
    <xf numFmtId="164" fontId="8" fillId="2" borderId="1" xfId="0" applyNumberFormat="1" applyFont="1" applyFill="1" applyBorder="1" applyAlignment="1">
      <alignment horizontal="right" vertical="center"/>
    </xf>
    <xf numFmtId="2" fontId="3" fillId="0" borderId="1" xfId="0" applyNumberFormat="1" applyFont="1" applyBorder="1" applyAlignment="1">
      <alignment horizontal="right" vertical="center" indent="1"/>
    </xf>
    <xf numFmtId="3" fontId="4" fillId="2" borderId="1" xfId="0" applyNumberFormat="1" applyFont="1" applyFill="1" applyBorder="1" applyAlignment="1">
      <alignment horizontal="center" vertical="top"/>
    </xf>
    <xf numFmtId="0" fontId="7" fillId="2" borderId="1" xfId="0" applyFont="1" applyFill="1" applyBorder="1" applyAlignment="1">
      <alignment horizontal="right"/>
    </xf>
    <xf numFmtId="0" fontId="7" fillId="2" borderId="1" xfId="0" applyFont="1" applyFill="1" applyBorder="1"/>
    <xf numFmtId="2" fontId="4" fillId="0" borderId="1" xfId="0" applyNumberFormat="1" applyFont="1" applyFill="1" applyBorder="1"/>
    <xf numFmtId="1" fontId="0" fillId="0" borderId="1" xfId="0" applyNumberFormat="1" applyBorder="1"/>
    <xf numFmtId="10" fontId="4" fillId="0" borderId="1" xfId="48" applyNumberFormat="1" applyFont="1" applyFill="1" applyBorder="1"/>
    <xf numFmtId="2" fontId="4" fillId="36" borderId="1" xfId="0" applyNumberFormat="1" applyFont="1" applyFill="1" applyBorder="1"/>
    <xf numFmtId="10" fontId="4" fillId="36" borderId="1" xfId="48" applyNumberFormat="1" applyFont="1" applyFill="1" applyBorder="1"/>
    <xf numFmtId="167" fontId="0" fillId="0" borderId="1" xfId="0" applyNumberFormat="1" applyBorder="1"/>
    <xf numFmtId="0" fontId="3" fillId="0" borderId="0" xfId="0" applyFont="1" applyBorder="1" applyAlignment="1"/>
    <xf numFmtId="0" fontId="3" fillId="0" borderId="0" xfId="0" applyFont="1" applyBorder="1" applyAlignment="1">
      <alignment horizontal="right"/>
    </xf>
    <xf numFmtId="0" fontId="4" fillId="3" borderId="1" xfId="0" applyFont="1" applyFill="1" applyBorder="1" applyAlignment="1">
      <alignment horizontal="center"/>
    </xf>
    <xf numFmtId="0" fontId="2" fillId="0" borderId="0" xfId="43" applyFont="1" applyAlignment="1"/>
    <xf numFmtId="0" fontId="3" fillId="0" borderId="0" xfId="0" applyFont="1" applyBorder="1" applyAlignment="1">
      <alignment vertical="top"/>
    </xf>
    <xf numFmtId="0" fontId="5" fillId="0" borderId="0" xfId="0" applyFont="1" applyBorder="1"/>
    <xf numFmtId="0" fontId="31" fillId="0" borderId="1" xfId="0" applyFont="1" applyBorder="1"/>
    <xf numFmtId="2" fontId="31" fillId="0" borderId="1" xfId="0" applyNumberFormat="1" applyFont="1" applyBorder="1"/>
    <xf numFmtId="1" fontId="31" fillId="0" borderId="1" xfId="0" applyNumberFormat="1" applyFont="1" applyBorder="1"/>
    <xf numFmtId="0" fontId="5" fillId="0" borderId="0" xfId="0" applyFont="1" applyFill="1"/>
    <xf numFmtId="0" fontId="5" fillId="0" borderId="0" xfId="0" applyFont="1"/>
    <xf numFmtId="0" fontId="8" fillId="0" borderId="0" xfId="0" applyFont="1"/>
    <xf numFmtId="0" fontId="32" fillId="0" borderId="0" xfId="0" applyFont="1" applyAlignment="1">
      <alignment vertical="top"/>
    </xf>
    <xf numFmtId="0" fontId="32" fillId="0" borderId="0" xfId="0" applyFont="1"/>
    <xf numFmtId="0" fontId="33" fillId="0" borderId="0" xfId="0" applyFont="1" applyAlignment="1">
      <alignment horizontal="justify" vertical="center"/>
    </xf>
    <xf numFmtId="0" fontId="34" fillId="0" borderId="0" xfId="0" applyFont="1"/>
    <xf numFmtId="0" fontId="35" fillId="0" borderId="0" xfId="0" applyFont="1" applyAlignment="1">
      <alignment horizontal="justify" vertical="top"/>
    </xf>
    <xf numFmtId="0" fontId="36" fillId="37" borderId="0" xfId="0" applyFont="1" applyFill="1" applyBorder="1" applyAlignment="1">
      <alignment horizontal="center" vertical="top" wrapText="1"/>
    </xf>
    <xf numFmtId="3" fontId="37" fillId="37" borderId="0" xfId="0" applyNumberFormat="1" applyFont="1" applyFill="1" applyBorder="1" applyAlignment="1">
      <alignment horizontal="right" vertical="top" indent="1"/>
    </xf>
    <xf numFmtId="168" fontId="4" fillId="2" borderId="1" xfId="0" applyNumberFormat="1" applyFont="1" applyFill="1" applyBorder="1"/>
    <xf numFmtId="0" fontId="5" fillId="0" borderId="0" xfId="0" applyFont="1" applyFill="1" applyBorder="1"/>
    <xf numFmtId="0" fontId="0" fillId="0" borderId="0" xfId="0" applyAlignment="1">
      <alignment vertical="center"/>
    </xf>
    <xf numFmtId="164" fontId="4" fillId="2" borderId="1" xfId="0" applyNumberFormat="1" applyFont="1" applyFill="1" applyBorder="1" applyAlignment="1">
      <alignment horizontal="center" vertical="center" wrapText="1"/>
    </xf>
    <xf numFmtId="165" fontId="4" fillId="2" borderId="1" xfId="0" applyNumberFormat="1" applyFont="1" applyFill="1" applyBorder="1" applyAlignment="1">
      <alignment horizontal="center" vertical="center" wrapText="1"/>
    </xf>
    <xf numFmtId="0" fontId="0" fillId="0" borderId="0" xfId="0" applyAlignment="1">
      <alignment horizontal="center" wrapText="1"/>
    </xf>
    <xf numFmtId="2" fontId="3" fillId="38" borderId="1" xfId="0" applyNumberFormat="1" applyFont="1" applyFill="1" applyBorder="1" applyAlignment="1">
      <alignment horizontal="left" vertical="center"/>
    </xf>
    <xf numFmtId="0" fontId="0" fillId="38" borderId="1" xfId="0" applyFill="1" applyBorder="1"/>
    <xf numFmtId="0" fontId="26" fillId="0" borderId="0" xfId="0" applyFont="1" applyAlignment="1">
      <alignment vertical="center"/>
    </xf>
    <xf numFmtId="3" fontId="4" fillId="2" borderId="1" xfId="0" applyNumberFormat="1" applyFont="1" applyFill="1" applyBorder="1" applyAlignment="1">
      <alignment horizontal="center" vertical="center" wrapText="1"/>
    </xf>
    <xf numFmtId="0" fontId="0" fillId="0" borderId="0" xfId="0" applyAlignment="1">
      <alignment vertical="center" wrapText="1"/>
    </xf>
    <xf numFmtId="3" fontId="4" fillId="2" borderId="1" xfId="0" applyNumberFormat="1" applyFont="1" applyFill="1" applyBorder="1" applyAlignment="1">
      <alignment horizontal="center" vertical="center"/>
    </xf>
    <xf numFmtId="0" fontId="29" fillId="0" borderId="0" xfId="0" applyFont="1"/>
    <xf numFmtId="2" fontId="3" fillId="0" borderId="7" xfId="0" applyNumberFormat="1" applyFont="1" applyBorder="1" applyAlignment="1">
      <alignment horizontal="right" vertical="center"/>
    </xf>
    <xf numFmtId="0" fontId="4" fillId="2" borderId="1" xfId="0" applyFont="1" applyFill="1" applyBorder="1" applyAlignment="1">
      <alignment horizontal="center" vertical="center"/>
    </xf>
    <xf numFmtId="164" fontId="4" fillId="2" borderId="7"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2" fontId="3" fillId="0" borderId="1" xfId="0" applyNumberFormat="1" applyFont="1" applyBorder="1" applyAlignment="1">
      <alignment horizontal="left" vertical="center" wrapText="1"/>
    </xf>
    <xf numFmtId="1" fontId="3" fillId="0" borderId="1" xfId="0" applyNumberFormat="1" applyFont="1" applyBorder="1" applyAlignment="1">
      <alignment horizontal="left" vertical="center" wrapText="1"/>
    </xf>
    <xf numFmtId="2" fontId="3" fillId="0" borderId="1" xfId="0" applyNumberFormat="1" applyFont="1" applyBorder="1" applyAlignment="1">
      <alignment horizontal="right" vertical="center" wrapText="1"/>
    </xf>
    <xf numFmtId="1" fontId="3" fillId="0" borderId="1" xfId="0" applyNumberFormat="1" applyFont="1" applyBorder="1" applyAlignment="1">
      <alignment horizontal="right" vertical="center"/>
    </xf>
    <xf numFmtId="0" fontId="0" fillId="0" borderId="1" xfId="0" applyBorder="1" applyAlignment="1">
      <alignment horizontal="right"/>
    </xf>
    <xf numFmtId="0" fontId="29" fillId="0" borderId="0" xfId="0" applyFont="1" applyAlignment="1">
      <alignment vertical="center" wrapText="1"/>
    </xf>
    <xf numFmtId="0" fontId="0" fillId="0" borderId="0" xfId="0" applyFont="1" applyBorder="1" applyAlignment="1">
      <alignment vertical="center"/>
    </xf>
    <xf numFmtId="0" fontId="31" fillId="0" borderId="1" xfId="0" applyFont="1" applyBorder="1" applyAlignment="1">
      <alignment horizontal="right"/>
    </xf>
    <xf numFmtId="10" fontId="31" fillId="0" borderId="1" xfId="48" applyNumberFormat="1" applyFont="1" applyBorder="1" applyAlignment="1">
      <alignment horizontal="right"/>
    </xf>
    <xf numFmtId="0" fontId="31" fillId="0" borderId="0" xfId="0" applyFont="1" applyAlignment="1">
      <alignment vertical="center"/>
    </xf>
    <xf numFmtId="0" fontId="31" fillId="0" borderId="0" xfId="0" applyFont="1" applyAlignment="1">
      <alignment horizontal="right" vertical="center" wrapText="1"/>
    </xf>
    <xf numFmtId="2" fontId="3" fillId="0" borderId="1" xfId="0" applyNumberFormat="1" applyFont="1" applyBorder="1" applyAlignment="1">
      <alignment vertical="center"/>
    </xf>
    <xf numFmtId="0" fontId="31" fillId="0" borderId="1" xfId="0" applyFont="1" applyBorder="1" applyAlignment="1"/>
    <xf numFmtId="10" fontId="31" fillId="0" borderId="1" xfId="48" applyNumberFormat="1" applyFont="1" applyBorder="1" applyAlignment="1"/>
    <xf numFmtId="0" fontId="29" fillId="0" borderId="0" xfId="0" applyFont="1" applyAlignment="1">
      <alignment horizontal="center" vertical="center"/>
    </xf>
    <xf numFmtId="166" fontId="4" fillId="2" borderId="1" xfId="0" applyNumberFormat="1" applyFont="1" applyFill="1" applyBorder="1" applyAlignment="1">
      <alignment horizontal="center" vertical="center"/>
    </xf>
    <xf numFmtId="0" fontId="4" fillId="3" borderId="1" xfId="0" applyFont="1" applyFill="1" applyBorder="1" applyAlignment="1">
      <alignment horizontal="center" wrapText="1"/>
    </xf>
    <xf numFmtId="2" fontId="4" fillId="39" borderId="7" xfId="0" applyNumberFormat="1" applyFont="1" applyFill="1" applyBorder="1" applyAlignment="1">
      <alignment horizontal="left" vertical="center"/>
    </xf>
    <xf numFmtId="2" fontId="4" fillId="39" borderId="1" xfId="0" applyNumberFormat="1" applyFont="1" applyFill="1" applyBorder="1" applyAlignment="1">
      <alignment horizontal="left" vertical="center"/>
    </xf>
    <xf numFmtId="0" fontId="29" fillId="39" borderId="1" xfId="0" applyFont="1" applyFill="1" applyBorder="1"/>
    <xf numFmtId="0" fontId="38" fillId="39" borderId="1" xfId="0" applyFont="1" applyFill="1" applyBorder="1"/>
    <xf numFmtId="2" fontId="38" fillId="39" borderId="1" xfId="0" applyNumberFormat="1" applyFont="1" applyFill="1" applyBorder="1"/>
    <xf numFmtId="0" fontId="38" fillId="39" borderId="1" xfId="0" applyFont="1" applyFill="1" applyBorder="1" applyAlignment="1">
      <alignment vertical="center"/>
    </xf>
    <xf numFmtId="0" fontId="29" fillId="39" borderId="1" xfId="0" applyFont="1" applyFill="1" applyBorder="1" applyAlignment="1">
      <alignment vertical="center"/>
    </xf>
    <xf numFmtId="0" fontId="31" fillId="0" borderId="7" xfId="0" applyFont="1" applyBorder="1"/>
    <xf numFmtId="0" fontId="0" fillId="0" borderId="0" xfId="0" applyBorder="1" applyAlignment="1">
      <alignment horizontal="center" vertical="center"/>
    </xf>
    <xf numFmtId="0" fontId="38" fillId="39" borderId="7" xfId="0" applyFont="1" applyFill="1" applyBorder="1"/>
    <xf numFmtId="0" fontId="4" fillId="2" borderId="7" xfId="0" applyFont="1" applyFill="1" applyBorder="1" applyAlignment="1">
      <alignment horizontal="center" vertical="center"/>
    </xf>
    <xf numFmtId="0" fontId="29" fillId="0" borderId="0" xfId="0" applyFont="1" applyAlignment="1">
      <alignment vertical="center"/>
    </xf>
    <xf numFmtId="3" fontId="3" fillId="2" borderId="7" xfId="0" applyNumberFormat="1" applyFont="1" applyFill="1" applyBorder="1" applyAlignment="1">
      <alignment horizontal="center" vertical="center" wrapText="1"/>
    </xf>
    <xf numFmtId="0" fontId="31" fillId="0" borderId="0" xfId="0" applyFont="1" applyAlignment="1">
      <alignment horizontal="justify" vertical="center"/>
    </xf>
    <xf numFmtId="0" fontId="31" fillId="0" borderId="0" xfId="0" applyFont="1" applyAlignment="1">
      <alignment horizontal="justify" vertical="center" wrapText="1"/>
    </xf>
    <xf numFmtId="0" fontId="38" fillId="0" borderId="0" xfId="0" applyFont="1" applyAlignment="1">
      <alignment horizontal="justify" vertical="center"/>
    </xf>
    <xf numFmtId="0" fontId="38" fillId="0" borderId="0" xfId="0" applyFont="1" applyAlignment="1">
      <alignment vertical="center"/>
    </xf>
    <xf numFmtId="3" fontId="4" fillId="38" borderId="1" xfId="0" applyNumberFormat="1" applyFont="1" applyFill="1" applyBorder="1" applyAlignment="1" applyProtection="1">
      <alignment vertical="center"/>
    </xf>
    <xf numFmtId="4" fontId="4" fillId="38" borderId="1" xfId="0" applyNumberFormat="1" applyFont="1" applyFill="1" applyBorder="1" applyAlignment="1" applyProtection="1">
      <alignment vertical="center"/>
    </xf>
    <xf numFmtId="3" fontId="4" fillId="38" borderId="1" xfId="0" applyNumberFormat="1" applyFont="1" applyFill="1" applyBorder="1" applyAlignment="1" applyProtection="1">
      <alignment horizontal="left" vertical="top"/>
    </xf>
    <xf numFmtId="2" fontId="4" fillId="38" borderId="1" xfId="0" applyNumberFormat="1" applyFont="1" applyFill="1" applyBorder="1" applyAlignment="1">
      <alignment horizontal="right" vertical="center"/>
    </xf>
    <xf numFmtId="2" fontId="39" fillId="38" borderId="1" xfId="0" applyNumberFormat="1" applyFont="1" applyFill="1" applyBorder="1" applyAlignment="1">
      <alignment horizontal="right"/>
    </xf>
    <xf numFmtId="0" fontId="38" fillId="38" borderId="1" xfId="0" applyFont="1" applyFill="1" applyBorder="1" applyAlignment="1">
      <alignment horizontal="left" vertical="center" wrapText="1"/>
    </xf>
    <xf numFmtId="1" fontId="38" fillId="38" borderId="1" xfId="0" applyNumberFormat="1" applyFont="1" applyFill="1" applyBorder="1" applyAlignment="1">
      <alignment horizontal="right" vertical="center" wrapText="1"/>
    </xf>
    <xf numFmtId="2" fontId="38" fillId="38" borderId="1" xfId="0" applyNumberFormat="1" applyFont="1" applyFill="1" applyBorder="1" applyAlignment="1">
      <alignment horizontal="right" vertical="center" wrapText="1"/>
    </xf>
    <xf numFmtId="164" fontId="38" fillId="38" borderId="1" xfId="0" applyNumberFormat="1" applyFont="1" applyFill="1" applyBorder="1" applyAlignment="1">
      <alignment horizontal="right" vertical="center" wrapText="1"/>
    </xf>
    <xf numFmtId="0" fontId="38" fillId="38" borderId="1" xfId="0" applyFont="1" applyFill="1" applyBorder="1" applyAlignment="1">
      <alignment vertical="center"/>
    </xf>
    <xf numFmtId="2" fontId="38" fillId="38" borderId="1" xfId="0" applyNumberFormat="1" applyFont="1" applyFill="1" applyBorder="1" applyAlignment="1">
      <alignment vertical="center"/>
    </xf>
    <xf numFmtId="9" fontId="38" fillId="38" borderId="1" xfId="0" applyNumberFormat="1" applyFont="1" applyFill="1" applyBorder="1" applyAlignment="1">
      <alignment vertical="center"/>
    </xf>
    <xf numFmtId="164" fontId="38" fillId="38" borderId="1" xfId="0" applyNumberFormat="1" applyFont="1" applyFill="1" applyBorder="1" applyAlignment="1">
      <alignment vertical="center"/>
    </xf>
    <xf numFmtId="0" fontId="4" fillId="38" borderId="1" xfId="0" applyNumberFormat="1" applyFont="1" applyFill="1" applyBorder="1" applyAlignment="1" applyProtection="1">
      <alignment horizontal="left" vertical="center"/>
    </xf>
    <xf numFmtId="1" fontId="38" fillId="38" borderId="1" xfId="0" applyNumberFormat="1" applyFont="1" applyFill="1" applyBorder="1" applyAlignment="1">
      <alignment vertical="center"/>
    </xf>
    <xf numFmtId="167" fontId="38" fillId="38" borderId="1" xfId="48" applyNumberFormat="1" applyFont="1" applyFill="1" applyBorder="1" applyAlignment="1">
      <alignment vertical="center"/>
    </xf>
    <xf numFmtId="169" fontId="38" fillId="38" borderId="1" xfId="0" applyNumberFormat="1" applyFont="1" applyFill="1" applyBorder="1" applyAlignment="1">
      <alignment vertical="center"/>
    </xf>
    <xf numFmtId="0" fontId="4" fillId="38" borderId="1" xfId="0" applyNumberFormat="1" applyFont="1" applyFill="1" applyBorder="1" applyAlignment="1" applyProtection="1">
      <alignment horizontal="left"/>
    </xf>
    <xf numFmtId="0" fontId="4" fillId="38" borderId="1" xfId="0" applyNumberFormat="1" applyFont="1" applyFill="1" applyBorder="1" applyAlignment="1" applyProtection="1">
      <alignment horizontal="right"/>
    </xf>
    <xf numFmtId="9" fontId="4" fillId="38" borderId="1" xfId="48" applyFont="1" applyFill="1" applyBorder="1" applyAlignment="1" applyProtection="1">
      <alignment horizontal="right"/>
    </xf>
    <xf numFmtId="3" fontId="4" fillId="38" borderId="1" xfId="0" applyNumberFormat="1" applyFont="1" applyFill="1" applyBorder="1" applyAlignment="1" applyProtection="1">
      <alignment horizontal="right" vertical="top"/>
    </xf>
    <xf numFmtId="10" fontId="4" fillId="38" borderId="1" xfId="48" applyNumberFormat="1" applyFont="1" applyFill="1" applyBorder="1" applyAlignment="1" applyProtection="1">
      <alignment horizontal="right" vertical="top"/>
    </xf>
    <xf numFmtId="0" fontId="4" fillId="38" borderId="1" xfId="0" applyNumberFormat="1" applyFont="1" applyFill="1" applyBorder="1" applyAlignment="1" applyProtection="1">
      <alignment horizontal="right" vertical="center"/>
    </xf>
    <xf numFmtId="0" fontId="3" fillId="38" borderId="1" xfId="0" applyNumberFormat="1" applyFont="1" applyFill="1" applyBorder="1" applyAlignment="1" applyProtection="1">
      <alignment horizontal="right" vertical="center"/>
    </xf>
    <xf numFmtId="2" fontId="4" fillId="38" borderId="1" xfId="0" applyNumberFormat="1" applyFont="1" applyFill="1" applyBorder="1" applyAlignment="1" applyProtection="1">
      <alignment horizontal="right" vertical="center"/>
    </xf>
    <xf numFmtId="1" fontId="4" fillId="38" borderId="1" xfId="0" applyNumberFormat="1" applyFont="1" applyFill="1" applyBorder="1" applyAlignment="1" applyProtection="1">
      <alignment horizontal="right" vertical="center"/>
    </xf>
    <xf numFmtId="9" fontId="3" fillId="0" borderId="1" xfId="48" applyFont="1" applyBorder="1" applyAlignment="1">
      <alignment vertical="center"/>
    </xf>
    <xf numFmtId="164" fontId="31" fillId="0" borderId="1" xfId="0" applyNumberFormat="1" applyFont="1" applyBorder="1"/>
    <xf numFmtId="10" fontId="3" fillId="0" borderId="1" xfId="48" applyNumberFormat="1" applyFont="1" applyBorder="1" applyAlignment="1">
      <alignment horizontal="right" vertical="center"/>
    </xf>
    <xf numFmtId="1" fontId="3" fillId="0" borderId="1" xfId="0" applyNumberFormat="1" applyFont="1" applyBorder="1" applyAlignment="1">
      <alignment vertical="center"/>
    </xf>
    <xf numFmtId="2" fontId="31" fillId="0" borderId="7" xfId="0" applyNumberFormat="1" applyFont="1" applyBorder="1"/>
    <xf numFmtId="2" fontId="31" fillId="0" borderId="1" xfId="0" applyNumberFormat="1" applyFont="1" applyBorder="1" applyAlignment="1">
      <alignment vertical="center"/>
    </xf>
    <xf numFmtId="9" fontId="31" fillId="0" borderId="1" xfId="48" applyFont="1" applyBorder="1" applyAlignment="1">
      <alignment vertical="center"/>
    </xf>
    <xf numFmtId="10" fontId="5" fillId="0" borderId="1" xfId="48" applyNumberFormat="1" applyFont="1" applyBorder="1"/>
    <xf numFmtId="10" fontId="5" fillId="0" borderId="1" xfId="48" applyNumberFormat="1" applyFont="1" applyBorder="1" applyAlignment="1"/>
    <xf numFmtId="10" fontId="4" fillId="2" borderId="1" xfId="48" applyNumberFormat="1" applyFont="1" applyFill="1" applyBorder="1"/>
    <xf numFmtId="9" fontId="38" fillId="38" borderId="1" xfId="48" applyFont="1" applyFill="1" applyBorder="1" applyAlignment="1">
      <alignment vertical="center"/>
    </xf>
    <xf numFmtId="167" fontId="4" fillId="0" borderId="1" xfId="48" applyNumberFormat="1" applyFont="1" applyFill="1" applyBorder="1"/>
    <xf numFmtId="10" fontId="4" fillId="2" borderId="1" xfId="0" applyNumberFormat="1" applyFont="1" applyFill="1" applyBorder="1"/>
    <xf numFmtId="0" fontId="0" fillId="0" borderId="0" xfId="0" applyAlignment="1">
      <alignment horizontal="center"/>
    </xf>
    <xf numFmtId="2" fontId="0" fillId="0" borderId="0" xfId="0" applyNumberFormat="1"/>
    <xf numFmtId="1" fontId="0" fillId="0" borderId="0" xfId="0" applyNumberFormat="1"/>
    <xf numFmtId="2" fontId="8" fillId="0" borderId="1" xfId="38" applyNumberFormat="1" applyFont="1" applyBorder="1"/>
    <xf numFmtId="10" fontId="8" fillId="0" borderId="1" xfId="0" applyNumberFormat="1" applyFont="1" applyBorder="1"/>
    <xf numFmtId="1" fontId="8" fillId="0" borderId="1" xfId="38" applyNumberFormat="1" applyFont="1" applyBorder="1"/>
    <xf numFmtId="0" fontId="8" fillId="0" borderId="1" xfId="38" applyNumberFormat="1" applyFont="1" applyBorder="1"/>
    <xf numFmtId="10" fontId="0" fillId="0" borderId="0" xfId="0" applyNumberFormat="1"/>
    <xf numFmtId="0" fontId="36" fillId="37" borderId="36" xfId="0" applyFont="1" applyFill="1" applyBorder="1" applyAlignment="1">
      <alignment horizontal="center" vertical="top" wrapText="1"/>
    </xf>
    <xf numFmtId="3" fontId="0" fillId="0" borderId="0" xfId="0" applyNumberFormat="1"/>
    <xf numFmtId="0" fontId="4" fillId="2" borderId="1" xfId="0" applyFont="1" applyFill="1" applyBorder="1" applyAlignment="1">
      <alignment vertical="center"/>
    </xf>
    <xf numFmtId="0" fontId="0" fillId="0" borderId="8" xfId="0" applyBorder="1"/>
    <xf numFmtId="0" fontId="36" fillId="37" borderId="37" xfId="0" applyFont="1" applyFill="1" applyBorder="1" applyAlignment="1">
      <alignment horizontal="center" vertical="top" wrapText="1"/>
    </xf>
    <xf numFmtId="1" fontId="3" fillId="0" borderId="1" xfId="0" applyNumberFormat="1" applyFont="1" applyBorder="1" applyAlignment="1">
      <alignment horizontal="right" vertical="center" wrapText="1"/>
    </xf>
    <xf numFmtId="167" fontId="3" fillId="0" borderId="1" xfId="48" applyNumberFormat="1" applyFont="1" applyBorder="1" applyAlignment="1">
      <alignment horizontal="right" vertical="center" wrapText="1"/>
    </xf>
    <xf numFmtId="0" fontId="30" fillId="0" borderId="0" xfId="0" applyFont="1"/>
    <xf numFmtId="0" fontId="5" fillId="0" borderId="0" xfId="0" applyFont="1" applyAlignment="1">
      <alignment horizontal="justify" vertical="center" wrapText="1"/>
    </xf>
    <xf numFmtId="2" fontId="3" fillId="0" borderId="0" xfId="0" applyNumberFormat="1" applyFont="1" applyAlignment="1">
      <alignment horizontal="right" vertical="center"/>
    </xf>
    <xf numFmtId="0" fontId="0" fillId="0" borderId="0" xfId="0" applyAlignment="1">
      <alignment horizontal="right"/>
    </xf>
    <xf numFmtId="0" fontId="40" fillId="0" borderId="0" xfId="0" applyFont="1"/>
    <xf numFmtId="0" fontId="40" fillId="0" borderId="9" xfId="0" applyFont="1" applyBorder="1"/>
    <xf numFmtId="10" fontId="31" fillId="0" borderId="1" xfId="48" applyNumberFormat="1" applyFont="1" applyBorder="1"/>
    <xf numFmtId="0" fontId="4" fillId="2" borderId="1" xfId="0" applyFont="1" applyFill="1" applyBorder="1" applyAlignment="1">
      <alignment horizontal="left" vertical="center"/>
    </xf>
    <xf numFmtId="0" fontId="0" fillId="0" borderId="0" xfId="0" applyBorder="1"/>
    <xf numFmtId="164" fontId="31" fillId="40" borderId="1" xfId="0" applyNumberFormat="1" applyFont="1" applyFill="1" applyBorder="1"/>
    <xf numFmtId="0" fontId="3" fillId="2" borderId="7" xfId="0" applyFont="1" applyFill="1" applyBorder="1" applyAlignment="1">
      <alignment horizontal="center" vertical="center" wrapText="1"/>
    </xf>
    <xf numFmtId="0" fontId="5" fillId="0" borderId="0" xfId="0" applyFont="1" applyAlignment="1">
      <alignment vertical="center" wrapText="1"/>
    </xf>
    <xf numFmtId="0" fontId="14" fillId="0" borderId="0" xfId="0" applyFont="1"/>
    <xf numFmtId="2" fontId="3" fillId="0" borderId="7" xfId="0" applyNumberFormat="1" applyFont="1" applyFill="1" applyBorder="1" applyAlignment="1">
      <alignment horizontal="right" vertical="center"/>
    </xf>
    <xf numFmtId="0" fontId="29" fillId="0" borderId="0" xfId="0" applyNumberFormat="1" applyFont="1" applyAlignment="1">
      <alignment vertical="top" wrapText="1"/>
    </xf>
    <xf numFmtId="0" fontId="29" fillId="0" borderId="0" xfId="0" applyFont="1" applyAlignment="1">
      <alignment vertical="top" wrapText="1"/>
    </xf>
    <xf numFmtId="0" fontId="0" fillId="0" borderId="0" xfId="0" applyAlignment="1">
      <alignment vertical="top" wrapText="1"/>
    </xf>
    <xf numFmtId="0" fontId="0" fillId="0" borderId="0" xfId="0" applyNumberFormat="1" applyAlignment="1">
      <alignment vertical="top" wrapText="1"/>
    </xf>
    <xf numFmtId="0" fontId="0" fillId="0" borderId="10" xfId="0" applyNumberFormat="1" applyBorder="1" applyAlignment="1">
      <alignment vertical="top" wrapText="1"/>
    </xf>
    <xf numFmtId="0" fontId="0" fillId="0" borderId="11" xfId="0" applyBorder="1" applyAlignment="1">
      <alignment vertical="top" wrapText="1"/>
    </xf>
    <xf numFmtId="0" fontId="29" fillId="0" borderId="0" xfId="0" applyFont="1" applyAlignment="1">
      <alignment horizontal="center" vertical="top" wrapText="1"/>
    </xf>
    <xf numFmtId="0" fontId="0" fillId="0" borderId="0" xfId="0" applyAlignment="1">
      <alignment horizontal="center" vertical="top" wrapText="1"/>
    </xf>
    <xf numFmtId="0" fontId="29" fillId="0" borderId="0" xfId="0" applyNumberFormat="1" applyFont="1" applyAlignment="1">
      <alignment horizontal="center" vertical="top" wrapText="1"/>
    </xf>
    <xf numFmtId="0" fontId="0" fillId="0" borderId="11" xfId="0" applyBorder="1" applyAlignment="1">
      <alignment horizontal="center" vertical="top" wrapText="1"/>
    </xf>
    <xf numFmtId="0" fontId="0" fillId="0" borderId="12" xfId="0" applyBorder="1" applyAlignment="1">
      <alignment horizontal="center" vertical="top" wrapText="1"/>
    </xf>
    <xf numFmtId="4" fontId="5" fillId="0" borderId="0" xfId="0" applyNumberFormat="1" applyFont="1"/>
    <xf numFmtId="4" fontId="8" fillId="0" borderId="0" xfId="0" applyNumberFormat="1" applyFont="1"/>
    <xf numFmtId="4" fontId="5" fillId="0" borderId="0" xfId="0" applyNumberFormat="1" applyFont="1" applyBorder="1"/>
    <xf numFmtId="0" fontId="0" fillId="41" borderId="0" xfId="0" applyFill="1"/>
    <xf numFmtId="49" fontId="12" fillId="0" borderId="13" xfId="0" applyNumberFormat="1" applyFont="1" applyFill="1" applyBorder="1" applyAlignment="1" applyProtection="1">
      <alignment horizontal="left" vertical="center" wrapText="1"/>
    </xf>
    <xf numFmtId="4" fontId="12" fillId="0" borderId="13" xfId="0" applyNumberFormat="1" applyFont="1" applyFill="1" applyBorder="1" applyAlignment="1" applyProtection="1">
      <alignment horizontal="right" vertical="center" wrapText="1"/>
    </xf>
    <xf numFmtId="14" fontId="12" fillId="0" borderId="13" xfId="0" applyNumberFormat="1" applyFont="1" applyFill="1" applyBorder="1" applyAlignment="1" applyProtection="1">
      <alignment horizontal="center" vertical="center" wrapText="1"/>
    </xf>
    <xf numFmtId="49" fontId="12" fillId="0" borderId="13" xfId="0" applyNumberFormat="1" applyFont="1" applyFill="1" applyBorder="1" applyAlignment="1" applyProtection="1">
      <alignment horizontal="right" vertical="center" wrapText="1"/>
    </xf>
    <xf numFmtId="0" fontId="41" fillId="0" borderId="0" xfId="0" applyFont="1"/>
    <xf numFmtId="0" fontId="42" fillId="42" borderId="38" xfId="0" applyFont="1" applyFill="1" applyBorder="1" applyAlignment="1">
      <alignment horizontal="center" wrapText="1"/>
    </xf>
    <xf numFmtId="0" fontId="42" fillId="43" borderId="38" xfId="0" applyFont="1" applyFill="1" applyBorder="1" applyAlignment="1">
      <alignment horizontal="center" wrapText="1"/>
    </xf>
    <xf numFmtId="0" fontId="42" fillId="44" borderId="38" xfId="0" applyFont="1" applyFill="1" applyBorder="1" applyAlignment="1">
      <alignment horizontal="center" wrapText="1"/>
    </xf>
    <xf numFmtId="0" fontId="42" fillId="45" borderId="38" xfId="0" applyFont="1" applyFill="1" applyBorder="1" applyAlignment="1">
      <alignment horizontal="center" wrapText="1"/>
    </xf>
    <xf numFmtId="0" fontId="42" fillId="0" borderId="39" xfId="0" applyFont="1" applyBorder="1" applyAlignment="1">
      <alignment horizontal="left" wrapText="1"/>
    </xf>
    <xf numFmtId="0" fontId="43" fillId="0" borderId="0" xfId="0" applyFont="1" applyAlignment="1">
      <alignment horizontal="right" wrapText="1" indent="1"/>
    </xf>
    <xf numFmtId="0" fontId="43" fillId="0" borderId="40" xfId="0" applyFont="1" applyBorder="1" applyAlignment="1">
      <alignment horizontal="right" wrapText="1" indent="1"/>
    </xf>
    <xf numFmtId="0" fontId="44" fillId="0" borderId="39" xfId="0" applyFont="1" applyBorder="1" applyAlignment="1">
      <alignment horizontal="left" wrapText="1"/>
    </xf>
    <xf numFmtId="0" fontId="42" fillId="0" borderId="40" xfId="0" applyFont="1" applyBorder="1" applyAlignment="1">
      <alignment horizontal="right" wrapText="1" indent="1"/>
    </xf>
    <xf numFmtId="0" fontId="45" fillId="0" borderId="0" xfId="0" applyFont="1" applyAlignment="1">
      <alignment horizontal="right" wrapText="1" indent="1"/>
    </xf>
    <xf numFmtId="0" fontId="42" fillId="0" borderId="41" xfId="0" applyFont="1" applyBorder="1" applyAlignment="1">
      <alignment horizontal="left" wrapText="1"/>
    </xf>
    <xf numFmtId="0" fontId="45" fillId="0" borderId="42" xfId="0" applyFont="1" applyBorder="1" applyAlignment="1">
      <alignment horizontal="right" wrapText="1" indent="1"/>
    </xf>
    <xf numFmtId="0" fontId="42" fillId="0" borderId="43" xfId="0" applyFont="1" applyBorder="1" applyAlignment="1">
      <alignment horizontal="right" wrapText="1" indent="1"/>
    </xf>
    <xf numFmtId="0" fontId="43" fillId="0" borderId="42" xfId="0" applyFont="1" applyBorder="1" applyAlignment="1">
      <alignment horizontal="right" wrapText="1" indent="1"/>
    </xf>
    <xf numFmtId="0" fontId="46" fillId="0" borderId="1" xfId="0" applyFont="1" applyBorder="1"/>
    <xf numFmtId="2" fontId="46" fillId="0" borderId="1" xfId="0" applyNumberFormat="1" applyFont="1" applyBorder="1"/>
    <xf numFmtId="0" fontId="41" fillId="0" borderId="1" xfId="0" applyFont="1" applyBorder="1"/>
    <xf numFmtId="3" fontId="41" fillId="0" borderId="1" xfId="0" applyNumberFormat="1" applyFont="1" applyBorder="1"/>
    <xf numFmtId="4" fontId="41" fillId="0" borderId="1" xfId="0" applyNumberFormat="1" applyFont="1" applyBorder="1"/>
    <xf numFmtId="0" fontId="41" fillId="0" borderId="1" xfId="0" applyNumberFormat="1" applyFont="1" applyBorder="1"/>
    <xf numFmtId="0" fontId="41" fillId="0" borderId="1" xfId="0" applyFont="1" applyBorder="1" applyAlignment="1">
      <alignment horizontal="center"/>
    </xf>
    <xf numFmtId="0" fontId="46" fillId="0" borderId="1" xfId="0" applyFont="1" applyBorder="1" applyAlignment="1">
      <alignment horizontal="center"/>
    </xf>
    <xf numFmtId="4" fontId="46" fillId="0" borderId="1" xfId="0" applyNumberFormat="1" applyFont="1" applyBorder="1"/>
    <xf numFmtId="4" fontId="0" fillId="0" borderId="1" xfId="0" applyNumberFormat="1" applyBorder="1"/>
    <xf numFmtId="10" fontId="0" fillId="0" borderId="1" xfId="0" applyNumberFormat="1" applyBorder="1"/>
    <xf numFmtId="15" fontId="37" fillId="37" borderId="44" xfId="0" applyNumberFormat="1" applyFont="1" applyFill="1" applyBorder="1" applyAlignment="1">
      <alignment horizontal="right" vertical="top" indent="1"/>
    </xf>
    <xf numFmtId="0" fontId="37" fillId="37" borderId="44" xfId="0" applyFont="1" applyFill="1" applyBorder="1" applyAlignment="1">
      <alignment horizontal="left" vertical="top" indent="1"/>
    </xf>
    <xf numFmtId="0" fontId="37" fillId="37" borderId="44" xfId="0" applyFont="1" applyFill="1" applyBorder="1" applyAlignment="1">
      <alignment horizontal="right" vertical="top" indent="1"/>
    </xf>
    <xf numFmtId="10" fontId="37" fillId="37" borderId="44" xfId="0" applyNumberFormat="1" applyFont="1" applyFill="1" applyBorder="1" applyAlignment="1">
      <alignment horizontal="right" vertical="top" indent="1"/>
    </xf>
    <xf numFmtId="3" fontId="37" fillId="37" borderId="44" xfId="0" applyNumberFormat="1" applyFont="1" applyFill="1" applyBorder="1" applyAlignment="1">
      <alignment horizontal="right" vertical="top" indent="1"/>
    </xf>
    <xf numFmtId="4" fontId="37" fillId="37" borderId="44" xfId="0" applyNumberFormat="1" applyFont="1" applyFill="1" applyBorder="1" applyAlignment="1">
      <alignment horizontal="right" vertical="top" indent="1"/>
    </xf>
    <xf numFmtId="4" fontId="0" fillId="0" borderId="0" xfId="0" applyNumberFormat="1"/>
    <xf numFmtId="164" fontId="4" fillId="4" borderId="4" xfId="0" applyNumberFormat="1" applyFont="1" applyFill="1" applyBorder="1" applyAlignment="1" applyProtection="1">
      <alignment horizontal="center" vertical="center"/>
    </xf>
    <xf numFmtId="164" fontId="4" fillId="4" borderId="14" xfId="0" applyNumberFormat="1" applyFont="1" applyFill="1" applyBorder="1" applyAlignment="1" applyProtection="1">
      <alignment horizontal="center" vertical="center"/>
    </xf>
    <xf numFmtId="164" fontId="4" fillId="4" borderId="5" xfId="0" applyNumberFormat="1" applyFont="1" applyFill="1" applyBorder="1" applyAlignment="1" applyProtection="1">
      <alignment horizontal="center" vertical="center"/>
    </xf>
    <xf numFmtId="164" fontId="3" fillId="4" borderId="14" xfId="0" applyNumberFormat="1" applyFont="1" applyFill="1" applyBorder="1" applyAlignment="1" applyProtection="1">
      <alignment horizontal="right" vertical="top"/>
    </xf>
    <xf numFmtId="164" fontId="8" fillId="2" borderId="4" xfId="0" applyNumberFormat="1" applyFont="1" applyFill="1" applyBorder="1" applyAlignment="1">
      <alignment horizontal="left"/>
    </xf>
    <xf numFmtId="164" fontId="8" fillId="2" borderId="5" xfId="0" applyNumberFormat="1" applyFont="1" applyFill="1" applyBorder="1" applyAlignment="1">
      <alignment horizontal="left"/>
    </xf>
    <xf numFmtId="0" fontId="4" fillId="3" borderId="15" xfId="0" applyFont="1" applyFill="1" applyBorder="1" applyAlignment="1">
      <alignment horizontal="center"/>
    </xf>
    <xf numFmtId="164" fontId="8" fillId="2" borderId="4" xfId="0" applyNumberFormat="1" applyFont="1" applyFill="1" applyBorder="1" applyAlignment="1">
      <alignment horizontal="center" vertical="center"/>
    </xf>
    <xf numFmtId="164" fontId="8" fillId="2" borderId="14" xfId="0" applyNumberFormat="1" applyFont="1" applyFill="1" applyBorder="1" applyAlignment="1">
      <alignment horizontal="center" vertical="center"/>
    </xf>
    <xf numFmtId="164" fontId="8" fillId="2" borderId="5" xfId="0" applyNumberFormat="1" applyFont="1" applyFill="1" applyBorder="1" applyAlignment="1">
      <alignment horizontal="center" vertical="center"/>
    </xf>
    <xf numFmtId="164" fontId="47" fillId="0" borderId="8" xfId="40" applyNumberFormat="1" applyFont="1" applyBorder="1" applyAlignment="1">
      <alignment horizontal="center" vertical="center"/>
    </xf>
    <xf numFmtId="164" fontId="47" fillId="0" borderId="16" xfId="40" applyNumberFormat="1" applyFont="1" applyBorder="1" applyAlignment="1">
      <alignment horizontal="center" vertical="center"/>
    </xf>
    <xf numFmtId="164" fontId="47" fillId="0" borderId="9" xfId="40" applyNumberFormat="1" applyFont="1" applyBorder="1" applyAlignment="1">
      <alignment horizontal="center" vertical="center"/>
    </xf>
    <xf numFmtId="164" fontId="2" fillId="0" borderId="17" xfId="40" applyNumberFormat="1" applyFont="1" applyBorder="1" applyAlignment="1">
      <alignment horizontal="center" vertical="center"/>
    </xf>
    <xf numFmtId="164" fontId="2" fillId="0" borderId="18" xfId="40" applyNumberFormat="1" applyFont="1" applyBorder="1" applyAlignment="1">
      <alignment horizontal="center" vertical="center"/>
    </xf>
    <xf numFmtId="164" fontId="2" fillId="0" borderId="19" xfId="40" applyNumberFormat="1" applyFont="1" applyBorder="1" applyAlignment="1">
      <alignment horizontal="center" vertical="center"/>
    </xf>
    <xf numFmtId="164" fontId="4" fillId="2" borderId="20" xfId="0" applyNumberFormat="1" applyFont="1" applyFill="1" applyBorder="1" applyAlignment="1">
      <alignment horizontal="center" vertical="center"/>
    </xf>
    <xf numFmtId="164" fontId="4" fillId="2" borderId="7" xfId="0" applyNumberFormat="1" applyFont="1" applyFill="1" applyBorder="1" applyAlignment="1">
      <alignment horizontal="center" vertical="center"/>
    </xf>
    <xf numFmtId="164" fontId="4" fillId="2" borderId="4" xfId="0" applyNumberFormat="1" applyFont="1" applyFill="1" applyBorder="1" applyAlignment="1">
      <alignment horizontal="center" vertical="center"/>
    </xf>
    <xf numFmtId="164" fontId="4" fillId="2" borderId="14" xfId="0" applyNumberFormat="1" applyFont="1" applyFill="1" applyBorder="1" applyAlignment="1">
      <alignment horizontal="center" vertical="center"/>
    </xf>
    <xf numFmtId="164" fontId="4" fillId="2" borderId="5" xfId="0" applyNumberFormat="1" applyFont="1" applyFill="1" applyBorder="1" applyAlignment="1">
      <alignment horizontal="center" vertical="center"/>
    </xf>
    <xf numFmtId="164" fontId="4" fillId="2" borderId="4"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164" fontId="4" fillId="2" borderId="5" xfId="0" applyNumberFormat="1" applyFont="1" applyFill="1" applyBorder="1" applyAlignment="1">
      <alignment horizontal="center" vertical="center" wrapText="1"/>
    </xf>
    <xf numFmtId="3" fontId="4" fillId="38" borderId="1" xfId="0" applyNumberFormat="1" applyFont="1" applyFill="1" applyBorder="1" applyAlignment="1" applyProtection="1">
      <alignment horizontal="left" vertical="center"/>
    </xf>
    <xf numFmtId="3" fontId="4" fillId="2" borderId="1" xfId="0" applyNumberFormat="1" applyFont="1" applyFill="1" applyBorder="1" applyAlignment="1">
      <alignment horizontal="center" vertical="center"/>
    </xf>
    <xf numFmtId="3" fontId="9" fillId="0" borderId="1" xfId="0" applyNumberFormat="1" applyFont="1" applyBorder="1" applyAlignment="1">
      <alignment horizontal="center" vertical="center"/>
    </xf>
    <xf numFmtId="3" fontId="10" fillId="0" borderId="8" xfId="0" applyNumberFormat="1" applyFont="1" applyBorder="1" applyAlignment="1">
      <alignment horizontal="center" vertical="center"/>
    </xf>
    <xf numFmtId="3" fontId="10" fillId="0" borderId="16" xfId="0" applyNumberFormat="1" applyFont="1" applyBorder="1" applyAlignment="1">
      <alignment horizontal="center" vertical="center"/>
    </xf>
    <xf numFmtId="3" fontId="10" fillId="0" borderId="9" xfId="0" applyNumberFormat="1" applyFont="1" applyBorder="1" applyAlignment="1">
      <alignment horizontal="center" vertical="center"/>
    </xf>
    <xf numFmtId="3" fontId="4" fillId="2" borderId="7" xfId="0" applyNumberFormat="1" applyFont="1" applyFill="1" applyBorder="1" applyAlignment="1">
      <alignment horizontal="center" vertical="center"/>
    </xf>
    <xf numFmtId="3" fontId="9" fillId="0" borderId="7" xfId="0" applyNumberFormat="1" applyFont="1" applyBorder="1" applyAlignment="1">
      <alignment horizontal="center" vertical="center"/>
    </xf>
    <xf numFmtId="0" fontId="10" fillId="0" borderId="8" xfId="0" applyFont="1" applyBorder="1" applyAlignment="1">
      <alignment horizontal="center" vertical="center"/>
    </xf>
    <xf numFmtId="0" fontId="10" fillId="0" borderId="16" xfId="0" applyFont="1" applyBorder="1" applyAlignment="1">
      <alignment horizontal="center" vertical="center"/>
    </xf>
    <xf numFmtId="0" fontId="11" fillId="0" borderId="16" xfId="0" applyFont="1" applyBorder="1" applyAlignment="1">
      <alignment vertical="center"/>
    </xf>
    <xf numFmtId="0" fontId="11" fillId="0" borderId="9" xfId="0" applyFont="1" applyBorder="1" applyAlignment="1">
      <alignment vertical="center"/>
    </xf>
    <xf numFmtId="0" fontId="4" fillId="2" borderId="7" xfId="0" applyFont="1" applyFill="1" applyBorder="1" applyAlignment="1">
      <alignment horizontal="center" vertical="center" wrapText="1"/>
    </xf>
    <xf numFmtId="0" fontId="4" fillId="2" borderId="1" xfId="0" applyFont="1" applyFill="1" applyBorder="1" applyAlignment="1">
      <alignment horizontal="center" vertical="center" wrapText="1"/>
    </xf>
    <xf numFmtId="3" fontId="4" fillId="2" borderId="7"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0" fontId="7" fillId="3" borderId="0" xfId="0" applyFont="1" applyFill="1" applyBorder="1" applyAlignment="1">
      <alignment horizontal="left"/>
    </xf>
    <xf numFmtId="3" fontId="10" fillId="0" borderId="8" xfId="41" applyNumberFormat="1" applyFont="1" applyBorder="1" applyAlignment="1">
      <alignment horizontal="center" vertical="center"/>
    </xf>
    <xf numFmtId="3" fontId="10" fillId="0" borderId="16" xfId="41" applyNumberFormat="1" applyFont="1" applyBorder="1" applyAlignment="1">
      <alignment horizontal="center" vertical="center"/>
    </xf>
    <xf numFmtId="3" fontId="10" fillId="0" borderId="16" xfId="49" applyNumberFormat="1" applyFont="1" applyFill="1" applyBorder="1" applyAlignment="1">
      <alignment horizontal="center" vertical="center"/>
    </xf>
    <xf numFmtId="3" fontId="11" fillId="0" borderId="16" xfId="0" applyNumberFormat="1" applyFont="1" applyBorder="1" applyAlignment="1">
      <alignment horizontal="center" vertical="center"/>
    </xf>
    <xf numFmtId="3" fontId="11" fillId="0" borderId="9" xfId="0" applyNumberFormat="1" applyFont="1" applyBorder="1" applyAlignment="1">
      <alignment horizontal="center" vertical="center"/>
    </xf>
    <xf numFmtId="0" fontId="10" fillId="0" borderId="8" xfId="41" applyFont="1" applyBorder="1" applyAlignment="1">
      <alignment horizontal="center" vertical="center"/>
    </xf>
    <xf numFmtId="0" fontId="10" fillId="0" borderId="16" xfId="41" applyFont="1" applyBorder="1" applyAlignment="1">
      <alignment horizontal="center" vertical="center"/>
    </xf>
    <xf numFmtId="9" fontId="10" fillId="0" borderId="16" xfId="49" applyFont="1" applyFill="1" applyBorder="1" applyAlignment="1">
      <alignment horizontal="center" vertical="center"/>
    </xf>
    <xf numFmtId="0" fontId="11" fillId="0" borderId="16" xfId="0" applyFont="1" applyBorder="1" applyAlignment="1">
      <alignment horizontal="center" vertical="center"/>
    </xf>
    <xf numFmtId="0" fontId="11" fillId="0" borderId="9" xfId="0" applyFont="1" applyBorder="1" applyAlignment="1">
      <alignment horizontal="center" vertical="center"/>
    </xf>
    <xf numFmtId="0" fontId="4" fillId="2" borderId="21"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5" xfId="0" applyFont="1" applyFill="1" applyBorder="1" applyAlignment="1">
      <alignment horizontal="center" vertical="center"/>
    </xf>
    <xf numFmtId="166" fontId="10" fillId="0" borderId="8" xfId="45" applyNumberFormat="1" applyFont="1" applyBorder="1" applyAlignment="1">
      <alignment horizontal="center" vertical="center" wrapText="1"/>
    </xf>
    <xf numFmtId="166" fontId="10" fillId="0" borderId="16" xfId="45" applyNumberFormat="1" applyFont="1" applyBorder="1" applyAlignment="1">
      <alignment horizontal="center" vertical="center" wrapText="1"/>
    </xf>
    <xf numFmtId="0" fontId="11" fillId="0" borderId="16" xfId="0" applyFont="1" applyBorder="1" applyAlignment="1">
      <alignment vertical="center" wrapText="1"/>
    </xf>
    <xf numFmtId="0" fontId="11" fillId="0" borderId="9" xfId="0" applyFont="1" applyBorder="1" applyAlignment="1">
      <alignment vertical="center" wrapText="1"/>
    </xf>
    <xf numFmtId="166" fontId="4" fillId="2" borderId="7" xfId="0" applyNumberFormat="1" applyFont="1" applyFill="1" applyBorder="1" applyAlignment="1">
      <alignment horizontal="center" vertical="center"/>
    </xf>
    <xf numFmtId="166" fontId="4" fillId="2" borderId="1" xfId="0" applyNumberFormat="1" applyFont="1" applyFill="1" applyBorder="1" applyAlignment="1">
      <alignment horizontal="center" vertical="center"/>
    </xf>
    <xf numFmtId="0" fontId="9" fillId="0" borderId="8" xfId="0" applyFont="1" applyBorder="1" applyAlignment="1">
      <alignment horizontal="center" vertical="center"/>
    </xf>
    <xf numFmtId="0" fontId="9" fillId="0" borderId="16" xfId="0" applyFont="1" applyBorder="1" applyAlignment="1">
      <alignment horizontal="center" vertical="center"/>
    </xf>
    <xf numFmtId="0" fontId="9" fillId="0" borderId="9" xfId="0" applyFont="1" applyBorder="1" applyAlignment="1">
      <alignment horizontal="center" vertical="center"/>
    </xf>
    <xf numFmtId="0" fontId="4" fillId="2" borderId="4" xfId="0" applyFont="1" applyFill="1" applyBorder="1" applyAlignment="1">
      <alignment horizontal="center" vertical="center"/>
    </xf>
    <xf numFmtId="3" fontId="10" fillId="0" borderId="8" xfId="42" applyNumberFormat="1" applyFont="1" applyBorder="1" applyAlignment="1">
      <alignment horizontal="center" vertical="center"/>
    </xf>
    <xf numFmtId="3" fontId="4" fillId="2" borderId="7" xfId="0" applyNumberFormat="1" applyFont="1" applyFill="1" applyBorder="1" applyAlignment="1">
      <alignment horizontal="center" vertical="top"/>
    </xf>
    <xf numFmtId="3" fontId="4" fillId="2" borderId="1" xfId="0" applyNumberFormat="1" applyFont="1" applyFill="1" applyBorder="1" applyAlignment="1">
      <alignment horizontal="center" vertical="top"/>
    </xf>
    <xf numFmtId="0" fontId="4" fillId="2" borderId="1" xfId="0" applyFont="1" applyFill="1" applyBorder="1" applyAlignment="1">
      <alignment horizontal="center" vertical="center"/>
    </xf>
    <xf numFmtId="0" fontId="8" fillId="0" borderId="1" xfId="0" applyFont="1" applyBorder="1" applyAlignment="1">
      <alignment horizontal="center" vertical="center"/>
    </xf>
    <xf numFmtId="0" fontId="10" fillId="0" borderId="8" xfId="44" applyFont="1" applyBorder="1" applyAlignment="1">
      <alignment horizontal="center" vertical="center"/>
    </xf>
    <xf numFmtId="0" fontId="10" fillId="0" borderId="16" xfId="44" applyFont="1" applyBorder="1" applyAlignment="1">
      <alignment horizontal="center" vertical="center"/>
    </xf>
    <xf numFmtId="0" fontId="10" fillId="0" borderId="9" xfId="0" applyFont="1" applyBorder="1" applyAlignment="1">
      <alignment horizontal="center" vertical="center"/>
    </xf>
    <xf numFmtId="0" fontId="10" fillId="0" borderId="8" xfId="43" applyFont="1" applyBorder="1" applyAlignment="1">
      <alignment horizontal="center" vertical="center"/>
    </xf>
    <xf numFmtId="0" fontId="10" fillId="0" borderId="16" xfId="43" applyFont="1" applyBorder="1" applyAlignment="1">
      <alignment horizontal="center" vertical="center"/>
    </xf>
    <xf numFmtId="0" fontId="10" fillId="0" borderId="9" xfId="43" applyFont="1" applyBorder="1" applyAlignment="1">
      <alignment horizontal="center" vertical="center"/>
    </xf>
    <xf numFmtId="164" fontId="9" fillId="0" borderId="8" xfId="0" applyNumberFormat="1" applyFont="1" applyBorder="1" applyAlignment="1">
      <alignment horizontal="center" vertical="center"/>
    </xf>
    <xf numFmtId="164" fontId="9" fillId="0" borderId="16" xfId="0" applyNumberFormat="1" applyFont="1" applyBorder="1" applyAlignment="1">
      <alignment horizontal="center" vertical="center"/>
    </xf>
    <xf numFmtId="164" fontId="9" fillId="0" borderId="9" xfId="0" applyNumberFormat="1" applyFont="1" applyBorder="1" applyAlignment="1">
      <alignment horizontal="center" vertical="center"/>
    </xf>
    <xf numFmtId="164" fontId="4" fillId="2" borderId="1" xfId="0" applyNumberFormat="1" applyFont="1" applyFill="1" applyBorder="1" applyAlignment="1">
      <alignment horizontal="center" vertical="center"/>
    </xf>
    <xf numFmtId="164" fontId="4" fillId="2" borderId="24" xfId="0" applyNumberFormat="1" applyFont="1" applyFill="1" applyBorder="1" applyAlignment="1">
      <alignment horizontal="center" vertical="center"/>
    </xf>
    <xf numFmtId="164" fontId="4" fillId="2" borderId="21" xfId="0" applyNumberFormat="1" applyFont="1" applyFill="1" applyBorder="1" applyAlignment="1">
      <alignment horizontal="center" vertical="center"/>
    </xf>
    <xf numFmtId="0" fontId="10" fillId="0" borderId="25" xfId="43" applyFont="1" applyBorder="1" applyAlignment="1">
      <alignment horizontal="center" vertical="center"/>
    </xf>
    <xf numFmtId="0" fontId="10" fillId="0" borderId="26" xfId="43" applyFont="1" applyBorder="1" applyAlignment="1">
      <alignment horizontal="center" vertical="center"/>
    </xf>
    <xf numFmtId="0" fontId="2" fillId="0" borderId="8"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9" xfId="0" applyFont="1" applyFill="1" applyBorder="1" applyAlignment="1">
      <alignment horizontal="center" vertical="center"/>
    </xf>
    <xf numFmtId="3" fontId="6" fillId="0" borderId="8" xfId="0" applyNumberFormat="1" applyFont="1" applyBorder="1" applyAlignment="1">
      <alignment horizontal="center" vertical="center"/>
    </xf>
    <xf numFmtId="3" fontId="6" fillId="0" borderId="16" xfId="0" applyNumberFormat="1" applyFont="1" applyBorder="1" applyAlignment="1">
      <alignment horizontal="center" vertical="center"/>
    </xf>
    <xf numFmtId="3" fontId="6" fillId="0" borderId="9" xfId="0" applyNumberFormat="1" applyFont="1" applyBorder="1" applyAlignment="1">
      <alignment horizontal="center" vertical="center"/>
    </xf>
    <xf numFmtId="3" fontId="3" fillId="2" borderId="7" xfId="0" applyNumberFormat="1" applyFont="1" applyFill="1" applyBorder="1" applyAlignment="1">
      <alignment horizontal="center" vertical="center" wrapText="1"/>
    </xf>
    <xf numFmtId="0" fontId="48" fillId="46" borderId="45" xfId="0" applyFont="1" applyFill="1" applyBorder="1" applyAlignment="1">
      <alignment horizontal="center" vertical="center" wrapText="1"/>
    </xf>
    <xf numFmtId="0" fontId="48" fillId="46" borderId="46" xfId="0" applyFont="1" applyFill="1" applyBorder="1" applyAlignment="1">
      <alignment horizontal="center" vertical="center" wrapText="1"/>
    </xf>
    <xf numFmtId="0" fontId="48" fillId="46" borderId="47" xfId="0" applyFont="1" applyFill="1" applyBorder="1" applyAlignment="1">
      <alignment horizontal="center" vertical="center" wrapText="1"/>
    </xf>
    <xf numFmtId="0" fontId="48" fillId="47" borderId="45" xfId="0" applyFont="1" applyFill="1" applyBorder="1" applyAlignment="1">
      <alignment horizontal="center" vertical="center" wrapText="1"/>
    </xf>
    <xf numFmtId="0" fontId="48" fillId="47" borderId="46" xfId="0" applyFont="1" applyFill="1" applyBorder="1" applyAlignment="1">
      <alignment horizontal="center" vertical="center" wrapText="1"/>
    </xf>
    <xf numFmtId="0" fontId="48" fillId="47" borderId="47" xfId="0" applyFont="1" applyFill="1" applyBorder="1" applyAlignment="1">
      <alignment horizontal="center" vertical="center" wrapText="1"/>
    </xf>
    <xf numFmtId="0" fontId="48" fillId="48" borderId="45" xfId="0" applyFont="1" applyFill="1" applyBorder="1" applyAlignment="1">
      <alignment horizontal="center" vertical="center" wrapText="1"/>
    </xf>
    <xf numFmtId="0" fontId="48" fillId="48" borderId="46" xfId="0" applyFont="1" applyFill="1" applyBorder="1" applyAlignment="1">
      <alignment horizontal="center" vertical="center" wrapText="1"/>
    </xf>
    <xf numFmtId="0" fontId="48" fillId="48" borderId="47" xfId="0" applyFont="1" applyFill="1" applyBorder="1" applyAlignment="1">
      <alignment horizontal="center" vertical="center" wrapText="1"/>
    </xf>
    <xf numFmtId="0" fontId="48" fillId="49" borderId="45" xfId="0" applyFont="1" applyFill="1" applyBorder="1" applyAlignment="1">
      <alignment horizontal="center" vertical="center" wrapText="1"/>
    </xf>
    <xf numFmtId="0" fontId="48" fillId="49" borderId="46" xfId="0" applyFont="1" applyFill="1" applyBorder="1" applyAlignment="1">
      <alignment horizontal="center" vertical="center" wrapText="1"/>
    </xf>
    <xf numFmtId="0" fontId="48" fillId="49" borderId="47" xfId="0" applyFont="1" applyFill="1" applyBorder="1" applyAlignment="1">
      <alignment horizontal="center" vertical="center" wrapText="1"/>
    </xf>
    <xf numFmtId="0" fontId="42" fillId="50" borderId="48" xfId="0" applyFont="1" applyFill="1" applyBorder="1" applyAlignment="1">
      <alignment horizontal="center" vertical="center" wrapText="1"/>
    </xf>
    <xf numFmtId="0" fontId="42" fillId="50" borderId="41" xfId="0" applyFont="1" applyFill="1" applyBorder="1" applyAlignment="1">
      <alignment horizontal="center" vertical="center" wrapText="1"/>
    </xf>
  </cellXfs>
  <cellStyles count="5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cellStyle name="Normal 2 4" xfId="38"/>
    <cellStyle name="Normal 24" xfId="39"/>
    <cellStyle name="Normal 3" xfId="40"/>
    <cellStyle name="Normal 5" xfId="41"/>
    <cellStyle name="Normal 6" xfId="42"/>
    <cellStyle name="Normal 7" xfId="43"/>
    <cellStyle name="Normal 8" xfId="44"/>
    <cellStyle name="Normal 9" xfId="45"/>
    <cellStyle name="Note" xfId="46" builtinId="10" customBuiltin="1"/>
    <cellStyle name="Output" xfId="47" builtinId="21" customBuiltin="1"/>
    <cellStyle name="Percent" xfId="48" builtinId="5"/>
    <cellStyle name="Percent 5" xfId="49"/>
    <cellStyle name="Title" xfId="50" builtinId="15" customBuiltin="1"/>
    <cellStyle name="Total" xfId="51" builtinId="25" customBuiltin="1"/>
    <cellStyle name="Warning Text" xfId="5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onnections" Target="connection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queryTables/queryTable1.xml><?xml version="1.0" encoding="utf-8"?>
<queryTable xmlns="http://schemas.openxmlformats.org/spreadsheetml/2006/main" name="stats (2)" preserveFormatting="0" connectionId="4"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Expry Roll  (19)" preserveFormatting="0" connectionId="1" autoFormatId="16" applyNumberFormats="0" applyBorderFormats="0" applyFontFormats="1" applyPatternFormats="1" applyAlignmentFormats="0" applyWidthHeightFormats="0"/>
</file>

<file path=xl/queryTables/queryTable3.xml><?xml version="1.0" encoding="utf-8"?>
<queryTable xmlns="http://schemas.openxmlformats.org/spreadsheetml/2006/main" name="Expry Roll  (20)" preserveFormatting="0" connectionId="2" autoFormatId="16" applyNumberFormats="0" applyBorderFormats="0" applyFontFormats="1" applyPatternFormats="1" applyAlignmentFormats="0" applyWidthHeightFormats="0"/>
</file>

<file path=xl/queryTables/queryTable4.xml><?xml version="1.0" encoding="utf-8"?>
<queryTable xmlns="http://schemas.openxmlformats.org/spreadsheetml/2006/main" name="fii" preserveFormatting="0" connectionId="3"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queryTable" Target="../queryTables/queryTable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queryTable" Target="../queryTables/queryTable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5"/>
  <sheetViews>
    <sheetView tabSelected="1" zoomScale="85" zoomScaleNormal="85" workbookViewId="0">
      <pane ySplit="10" topLeftCell="A56" activePane="bottomLeft" state="frozen"/>
      <selection pane="bottomLeft" activeCell="A7" sqref="A7:S7"/>
    </sheetView>
  </sheetViews>
  <sheetFormatPr defaultRowHeight="15" x14ac:dyDescent="0.25"/>
  <cols>
    <col min="1" max="1" width="18.140625" customWidth="1"/>
    <col min="2" max="2" width="12.140625" bestFit="1" customWidth="1"/>
    <col min="3" max="3" width="10" customWidth="1"/>
    <col min="4" max="4" width="9.7109375" bestFit="1" customWidth="1"/>
    <col min="6" max="6" width="10" bestFit="1" customWidth="1"/>
    <col min="7" max="7" width="10.7109375" bestFit="1" customWidth="1"/>
    <col min="8" max="9" width="9.7109375" bestFit="1" customWidth="1"/>
    <col min="11" max="11" width="6.28515625" customWidth="1"/>
    <col min="12" max="12" width="10.28515625" customWidth="1"/>
    <col min="13" max="13" width="11" bestFit="1" customWidth="1"/>
    <col min="14" max="14" width="11.42578125" bestFit="1" customWidth="1"/>
    <col min="15" max="15" width="7.85546875" customWidth="1"/>
    <col min="16" max="16" width="7.42578125" customWidth="1"/>
    <col min="17" max="17" width="7" customWidth="1"/>
    <col min="18" max="18" width="7.140625" customWidth="1"/>
    <col min="19" max="19" width="6.28515625" bestFit="1" customWidth="1"/>
  </cols>
  <sheetData>
    <row r="1" spans="1:19" hidden="1" x14ac:dyDescent="0.25"/>
    <row r="2" spans="1:19" hidden="1" x14ac:dyDescent="0.25"/>
    <row r="3" spans="1:19" hidden="1" x14ac:dyDescent="0.25"/>
    <row r="4" spans="1:19" hidden="1" x14ac:dyDescent="0.25"/>
    <row r="5" spans="1:19" ht="15.75" thickBot="1" x14ac:dyDescent="0.3"/>
    <row r="6" spans="1:19" ht="21" customHeight="1" thickBot="1" x14ac:dyDescent="0.3">
      <c r="A6" s="243" t="s">
        <v>691</v>
      </c>
      <c r="B6" s="244"/>
      <c r="C6" s="244"/>
      <c r="D6" s="244"/>
      <c r="E6" s="244"/>
      <c r="F6" s="244"/>
      <c r="G6" s="244"/>
      <c r="H6" s="244"/>
      <c r="I6" s="244"/>
      <c r="J6" s="244"/>
      <c r="K6" s="244"/>
      <c r="L6" s="244"/>
      <c r="M6" s="244"/>
      <c r="N6" s="244"/>
      <c r="O6" s="244"/>
      <c r="P6" s="244"/>
      <c r="Q6" s="244"/>
      <c r="R6" s="244"/>
      <c r="S6" s="245"/>
    </row>
    <row r="7" spans="1:19" x14ac:dyDescent="0.25">
      <c r="A7" s="246"/>
      <c r="B7" s="247"/>
      <c r="C7" s="247"/>
      <c r="D7" s="247"/>
      <c r="E7" s="247"/>
      <c r="F7" s="247"/>
      <c r="G7" s="247"/>
      <c r="H7" s="247"/>
      <c r="I7" s="247"/>
      <c r="J7" s="247"/>
      <c r="K7" s="247"/>
      <c r="L7" s="247"/>
      <c r="M7" s="247"/>
      <c r="N7" s="247"/>
      <c r="O7" s="247"/>
      <c r="P7" s="247"/>
      <c r="Q7" s="247"/>
      <c r="R7" s="247"/>
      <c r="S7" s="248"/>
    </row>
    <row r="8" spans="1:19" s="64" customFormat="1" ht="15" customHeight="1" x14ac:dyDescent="0.25">
      <c r="A8" s="249"/>
      <c r="B8" s="2"/>
      <c r="C8" s="251" t="s">
        <v>308</v>
      </c>
      <c r="D8" s="252"/>
      <c r="E8" s="252"/>
      <c r="F8" s="252"/>
      <c r="G8" s="253"/>
      <c r="H8" s="251" t="s">
        <v>309</v>
      </c>
      <c r="I8" s="252"/>
      <c r="J8" s="252"/>
      <c r="K8" s="253"/>
      <c r="L8" s="254" t="s">
        <v>310</v>
      </c>
      <c r="M8" s="255"/>
      <c r="N8" s="255"/>
      <c r="O8" s="256"/>
      <c r="P8" s="251" t="s">
        <v>311</v>
      </c>
      <c r="Q8" s="252"/>
      <c r="R8" s="252"/>
      <c r="S8" s="253"/>
    </row>
    <row r="9" spans="1:19" s="64" customFormat="1" x14ac:dyDescent="0.25">
      <c r="A9" s="250"/>
      <c r="B9" s="2"/>
      <c r="C9" s="2" t="s">
        <v>312</v>
      </c>
      <c r="D9" s="251" t="s">
        <v>313</v>
      </c>
      <c r="E9" s="252"/>
      <c r="F9" s="252"/>
      <c r="G9" s="253"/>
      <c r="H9" s="251" t="s">
        <v>314</v>
      </c>
      <c r="I9" s="252"/>
      <c r="J9" s="252"/>
      <c r="K9" s="253"/>
      <c r="L9" s="251" t="s">
        <v>315</v>
      </c>
      <c r="M9" s="252"/>
      <c r="N9" s="252"/>
      <c r="O9" s="253"/>
      <c r="P9" s="251" t="s">
        <v>316</v>
      </c>
      <c r="Q9" s="253"/>
      <c r="R9" s="251" t="s">
        <v>317</v>
      </c>
      <c r="S9" s="253"/>
    </row>
    <row r="10" spans="1:19" s="67" customFormat="1" ht="27" customHeight="1" x14ac:dyDescent="0.25">
      <c r="A10" s="65" t="s">
        <v>318</v>
      </c>
      <c r="B10" s="65" t="s">
        <v>319</v>
      </c>
      <c r="C10" s="66">
        <f>'Data Vlaue (Cr)'!A2</f>
        <v>45981</v>
      </c>
      <c r="D10" s="66">
        <f>'Data Vlaue (Cr)'!A2</f>
        <v>45981</v>
      </c>
      <c r="E10" s="65" t="s">
        <v>322</v>
      </c>
      <c r="F10" s="65" t="s">
        <v>320</v>
      </c>
      <c r="G10" s="65" t="s">
        <v>321</v>
      </c>
      <c r="H10" s="66">
        <f>D10</f>
        <v>45981</v>
      </c>
      <c r="I10" s="65" t="s">
        <v>322</v>
      </c>
      <c r="J10" s="65" t="s">
        <v>323</v>
      </c>
      <c r="K10" s="65" t="s">
        <v>324</v>
      </c>
      <c r="L10" s="66">
        <f>D10</f>
        <v>45981</v>
      </c>
      <c r="M10" s="65" t="s">
        <v>322</v>
      </c>
      <c r="N10" s="65" t="s">
        <v>323</v>
      </c>
      <c r="O10" s="65" t="s">
        <v>324</v>
      </c>
      <c r="P10" s="66">
        <f>D10</f>
        <v>45981</v>
      </c>
      <c r="Q10" s="65" t="s">
        <v>324</v>
      </c>
      <c r="R10" s="66">
        <f>D10</f>
        <v>45981</v>
      </c>
      <c r="S10" s="65" t="s">
        <v>324</v>
      </c>
    </row>
    <row r="11" spans="1:19" x14ac:dyDescent="0.25">
      <c r="A11" s="96" t="str">
        <f>'Data Vlaue (Cr)'!C2</f>
        <v>360ONE</v>
      </c>
      <c r="B11" s="75">
        <f>VLOOKUP($A11,'Data Vlaue (Cr)'!$C:$FB,2)</f>
        <v>500</v>
      </c>
      <c r="C11" s="75">
        <f>VLOOKUP($A11,'Data Vlaue (Cr)'!$C:$FB,8)</f>
        <v>1142.0999999999999</v>
      </c>
      <c r="D11" s="75">
        <f>VLOOKUP($A11,'Data Vlaue (Cr)'!$C:$FB,4)</f>
        <v>1141.5</v>
      </c>
      <c r="E11" s="75">
        <f>VLOOKUP($A11,'Data Vlaue (Cr)'!$C:$FB,5)</f>
        <v>1118.9000000000001</v>
      </c>
      <c r="F11" s="75">
        <f>D11-C11</f>
        <v>-0.59999999999990905</v>
      </c>
      <c r="G11" s="75">
        <f>(D11-E11)/D11*100</f>
        <v>1.9798510731493568</v>
      </c>
      <c r="H11" s="75">
        <f>VLOOKUP($A11,'Data Vlaue (Cr)'!$C:$FB,99)</f>
        <v>616</v>
      </c>
      <c r="I11" s="75">
        <f>VLOOKUP($A11,'Data Vlaue (Cr)'!$C:$FB,100)</f>
        <v>628</v>
      </c>
      <c r="J11" s="75">
        <f>H11-I11</f>
        <v>-12</v>
      </c>
      <c r="K11" s="75">
        <f>J11/H11*100</f>
        <v>-1.948051948051948</v>
      </c>
      <c r="L11" s="75">
        <f>VLOOKUP($A11,'Data Vlaue (Cr)'!$C:$FB,67)</f>
        <v>1797</v>
      </c>
      <c r="M11" s="75">
        <f>VLOOKUP($A11,'Data Vlaue (Cr)'!$C:$FB,68)</f>
        <v>1299</v>
      </c>
      <c r="N11" s="75">
        <f>L11-M11</f>
        <v>498</v>
      </c>
      <c r="O11" s="75">
        <f>N11/L11*100</f>
        <v>27.712854757929883</v>
      </c>
      <c r="P11" s="75">
        <f>VLOOKUP($A11,'Data Vlaue (Cr)'!$C:$FB,119)</f>
        <v>0.66</v>
      </c>
      <c r="Q11" s="75">
        <f>VLOOKUP($A11,'Data Vlaue (Cr)'!$C:$FB,122)*100</f>
        <v>43.480000000000004</v>
      </c>
      <c r="R11" s="75">
        <f>VLOOKUP($A11,'Data Vlaue (Cr)'!$C:$FB,125)</f>
        <v>0.31</v>
      </c>
      <c r="S11" s="75">
        <f>VLOOKUP($A11,'Data Vlaue (Cr)'!$C:$FB,128)*100</f>
        <v>0</v>
      </c>
    </row>
    <row r="12" spans="1:19" x14ac:dyDescent="0.25">
      <c r="A12" s="96" t="str">
        <f>'Data Vlaue (Cr)'!C3</f>
        <v>ABB</v>
      </c>
      <c r="B12" s="75">
        <f>VLOOKUP($A12,'Data Vlaue (Cr)'!$C:$FB,2)</f>
        <v>125</v>
      </c>
      <c r="C12" s="75">
        <f>VLOOKUP($A12,'Data Vlaue (Cr)'!$C:$FB,8)</f>
        <v>5147</v>
      </c>
      <c r="D12" s="75">
        <f>VLOOKUP($A12,'Data Vlaue (Cr)'!$C:$FB,4)</f>
        <v>5130.5</v>
      </c>
      <c r="E12" s="75">
        <f>VLOOKUP($A12,'Data Vlaue (Cr)'!$C:$FB,5)</f>
        <v>5087.5</v>
      </c>
      <c r="F12" s="75">
        <f t="shared" ref="F12:F75" si="0">D12-C12</f>
        <v>-16.5</v>
      </c>
      <c r="G12" s="75">
        <f t="shared" ref="G12:G74" si="1">(D12-E12)/D12*100</f>
        <v>0.83812493908975738</v>
      </c>
      <c r="H12" s="75">
        <f>VLOOKUP($A12,'Data Vlaue (Cr)'!$C:$FB,99)</f>
        <v>2885</v>
      </c>
      <c r="I12" s="75">
        <f>VLOOKUP($A12,'Data Vlaue (Cr)'!$C:$FB,100)</f>
        <v>3284</v>
      </c>
      <c r="J12" s="75">
        <f t="shared" ref="J12:J75" si="2">H12-I12</f>
        <v>-399</v>
      </c>
      <c r="K12" s="75">
        <f t="shared" ref="K12:K75" si="3">J12/H12*100</f>
        <v>-13.830155979202774</v>
      </c>
      <c r="L12" s="75">
        <f>VLOOKUP($A12,'Data Vlaue (Cr)'!$C:$FB,67)</f>
        <v>4154</v>
      </c>
      <c r="M12" s="75">
        <f>VLOOKUP($A12,'Data Vlaue (Cr)'!$C:$FB,68)</f>
        <v>2028</v>
      </c>
      <c r="N12" s="75">
        <f t="shared" ref="N12:N75" si="4">L12-M12</f>
        <v>2126</v>
      </c>
      <c r="O12" s="75">
        <f t="shared" ref="O12:O75" si="5">N12/L12*100</f>
        <v>51.179585941261429</v>
      </c>
      <c r="P12" s="75">
        <f>VLOOKUP($A12,'Data Vlaue (Cr)'!$C:$FB,119)</f>
        <v>0.68</v>
      </c>
      <c r="Q12" s="75">
        <f>VLOOKUP($A12,'Data Vlaue (Cr)'!$C:$FB,122)*100</f>
        <v>11.48</v>
      </c>
      <c r="R12" s="75">
        <f>VLOOKUP($A12,'Data Vlaue (Cr)'!$C:$FB,125)</f>
        <v>0.4</v>
      </c>
      <c r="S12" s="75">
        <f>VLOOKUP($A12,'Data Vlaue (Cr)'!$C:$FB,128)*100</f>
        <v>-2.44</v>
      </c>
    </row>
    <row r="13" spans="1:19" x14ac:dyDescent="0.25">
      <c r="A13" s="96" t="str">
        <f>'Data Vlaue (Cr)'!C4</f>
        <v>ABCAPITAL</v>
      </c>
      <c r="B13" s="75">
        <f>VLOOKUP($A13,'Data Vlaue (Cr)'!$C:$FB,2)</f>
        <v>3100</v>
      </c>
      <c r="C13" s="75">
        <f>VLOOKUP($A13,'Data Vlaue (Cr)'!$C:$FB,8)</f>
        <v>327.85</v>
      </c>
      <c r="D13" s="75">
        <f>VLOOKUP($A13,'Data Vlaue (Cr)'!$C:$FB,4)</f>
        <v>328</v>
      </c>
      <c r="E13" s="75">
        <f>VLOOKUP($A13,'Data Vlaue (Cr)'!$C:$FB,5)</f>
        <v>330.7</v>
      </c>
      <c r="F13" s="75">
        <f t="shared" si="0"/>
        <v>0.14999999999997726</v>
      </c>
      <c r="G13" s="75">
        <f t="shared" si="1"/>
        <v>-0.82317073170731359</v>
      </c>
      <c r="H13" s="75">
        <f>VLOOKUP($A13,'Data Vlaue (Cr)'!$C:$FB,99)</f>
        <v>3636</v>
      </c>
      <c r="I13" s="75">
        <f>VLOOKUP($A13,'Data Vlaue (Cr)'!$C:$FB,100)</f>
        <v>3756</v>
      </c>
      <c r="J13" s="75">
        <f t="shared" si="2"/>
        <v>-120</v>
      </c>
      <c r="K13" s="75">
        <f t="shared" si="3"/>
        <v>-3.3003300330032999</v>
      </c>
      <c r="L13" s="75">
        <f>VLOOKUP($A13,'Data Vlaue (Cr)'!$C:$FB,67)</f>
        <v>2293</v>
      </c>
      <c r="M13" s="75">
        <f>VLOOKUP($A13,'Data Vlaue (Cr)'!$C:$FB,68)</f>
        <v>1401</v>
      </c>
      <c r="N13" s="75">
        <f t="shared" si="4"/>
        <v>892</v>
      </c>
      <c r="O13" s="75">
        <f t="shared" si="5"/>
        <v>38.901003052769298</v>
      </c>
      <c r="P13" s="75">
        <f>VLOOKUP($A13,'Data Vlaue (Cr)'!$C:$FB,119)</f>
        <v>0.77</v>
      </c>
      <c r="Q13" s="75">
        <f>VLOOKUP($A13,'Data Vlaue (Cr)'!$C:$FB,122)*100</f>
        <v>4.05</v>
      </c>
      <c r="R13" s="75">
        <f>VLOOKUP($A13,'Data Vlaue (Cr)'!$C:$FB,125)</f>
        <v>0.48</v>
      </c>
      <c r="S13" s="75">
        <f>VLOOKUP($A13,'Data Vlaue (Cr)'!$C:$FB,128)*100</f>
        <v>50</v>
      </c>
    </row>
    <row r="14" spans="1:19" x14ac:dyDescent="0.25">
      <c r="A14" s="96" t="str">
        <f>'Data Vlaue (Cr)'!C5</f>
        <v>ADANIENSOL</v>
      </c>
      <c r="B14" s="75">
        <f>VLOOKUP($A14,'Data Vlaue (Cr)'!$C:$FB,2)</f>
        <v>675</v>
      </c>
      <c r="C14" s="75">
        <f>VLOOKUP($A14,'Data Vlaue (Cr)'!$C:$FB,8)</f>
        <v>993.6</v>
      </c>
      <c r="D14" s="75">
        <f>VLOOKUP($A14,'Data Vlaue (Cr)'!$C:$FB,4)</f>
        <v>991.9</v>
      </c>
      <c r="E14" s="75">
        <f>VLOOKUP($A14,'Data Vlaue (Cr)'!$C:$FB,5)</f>
        <v>1005.65</v>
      </c>
      <c r="F14" s="75">
        <f t="shared" si="0"/>
        <v>-1.7000000000000455</v>
      </c>
      <c r="G14" s="75">
        <f t="shared" si="1"/>
        <v>-1.386228450448634</v>
      </c>
      <c r="H14" s="75">
        <f>VLOOKUP($A14,'Data Vlaue (Cr)'!$C:$FB,99)</f>
        <v>3074</v>
      </c>
      <c r="I14" s="75">
        <f>VLOOKUP($A14,'Data Vlaue (Cr)'!$C:$FB,100)</f>
        <v>3096</v>
      </c>
      <c r="J14" s="75">
        <f t="shared" si="2"/>
        <v>-22</v>
      </c>
      <c r="K14" s="75">
        <f t="shared" si="3"/>
        <v>-0.71567989590110603</v>
      </c>
      <c r="L14" s="75">
        <f>VLOOKUP($A14,'Data Vlaue (Cr)'!$C:$FB,67)</f>
        <v>3938</v>
      </c>
      <c r="M14" s="75">
        <f>VLOOKUP($A14,'Data Vlaue (Cr)'!$C:$FB,68)</f>
        <v>4570</v>
      </c>
      <c r="N14" s="75">
        <f t="shared" si="4"/>
        <v>-632</v>
      </c>
      <c r="O14" s="75">
        <f>N14/L14*100</f>
        <v>-16.048755713560183</v>
      </c>
      <c r="P14" s="75">
        <f>VLOOKUP($A14,'Data Vlaue (Cr)'!$C:$FB,119)</f>
        <v>0.57999999999999996</v>
      </c>
      <c r="Q14" s="75">
        <f>VLOOKUP($A14,'Data Vlaue (Cr)'!$C:$FB,122)*100</f>
        <v>-7.9399999999999995</v>
      </c>
      <c r="R14" s="75">
        <f>VLOOKUP($A14,'Data Vlaue (Cr)'!$C:$FB,125)</f>
        <v>0.23</v>
      </c>
      <c r="S14" s="75">
        <f>VLOOKUP($A14,'Data Vlaue (Cr)'!$C:$FB,128)*100</f>
        <v>-20.69</v>
      </c>
    </row>
    <row r="15" spans="1:19" x14ac:dyDescent="0.25">
      <c r="A15" s="96" t="str">
        <f>'Data Vlaue (Cr)'!C6</f>
        <v>ADANIENT</v>
      </c>
      <c r="B15" s="75">
        <f>VLOOKUP($A15,'Data Vlaue (Cr)'!$C:$FB,2)</f>
        <v>309</v>
      </c>
      <c r="C15" s="75">
        <f>VLOOKUP($A15,'Data Vlaue (Cr)'!$C:$FB,8)</f>
        <v>2446.1</v>
      </c>
      <c r="D15" s="75">
        <f>VLOOKUP($A15,'Data Vlaue (Cr)'!$C:$FB,4)</f>
        <v>2450.9</v>
      </c>
      <c r="E15" s="75">
        <f>VLOOKUP($A15,'Data Vlaue (Cr)'!$C:$FB,5)</f>
        <v>2438.1999999999998</v>
      </c>
      <c r="F15" s="75">
        <f t="shared" si="0"/>
        <v>4.8000000000001819</v>
      </c>
      <c r="G15" s="75">
        <f t="shared" si="1"/>
        <v>0.51817699620548663</v>
      </c>
      <c r="H15" s="75">
        <f>VLOOKUP($A15,'Data Vlaue (Cr)'!$C:$FB,99)</f>
        <v>7790</v>
      </c>
      <c r="I15" s="75">
        <f>VLOOKUP($A15,'Data Vlaue (Cr)'!$C:$FB,100)</f>
        <v>7590</v>
      </c>
      <c r="J15" s="75">
        <f t="shared" si="2"/>
        <v>200</v>
      </c>
      <c r="K15" s="75">
        <f t="shared" si="3"/>
        <v>2.5673940949935816</v>
      </c>
      <c r="L15" s="75">
        <f>VLOOKUP($A15,'Data Vlaue (Cr)'!$C:$FB,67)</f>
        <v>12344</v>
      </c>
      <c r="M15" s="75">
        <f>VLOOKUP($A15,'Data Vlaue (Cr)'!$C:$FB,68)</f>
        <v>5554</v>
      </c>
      <c r="N15" s="75">
        <f t="shared" si="4"/>
        <v>6790</v>
      </c>
      <c r="O15" s="75">
        <f t="shared" si="5"/>
        <v>55.006480881399867</v>
      </c>
      <c r="P15" s="75">
        <f>VLOOKUP($A15,'Data Vlaue (Cr)'!$C:$FB,119)</f>
        <v>0.67</v>
      </c>
      <c r="Q15" s="75">
        <f>VLOOKUP($A15,'Data Vlaue (Cr)'!$C:$FB,122)*100</f>
        <v>-5.63</v>
      </c>
      <c r="R15" s="75">
        <f>VLOOKUP($A15,'Data Vlaue (Cr)'!$C:$FB,125)</f>
        <v>0.37</v>
      </c>
      <c r="S15" s="75">
        <f>VLOOKUP($A15,'Data Vlaue (Cr)'!$C:$FB,128)*100</f>
        <v>-27.450000000000003</v>
      </c>
    </row>
    <row r="16" spans="1:19" x14ac:dyDescent="0.25">
      <c r="A16" s="96" t="str">
        <f>'Data Vlaue (Cr)'!C7</f>
        <v>ADANIGREEN</v>
      </c>
      <c r="B16" s="75">
        <f>VLOOKUP($A16,'Data Vlaue (Cr)'!$C:$FB,2)</f>
        <v>600</v>
      </c>
      <c r="C16" s="75">
        <f>VLOOKUP($A16,'Data Vlaue (Cr)'!$C:$FB,8)</f>
        <v>1060</v>
      </c>
      <c r="D16" s="75">
        <f>VLOOKUP($A16,'Data Vlaue (Cr)'!$C:$FB,4)</f>
        <v>1058.4000000000001</v>
      </c>
      <c r="E16" s="75">
        <f>VLOOKUP($A16,'Data Vlaue (Cr)'!$C:$FB,5)</f>
        <v>1069.2</v>
      </c>
      <c r="F16" s="75">
        <f t="shared" si="0"/>
        <v>-1.5999999999999091</v>
      </c>
      <c r="G16" s="75">
        <f t="shared" si="1"/>
        <v>-1.0204081632653017</v>
      </c>
      <c r="H16" s="75">
        <f>VLOOKUP($A16,'Data Vlaue (Cr)'!$C:$FB,99)</f>
        <v>5570</v>
      </c>
      <c r="I16" s="75">
        <f>VLOOKUP($A16,'Data Vlaue (Cr)'!$C:$FB,100)</f>
        <v>5525</v>
      </c>
      <c r="J16" s="75">
        <f t="shared" si="2"/>
        <v>45</v>
      </c>
      <c r="K16" s="75">
        <f t="shared" si="3"/>
        <v>0.80789946140035895</v>
      </c>
      <c r="L16" s="75">
        <f>VLOOKUP($A16,'Data Vlaue (Cr)'!$C:$FB,67)</f>
        <v>4554</v>
      </c>
      <c r="M16" s="75">
        <f>VLOOKUP($A16,'Data Vlaue (Cr)'!$C:$FB,68)</f>
        <v>7127</v>
      </c>
      <c r="N16" s="75">
        <f t="shared" si="4"/>
        <v>-2573</v>
      </c>
      <c r="O16" s="75">
        <f t="shared" si="5"/>
        <v>-56.499780412823888</v>
      </c>
      <c r="P16" s="75">
        <f>VLOOKUP($A16,'Data Vlaue (Cr)'!$C:$FB,119)</f>
        <v>0.45</v>
      </c>
      <c r="Q16" s="75">
        <f>VLOOKUP($A16,'Data Vlaue (Cr)'!$C:$FB,122)*100</f>
        <v>-2.17</v>
      </c>
      <c r="R16" s="75">
        <f>VLOOKUP($A16,'Data Vlaue (Cr)'!$C:$FB,125)</f>
        <v>0.32</v>
      </c>
      <c r="S16" s="75">
        <f>VLOOKUP($A16,'Data Vlaue (Cr)'!$C:$FB,128)*100</f>
        <v>-11.110000000000001</v>
      </c>
    </row>
    <row r="17" spans="1:19" x14ac:dyDescent="0.25">
      <c r="A17" s="96" t="str">
        <f>'Data Vlaue (Cr)'!C8</f>
        <v>ADANIPORTS</v>
      </c>
      <c r="B17" s="75">
        <f>VLOOKUP($A17,'Data Vlaue (Cr)'!$C:$FB,2)</f>
        <v>475</v>
      </c>
      <c r="C17" s="75">
        <f>VLOOKUP($A17,'Data Vlaue (Cr)'!$C:$FB,8)</f>
        <v>1491.1</v>
      </c>
      <c r="D17" s="75">
        <f>VLOOKUP($A17,'Data Vlaue (Cr)'!$C:$FB,4)</f>
        <v>1492.4</v>
      </c>
      <c r="E17" s="75">
        <f>VLOOKUP($A17,'Data Vlaue (Cr)'!$C:$FB,5)</f>
        <v>1486.9</v>
      </c>
      <c r="F17" s="75">
        <f t="shared" si="0"/>
        <v>1.3000000000001819</v>
      </c>
      <c r="G17" s="75">
        <f t="shared" si="1"/>
        <v>0.36853390511927098</v>
      </c>
      <c r="H17" s="75">
        <f>VLOOKUP($A17,'Data Vlaue (Cr)'!$C:$FB,99)</f>
        <v>6429</v>
      </c>
      <c r="I17" s="75">
        <f>VLOOKUP($A17,'Data Vlaue (Cr)'!$C:$FB,100)</f>
        <v>6492</v>
      </c>
      <c r="J17" s="75">
        <f t="shared" si="2"/>
        <v>-63</v>
      </c>
      <c r="K17" s="75">
        <f t="shared" si="3"/>
        <v>-0.97993467102193199</v>
      </c>
      <c r="L17" s="75">
        <f>VLOOKUP($A17,'Data Vlaue (Cr)'!$C:$FB,67)</f>
        <v>6159</v>
      </c>
      <c r="M17" s="75">
        <f>VLOOKUP($A17,'Data Vlaue (Cr)'!$C:$FB,68)</f>
        <v>4442</v>
      </c>
      <c r="N17" s="75">
        <f t="shared" si="4"/>
        <v>1717</v>
      </c>
      <c r="O17" s="75">
        <f t="shared" si="5"/>
        <v>27.877902256859883</v>
      </c>
      <c r="P17" s="75">
        <f>VLOOKUP($A17,'Data Vlaue (Cr)'!$C:$FB,119)</f>
        <v>0.57999999999999996</v>
      </c>
      <c r="Q17" s="75">
        <f>VLOOKUP($A17,'Data Vlaue (Cr)'!$C:$FB,122)*100</f>
        <v>3.5700000000000003</v>
      </c>
      <c r="R17" s="75">
        <f>VLOOKUP($A17,'Data Vlaue (Cr)'!$C:$FB,125)</f>
        <v>0.36</v>
      </c>
      <c r="S17" s="75">
        <f>VLOOKUP($A17,'Data Vlaue (Cr)'!$C:$FB,128)*100</f>
        <v>-23.400000000000002</v>
      </c>
    </row>
    <row r="18" spans="1:19" x14ac:dyDescent="0.25">
      <c r="A18" s="96" t="str">
        <f>'Data Vlaue (Cr)'!C9</f>
        <v>ALKEM</v>
      </c>
      <c r="B18" s="75">
        <f>VLOOKUP($A18,'Data Vlaue (Cr)'!$C:$FB,2)</f>
        <v>125</v>
      </c>
      <c r="C18" s="75">
        <f>VLOOKUP($A18,'Data Vlaue (Cr)'!$C:$FB,8)</f>
        <v>5700</v>
      </c>
      <c r="D18" s="75">
        <f>VLOOKUP($A18,'Data Vlaue (Cr)'!$C:$FB,4)</f>
        <v>5693.5</v>
      </c>
      <c r="E18" s="75">
        <f>VLOOKUP($A18,'Data Vlaue (Cr)'!$C:$FB,5)</f>
        <v>5722.5</v>
      </c>
      <c r="F18" s="75">
        <f t="shared" si="0"/>
        <v>-6.5</v>
      </c>
      <c r="G18" s="75">
        <f t="shared" si="1"/>
        <v>-0.50935277070343377</v>
      </c>
      <c r="H18" s="75">
        <f>VLOOKUP($A18,'Data Vlaue (Cr)'!$C:$FB,99)</f>
        <v>1569</v>
      </c>
      <c r="I18" s="75">
        <f>VLOOKUP($A18,'Data Vlaue (Cr)'!$C:$FB,100)</f>
        <v>1536</v>
      </c>
      <c r="J18" s="75">
        <f t="shared" si="2"/>
        <v>33</v>
      </c>
      <c r="K18" s="75">
        <f t="shared" si="3"/>
        <v>2.1032504780114722</v>
      </c>
      <c r="L18" s="75">
        <f>VLOOKUP($A18,'Data Vlaue (Cr)'!$C:$FB,67)</f>
        <v>939</v>
      </c>
      <c r="M18" s="75">
        <f>VLOOKUP($A18,'Data Vlaue (Cr)'!$C:$FB,68)</f>
        <v>599</v>
      </c>
      <c r="N18" s="75">
        <f t="shared" si="4"/>
        <v>340</v>
      </c>
      <c r="O18" s="75">
        <f t="shared" si="5"/>
        <v>36.208732694355703</v>
      </c>
      <c r="P18" s="75">
        <f>VLOOKUP($A18,'Data Vlaue (Cr)'!$C:$FB,119)</f>
        <v>0.56000000000000005</v>
      </c>
      <c r="Q18" s="75">
        <f>VLOOKUP($A18,'Data Vlaue (Cr)'!$C:$FB,122)*100</f>
        <v>-8.2000000000000011</v>
      </c>
      <c r="R18" s="75">
        <f>VLOOKUP($A18,'Data Vlaue (Cr)'!$C:$FB,125)</f>
        <v>0.36</v>
      </c>
      <c r="S18" s="75">
        <f>VLOOKUP($A18,'Data Vlaue (Cr)'!$C:$FB,128)*100</f>
        <v>80</v>
      </c>
    </row>
    <row r="19" spans="1:19" x14ac:dyDescent="0.25">
      <c r="A19" s="96" t="str">
        <f>'Data Vlaue (Cr)'!C10</f>
        <v>AMBER</v>
      </c>
      <c r="B19" s="75">
        <f>VLOOKUP($A19,'Data Vlaue (Cr)'!$C:$FB,2)</f>
        <v>100</v>
      </c>
      <c r="C19" s="75">
        <f>VLOOKUP($A19,'Data Vlaue (Cr)'!$C:$FB,8)</f>
        <v>7256.5</v>
      </c>
      <c r="D19" s="75">
        <f>VLOOKUP($A19,'Data Vlaue (Cr)'!$C:$FB,4)</f>
        <v>7271</v>
      </c>
      <c r="E19" s="75">
        <f>VLOOKUP($A19,'Data Vlaue (Cr)'!$C:$FB,5)</f>
        <v>7427.5</v>
      </c>
      <c r="F19" s="75">
        <f t="shared" si="0"/>
        <v>14.5</v>
      </c>
      <c r="G19" s="75">
        <f t="shared" si="1"/>
        <v>-2.1523861917205336</v>
      </c>
      <c r="H19" s="75">
        <f>VLOOKUP($A19,'Data Vlaue (Cr)'!$C:$FB,99)</f>
        <v>2970</v>
      </c>
      <c r="I19" s="75">
        <f>VLOOKUP($A19,'Data Vlaue (Cr)'!$C:$FB,100)</f>
        <v>3242</v>
      </c>
      <c r="J19" s="75">
        <f t="shared" si="2"/>
        <v>-272</v>
      </c>
      <c r="K19" s="75">
        <f t="shared" si="3"/>
        <v>-9.1582491582491592</v>
      </c>
      <c r="L19" s="75">
        <f>VLOOKUP($A19,'Data Vlaue (Cr)'!$C:$FB,67)</f>
        <v>3371</v>
      </c>
      <c r="M19" s="75">
        <f>VLOOKUP($A19,'Data Vlaue (Cr)'!$C:$FB,68)</f>
        <v>1906</v>
      </c>
      <c r="N19" s="75">
        <f t="shared" si="4"/>
        <v>1465</v>
      </c>
      <c r="O19" s="75">
        <f t="shared" si="5"/>
        <v>43.458914268762975</v>
      </c>
      <c r="P19" s="75">
        <f>VLOOKUP($A19,'Data Vlaue (Cr)'!$C:$FB,119)</f>
        <v>0.59</v>
      </c>
      <c r="Q19" s="75">
        <f>VLOOKUP($A19,'Data Vlaue (Cr)'!$C:$FB,122)*100</f>
        <v>-6.35</v>
      </c>
      <c r="R19" s="75">
        <f>VLOOKUP($A19,'Data Vlaue (Cr)'!$C:$FB,125)</f>
        <v>0.53</v>
      </c>
      <c r="S19" s="75">
        <f>VLOOKUP($A19,'Data Vlaue (Cr)'!$C:$FB,128)*100</f>
        <v>55.879999999999995</v>
      </c>
    </row>
    <row r="20" spans="1:19" x14ac:dyDescent="0.25">
      <c r="A20" s="96" t="str">
        <f>'Data Vlaue (Cr)'!C11</f>
        <v>AMBUJACEM</v>
      </c>
      <c r="B20" s="75">
        <f>VLOOKUP($A20,'Data Vlaue (Cr)'!$C:$FB,2)</f>
        <v>1050</v>
      </c>
      <c r="C20" s="75">
        <f>VLOOKUP($A20,'Data Vlaue (Cr)'!$C:$FB,8)</f>
        <v>555.75</v>
      </c>
      <c r="D20" s="75">
        <f>VLOOKUP($A20,'Data Vlaue (Cr)'!$C:$FB,4)</f>
        <v>555.75</v>
      </c>
      <c r="E20" s="75">
        <f>VLOOKUP($A20,'Data Vlaue (Cr)'!$C:$FB,5)</f>
        <v>555.54999999999995</v>
      </c>
      <c r="F20" s="75">
        <f t="shared" si="0"/>
        <v>0</v>
      </c>
      <c r="G20" s="75">
        <f t="shared" si="1"/>
        <v>3.5987404408465221E-2</v>
      </c>
      <c r="H20" s="75">
        <f>VLOOKUP($A20,'Data Vlaue (Cr)'!$C:$FB,99)</f>
        <v>4317</v>
      </c>
      <c r="I20" s="75">
        <f>VLOOKUP($A20,'Data Vlaue (Cr)'!$C:$FB,100)</f>
        <v>4340</v>
      </c>
      <c r="J20" s="75">
        <f t="shared" si="2"/>
        <v>-23</v>
      </c>
      <c r="K20" s="75">
        <f t="shared" si="3"/>
        <v>-0.53277739170720406</v>
      </c>
      <c r="L20" s="75">
        <f>VLOOKUP($A20,'Data Vlaue (Cr)'!$C:$FB,67)</f>
        <v>2482</v>
      </c>
      <c r="M20" s="75">
        <f>VLOOKUP($A20,'Data Vlaue (Cr)'!$C:$FB,68)</f>
        <v>1432</v>
      </c>
      <c r="N20" s="75">
        <f t="shared" si="4"/>
        <v>1050</v>
      </c>
      <c r="O20" s="75">
        <f t="shared" si="5"/>
        <v>42.304593070104758</v>
      </c>
      <c r="P20" s="75">
        <f>VLOOKUP($A20,'Data Vlaue (Cr)'!$C:$FB,119)</f>
        <v>0.66</v>
      </c>
      <c r="Q20" s="75">
        <f>VLOOKUP($A20,'Data Vlaue (Cr)'!$C:$FB,122)*100</f>
        <v>1.54</v>
      </c>
      <c r="R20" s="75">
        <f>VLOOKUP($A20,'Data Vlaue (Cr)'!$C:$FB,125)</f>
        <v>0.33</v>
      </c>
      <c r="S20" s="75">
        <f>VLOOKUP($A20,'Data Vlaue (Cr)'!$C:$FB,128)*100</f>
        <v>3.1300000000000003</v>
      </c>
    </row>
    <row r="21" spans="1:19" x14ac:dyDescent="0.25">
      <c r="A21" s="96" t="str">
        <f>'Data Vlaue (Cr)'!C12</f>
        <v>ANGELONE</v>
      </c>
      <c r="B21" s="75">
        <f>VLOOKUP($A21,'Data Vlaue (Cr)'!$C:$FB,2)</f>
        <v>250</v>
      </c>
      <c r="C21" s="75">
        <f>VLOOKUP($A21,'Data Vlaue (Cr)'!$C:$FB,8)</f>
        <v>2814.3</v>
      </c>
      <c r="D21" s="75">
        <f>VLOOKUP($A21,'Data Vlaue (Cr)'!$C:$FB,4)</f>
        <v>2811.4</v>
      </c>
      <c r="E21" s="75">
        <f>VLOOKUP($A21,'Data Vlaue (Cr)'!$C:$FB,5)</f>
        <v>2817.1</v>
      </c>
      <c r="F21" s="75">
        <f t="shared" si="0"/>
        <v>-2.9000000000000909</v>
      </c>
      <c r="G21" s="75">
        <f t="shared" si="1"/>
        <v>-0.20274596286546978</v>
      </c>
      <c r="H21" s="75">
        <f>VLOOKUP($A21,'Data Vlaue (Cr)'!$C:$FB,99)</f>
        <v>2540</v>
      </c>
      <c r="I21" s="75">
        <f>VLOOKUP($A21,'Data Vlaue (Cr)'!$C:$FB,100)</f>
        <v>2551</v>
      </c>
      <c r="J21" s="75">
        <f t="shared" si="2"/>
        <v>-11</v>
      </c>
      <c r="K21" s="75">
        <f t="shared" si="3"/>
        <v>-0.43307086614173229</v>
      </c>
      <c r="L21" s="75">
        <f>VLOOKUP($A21,'Data Vlaue (Cr)'!$C:$FB,67)</f>
        <v>4867</v>
      </c>
      <c r="M21" s="75">
        <f>VLOOKUP($A21,'Data Vlaue (Cr)'!$C:$FB,68)</f>
        <v>3427</v>
      </c>
      <c r="N21" s="75">
        <f t="shared" si="4"/>
        <v>1440</v>
      </c>
      <c r="O21" s="75">
        <f t="shared" si="5"/>
        <v>29.587014588041917</v>
      </c>
      <c r="P21" s="75">
        <f>VLOOKUP($A21,'Data Vlaue (Cr)'!$C:$FB,119)</f>
        <v>1.1100000000000001</v>
      </c>
      <c r="Q21" s="75">
        <f>VLOOKUP($A21,'Data Vlaue (Cr)'!$C:$FB,122)*100</f>
        <v>3.74</v>
      </c>
      <c r="R21" s="75">
        <f>VLOOKUP($A21,'Data Vlaue (Cr)'!$C:$FB,125)</f>
        <v>0.61</v>
      </c>
      <c r="S21" s="75">
        <f>VLOOKUP($A21,'Data Vlaue (Cr)'!$C:$FB,128)*100</f>
        <v>-7.580000000000001</v>
      </c>
    </row>
    <row r="22" spans="1:19" x14ac:dyDescent="0.25">
      <c r="A22" s="96" t="str">
        <f>'Data Vlaue (Cr)'!C13</f>
        <v>APLAPOLLO</v>
      </c>
      <c r="B22" s="75">
        <f>VLOOKUP($A22,'Data Vlaue (Cr)'!$C:$FB,2)</f>
        <v>350</v>
      </c>
      <c r="C22" s="75">
        <f>VLOOKUP($A22,'Data Vlaue (Cr)'!$C:$FB,8)</f>
        <v>1721.2</v>
      </c>
      <c r="D22" s="75">
        <f>VLOOKUP($A22,'Data Vlaue (Cr)'!$C:$FB,4)</f>
        <v>1722.3</v>
      </c>
      <c r="E22" s="75">
        <f>VLOOKUP($A22,'Data Vlaue (Cr)'!$C:$FB,5)</f>
        <v>1724.6</v>
      </c>
      <c r="F22" s="75">
        <f t="shared" si="0"/>
        <v>1.0999999999999091</v>
      </c>
      <c r="G22" s="75">
        <f t="shared" si="1"/>
        <v>-0.13354235615165502</v>
      </c>
      <c r="H22" s="75">
        <f>VLOOKUP($A22,'Data Vlaue (Cr)'!$C:$FB,99)</f>
        <v>1976</v>
      </c>
      <c r="I22" s="75">
        <f>VLOOKUP($A22,'Data Vlaue (Cr)'!$C:$FB,100)</f>
        <v>1918</v>
      </c>
      <c r="J22" s="75">
        <f t="shared" si="2"/>
        <v>58</v>
      </c>
      <c r="K22" s="75">
        <f t="shared" si="3"/>
        <v>2.9352226720647772</v>
      </c>
      <c r="L22" s="75">
        <f>VLOOKUP($A22,'Data Vlaue (Cr)'!$C:$FB,67)</f>
        <v>1429</v>
      </c>
      <c r="M22" s="75">
        <f>VLOOKUP($A22,'Data Vlaue (Cr)'!$C:$FB,68)</f>
        <v>880</v>
      </c>
      <c r="N22" s="75">
        <f t="shared" si="4"/>
        <v>549</v>
      </c>
      <c r="O22" s="75">
        <f t="shared" si="5"/>
        <v>38.418474457662697</v>
      </c>
      <c r="P22" s="75">
        <f>VLOOKUP($A22,'Data Vlaue (Cr)'!$C:$FB,119)</f>
        <v>0.66</v>
      </c>
      <c r="Q22" s="75">
        <f>VLOOKUP($A22,'Data Vlaue (Cr)'!$C:$FB,122)*100</f>
        <v>-4.3499999999999996</v>
      </c>
      <c r="R22" s="75">
        <f>VLOOKUP($A22,'Data Vlaue (Cr)'!$C:$FB,125)</f>
        <v>0.38</v>
      </c>
      <c r="S22" s="75">
        <f>VLOOKUP($A22,'Data Vlaue (Cr)'!$C:$FB,128)*100</f>
        <v>2.7</v>
      </c>
    </row>
    <row r="23" spans="1:19" x14ac:dyDescent="0.25">
      <c r="A23" s="96" t="str">
        <f>'Data Vlaue (Cr)'!C14</f>
        <v>APOLLOHOSP</v>
      </c>
      <c r="B23" s="75">
        <f>VLOOKUP($A23,'Data Vlaue (Cr)'!$C:$FB,2)</f>
        <v>125</v>
      </c>
      <c r="C23" s="75">
        <f>VLOOKUP($A23,'Data Vlaue (Cr)'!$C:$FB,8)</f>
        <v>7423</v>
      </c>
      <c r="D23" s="75">
        <f>VLOOKUP($A23,'Data Vlaue (Cr)'!$C:$FB,4)</f>
        <v>7433.5</v>
      </c>
      <c r="E23" s="75">
        <f>VLOOKUP($A23,'Data Vlaue (Cr)'!$C:$FB,5)</f>
        <v>7456.5</v>
      </c>
      <c r="F23" s="75">
        <f t="shared" si="0"/>
        <v>10.5</v>
      </c>
      <c r="G23" s="75">
        <f t="shared" si="1"/>
        <v>-0.30941010291249077</v>
      </c>
      <c r="H23" s="75">
        <f>VLOOKUP($A23,'Data Vlaue (Cr)'!$C:$FB,99)</f>
        <v>4540</v>
      </c>
      <c r="I23" s="75">
        <f>VLOOKUP($A23,'Data Vlaue (Cr)'!$C:$FB,100)</f>
        <v>4656</v>
      </c>
      <c r="J23" s="75">
        <f t="shared" si="2"/>
        <v>-116</v>
      </c>
      <c r="K23" s="75">
        <f t="shared" si="3"/>
        <v>-2.5550660792951541</v>
      </c>
      <c r="L23" s="75">
        <f>VLOOKUP($A23,'Data Vlaue (Cr)'!$C:$FB,67)</f>
        <v>3617</v>
      </c>
      <c r="M23" s="75">
        <f>VLOOKUP($A23,'Data Vlaue (Cr)'!$C:$FB,68)</f>
        <v>5448</v>
      </c>
      <c r="N23" s="75">
        <f t="shared" si="4"/>
        <v>-1831</v>
      </c>
      <c r="O23" s="75">
        <f t="shared" si="5"/>
        <v>-50.622062482720487</v>
      </c>
      <c r="P23" s="75">
        <f>VLOOKUP($A23,'Data Vlaue (Cr)'!$C:$FB,119)</f>
        <v>0.41</v>
      </c>
      <c r="Q23" s="75">
        <f>VLOOKUP($A23,'Data Vlaue (Cr)'!$C:$FB,122)*100</f>
        <v>0</v>
      </c>
      <c r="R23" s="75">
        <f>VLOOKUP($A23,'Data Vlaue (Cr)'!$C:$FB,125)</f>
        <v>0.32</v>
      </c>
      <c r="S23" s="75">
        <f>VLOOKUP($A23,'Data Vlaue (Cr)'!$C:$FB,128)*100</f>
        <v>6.67</v>
      </c>
    </row>
    <row r="24" spans="1:19" x14ac:dyDescent="0.25">
      <c r="A24" s="96" t="str">
        <f>'Data Vlaue (Cr)'!C15</f>
        <v>ASHOKLEY</v>
      </c>
      <c r="B24" s="75">
        <f>VLOOKUP($A24,'Data Vlaue (Cr)'!$C:$FB,2)</f>
        <v>5000</v>
      </c>
      <c r="C24" s="75">
        <f>VLOOKUP($A24,'Data Vlaue (Cr)'!$C:$FB,8)</f>
        <v>146.24</v>
      </c>
      <c r="D24" s="75">
        <f>VLOOKUP($A24,'Data Vlaue (Cr)'!$C:$FB,4)</f>
        <v>146.66</v>
      </c>
      <c r="E24" s="75">
        <f>VLOOKUP($A24,'Data Vlaue (Cr)'!$C:$FB,5)</f>
        <v>145.59</v>
      </c>
      <c r="F24" s="75">
        <f t="shared" si="0"/>
        <v>0.41999999999998749</v>
      </c>
      <c r="G24" s="75">
        <f t="shared" si="1"/>
        <v>0.7295786172098685</v>
      </c>
      <c r="H24" s="75">
        <f>VLOOKUP($A24,'Data Vlaue (Cr)'!$C:$FB,99)</f>
        <v>3688</v>
      </c>
      <c r="I24" s="75">
        <f>VLOOKUP($A24,'Data Vlaue (Cr)'!$C:$FB,100)</f>
        <v>4150</v>
      </c>
      <c r="J24" s="75">
        <f t="shared" si="2"/>
        <v>-462</v>
      </c>
      <c r="K24" s="75">
        <f t="shared" si="3"/>
        <v>-12.527114967462039</v>
      </c>
      <c r="L24" s="75">
        <f>VLOOKUP($A24,'Data Vlaue (Cr)'!$C:$FB,67)</f>
        <v>3678</v>
      </c>
      <c r="M24" s="75">
        <f>VLOOKUP($A24,'Data Vlaue (Cr)'!$C:$FB,68)</f>
        <v>2168</v>
      </c>
      <c r="N24" s="75">
        <f t="shared" si="4"/>
        <v>1510</v>
      </c>
      <c r="O24" s="75">
        <f t="shared" si="5"/>
        <v>41.054921152800432</v>
      </c>
      <c r="P24" s="75">
        <f>VLOOKUP($A24,'Data Vlaue (Cr)'!$C:$FB,119)</f>
        <v>0.71</v>
      </c>
      <c r="Q24" s="75">
        <f>VLOOKUP($A24,'Data Vlaue (Cr)'!$C:$FB,122)*100</f>
        <v>0</v>
      </c>
      <c r="R24" s="75">
        <f>VLOOKUP($A24,'Data Vlaue (Cr)'!$C:$FB,125)</f>
        <v>0.44</v>
      </c>
      <c r="S24" s="75">
        <f>VLOOKUP($A24,'Data Vlaue (Cr)'!$C:$FB,128)*100</f>
        <v>-13.73</v>
      </c>
    </row>
    <row r="25" spans="1:19" x14ac:dyDescent="0.25">
      <c r="A25" s="96" t="str">
        <f>'Data Vlaue (Cr)'!C16</f>
        <v>ASIANPAINT</v>
      </c>
      <c r="B25" s="75">
        <f>VLOOKUP($A25,'Data Vlaue (Cr)'!$C:$FB,2)</f>
        <v>250</v>
      </c>
      <c r="C25" s="75">
        <f>VLOOKUP($A25,'Data Vlaue (Cr)'!$C:$FB,8)</f>
        <v>2859.8</v>
      </c>
      <c r="D25" s="75">
        <f>VLOOKUP($A25,'Data Vlaue (Cr)'!$C:$FB,4)</f>
        <v>2860</v>
      </c>
      <c r="E25" s="75">
        <f>VLOOKUP($A25,'Data Vlaue (Cr)'!$C:$FB,5)</f>
        <v>2889</v>
      </c>
      <c r="F25" s="75">
        <f t="shared" si="0"/>
        <v>0.1999999999998181</v>
      </c>
      <c r="G25" s="75">
        <f t="shared" si="1"/>
        <v>-1.013986013986014</v>
      </c>
      <c r="H25" s="75">
        <f>VLOOKUP($A25,'Data Vlaue (Cr)'!$C:$FB,99)</f>
        <v>9590</v>
      </c>
      <c r="I25" s="75">
        <f>VLOOKUP($A25,'Data Vlaue (Cr)'!$C:$FB,100)</f>
        <v>10535</v>
      </c>
      <c r="J25" s="75">
        <f t="shared" si="2"/>
        <v>-945</v>
      </c>
      <c r="K25" s="75">
        <f t="shared" si="3"/>
        <v>-9.8540145985401466</v>
      </c>
      <c r="L25" s="75">
        <f>VLOOKUP($A25,'Data Vlaue (Cr)'!$C:$FB,67)</f>
        <v>11295</v>
      </c>
      <c r="M25" s="75">
        <f>VLOOKUP($A25,'Data Vlaue (Cr)'!$C:$FB,68)</f>
        <v>7306</v>
      </c>
      <c r="N25" s="75">
        <f t="shared" si="4"/>
        <v>3989</v>
      </c>
      <c r="O25" s="75">
        <f t="shared" si="5"/>
        <v>35.316511730854359</v>
      </c>
      <c r="P25" s="75">
        <f>VLOOKUP($A25,'Data Vlaue (Cr)'!$C:$FB,119)</f>
        <v>0.79</v>
      </c>
      <c r="Q25" s="75">
        <f>VLOOKUP($A25,'Data Vlaue (Cr)'!$C:$FB,122)*100</f>
        <v>-10.23</v>
      </c>
      <c r="R25" s="75">
        <f>VLOOKUP($A25,'Data Vlaue (Cr)'!$C:$FB,125)</f>
        <v>0.68</v>
      </c>
      <c r="S25" s="75">
        <f>VLOOKUP($A25,'Data Vlaue (Cr)'!$C:$FB,128)*100</f>
        <v>-20.93</v>
      </c>
    </row>
    <row r="26" spans="1:19" x14ac:dyDescent="0.25">
      <c r="A26" s="96" t="str">
        <f>'Data Vlaue (Cr)'!C17</f>
        <v>ASTRAL</v>
      </c>
      <c r="B26" s="75">
        <f>VLOOKUP($A26,'Data Vlaue (Cr)'!$C:$FB,2)</f>
        <v>425</v>
      </c>
      <c r="C26" s="75">
        <f>VLOOKUP($A26,'Data Vlaue (Cr)'!$C:$FB,8)</f>
        <v>1462.4</v>
      </c>
      <c r="D26" s="75">
        <f>VLOOKUP($A26,'Data Vlaue (Cr)'!$C:$FB,4)</f>
        <v>1465.6</v>
      </c>
      <c r="E26" s="75">
        <f>VLOOKUP($A26,'Data Vlaue (Cr)'!$C:$FB,5)</f>
        <v>1454.2</v>
      </c>
      <c r="F26" s="75">
        <f t="shared" si="0"/>
        <v>3.1999999999998181</v>
      </c>
      <c r="G26" s="75">
        <f t="shared" si="1"/>
        <v>0.77783842794758895</v>
      </c>
      <c r="H26" s="75">
        <f>VLOOKUP($A26,'Data Vlaue (Cr)'!$C:$FB,99)</f>
        <v>2330</v>
      </c>
      <c r="I26" s="75">
        <f>VLOOKUP($A26,'Data Vlaue (Cr)'!$C:$FB,100)</f>
        <v>2572</v>
      </c>
      <c r="J26" s="75">
        <f t="shared" si="2"/>
        <v>-242</v>
      </c>
      <c r="K26" s="75">
        <f t="shared" si="3"/>
        <v>-10.386266094420602</v>
      </c>
      <c r="L26" s="75">
        <f>VLOOKUP($A26,'Data Vlaue (Cr)'!$C:$FB,67)</f>
        <v>2047</v>
      </c>
      <c r="M26" s="75">
        <f>VLOOKUP($A26,'Data Vlaue (Cr)'!$C:$FB,68)</f>
        <v>1556</v>
      </c>
      <c r="N26" s="75">
        <f t="shared" si="4"/>
        <v>491</v>
      </c>
      <c r="O26" s="75">
        <f t="shared" si="5"/>
        <v>23.986321446018565</v>
      </c>
      <c r="P26" s="75">
        <f>VLOOKUP($A26,'Data Vlaue (Cr)'!$C:$FB,119)</f>
        <v>0.56999999999999995</v>
      </c>
      <c r="Q26" s="75">
        <f>VLOOKUP($A26,'Data Vlaue (Cr)'!$C:$FB,122)*100</f>
        <v>5.56</v>
      </c>
      <c r="R26" s="75">
        <f>VLOOKUP($A26,'Data Vlaue (Cr)'!$C:$FB,125)</f>
        <v>0.36</v>
      </c>
      <c r="S26" s="75">
        <f>VLOOKUP($A26,'Data Vlaue (Cr)'!$C:$FB,128)*100</f>
        <v>0</v>
      </c>
    </row>
    <row r="27" spans="1:19" x14ac:dyDescent="0.25">
      <c r="A27" s="96" t="str">
        <f>'Data Vlaue (Cr)'!C18</f>
        <v>AUBANK</v>
      </c>
      <c r="B27" s="75">
        <f>VLOOKUP($A27,'Data Vlaue (Cr)'!$C:$FB,2)</f>
        <v>1000</v>
      </c>
      <c r="C27" s="75">
        <f>VLOOKUP($A27,'Data Vlaue (Cr)'!$C:$FB,8)</f>
        <v>919.3</v>
      </c>
      <c r="D27" s="75">
        <f>VLOOKUP($A27,'Data Vlaue (Cr)'!$C:$FB,4)</f>
        <v>920.35</v>
      </c>
      <c r="E27" s="75">
        <f>VLOOKUP($A27,'Data Vlaue (Cr)'!$C:$FB,5)</f>
        <v>924.75</v>
      </c>
      <c r="F27" s="75">
        <f t="shared" si="0"/>
        <v>1.0500000000000682</v>
      </c>
      <c r="G27" s="75">
        <f t="shared" si="1"/>
        <v>-0.47807899168794238</v>
      </c>
      <c r="H27" s="75">
        <f>VLOOKUP($A27,'Data Vlaue (Cr)'!$C:$FB,99)</f>
        <v>2772</v>
      </c>
      <c r="I27" s="75">
        <f>VLOOKUP($A27,'Data Vlaue (Cr)'!$C:$FB,100)</f>
        <v>2816</v>
      </c>
      <c r="J27" s="75">
        <f t="shared" si="2"/>
        <v>-44</v>
      </c>
      <c r="K27" s="75">
        <f t="shared" si="3"/>
        <v>-1.5873015873015872</v>
      </c>
      <c r="L27" s="75">
        <f>VLOOKUP($A27,'Data Vlaue (Cr)'!$C:$FB,67)</f>
        <v>2141</v>
      </c>
      <c r="M27" s="75">
        <f>VLOOKUP($A27,'Data Vlaue (Cr)'!$C:$FB,68)</f>
        <v>2723</v>
      </c>
      <c r="N27" s="75">
        <f t="shared" si="4"/>
        <v>-582</v>
      </c>
      <c r="O27" s="75">
        <f t="shared" si="5"/>
        <v>-27.183559084539933</v>
      </c>
      <c r="P27" s="75">
        <f>VLOOKUP($A27,'Data Vlaue (Cr)'!$C:$FB,119)</f>
        <v>0.97</v>
      </c>
      <c r="Q27" s="75">
        <f>VLOOKUP($A27,'Data Vlaue (Cr)'!$C:$FB,122)*100</f>
        <v>-7.62</v>
      </c>
      <c r="R27" s="75">
        <f>VLOOKUP($A27,'Data Vlaue (Cr)'!$C:$FB,125)</f>
        <v>0.77</v>
      </c>
      <c r="S27" s="75">
        <f>VLOOKUP($A27,'Data Vlaue (Cr)'!$C:$FB,128)*100</f>
        <v>32.76</v>
      </c>
    </row>
    <row r="28" spans="1:19" x14ac:dyDescent="0.25">
      <c r="A28" s="96" t="str">
        <f>'Data Vlaue (Cr)'!C19</f>
        <v>AUROPHARMA</v>
      </c>
      <c r="B28" s="75">
        <f>VLOOKUP($A28,'Data Vlaue (Cr)'!$C:$FB,2)</f>
        <v>550</v>
      </c>
      <c r="C28" s="75">
        <f>VLOOKUP($A28,'Data Vlaue (Cr)'!$C:$FB,8)</f>
        <v>1207.7</v>
      </c>
      <c r="D28" s="75">
        <f>VLOOKUP($A28,'Data Vlaue (Cr)'!$C:$FB,4)</f>
        <v>1208.7</v>
      </c>
      <c r="E28" s="75">
        <f>VLOOKUP($A28,'Data Vlaue (Cr)'!$C:$FB,5)</f>
        <v>1235.2</v>
      </c>
      <c r="F28" s="75">
        <f t="shared" si="0"/>
        <v>1</v>
      </c>
      <c r="G28" s="75">
        <f t="shared" si="1"/>
        <v>-2.1924381566972779</v>
      </c>
      <c r="H28" s="75">
        <f>VLOOKUP($A28,'Data Vlaue (Cr)'!$C:$FB,99)</f>
        <v>3996</v>
      </c>
      <c r="I28" s="75">
        <f>VLOOKUP($A28,'Data Vlaue (Cr)'!$C:$FB,100)</f>
        <v>4052</v>
      </c>
      <c r="J28" s="75">
        <f t="shared" si="2"/>
        <v>-56</v>
      </c>
      <c r="K28" s="75">
        <f t="shared" si="3"/>
        <v>-1.4014014014014013</v>
      </c>
      <c r="L28" s="75">
        <f>VLOOKUP($A28,'Data Vlaue (Cr)'!$C:$FB,67)</f>
        <v>3644</v>
      </c>
      <c r="M28" s="75">
        <f>VLOOKUP($A28,'Data Vlaue (Cr)'!$C:$FB,68)</f>
        <v>1656</v>
      </c>
      <c r="N28" s="75">
        <f t="shared" si="4"/>
        <v>1988</v>
      </c>
      <c r="O28" s="75">
        <f t="shared" si="5"/>
        <v>54.555433589462133</v>
      </c>
      <c r="P28" s="75">
        <f>VLOOKUP($A28,'Data Vlaue (Cr)'!$C:$FB,119)</f>
        <v>0.94</v>
      </c>
      <c r="Q28" s="75">
        <f>VLOOKUP($A28,'Data Vlaue (Cr)'!$C:$FB,122)*100</f>
        <v>-12.15</v>
      </c>
      <c r="R28" s="75">
        <f>VLOOKUP($A28,'Data Vlaue (Cr)'!$C:$FB,125)</f>
        <v>0.9</v>
      </c>
      <c r="S28" s="75">
        <f>VLOOKUP($A28,'Data Vlaue (Cr)'!$C:$FB,128)*100</f>
        <v>21.62</v>
      </c>
    </row>
    <row r="29" spans="1:19" x14ac:dyDescent="0.25">
      <c r="A29" s="96" t="str">
        <f>'Data Vlaue (Cr)'!C20</f>
        <v>AXISBANK</v>
      </c>
      <c r="B29" s="75">
        <f>VLOOKUP($A29,'Data Vlaue (Cr)'!$C:$FB,2)</f>
        <v>625</v>
      </c>
      <c r="C29" s="75">
        <f>VLOOKUP($A29,'Data Vlaue (Cr)'!$C:$FB,8)</f>
        <v>1285.2</v>
      </c>
      <c r="D29" s="75">
        <f>VLOOKUP($A29,'Data Vlaue (Cr)'!$C:$FB,4)</f>
        <v>1283.7</v>
      </c>
      <c r="E29" s="75">
        <f>VLOOKUP($A29,'Data Vlaue (Cr)'!$C:$FB,5)</f>
        <v>1269.5999999999999</v>
      </c>
      <c r="F29" s="75">
        <f t="shared" si="0"/>
        <v>-1.5</v>
      </c>
      <c r="G29" s="75">
        <f t="shared" si="1"/>
        <v>1.0983874737088211</v>
      </c>
      <c r="H29" s="75">
        <f>VLOOKUP($A29,'Data Vlaue (Cr)'!$C:$FB,99)</f>
        <v>13752</v>
      </c>
      <c r="I29" s="75">
        <f>VLOOKUP($A29,'Data Vlaue (Cr)'!$C:$FB,100)</f>
        <v>13962</v>
      </c>
      <c r="J29" s="75">
        <f t="shared" si="2"/>
        <v>-210</v>
      </c>
      <c r="K29" s="75">
        <f t="shared" si="3"/>
        <v>-1.5270506108202444</v>
      </c>
      <c r="L29" s="75">
        <f>VLOOKUP($A29,'Data Vlaue (Cr)'!$C:$FB,67)</f>
        <v>23926</v>
      </c>
      <c r="M29" s="75">
        <f>VLOOKUP($A29,'Data Vlaue (Cr)'!$C:$FB,68)</f>
        <v>10936</v>
      </c>
      <c r="N29" s="75">
        <f t="shared" si="4"/>
        <v>12990</v>
      </c>
      <c r="O29" s="75">
        <f t="shared" si="5"/>
        <v>54.292401571512158</v>
      </c>
      <c r="P29" s="75">
        <f>VLOOKUP($A29,'Data Vlaue (Cr)'!$C:$FB,119)</f>
        <v>0.76</v>
      </c>
      <c r="Q29" s="75">
        <f>VLOOKUP($A29,'Data Vlaue (Cr)'!$C:$FB,122)*100</f>
        <v>11.76</v>
      </c>
      <c r="R29" s="75">
        <f>VLOOKUP($A29,'Data Vlaue (Cr)'!$C:$FB,125)</f>
        <v>0.5</v>
      </c>
      <c r="S29" s="75">
        <f>VLOOKUP($A29,'Data Vlaue (Cr)'!$C:$FB,128)*100</f>
        <v>-5.66</v>
      </c>
    </row>
    <row r="30" spans="1:19" x14ac:dyDescent="0.25">
      <c r="A30" s="96" t="str">
        <f>'Data Vlaue (Cr)'!C21</f>
        <v>BAJAJ-AUTO</v>
      </c>
      <c r="B30" s="75">
        <f>VLOOKUP($A30,'Data Vlaue (Cr)'!$C:$FB,2)</f>
        <v>75</v>
      </c>
      <c r="C30" s="75">
        <f>VLOOKUP($A30,'Data Vlaue (Cr)'!$C:$FB,8)</f>
        <v>8979.5</v>
      </c>
      <c r="D30" s="75">
        <f>VLOOKUP($A30,'Data Vlaue (Cr)'!$C:$FB,4)</f>
        <v>8982</v>
      </c>
      <c r="E30" s="75">
        <f>VLOOKUP($A30,'Data Vlaue (Cr)'!$C:$FB,5)</f>
        <v>8885</v>
      </c>
      <c r="F30" s="75">
        <f t="shared" si="0"/>
        <v>2.5</v>
      </c>
      <c r="G30" s="75">
        <f t="shared" si="1"/>
        <v>1.0799376530839457</v>
      </c>
      <c r="H30" s="75">
        <f>VLOOKUP($A30,'Data Vlaue (Cr)'!$C:$FB,99)</f>
        <v>5961</v>
      </c>
      <c r="I30" s="75">
        <f>VLOOKUP($A30,'Data Vlaue (Cr)'!$C:$FB,100)</f>
        <v>6492</v>
      </c>
      <c r="J30" s="75">
        <f t="shared" si="2"/>
        <v>-531</v>
      </c>
      <c r="K30" s="75">
        <f t="shared" si="3"/>
        <v>-8.9079013588324116</v>
      </c>
      <c r="L30" s="75">
        <f>VLOOKUP($A30,'Data Vlaue (Cr)'!$C:$FB,67)</f>
        <v>9393</v>
      </c>
      <c r="M30" s="75">
        <f>VLOOKUP($A30,'Data Vlaue (Cr)'!$C:$FB,68)</f>
        <v>3891</v>
      </c>
      <c r="N30" s="75">
        <f t="shared" si="4"/>
        <v>5502</v>
      </c>
      <c r="O30" s="75">
        <f t="shared" si="5"/>
        <v>58.575534972852125</v>
      </c>
      <c r="P30" s="75">
        <f>VLOOKUP($A30,'Data Vlaue (Cr)'!$C:$FB,119)</f>
        <v>0.6</v>
      </c>
      <c r="Q30" s="75">
        <f>VLOOKUP($A30,'Data Vlaue (Cr)'!$C:$FB,122)*100</f>
        <v>1.69</v>
      </c>
      <c r="R30" s="75">
        <f>VLOOKUP($A30,'Data Vlaue (Cr)'!$C:$FB,125)</f>
        <v>0.44</v>
      </c>
      <c r="S30" s="75">
        <f>VLOOKUP($A30,'Data Vlaue (Cr)'!$C:$FB,128)*100</f>
        <v>15.790000000000001</v>
      </c>
    </row>
    <row r="31" spans="1:19" x14ac:dyDescent="0.25">
      <c r="A31" s="96" t="str">
        <f>'Data Vlaue (Cr)'!C22</f>
        <v>BAJAJFINSV</v>
      </c>
      <c r="B31" s="75">
        <f>VLOOKUP($A31,'Data Vlaue (Cr)'!$C:$FB,2)</f>
        <v>250</v>
      </c>
      <c r="C31" s="75">
        <f>VLOOKUP($A31,'Data Vlaue (Cr)'!$C:$FB,8)</f>
        <v>2095.6</v>
      </c>
      <c r="D31" s="75">
        <f>VLOOKUP($A31,'Data Vlaue (Cr)'!$C:$FB,4)</f>
        <v>2099.3000000000002</v>
      </c>
      <c r="E31" s="75">
        <f>VLOOKUP($A31,'Data Vlaue (Cr)'!$C:$FB,5)</f>
        <v>2051</v>
      </c>
      <c r="F31" s="75">
        <f t="shared" si="0"/>
        <v>3.7000000000002728</v>
      </c>
      <c r="G31" s="75">
        <f t="shared" si="1"/>
        <v>2.3007669223074441</v>
      </c>
      <c r="H31" s="75">
        <f>VLOOKUP($A31,'Data Vlaue (Cr)'!$C:$FB,99)</f>
        <v>6449</v>
      </c>
      <c r="I31" s="75">
        <f>VLOOKUP($A31,'Data Vlaue (Cr)'!$C:$FB,100)</f>
        <v>6479</v>
      </c>
      <c r="J31" s="75">
        <f t="shared" si="2"/>
        <v>-30</v>
      </c>
      <c r="K31" s="75">
        <f t="shared" si="3"/>
        <v>-0.46518840130252753</v>
      </c>
      <c r="L31" s="75">
        <f>VLOOKUP($A31,'Data Vlaue (Cr)'!$C:$FB,67)</f>
        <v>9728</v>
      </c>
      <c r="M31" s="75">
        <f>VLOOKUP($A31,'Data Vlaue (Cr)'!$C:$FB,68)</f>
        <v>3567</v>
      </c>
      <c r="N31" s="75">
        <f t="shared" si="4"/>
        <v>6161</v>
      </c>
      <c r="O31" s="75">
        <f t="shared" si="5"/>
        <v>63.332648026315788</v>
      </c>
      <c r="P31" s="75">
        <f>VLOOKUP($A31,'Data Vlaue (Cr)'!$C:$FB,119)</f>
        <v>0.72</v>
      </c>
      <c r="Q31" s="75">
        <f>VLOOKUP($A31,'Data Vlaue (Cr)'!$C:$FB,122)*100</f>
        <v>18.029999999999998</v>
      </c>
      <c r="R31" s="75">
        <f>VLOOKUP($A31,'Data Vlaue (Cr)'!$C:$FB,125)</f>
        <v>0.38</v>
      </c>
      <c r="S31" s="75">
        <f>VLOOKUP($A31,'Data Vlaue (Cr)'!$C:$FB,128)*100</f>
        <v>-11.63</v>
      </c>
    </row>
    <row r="32" spans="1:19" x14ac:dyDescent="0.25">
      <c r="A32" s="96" t="str">
        <f>'Data Vlaue (Cr)'!C23</f>
        <v>BAJFINANCE</v>
      </c>
      <c r="B32" s="75">
        <f>VLOOKUP($A32,'Data Vlaue (Cr)'!$C:$FB,2)</f>
        <v>750</v>
      </c>
      <c r="C32" s="75">
        <f>VLOOKUP($A32,'Data Vlaue (Cr)'!$C:$FB,8)</f>
        <v>1028.5999999999999</v>
      </c>
      <c r="D32" s="75">
        <f>VLOOKUP($A32,'Data Vlaue (Cr)'!$C:$FB,4)</f>
        <v>1030.0999999999999</v>
      </c>
      <c r="E32" s="75">
        <f>VLOOKUP($A32,'Data Vlaue (Cr)'!$C:$FB,5)</f>
        <v>1007.7</v>
      </c>
      <c r="F32" s="75">
        <f t="shared" si="0"/>
        <v>1.5</v>
      </c>
      <c r="G32" s="75">
        <f t="shared" si="1"/>
        <v>2.1745461605669218</v>
      </c>
      <c r="H32" s="75">
        <f>VLOOKUP($A32,'Data Vlaue (Cr)'!$C:$FB,99)</f>
        <v>14206</v>
      </c>
      <c r="I32" s="75">
        <f>VLOOKUP($A32,'Data Vlaue (Cr)'!$C:$FB,100)</f>
        <v>15069</v>
      </c>
      <c r="J32" s="75">
        <f t="shared" si="2"/>
        <v>-863</v>
      </c>
      <c r="K32" s="75">
        <f t="shared" si="3"/>
        <v>-6.0748979304519217</v>
      </c>
      <c r="L32" s="75">
        <f>VLOOKUP($A32,'Data Vlaue (Cr)'!$C:$FB,67)</f>
        <v>14591</v>
      </c>
      <c r="M32" s="75">
        <f>VLOOKUP($A32,'Data Vlaue (Cr)'!$C:$FB,68)</f>
        <v>6619</v>
      </c>
      <c r="N32" s="75">
        <f t="shared" si="4"/>
        <v>7972</v>
      </c>
      <c r="O32" s="75">
        <f t="shared" si="5"/>
        <v>54.636419710780615</v>
      </c>
      <c r="P32" s="75">
        <f>VLOOKUP($A32,'Data Vlaue (Cr)'!$C:$FB,119)</f>
        <v>0.63</v>
      </c>
      <c r="Q32" s="75">
        <f>VLOOKUP($A32,'Data Vlaue (Cr)'!$C:$FB,122)*100</f>
        <v>12.5</v>
      </c>
      <c r="R32" s="75">
        <f>VLOOKUP($A32,'Data Vlaue (Cr)'!$C:$FB,125)</f>
        <v>0.44</v>
      </c>
      <c r="S32" s="75">
        <f>VLOOKUP($A32,'Data Vlaue (Cr)'!$C:$FB,128)*100</f>
        <v>2.33</v>
      </c>
    </row>
    <row r="33" spans="1:19" x14ac:dyDescent="0.25">
      <c r="A33" s="96" t="str">
        <f>'Data Vlaue (Cr)'!C24</f>
        <v>BANDHANBNK</v>
      </c>
      <c r="B33" s="75">
        <f>VLOOKUP($A33,'Data Vlaue (Cr)'!$C:$FB,2)</f>
        <v>3600</v>
      </c>
      <c r="C33" s="75">
        <f>VLOOKUP($A33,'Data Vlaue (Cr)'!$C:$FB,8)</f>
        <v>151.22</v>
      </c>
      <c r="D33" s="75">
        <f>VLOOKUP($A33,'Data Vlaue (Cr)'!$C:$FB,4)</f>
        <v>151.4</v>
      </c>
      <c r="E33" s="75">
        <f>VLOOKUP($A33,'Data Vlaue (Cr)'!$C:$FB,5)</f>
        <v>153.16999999999999</v>
      </c>
      <c r="F33" s="75">
        <f t="shared" si="0"/>
        <v>0.18000000000000682</v>
      </c>
      <c r="G33" s="75">
        <f t="shared" si="1"/>
        <v>-1.1690885072655097</v>
      </c>
      <c r="H33" s="75">
        <f>VLOOKUP($A33,'Data Vlaue (Cr)'!$C:$FB,99)</f>
        <v>3927</v>
      </c>
      <c r="I33" s="75">
        <f>VLOOKUP($A33,'Data Vlaue (Cr)'!$C:$FB,100)</f>
        <v>4018</v>
      </c>
      <c r="J33" s="75">
        <f t="shared" si="2"/>
        <v>-91</v>
      </c>
      <c r="K33" s="75">
        <f t="shared" si="3"/>
        <v>-2.3172905525846703</v>
      </c>
      <c r="L33" s="75">
        <f>VLOOKUP($A33,'Data Vlaue (Cr)'!$C:$FB,67)</f>
        <v>1589</v>
      </c>
      <c r="M33" s="75">
        <f>VLOOKUP($A33,'Data Vlaue (Cr)'!$C:$FB,68)</f>
        <v>1305</v>
      </c>
      <c r="N33" s="75">
        <f t="shared" si="4"/>
        <v>284</v>
      </c>
      <c r="O33" s="75">
        <f t="shared" si="5"/>
        <v>17.87287602265576</v>
      </c>
      <c r="P33" s="75">
        <f>VLOOKUP($A33,'Data Vlaue (Cr)'!$C:$FB,119)</f>
        <v>0.54</v>
      </c>
      <c r="Q33" s="75">
        <f>VLOOKUP($A33,'Data Vlaue (Cr)'!$C:$FB,122)*100</f>
        <v>3.85</v>
      </c>
      <c r="R33" s="75">
        <f>VLOOKUP($A33,'Data Vlaue (Cr)'!$C:$FB,125)</f>
        <v>0.34</v>
      </c>
      <c r="S33" s="75">
        <f>VLOOKUP($A33,'Data Vlaue (Cr)'!$C:$FB,128)*100</f>
        <v>-8.1100000000000012</v>
      </c>
    </row>
    <row r="34" spans="1:19" x14ac:dyDescent="0.25">
      <c r="A34" s="96" t="str">
        <f>'Data Vlaue (Cr)'!C25</f>
        <v>BANKBARODA</v>
      </c>
      <c r="B34" s="75">
        <f>VLOOKUP($A34,'Data Vlaue (Cr)'!$C:$FB,2)</f>
        <v>2925</v>
      </c>
      <c r="C34" s="75">
        <f>VLOOKUP($A34,'Data Vlaue (Cr)'!$C:$FB,8)</f>
        <v>288.25</v>
      </c>
      <c r="D34" s="75">
        <f>VLOOKUP($A34,'Data Vlaue (Cr)'!$C:$FB,4)</f>
        <v>288.60000000000002</v>
      </c>
      <c r="E34" s="75">
        <f>VLOOKUP($A34,'Data Vlaue (Cr)'!$C:$FB,5)</f>
        <v>293.35000000000002</v>
      </c>
      <c r="F34" s="75">
        <f t="shared" si="0"/>
        <v>0.35000000000002274</v>
      </c>
      <c r="G34" s="75">
        <f t="shared" si="1"/>
        <v>-1.6458766458766458</v>
      </c>
      <c r="H34" s="180">
        <f>VLOOKUP($A34,'Data Vlaue (Cr)'!$C:$FB,99)</f>
        <v>5543</v>
      </c>
      <c r="I34" s="180">
        <f>VLOOKUP($A34,'Data Vlaue (Cr)'!$C:$FB,100)</f>
        <v>5523</v>
      </c>
      <c r="J34" s="180">
        <f t="shared" si="2"/>
        <v>20</v>
      </c>
      <c r="K34" s="180">
        <f t="shared" si="3"/>
        <v>0.36081544290095613</v>
      </c>
      <c r="L34" s="180">
        <f>VLOOKUP($A34,'Data Vlaue (Cr)'!$C:$FB,67)</f>
        <v>3740</v>
      </c>
      <c r="M34" s="180">
        <f>VLOOKUP($A34,'Data Vlaue (Cr)'!$C:$FB,68)</f>
        <v>5764</v>
      </c>
      <c r="N34" s="180">
        <f t="shared" si="4"/>
        <v>-2024</v>
      </c>
      <c r="O34" s="180">
        <f t="shared" si="5"/>
        <v>-54.117647058823529</v>
      </c>
      <c r="P34" s="180">
        <f>VLOOKUP($A34,'Data Vlaue (Cr)'!$C:$FB,119)</f>
        <v>0.73</v>
      </c>
      <c r="Q34" s="180">
        <f>VLOOKUP($A34,'Data Vlaue (Cr)'!$C:$FB,122)*100</f>
        <v>-6.41</v>
      </c>
      <c r="R34" s="180">
        <f>VLOOKUP($A34,'Data Vlaue (Cr)'!$C:$FB,125)</f>
        <v>0.51</v>
      </c>
      <c r="S34" s="180">
        <f>VLOOKUP($A34,'Data Vlaue (Cr)'!$C:$FB,128)*100</f>
        <v>10.870000000000001</v>
      </c>
    </row>
    <row r="35" spans="1:19" x14ac:dyDescent="0.25">
      <c r="A35" s="96" t="str">
        <f>'Data Vlaue (Cr)'!C26</f>
        <v>BANKINDIA</v>
      </c>
      <c r="B35" s="75">
        <f>VLOOKUP($A35,'Data Vlaue (Cr)'!$C:$FB,2)</f>
        <v>5200</v>
      </c>
      <c r="C35" s="75">
        <f>VLOOKUP($A35,'Data Vlaue (Cr)'!$C:$FB,8)</f>
        <v>147.72</v>
      </c>
      <c r="D35" s="75">
        <f>VLOOKUP($A35,'Data Vlaue (Cr)'!$C:$FB,4)</f>
        <v>147.54</v>
      </c>
      <c r="E35" s="75">
        <f>VLOOKUP($A35,'Data Vlaue (Cr)'!$C:$FB,5)</f>
        <v>148.56</v>
      </c>
      <c r="F35" s="75">
        <f t="shared" si="0"/>
        <v>-0.18000000000000682</v>
      </c>
      <c r="G35" s="75">
        <f t="shared" si="1"/>
        <v>-0.69133794225295531</v>
      </c>
      <c r="H35" s="75">
        <f>VLOOKUP($A35,'Data Vlaue (Cr)'!$C:$FB,99)</f>
        <v>1597</v>
      </c>
      <c r="I35" s="75">
        <f>VLOOKUP($A35,'Data Vlaue (Cr)'!$C:$FB,100)</f>
        <v>1613</v>
      </c>
      <c r="J35" s="75">
        <f t="shared" si="2"/>
        <v>-16</v>
      </c>
      <c r="K35" s="75">
        <f t="shared" si="3"/>
        <v>-1.0018785222291797</v>
      </c>
      <c r="L35" s="75">
        <f>VLOOKUP($A35,'Data Vlaue (Cr)'!$C:$FB,67)</f>
        <v>839</v>
      </c>
      <c r="M35" s="75">
        <f>VLOOKUP($A35,'Data Vlaue (Cr)'!$C:$FB,68)</f>
        <v>806</v>
      </c>
      <c r="N35" s="75">
        <f t="shared" si="4"/>
        <v>33</v>
      </c>
      <c r="O35" s="75">
        <f t="shared" si="5"/>
        <v>3.9332538736591176</v>
      </c>
      <c r="P35" s="75">
        <f>VLOOKUP($A35,'Data Vlaue (Cr)'!$C:$FB,119)</f>
        <v>0.89</v>
      </c>
      <c r="Q35" s="75">
        <f>VLOOKUP($A35,'Data Vlaue (Cr)'!$C:$FB,122)*100</f>
        <v>11.25</v>
      </c>
      <c r="R35" s="75">
        <f>VLOOKUP($A35,'Data Vlaue (Cr)'!$C:$FB,125)</f>
        <v>0.57999999999999996</v>
      </c>
      <c r="S35" s="75">
        <f>VLOOKUP($A35,'Data Vlaue (Cr)'!$C:$FB,128)*100</f>
        <v>7.41</v>
      </c>
    </row>
    <row r="36" spans="1:19" x14ac:dyDescent="0.25">
      <c r="A36" s="96" t="str">
        <f>'Data Vlaue (Cr)'!C27</f>
        <v>BANKNIFTY</v>
      </c>
      <c r="B36" s="75">
        <f>VLOOKUP($A36,'Data Vlaue (Cr)'!$C:$FB,2)</f>
        <v>35</v>
      </c>
      <c r="C36" s="75">
        <f>VLOOKUP($A36,'Data Vlaue (Cr)'!$C:$FB,8)</f>
        <v>59347.7</v>
      </c>
      <c r="D36" s="75">
        <f>VLOOKUP($A36,'Data Vlaue (Cr)'!$C:$FB,4)</f>
        <v>59399</v>
      </c>
      <c r="E36" s="75">
        <f>VLOOKUP($A36,'Data Vlaue (Cr)'!$C:$FB,5)</f>
        <v>59227.4</v>
      </c>
      <c r="F36" s="75">
        <f t="shared" si="0"/>
        <v>51.30000000000291</v>
      </c>
      <c r="G36" s="75">
        <f t="shared" si="1"/>
        <v>0.28889375242007198</v>
      </c>
      <c r="H36" s="75">
        <f>VLOOKUP($A36,'Data Vlaue (Cr)'!$C:$FB,99)</f>
        <v>276242</v>
      </c>
      <c r="I36" s="75">
        <f>VLOOKUP($A36,'Data Vlaue (Cr)'!$C:$FB,100)</f>
        <v>267411</v>
      </c>
      <c r="J36" s="75">
        <f t="shared" si="2"/>
        <v>8831</v>
      </c>
      <c r="K36" s="75">
        <f t="shared" si="3"/>
        <v>3.1968346594652517</v>
      </c>
      <c r="L36" s="75">
        <f>VLOOKUP($A36,'Data Vlaue (Cr)'!$C:$FB,67)</f>
        <v>1059789</v>
      </c>
      <c r="M36" s="75">
        <f>VLOOKUP($A36,'Data Vlaue (Cr)'!$C:$FB,68)</f>
        <v>1159745</v>
      </c>
      <c r="N36" s="75">
        <f t="shared" si="4"/>
        <v>-99956</v>
      </c>
      <c r="O36" s="75">
        <f t="shared" si="5"/>
        <v>-9.431688760687269</v>
      </c>
      <c r="P36" s="75">
        <f>VLOOKUP($A36,'Data Vlaue (Cr)'!$C:$FB,119)</f>
        <v>1.25</v>
      </c>
      <c r="Q36" s="75">
        <f>VLOOKUP($A36,'Data Vlaue (Cr)'!$C:$FB,122)*100</f>
        <v>1.63</v>
      </c>
      <c r="R36" s="75">
        <f>VLOOKUP($A36,'Data Vlaue (Cr)'!$C:$FB,125)</f>
        <v>1</v>
      </c>
      <c r="S36" s="75">
        <f>VLOOKUP($A36,'Data Vlaue (Cr)'!$C:$FB,128)*100</f>
        <v>3.09</v>
      </c>
    </row>
    <row r="37" spans="1:19" x14ac:dyDescent="0.25">
      <c r="A37" s="96" t="str">
        <f>'Data Vlaue (Cr)'!C28</f>
        <v>BDL</v>
      </c>
      <c r="B37" s="75">
        <f>VLOOKUP($A37,'Data Vlaue (Cr)'!$C:$FB,2)</f>
        <v>325</v>
      </c>
      <c r="C37" s="75">
        <f>VLOOKUP($A37,'Data Vlaue (Cr)'!$C:$FB,8)</f>
        <v>1557</v>
      </c>
      <c r="D37" s="75">
        <f>VLOOKUP($A37,'Data Vlaue (Cr)'!$C:$FB,4)</f>
        <v>1557.2</v>
      </c>
      <c r="E37" s="75">
        <f>VLOOKUP($A37,'Data Vlaue (Cr)'!$C:$FB,5)</f>
        <v>1540.8</v>
      </c>
      <c r="F37" s="75">
        <f t="shared" si="0"/>
        <v>0.20000000000004547</v>
      </c>
      <c r="G37" s="75">
        <f t="shared" si="1"/>
        <v>1.0531723606473216</v>
      </c>
      <c r="H37" s="75">
        <f>VLOOKUP($A37,'Data Vlaue (Cr)'!$C:$FB,99)</f>
        <v>2132</v>
      </c>
      <c r="I37" s="75">
        <f>VLOOKUP($A37,'Data Vlaue (Cr)'!$C:$FB,100)</f>
        <v>2171</v>
      </c>
      <c r="J37" s="75">
        <f t="shared" si="2"/>
        <v>-39</v>
      </c>
      <c r="K37" s="75">
        <f t="shared" si="3"/>
        <v>-1.8292682926829267</v>
      </c>
      <c r="L37" s="75">
        <f>VLOOKUP($A37,'Data Vlaue (Cr)'!$C:$FB,67)</f>
        <v>3721</v>
      </c>
      <c r="M37" s="75">
        <f>VLOOKUP($A37,'Data Vlaue (Cr)'!$C:$FB,68)</f>
        <v>2322</v>
      </c>
      <c r="N37" s="75">
        <f t="shared" si="4"/>
        <v>1399</v>
      </c>
      <c r="O37" s="75">
        <f t="shared" si="5"/>
        <v>37.59742004837409</v>
      </c>
      <c r="P37" s="75">
        <f>VLOOKUP($A37,'Data Vlaue (Cr)'!$C:$FB,119)</f>
        <v>0.6</v>
      </c>
      <c r="Q37" s="75">
        <f>VLOOKUP($A37,'Data Vlaue (Cr)'!$C:$FB,122)*100</f>
        <v>1.69</v>
      </c>
      <c r="R37" s="75">
        <f>VLOOKUP($A37,'Data Vlaue (Cr)'!$C:$FB,125)</f>
        <v>0.27</v>
      </c>
      <c r="S37" s="75">
        <f>VLOOKUP($A37,'Data Vlaue (Cr)'!$C:$FB,128)*100</f>
        <v>-49.059999999999995</v>
      </c>
    </row>
    <row r="38" spans="1:19" x14ac:dyDescent="0.25">
      <c r="A38" s="96" t="str">
        <f>'Data Vlaue (Cr)'!C29</f>
        <v>BEL</v>
      </c>
      <c r="B38" s="75">
        <f>VLOOKUP($A38,'Data Vlaue (Cr)'!$C:$FB,2)</f>
        <v>1425</v>
      </c>
      <c r="C38" s="75">
        <f>VLOOKUP($A38,'Data Vlaue (Cr)'!$C:$FB,8)</f>
        <v>423</v>
      </c>
      <c r="D38" s="75">
        <f>VLOOKUP($A38,'Data Vlaue (Cr)'!$C:$FB,4)</f>
        <v>423.6</v>
      </c>
      <c r="E38" s="75">
        <f>VLOOKUP($A38,'Data Vlaue (Cr)'!$C:$FB,5)</f>
        <v>423.1</v>
      </c>
      <c r="F38" s="75">
        <f t="shared" si="0"/>
        <v>0.60000000000002274</v>
      </c>
      <c r="G38" s="75">
        <f t="shared" si="1"/>
        <v>0.11803588290840415</v>
      </c>
      <c r="H38" s="75">
        <f>VLOOKUP($A38,'Data Vlaue (Cr)'!$C:$FB,99)</f>
        <v>9181</v>
      </c>
      <c r="I38" s="75">
        <f>VLOOKUP($A38,'Data Vlaue (Cr)'!$C:$FB,100)</f>
        <v>9956</v>
      </c>
      <c r="J38" s="75">
        <f t="shared" si="2"/>
        <v>-775</v>
      </c>
      <c r="K38" s="75">
        <f t="shared" si="3"/>
        <v>-8.4413462585774965</v>
      </c>
      <c r="L38" s="75">
        <f>VLOOKUP($A38,'Data Vlaue (Cr)'!$C:$FB,67)</f>
        <v>9531</v>
      </c>
      <c r="M38" s="75">
        <f>VLOOKUP($A38,'Data Vlaue (Cr)'!$C:$FB,68)</f>
        <v>8872</v>
      </c>
      <c r="N38" s="75">
        <f t="shared" si="4"/>
        <v>659</v>
      </c>
      <c r="O38" s="75">
        <f t="shared" si="5"/>
        <v>6.9142797188122964</v>
      </c>
      <c r="P38" s="75">
        <f>VLOOKUP($A38,'Data Vlaue (Cr)'!$C:$FB,119)</f>
        <v>0.56000000000000005</v>
      </c>
      <c r="Q38" s="75">
        <f>VLOOKUP($A38,'Data Vlaue (Cr)'!$C:$FB,122)*100</f>
        <v>5.66</v>
      </c>
      <c r="R38" s="75">
        <f>VLOOKUP($A38,'Data Vlaue (Cr)'!$C:$FB,125)</f>
        <v>0.44</v>
      </c>
      <c r="S38" s="75">
        <f>VLOOKUP($A38,'Data Vlaue (Cr)'!$C:$FB,128)*100</f>
        <v>-15.379999999999999</v>
      </c>
    </row>
    <row r="39" spans="1:19" x14ac:dyDescent="0.25">
      <c r="A39" s="96" t="str">
        <f>'Data Vlaue (Cr)'!C30</f>
        <v>BHARATFORG</v>
      </c>
      <c r="B39" s="75">
        <f>VLOOKUP($A39,'Data Vlaue (Cr)'!$C:$FB,2)</f>
        <v>500</v>
      </c>
      <c r="C39" s="75">
        <f>VLOOKUP($A39,'Data Vlaue (Cr)'!$C:$FB,8)</f>
        <v>1435.4</v>
      </c>
      <c r="D39" s="75">
        <f>VLOOKUP($A39,'Data Vlaue (Cr)'!$C:$FB,4)</f>
        <v>1436</v>
      </c>
      <c r="E39" s="75">
        <f>VLOOKUP($A39,'Data Vlaue (Cr)'!$C:$FB,5)</f>
        <v>1447.1</v>
      </c>
      <c r="F39" s="75">
        <f t="shared" si="0"/>
        <v>0.59999999999990905</v>
      </c>
      <c r="G39" s="75">
        <f t="shared" si="1"/>
        <v>-0.77298050139275132</v>
      </c>
      <c r="H39" s="75">
        <f>VLOOKUP($A39,'Data Vlaue (Cr)'!$C:$FB,99)</f>
        <v>2486</v>
      </c>
      <c r="I39" s="75">
        <f>VLOOKUP($A39,'Data Vlaue (Cr)'!$C:$FB,100)</f>
        <v>2641</v>
      </c>
      <c r="J39" s="75">
        <f t="shared" si="2"/>
        <v>-155</v>
      </c>
      <c r="K39" s="75">
        <f t="shared" si="3"/>
        <v>-6.2349155269509255</v>
      </c>
      <c r="L39" s="75">
        <f>VLOOKUP($A39,'Data Vlaue (Cr)'!$C:$FB,67)</f>
        <v>3584</v>
      </c>
      <c r="M39" s="75">
        <f>VLOOKUP($A39,'Data Vlaue (Cr)'!$C:$FB,68)</f>
        <v>7699</v>
      </c>
      <c r="N39" s="75">
        <f t="shared" si="4"/>
        <v>-4115</v>
      </c>
      <c r="O39" s="75">
        <f t="shared" si="5"/>
        <v>-114.81584821428572</v>
      </c>
      <c r="P39" s="75">
        <f>VLOOKUP($A39,'Data Vlaue (Cr)'!$C:$FB,119)</f>
        <v>0.8</v>
      </c>
      <c r="Q39" s="75">
        <f>VLOOKUP($A39,'Data Vlaue (Cr)'!$C:$FB,122)*100</f>
        <v>-8.0500000000000007</v>
      </c>
      <c r="R39" s="75">
        <f>VLOOKUP($A39,'Data Vlaue (Cr)'!$C:$FB,125)</f>
        <v>0.42</v>
      </c>
      <c r="S39" s="75">
        <f>VLOOKUP($A39,'Data Vlaue (Cr)'!$C:$FB,128)*100</f>
        <v>27.27</v>
      </c>
    </row>
    <row r="40" spans="1:19" x14ac:dyDescent="0.25">
      <c r="A40" s="96" t="str">
        <f>'Data Vlaue (Cr)'!C31</f>
        <v>BHARTIARTL</v>
      </c>
      <c r="B40" s="75">
        <f>VLOOKUP($A40,'Data Vlaue (Cr)'!$C:$FB,2)</f>
        <v>475</v>
      </c>
      <c r="C40" s="75">
        <f>VLOOKUP($A40,'Data Vlaue (Cr)'!$C:$FB,8)</f>
        <v>2158.3000000000002</v>
      </c>
      <c r="D40" s="75">
        <f>VLOOKUP($A40,'Data Vlaue (Cr)'!$C:$FB,4)</f>
        <v>2158.9</v>
      </c>
      <c r="E40" s="75">
        <f>VLOOKUP($A40,'Data Vlaue (Cr)'!$C:$FB,5)</f>
        <v>2158.8000000000002</v>
      </c>
      <c r="F40" s="75">
        <f t="shared" si="0"/>
        <v>0.59999999999990905</v>
      </c>
      <c r="G40" s="75">
        <f t="shared" si="1"/>
        <v>4.6319885126642757E-3</v>
      </c>
      <c r="H40" s="75">
        <f>VLOOKUP($A40,'Data Vlaue (Cr)'!$C:$FB,99)</f>
        <v>16496</v>
      </c>
      <c r="I40" s="75">
        <f>VLOOKUP($A40,'Data Vlaue (Cr)'!$C:$FB,100)</f>
        <v>16730</v>
      </c>
      <c r="J40" s="75">
        <f t="shared" si="2"/>
        <v>-234</v>
      </c>
      <c r="K40" s="75">
        <f t="shared" si="3"/>
        <v>-1.4185257032007759</v>
      </c>
      <c r="L40" s="75">
        <f>VLOOKUP($A40,'Data Vlaue (Cr)'!$C:$FB,67)</f>
        <v>19106</v>
      </c>
      <c r="M40" s="75">
        <f>VLOOKUP($A40,'Data Vlaue (Cr)'!$C:$FB,68)</f>
        <v>13381</v>
      </c>
      <c r="N40" s="75">
        <f t="shared" si="4"/>
        <v>5725</v>
      </c>
      <c r="O40" s="75">
        <f t="shared" si="5"/>
        <v>29.964409086150944</v>
      </c>
      <c r="P40" s="75">
        <f>VLOOKUP($A40,'Data Vlaue (Cr)'!$C:$FB,119)</f>
        <v>0.67</v>
      </c>
      <c r="Q40" s="75">
        <f>VLOOKUP($A40,'Data Vlaue (Cr)'!$C:$FB,122)*100</f>
        <v>0</v>
      </c>
      <c r="R40" s="75">
        <f>VLOOKUP($A40,'Data Vlaue (Cr)'!$C:$FB,125)</f>
        <v>0.77</v>
      </c>
      <c r="S40" s="75">
        <f>VLOOKUP($A40,'Data Vlaue (Cr)'!$C:$FB,128)*100</f>
        <v>-1.28</v>
      </c>
    </row>
    <row r="41" spans="1:19" x14ac:dyDescent="0.25">
      <c r="A41" s="96" t="str">
        <f>'Data Vlaue (Cr)'!C32</f>
        <v>BHEL</v>
      </c>
      <c r="B41" s="75">
        <f>VLOOKUP($A41,'Data Vlaue (Cr)'!$C:$FB,2)</f>
        <v>2625</v>
      </c>
      <c r="C41" s="75">
        <f>VLOOKUP($A41,'Data Vlaue (Cr)'!$C:$FB,8)</f>
        <v>285.25</v>
      </c>
      <c r="D41" s="75">
        <f>VLOOKUP($A41,'Data Vlaue (Cr)'!$C:$FB,4)</f>
        <v>285.75</v>
      </c>
      <c r="E41" s="75">
        <f>VLOOKUP($A41,'Data Vlaue (Cr)'!$C:$FB,5)</f>
        <v>289</v>
      </c>
      <c r="F41" s="75">
        <f t="shared" si="0"/>
        <v>0.5</v>
      </c>
      <c r="G41" s="75">
        <f t="shared" si="1"/>
        <v>-1.1373578302712162</v>
      </c>
      <c r="H41" s="75">
        <f>VLOOKUP($A41,'Data Vlaue (Cr)'!$C:$FB,99)</f>
        <v>4412</v>
      </c>
      <c r="I41" s="75">
        <f>VLOOKUP($A41,'Data Vlaue (Cr)'!$C:$FB,100)</f>
        <v>4601</v>
      </c>
      <c r="J41" s="75">
        <f t="shared" si="2"/>
        <v>-189</v>
      </c>
      <c r="K41" s="75">
        <f t="shared" si="3"/>
        <v>-4.2837715321849501</v>
      </c>
      <c r="L41" s="75">
        <f>VLOOKUP($A41,'Data Vlaue (Cr)'!$C:$FB,67)</f>
        <v>5238</v>
      </c>
      <c r="M41" s="75">
        <f>VLOOKUP($A41,'Data Vlaue (Cr)'!$C:$FB,68)</f>
        <v>6799</v>
      </c>
      <c r="N41" s="75">
        <f t="shared" si="4"/>
        <v>-1561</v>
      </c>
      <c r="O41" s="75">
        <f t="shared" si="5"/>
        <v>-29.80145093547155</v>
      </c>
      <c r="P41" s="75">
        <f>VLOOKUP($A41,'Data Vlaue (Cr)'!$C:$FB,119)</f>
        <v>0.8</v>
      </c>
      <c r="Q41" s="75">
        <f>VLOOKUP($A41,'Data Vlaue (Cr)'!$C:$FB,122)*100</f>
        <v>-5.88</v>
      </c>
      <c r="R41" s="75">
        <f>VLOOKUP($A41,'Data Vlaue (Cr)'!$C:$FB,125)</f>
        <v>0.53</v>
      </c>
      <c r="S41" s="75">
        <f>VLOOKUP($A41,'Data Vlaue (Cr)'!$C:$FB,128)*100</f>
        <v>3.92</v>
      </c>
    </row>
    <row r="42" spans="1:19" x14ac:dyDescent="0.25">
      <c r="A42" s="96" t="str">
        <f>'Data Vlaue (Cr)'!C33</f>
        <v>BIOCON</v>
      </c>
      <c r="B42" s="75">
        <f>VLOOKUP($A42,'Data Vlaue (Cr)'!$C:$FB,2)</f>
        <v>2500</v>
      </c>
      <c r="C42" s="75">
        <f>VLOOKUP($A42,'Data Vlaue (Cr)'!$C:$FB,8)</f>
        <v>395.15</v>
      </c>
      <c r="D42" s="75">
        <f>VLOOKUP($A42,'Data Vlaue (Cr)'!$C:$FB,4)</f>
        <v>395.3</v>
      </c>
      <c r="E42" s="75">
        <f>VLOOKUP($A42,'Data Vlaue (Cr)'!$C:$FB,5)</f>
        <v>410.1</v>
      </c>
      <c r="F42" s="75">
        <f t="shared" si="0"/>
        <v>0.15000000000003411</v>
      </c>
      <c r="G42" s="75">
        <f t="shared" si="1"/>
        <v>-3.7439919048823702</v>
      </c>
      <c r="H42" s="75">
        <f>VLOOKUP($A42,'Data Vlaue (Cr)'!$C:$FB,99)</f>
        <v>4491</v>
      </c>
      <c r="I42" s="75">
        <f>VLOOKUP($A42,'Data Vlaue (Cr)'!$C:$FB,100)</f>
        <v>4105</v>
      </c>
      <c r="J42" s="75">
        <f t="shared" si="2"/>
        <v>386</v>
      </c>
      <c r="K42" s="75">
        <f t="shared" si="3"/>
        <v>8.594967713204186</v>
      </c>
      <c r="L42" s="75">
        <f>VLOOKUP($A42,'Data Vlaue (Cr)'!$C:$FB,67)</f>
        <v>10651</v>
      </c>
      <c r="M42" s="75">
        <f>VLOOKUP($A42,'Data Vlaue (Cr)'!$C:$FB,68)</f>
        <v>5909</v>
      </c>
      <c r="N42" s="75">
        <f t="shared" si="4"/>
        <v>4742</v>
      </c>
      <c r="O42" s="75">
        <f t="shared" si="5"/>
        <v>44.521641160454415</v>
      </c>
      <c r="P42" s="75">
        <f>VLOOKUP($A42,'Data Vlaue (Cr)'!$C:$FB,119)</f>
        <v>0.7</v>
      </c>
      <c r="Q42" s="75">
        <f>VLOOKUP($A42,'Data Vlaue (Cr)'!$C:$FB,122)*100</f>
        <v>-13.58</v>
      </c>
      <c r="R42" s="75">
        <f>VLOOKUP($A42,'Data Vlaue (Cr)'!$C:$FB,125)</f>
        <v>0.65</v>
      </c>
      <c r="S42" s="75">
        <f>VLOOKUP($A42,'Data Vlaue (Cr)'!$C:$FB,128)*100</f>
        <v>-1.52</v>
      </c>
    </row>
    <row r="43" spans="1:19" x14ac:dyDescent="0.25">
      <c r="A43" s="96" t="str">
        <f>'Data Vlaue (Cr)'!C34</f>
        <v>BLUESTARCO</v>
      </c>
      <c r="B43" s="75">
        <f>VLOOKUP($A43,'Data Vlaue (Cr)'!$C:$FB,2)</f>
        <v>325</v>
      </c>
      <c r="C43" s="75">
        <f>VLOOKUP($A43,'Data Vlaue (Cr)'!$C:$FB,8)</f>
        <v>1794.6</v>
      </c>
      <c r="D43" s="75">
        <f>VLOOKUP($A43,'Data Vlaue (Cr)'!$C:$FB,4)</f>
        <v>1795.2</v>
      </c>
      <c r="E43" s="75">
        <f>VLOOKUP($A43,'Data Vlaue (Cr)'!$C:$FB,5)</f>
        <v>1793.6</v>
      </c>
      <c r="F43" s="75">
        <f t="shared" si="0"/>
        <v>0.60000000000013642</v>
      </c>
      <c r="G43" s="75">
        <f t="shared" si="1"/>
        <v>8.91265597148026E-2</v>
      </c>
      <c r="H43" s="75">
        <f>VLOOKUP($A43,'Data Vlaue (Cr)'!$C:$FB,99)</f>
        <v>855</v>
      </c>
      <c r="I43" s="75">
        <f>VLOOKUP($A43,'Data Vlaue (Cr)'!$C:$FB,100)</f>
        <v>981</v>
      </c>
      <c r="J43" s="75">
        <f t="shared" si="2"/>
        <v>-126</v>
      </c>
      <c r="K43" s="75">
        <f t="shared" si="3"/>
        <v>-14.736842105263156</v>
      </c>
      <c r="L43" s="75">
        <f>VLOOKUP($A43,'Data Vlaue (Cr)'!$C:$FB,67)</f>
        <v>864</v>
      </c>
      <c r="M43" s="75">
        <f>VLOOKUP($A43,'Data Vlaue (Cr)'!$C:$FB,68)</f>
        <v>910</v>
      </c>
      <c r="N43" s="75">
        <f t="shared" si="4"/>
        <v>-46</v>
      </c>
      <c r="O43" s="75">
        <f t="shared" si="5"/>
        <v>-5.3240740740740744</v>
      </c>
      <c r="P43" s="75">
        <f>VLOOKUP($A43,'Data Vlaue (Cr)'!$C:$FB,119)</f>
        <v>0.35</v>
      </c>
      <c r="Q43" s="75">
        <f>VLOOKUP($A43,'Data Vlaue (Cr)'!$C:$FB,122)*100</f>
        <v>-10.26</v>
      </c>
      <c r="R43" s="75">
        <f>VLOOKUP($A43,'Data Vlaue (Cr)'!$C:$FB,125)</f>
        <v>0.66</v>
      </c>
      <c r="S43" s="75">
        <f>VLOOKUP($A43,'Data Vlaue (Cr)'!$C:$FB,128)*100</f>
        <v>-13.16</v>
      </c>
    </row>
    <row r="44" spans="1:19" x14ac:dyDescent="0.25">
      <c r="A44" s="96" t="str">
        <f>'Data Vlaue (Cr)'!C35</f>
        <v>BOSCHLTD</v>
      </c>
      <c r="B44" s="75">
        <f>VLOOKUP($A44,'Data Vlaue (Cr)'!$C:$FB,2)</f>
        <v>25</v>
      </c>
      <c r="C44" s="75">
        <f>VLOOKUP($A44,'Data Vlaue (Cr)'!$C:$FB,8)</f>
        <v>37050</v>
      </c>
      <c r="D44" s="75">
        <f>VLOOKUP($A44,'Data Vlaue (Cr)'!$C:$FB,4)</f>
        <v>37025</v>
      </c>
      <c r="E44" s="75">
        <f>VLOOKUP($A44,'Data Vlaue (Cr)'!$C:$FB,5)</f>
        <v>36860</v>
      </c>
      <c r="F44" s="75">
        <f t="shared" si="0"/>
        <v>-25</v>
      </c>
      <c r="G44" s="75">
        <f t="shared" si="1"/>
        <v>0.4456448345712356</v>
      </c>
      <c r="H44" s="75">
        <f>VLOOKUP($A44,'Data Vlaue (Cr)'!$C:$FB,99)</f>
        <v>1799</v>
      </c>
      <c r="I44" s="75">
        <f>VLOOKUP($A44,'Data Vlaue (Cr)'!$C:$FB,100)</f>
        <v>1942</v>
      </c>
      <c r="J44" s="75">
        <f t="shared" si="2"/>
        <v>-143</v>
      </c>
      <c r="K44" s="75">
        <f t="shared" si="3"/>
        <v>-7.9488604780433567</v>
      </c>
      <c r="L44" s="75">
        <f>VLOOKUP($A44,'Data Vlaue (Cr)'!$C:$FB,67)</f>
        <v>1780</v>
      </c>
      <c r="M44" s="75">
        <f>VLOOKUP($A44,'Data Vlaue (Cr)'!$C:$FB,68)</f>
        <v>1560</v>
      </c>
      <c r="N44" s="75">
        <f t="shared" si="4"/>
        <v>220</v>
      </c>
      <c r="O44" s="75">
        <f t="shared" si="5"/>
        <v>12.359550561797752</v>
      </c>
      <c r="P44" s="75">
        <f>VLOOKUP($A44,'Data Vlaue (Cr)'!$C:$FB,119)</f>
        <v>0.41</v>
      </c>
      <c r="Q44" s="75">
        <f>VLOOKUP($A44,'Data Vlaue (Cr)'!$C:$FB,122)*100</f>
        <v>10.81</v>
      </c>
      <c r="R44" s="75">
        <f>VLOOKUP($A44,'Data Vlaue (Cr)'!$C:$FB,125)</f>
        <v>0.24</v>
      </c>
      <c r="S44" s="75">
        <f>VLOOKUP($A44,'Data Vlaue (Cr)'!$C:$FB,128)*100</f>
        <v>9.09</v>
      </c>
    </row>
    <row r="45" spans="1:19" x14ac:dyDescent="0.25">
      <c r="A45" s="96" t="str">
        <f>'Data Vlaue (Cr)'!C36</f>
        <v>BPCL</v>
      </c>
      <c r="B45" s="75">
        <f>VLOOKUP($A45,'Data Vlaue (Cr)'!$C:$FB,2)</f>
        <v>1975</v>
      </c>
      <c r="C45" s="75">
        <f>VLOOKUP($A45,'Data Vlaue (Cr)'!$C:$FB,8)</f>
        <v>365.05</v>
      </c>
      <c r="D45" s="75">
        <f>VLOOKUP($A45,'Data Vlaue (Cr)'!$C:$FB,4)</f>
        <v>365.9</v>
      </c>
      <c r="E45" s="75">
        <f>VLOOKUP($A45,'Data Vlaue (Cr)'!$C:$FB,5)</f>
        <v>366.75</v>
      </c>
      <c r="F45" s="75">
        <f t="shared" si="0"/>
        <v>0.84999999999996589</v>
      </c>
      <c r="G45" s="75">
        <f t="shared" si="1"/>
        <v>-0.23230390817163782</v>
      </c>
      <c r="H45" s="75">
        <f>VLOOKUP($A45,'Data Vlaue (Cr)'!$C:$FB,99)</f>
        <v>2620</v>
      </c>
      <c r="I45" s="75">
        <f>VLOOKUP($A45,'Data Vlaue (Cr)'!$C:$FB,100)</f>
        <v>2413</v>
      </c>
      <c r="J45" s="75">
        <f t="shared" si="2"/>
        <v>207</v>
      </c>
      <c r="K45" s="75">
        <f t="shared" si="3"/>
        <v>7.9007633587786259</v>
      </c>
      <c r="L45" s="75">
        <f>VLOOKUP($A45,'Data Vlaue (Cr)'!$C:$FB,67)</f>
        <v>2287</v>
      </c>
      <c r="M45" s="75">
        <f>VLOOKUP($A45,'Data Vlaue (Cr)'!$C:$FB,68)</f>
        <v>1710</v>
      </c>
      <c r="N45" s="75">
        <f t="shared" si="4"/>
        <v>577</v>
      </c>
      <c r="O45" s="75">
        <f t="shared" si="5"/>
        <v>25.229558373414957</v>
      </c>
      <c r="P45" s="75">
        <f>VLOOKUP($A45,'Data Vlaue (Cr)'!$C:$FB,119)</f>
        <v>0.83</v>
      </c>
      <c r="Q45" s="75">
        <f>VLOOKUP($A45,'Data Vlaue (Cr)'!$C:$FB,122)*100</f>
        <v>-8.7900000000000009</v>
      </c>
      <c r="R45" s="75">
        <f>VLOOKUP($A45,'Data Vlaue (Cr)'!$C:$FB,125)</f>
        <v>0.53</v>
      </c>
      <c r="S45" s="75">
        <f>VLOOKUP($A45,'Data Vlaue (Cr)'!$C:$FB,128)*100</f>
        <v>-23.189999999999998</v>
      </c>
    </row>
    <row r="46" spans="1:19" x14ac:dyDescent="0.25">
      <c r="A46" s="96" t="str">
        <f>'Data Vlaue (Cr)'!C37</f>
        <v>BRITANNIA</v>
      </c>
      <c r="B46" s="75">
        <f>VLOOKUP($A46,'Data Vlaue (Cr)'!$C:$FB,2)</f>
        <v>125</v>
      </c>
      <c r="C46" s="75">
        <f>VLOOKUP($A46,'Data Vlaue (Cr)'!$C:$FB,8)</f>
        <v>5819</v>
      </c>
      <c r="D46" s="75">
        <f>VLOOKUP($A46,'Data Vlaue (Cr)'!$C:$FB,4)</f>
        <v>5817</v>
      </c>
      <c r="E46" s="75">
        <f>VLOOKUP($A46,'Data Vlaue (Cr)'!$C:$FB,5)</f>
        <v>5871.5</v>
      </c>
      <c r="F46" s="75">
        <f t="shared" si="0"/>
        <v>-2</v>
      </c>
      <c r="G46" s="75">
        <f t="shared" si="1"/>
        <v>-0.93690905965274196</v>
      </c>
      <c r="H46" s="75">
        <f>VLOOKUP($A46,'Data Vlaue (Cr)'!$C:$FB,99)</f>
        <v>3781</v>
      </c>
      <c r="I46" s="75">
        <f>VLOOKUP($A46,'Data Vlaue (Cr)'!$C:$FB,100)</f>
        <v>3844</v>
      </c>
      <c r="J46" s="75">
        <f t="shared" si="2"/>
        <v>-63</v>
      </c>
      <c r="K46" s="75">
        <f t="shared" si="3"/>
        <v>-1.6662258661729701</v>
      </c>
      <c r="L46" s="75">
        <f>VLOOKUP($A46,'Data Vlaue (Cr)'!$C:$FB,67)</f>
        <v>5084</v>
      </c>
      <c r="M46" s="75">
        <f>VLOOKUP($A46,'Data Vlaue (Cr)'!$C:$FB,68)</f>
        <v>2354</v>
      </c>
      <c r="N46" s="75">
        <f t="shared" si="4"/>
        <v>2730</v>
      </c>
      <c r="O46" s="75">
        <f t="shared" si="5"/>
        <v>53.697875688434301</v>
      </c>
      <c r="P46" s="75">
        <f>VLOOKUP($A46,'Data Vlaue (Cr)'!$C:$FB,119)</f>
        <v>0.55000000000000004</v>
      </c>
      <c r="Q46" s="75">
        <f>VLOOKUP($A46,'Data Vlaue (Cr)'!$C:$FB,122)*100</f>
        <v>3.7699999999999996</v>
      </c>
      <c r="R46" s="75">
        <f>VLOOKUP($A46,'Data Vlaue (Cr)'!$C:$FB,125)</f>
        <v>0.55000000000000004</v>
      </c>
      <c r="S46" s="75">
        <f>VLOOKUP($A46,'Data Vlaue (Cr)'!$C:$FB,128)*100</f>
        <v>83.33</v>
      </c>
    </row>
    <row r="47" spans="1:19" x14ac:dyDescent="0.25">
      <c r="A47" s="96" t="str">
        <f>'Data Vlaue (Cr)'!C38</f>
        <v>BSE</v>
      </c>
      <c r="B47" s="75">
        <f>VLOOKUP($A47,'Data Vlaue (Cr)'!$C:$FB,2)</f>
        <v>375</v>
      </c>
      <c r="C47" s="75">
        <f>VLOOKUP($A47,'Data Vlaue (Cr)'!$C:$FB,8)</f>
        <v>2895.5</v>
      </c>
      <c r="D47" s="75">
        <f>VLOOKUP($A47,'Data Vlaue (Cr)'!$C:$FB,4)</f>
        <v>2894.1</v>
      </c>
      <c r="E47" s="75">
        <f>VLOOKUP($A47,'Data Vlaue (Cr)'!$C:$FB,5)</f>
        <v>2898.4</v>
      </c>
      <c r="F47" s="75">
        <f t="shared" si="0"/>
        <v>-1.4000000000000909</v>
      </c>
      <c r="G47" s="75">
        <f t="shared" si="1"/>
        <v>-0.14857814173664291</v>
      </c>
      <c r="H47" s="75">
        <f>VLOOKUP($A47,'Data Vlaue (Cr)'!$C:$FB,99)</f>
        <v>9536</v>
      </c>
      <c r="I47" s="75">
        <f>VLOOKUP($A47,'Data Vlaue (Cr)'!$C:$FB,100)</f>
        <v>9609</v>
      </c>
      <c r="J47" s="75">
        <f t="shared" si="2"/>
        <v>-73</v>
      </c>
      <c r="K47" s="75">
        <f t="shared" si="3"/>
        <v>-0.76552013422818799</v>
      </c>
      <c r="L47" s="75">
        <f>VLOOKUP($A47,'Data Vlaue (Cr)'!$C:$FB,67)</f>
        <v>27751</v>
      </c>
      <c r="M47" s="75">
        <f>VLOOKUP($A47,'Data Vlaue (Cr)'!$C:$FB,68)</f>
        <v>18608</v>
      </c>
      <c r="N47" s="75">
        <f t="shared" si="4"/>
        <v>9143</v>
      </c>
      <c r="O47" s="75">
        <f t="shared" si="5"/>
        <v>32.946560484306872</v>
      </c>
      <c r="P47" s="75">
        <f>VLOOKUP($A47,'Data Vlaue (Cr)'!$C:$FB,119)</f>
        <v>0.91</v>
      </c>
      <c r="Q47" s="75">
        <f>VLOOKUP($A47,'Data Vlaue (Cr)'!$C:$FB,122)*100</f>
        <v>-12.5</v>
      </c>
      <c r="R47" s="75">
        <f>VLOOKUP($A47,'Data Vlaue (Cr)'!$C:$FB,125)</f>
        <v>0.71</v>
      </c>
      <c r="S47" s="75">
        <f>VLOOKUP($A47,'Data Vlaue (Cr)'!$C:$FB,128)*100</f>
        <v>18.329999999999998</v>
      </c>
    </row>
    <row r="48" spans="1:19" x14ac:dyDescent="0.25">
      <c r="A48" s="96" t="str">
        <f>'Data Vlaue (Cr)'!C39</f>
        <v>CAMS</v>
      </c>
      <c r="B48" s="75">
        <f>VLOOKUP($A48,'Data Vlaue (Cr)'!$C:$FB,2)</f>
        <v>150</v>
      </c>
      <c r="C48" s="75">
        <f>VLOOKUP($A48,'Data Vlaue (Cr)'!$C:$FB,8)</f>
        <v>4014.5</v>
      </c>
      <c r="D48" s="75">
        <f>VLOOKUP($A48,'Data Vlaue (Cr)'!$C:$FB,4)</f>
        <v>4012.4</v>
      </c>
      <c r="E48" s="75">
        <f>VLOOKUP($A48,'Data Vlaue (Cr)'!$C:$FB,5)</f>
        <v>3926.9</v>
      </c>
      <c r="F48" s="75">
        <f t="shared" si="0"/>
        <v>-2.0999999999999091</v>
      </c>
      <c r="G48" s="75">
        <f t="shared" si="1"/>
        <v>2.1308942278935299</v>
      </c>
      <c r="H48" s="75">
        <f>VLOOKUP($A48,'Data Vlaue (Cr)'!$C:$FB,99)</f>
        <v>1874</v>
      </c>
      <c r="I48" s="75">
        <f>VLOOKUP($A48,'Data Vlaue (Cr)'!$C:$FB,100)</f>
        <v>1949</v>
      </c>
      <c r="J48" s="75">
        <f t="shared" si="2"/>
        <v>-75</v>
      </c>
      <c r="K48" s="75">
        <f t="shared" si="3"/>
        <v>-4.0021344717182492</v>
      </c>
      <c r="L48" s="75">
        <f>VLOOKUP($A48,'Data Vlaue (Cr)'!$C:$FB,67)</f>
        <v>7070</v>
      </c>
      <c r="M48" s="75">
        <f>VLOOKUP($A48,'Data Vlaue (Cr)'!$C:$FB,68)</f>
        <v>1180</v>
      </c>
      <c r="N48" s="75">
        <f t="shared" si="4"/>
        <v>5890</v>
      </c>
      <c r="O48" s="75">
        <f t="shared" si="5"/>
        <v>83.309759547383308</v>
      </c>
      <c r="P48" s="75">
        <f>VLOOKUP($A48,'Data Vlaue (Cr)'!$C:$FB,119)</f>
        <v>0.68</v>
      </c>
      <c r="Q48" s="75">
        <f>VLOOKUP($A48,'Data Vlaue (Cr)'!$C:$FB,122)*100</f>
        <v>21.43</v>
      </c>
      <c r="R48" s="75">
        <f>VLOOKUP($A48,'Data Vlaue (Cr)'!$C:$FB,125)</f>
        <v>0.32</v>
      </c>
      <c r="S48" s="75">
        <f>VLOOKUP($A48,'Data Vlaue (Cr)'!$C:$FB,128)*100</f>
        <v>28.000000000000004</v>
      </c>
    </row>
    <row r="49" spans="1:19" x14ac:dyDescent="0.25">
      <c r="A49" s="96" t="str">
        <f>'Data Vlaue (Cr)'!C40</f>
        <v>CANBK</v>
      </c>
      <c r="B49" s="75">
        <f>VLOOKUP($A49,'Data Vlaue (Cr)'!$C:$FB,2)</f>
        <v>6750</v>
      </c>
      <c r="C49" s="75">
        <f>VLOOKUP($A49,'Data Vlaue (Cr)'!$C:$FB,8)</f>
        <v>147.94</v>
      </c>
      <c r="D49" s="75">
        <f>VLOOKUP($A49,'Data Vlaue (Cr)'!$C:$FB,4)</f>
        <v>147.97999999999999</v>
      </c>
      <c r="E49" s="75">
        <f>VLOOKUP($A49,'Data Vlaue (Cr)'!$C:$FB,5)</f>
        <v>150.33000000000001</v>
      </c>
      <c r="F49" s="75">
        <f t="shared" si="0"/>
        <v>3.9999999999992042E-2</v>
      </c>
      <c r="G49" s="75">
        <f t="shared" si="1"/>
        <v>-1.5880524395188695</v>
      </c>
      <c r="H49" s="75">
        <f>VLOOKUP($A49,'Data Vlaue (Cr)'!$C:$FB,99)</f>
        <v>6296</v>
      </c>
      <c r="I49" s="75">
        <f>VLOOKUP($A49,'Data Vlaue (Cr)'!$C:$FB,100)</f>
        <v>6557</v>
      </c>
      <c r="J49" s="75">
        <f t="shared" si="2"/>
        <v>-261</v>
      </c>
      <c r="K49" s="75">
        <f t="shared" si="3"/>
        <v>-4.1454891994917409</v>
      </c>
      <c r="L49" s="75">
        <f>VLOOKUP($A49,'Data Vlaue (Cr)'!$C:$FB,67)</f>
        <v>6097</v>
      </c>
      <c r="M49" s="75">
        <f>VLOOKUP($A49,'Data Vlaue (Cr)'!$C:$FB,68)</f>
        <v>6103</v>
      </c>
      <c r="N49" s="75">
        <f t="shared" si="4"/>
        <v>-6</v>
      </c>
      <c r="O49" s="75">
        <f t="shared" si="5"/>
        <v>-9.8409053632934229E-2</v>
      </c>
      <c r="P49" s="75">
        <f>VLOOKUP($A49,'Data Vlaue (Cr)'!$C:$FB,119)</f>
        <v>1.1399999999999999</v>
      </c>
      <c r="Q49" s="75">
        <f>VLOOKUP($A49,'Data Vlaue (Cr)'!$C:$FB,122)*100</f>
        <v>-2.56</v>
      </c>
      <c r="R49" s="75">
        <f>VLOOKUP($A49,'Data Vlaue (Cr)'!$C:$FB,125)</f>
        <v>0.62</v>
      </c>
      <c r="S49" s="75">
        <f>VLOOKUP($A49,'Data Vlaue (Cr)'!$C:$FB,128)*100</f>
        <v>-6.0600000000000005</v>
      </c>
    </row>
    <row r="50" spans="1:19" x14ac:dyDescent="0.25">
      <c r="A50" s="96" t="str">
        <f>'Data Vlaue (Cr)'!C41</f>
        <v>CDSL</v>
      </c>
      <c r="B50" s="75">
        <f>VLOOKUP($A50,'Data Vlaue (Cr)'!$C:$FB,2)</f>
        <v>475</v>
      </c>
      <c r="C50" s="75">
        <f>VLOOKUP($A50,'Data Vlaue (Cr)'!$C:$FB,8)</f>
        <v>1640.1</v>
      </c>
      <c r="D50" s="75">
        <f>VLOOKUP($A50,'Data Vlaue (Cr)'!$C:$FB,4)</f>
        <v>1643.4</v>
      </c>
      <c r="E50" s="75">
        <f>VLOOKUP($A50,'Data Vlaue (Cr)'!$C:$FB,5)</f>
        <v>1627.1</v>
      </c>
      <c r="F50" s="75">
        <f t="shared" si="0"/>
        <v>3.3000000000001819</v>
      </c>
      <c r="G50" s="75">
        <f t="shared" si="1"/>
        <v>0.99184617256907526</v>
      </c>
      <c r="H50" s="75">
        <f>VLOOKUP($A50,'Data Vlaue (Cr)'!$C:$FB,99)</f>
        <v>3891</v>
      </c>
      <c r="I50" s="75">
        <f>VLOOKUP($A50,'Data Vlaue (Cr)'!$C:$FB,100)</f>
        <v>4007</v>
      </c>
      <c r="J50" s="75">
        <f t="shared" si="2"/>
        <v>-116</v>
      </c>
      <c r="K50" s="75">
        <f t="shared" si="3"/>
        <v>-2.9812387561038296</v>
      </c>
      <c r="L50" s="75">
        <f>VLOOKUP($A50,'Data Vlaue (Cr)'!$C:$FB,67)</f>
        <v>15868</v>
      </c>
      <c r="M50" s="75">
        <f>VLOOKUP($A50,'Data Vlaue (Cr)'!$C:$FB,68)</f>
        <v>5106</v>
      </c>
      <c r="N50" s="75">
        <f t="shared" si="4"/>
        <v>10762</v>
      </c>
      <c r="O50" s="75">
        <f t="shared" si="5"/>
        <v>67.822031762036801</v>
      </c>
      <c r="P50" s="75">
        <f>VLOOKUP($A50,'Data Vlaue (Cr)'!$C:$FB,119)</f>
        <v>0.59</v>
      </c>
      <c r="Q50" s="75">
        <f>VLOOKUP($A50,'Data Vlaue (Cr)'!$C:$FB,122)*100</f>
        <v>-3.2800000000000002</v>
      </c>
      <c r="R50" s="75">
        <f>VLOOKUP($A50,'Data Vlaue (Cr)'!$C:$FB,125)</f>
        <v>0.31</v>
      </c>
      <c r="S50" s="75">
        <f>VLOOKUP($A50,'Data Vlaue (Cr)'!$C:$FB,128)*100</f>
        <v>-31.11</v>
      </c>
    </row>
    <row r="51" spans="1:19" x14ac:dyDescent="0.25">
      <c r="A51" s="96" t="str">
        <f>'Data Vlaue (Cr)'!C42</f>
        <v>CGPOWER</v>
      </c>
      <c r="B51" s="75">
        <f>VLOOKUP($A51,'Data Vlaue (Cr)'!$C:$FB,2)</f>
        <v>850</v>
      </c>
      <c r="C51" s="75">
        <f>VLOOKUP($A51,'Data Vlaue (Cr)'!$C:$FB,8)</f>
        <v>721.25</v>
      </c>
      <c r="D51" s="75">
        <f>VLOOKUP($A51,'Data Vlaue (Cr)'!$C:$FB,4)</f>
        <v>722.8</v>
      </c>
      <c r="E51" s="75">
        <f>VLOOKUP($A51,'Data Vlaue (Cr)'!$C:$FB,5)</f>
        <v>724.3</v>
      </c>
      <c r="F51" s="75">
        <f t="shared" si="0"/>
        <v>1.5499999999999545</v>
      </c>
      <c r="G51" s="75">
        <f t="shared" si="1"/>
        <v>-0.20752628666297732</v>
      </c>
      <c r="H51" s="75">
        <f>VLOOKUP($A51,'Data Vlaue (Cr)'!$C:$FB,99)</f>
        <v>2016</v>
      </c>
      <c r="I51" s="75">
        <f>VLOOKUP($A51,'Data Vlaue (Cr)'!$C:$FB,100)</f>
        <v>2037</v>
      </c>
      <c r="J51" s="75">
        <f t="shared" si="2"/>
        <v>-21</v>
      </c>
      <c r="K51" s="75">
        <f t="shared" si="3"/>
        <v>-1.0416666666666665</v>
      </c>
      <c r="L51" s="75">
        <f>VLOOKUP($A51,'Data Vlaue (Cr)'!$C:$FB,67)</f>
        <v>1502</v>
      </c>
      <c r="M51" s="75">
        <f>VLOOKUP($A51,'Data Vlaue (Cr)'!$C:$FB,68)</f>
        <v>1019</v>
      </c>
      <c r="N51" s="75">
        <f t="shared" si="4"/>
        <v>483</v>
      </c>
      <c r="O51" s="75">
        <f t="shared" si="5"/>
        <v>32.157123834886818</v>
      </c>
      <c r="P51" s="75">
        <f>VLOOKUP($A51,'Data Vlaue (Cr)'!$C:$FB,119)</f>
        <v>0.56000000000000005</v>
      </c>
      <c r="Q51" s="75">
        <f>VLOOKUP($A51,'Data Vlaue (Cr)'!$C:$FB,122)*100</f>
        <v>0</v>
      </c>
      <c r="R51" s="75">
        <f>VLOOKUP($A51,'Data Vlaue (Cr)'!$C:$FB,125)</f>
        <v>0.44</v>
      </c>
      <c r="S51" s="75">
        <f>VLOOKUP($A51,'Data Vlaue (Cr)'!$C:$FB,128)*100</f>
        <v>22.220000000000002</v>
      </c>
    </row>
    <row r="52" spans="1:19" x14ac:dyDescent="0.25">
      <c r="A52" s="96" t="str">
        <f>'Data Vlaue (Cr)'!C43</f>
        <v>CHOLAFIN</v>
      </c>
      <c r="B52" s="75">
        <f>VLOOKUP($A52,'Data Vlaue (Cr)'!$C:$FB,2)</f>
        <v>625</v>
      </c>
      <c r="C52" s="75">
        <f>VLOOKUP($A52,'Data Vlaue (Cr)'!$C:$FB,8)</f>
        <v>1703.2</v>
      </c>
      <c r="D52" s="75">
        <f>VLOOKUP($A52,'Data Vlaue (Cr)'!$C:$FB,4)</f>
        <v>1707.2</v>
      </c>
      <c r="E52" s="75">
        <f>VLOOKUP($A52,'Data Vlaue (Cr)'!$C:$FB,5)</f>
        <v>1680.4</v>
      </c>
      <c r="F52" s="75">
        <f t="shared" si="0"/>
        <v>4</v>
      </c>
      <c r="G52" s="75">
        <f t="shared" si="1"/>
        <v>1.5698219306466703</v>
      </c>
      <c r="H52" s="75">
        <f>VLOOKUP($A52,'Data Vlaue (Cr)'!$C:$FB,99)</f>
        <v>3702</v>
      </c>
      <c r="I52" s="75">
        <f>VLOOKUP($A52,'Data Vlaue (Cr)'!$C:$FB,100)</f>
        <v>4194</v>
      </c>
      <c r="J52" s="75">
        <f t="shared" si="2"/>
        <v>-492</v>
      </c>
      <c r="K52" s="75">
        <f t="shared" si="3"/>
        <v>-13.290113452188008</v>
      </c>
      <c r="L52" s="75">
        <f>VLOOKUP($A52,'Data Vlaue (Cr)'!$C:$FB,67)</f>
        <v>3975</v>
      </c>
      <c r="M52" s="75">
        <f>VLOOKUP($A52,'Data Vlaue (Cr)'!$C:$FB,68)</f>
        <v>2640</v>
      </c>
      <c r="N52" s="75">
        <f t="shared" si="4"/>
        <v>1335</v>
      </c>
      <c r="O52" s="75">
        <f t="shared" si="5"/>
        <v>33.584905660377359</v>
      </c>
      <c r="P52" s="75">
        <f>VLOOKUP($A52,'Data Vlaue (Cr)'!$C:$FB,119)</f>
        <v>0.96</v>
      </c>
      <c r="Q52" s="75">
        <f>VLOOKUP($A52,'Data Vlaue (Cr)'!$C:$FB,122)*100</f>
        <v>6.67</v>
      </c>
      <c r="R52" s="75">
        <f>VLOOKUP($A52,'Data Vlaue (Cr)'!$C:$FB,125)</f>
        <v>0.51</v>
      </c>
      <c r="S52" s="75">
        <f>VLOOKUP($A52,'Data Vlaue (Cr)'!$C:$FB,128)*100</f>
        <v>-20.309999999999999</v>
      </c>
    </row>
    <row r="53" spans="1:19" x14ac:dyDescent="0.25">
      <c r="A53" s="96" t="str">
        <f>'Data Vlaue (Cr)'!C44</f>
        <v>CIPLA</v>
      </c>
      <c r="B53" s="75">
        <f>VLOOKUP($A53,'Data Vlaue (Cr)'!$C:$FB,2)</f>
        <v>375</v>
      </c>
      <c r="C53" s="75">
        <f>VLOOKUP($A53,'Data Vlaue (Cr)'!$C:$FB,8)</f>
        <v>1529.2</v>
      </c>
      <c r="D53" s="75">
        <f>VLOOKUP($A53,'Data Vlaue (Cr)'!$C:$FB,4)</f>
        <v>1530.1</v>
      </c>
      <c r="E53" s="75">
        <f>VLOOKUP($A53,'Data Vlaue (Cr)'!$C:$FB,5)</f>
        <v>1528.8</v>
      </c>
      <c r="F53" s="75">
        <f t="shared" si="0"/>
        <v>0.89999999999986358</v>
      </c>
      <c r="G53" s="75">
        <f t="shared" si="1"/>
        <v>8.4961767204754887E-2</v>
      </c>
      <c r="H53" s="75">
        <f>VLOOKUP($A53,'Data Vlaue (Cr)'!$C:$FB,99)</f>
        <v>4333</v>
      </c>
      <c r="I53" s="75">
        <f>VLOOKUP($A53,'Data Vlaue (Cr)'!$C:$FB,100)</f>
        <v>4544</v>
      </c>
      <c r="J53" s="75">
        <f t="shared" si="2"/>
        <v>-211</v>
      </c>
      <c r="K53" s="75">
        <f t="shared" si="3"/>
        <v>-4.8696053542580202</v>
      </c>
      <c r="L53" s="75">
        <f>VLOOKUP($A53,'Data Vlaue (Cr)'!$C:$FB,67)</f>
        <v>2722</v>
      </c>
      <c r="M53" s="75">
        <f>VLOOKUP($A53,'Data Vlaue (Cr)'!$C:$FB,68)</f>
        <v>2349</v>
      </c>
      <c r="N53" s="75">
        <f t="shared" si="4"/>
        <v>373</v>
      </c>
      <c r="O53" s="75">
        <f t="shared" si="5"/>
        <v>13.703159441587069</v>
      </c>
      <c r="P53" s="75">
        <f>VLOOKUP($A53,'Data Vlaue (Cr)'!$C:$FB,119)</f>
        <v>0.51</v>
      </c>
      <c r="Q53" s="75">
        <f>VLOOKUP($A53,'Data Vlaue (Cr)'!$C:$FB,122)*100</f>
        <v>2</v>
      </c>
      <c r="R53" s="75">
        <f>VLOOKUP($A53,'Data Vlaue (Cr)'!$C:$FB,125)</f>
        <v>0.4</v>
      </c>
      <c r="S53" s="75">
        <f>VLOOKUP($A53,'Data Vlaue (Cr)'!$C:$FB,128)*100</f>
        <v>2.56</v>
      </c>
    </row>
    <row r="54" spans="1:19" x14ac:dyDescent="0.25">
      <c r="A54" s="96" t="str">
        <f>'Data Vlaue (Cr)'!C45</f>
        <v>COALINDIA</v>
      </c>
      <c r="B54" s="75">
        <f>VLOOKUP($A54,'Data Vlaue (Cr)'!$C:$FB,2)</f>
        <v>1350</v>
      </c>
      <c r="C54" s="75">
        <f>VLOOKUP($A54,'Data Vlaue (Cr)'!$C:$FB,8)</f>
        <v>379.65</v>
      </c>
      <c r="D54" s="75">
        <f>VLOOKUP($A54,'Data Vlaue (Cr)'!$C:$FB,4)</f>
        <v>380.5</v>
      </c>
      <c r="E54" s="75">
        <f>VLOOKUP($A54,'Data Vlaue (Cr)'!$C:$FB,5)</f>
        <v>379.95</v>
      </c>
      <c r="F54" s="75">
        <f t="shared" si="0"/>
        <v>0.85000000000002274</v>
      </c>
      <c r="G54" s="75">
        <f t="shared" si="1"/>
        <v>0.14454664914586368</v>
      </c>
      <c r="H54" s="75">
        <f>VLOOKUP($A54,'Data Vlaue (Cr)'!$C:$FB,99)</f>
        <v>4195</v>
      </c>
      <c r="I54" s="75">
        <f>VLOOKUP($A54,'Data Vlaue (Cr)'!$C:$FB,100)</f>
        <v>4222</v>
      </c>
      <c r="J54" s="75">
        <f t="shared" si="2"/>
        <v>-27</v>
      </c>
      <c r="K54" s="75">
        <f t="shared" si="3"/>
        <v>-0.64362336114421936</v>
      </c>
      <c r="L54" s="75">
        <f>VLOOKUP($A54,'Data Vlaue (Cr)'!$C:$FB,67)</f>
        <v>2031</v>
      </c>
      <c r="M54" s="75">
        <f>VLOOKUP($A54,'Data Vlaue (Cr)'!$C:$FB,68)</f>
        <v>1563</v>
      </c>
      <c r="N54" s="75">
        <f t="shared" si="4"/>
        <v>468</v>
      </c>
      <c r="O54" s="75">
        <f t="shared" si="5"/>
        <v>23.042836041358935</v>
      </c>
      <c r="P54" s="75">
        <f>VLOOKUP($A54,'Data Vlaue (Cr)'!$C:$FB,119)</f>
        <v>0.8</v>
      </c>
      <c r="Q54" s="75">
        <f>VLOOKUP($A54,'Data Vlaue (Cr)'!$C:$FB,122)*100</f>
        <v>2.56</v>
      </c>
      <c r="R54" s="75">
        <f>VLOOKUP($A54,'Data Vlaue (Cr)'!$C:$FB,125)</f>
        <v>0.57999999999999996</v>
      </c>
      <c r="S54" s="75">
        <f>VLOOKUP($A54,'Data Vlaue (Cr)'!$C:$FB,128)*100</f>
        <v>9.43</v>
      </c>
    </row>
    <row r="55" spans="1:19" x14ac:dyDescent="0.25">
      <c r="A55" s="96" t="str">
        <f>'Data Vlaue (Cr)'!C46</f>
        <v>COFORGE</v>
      </c>
      <c r="B55" s="75">
        <f>VLOOKUP($A55,'Data Vlaue (Cr)'!$C:$FB,2)</f>
        <v>375</v>
      </c>
      <c r="C55" s="75">
        <f>VLOOKUP($A55,'Data Vlaue (Cr)'!$C:$FB,8)</f>
        <v>1846.1</v>
      </c>
      <c r="D55" s="75">
        <f>VLOOKUP($A55,'Data Vlaue (Cr)'!$C:$FB,4)</f>
        <v>1849.6</v>
      </c>
      <c r="E55" s="75">
        <f>VLOOKUP($A55,'Data Vlaue (Cr)'!$C:$FB,5)</f>
        <v>1861.1</v>
      </c>
      <c r="F55" s="75">
        <f t="shared" si="0"/>
        <v>3.5</v>
      </c>
      <c r="G55" s="75">
        <f t="shared" si="1"/>
        <v>-0.6217560553633219</v>
      </c>
      <c r="H55" s="75">
        <f>VLOOKUP($A55,'Data Vlaue (Cr)'!$C:$FB,99)</f>
        <v>4006</v>
      </c>
      <c r="I55" s="75">
        <f>VLOOKUP($A55,'Data Vlaue (Cr)'!$C:$FB,100)</f>
        <v>4106</v>
      </c>
      <c r="J55" s="75">
        <f t="shared" si="2"/>
        <v>-100</v>
      </c>
      <c r="K55" s="75">
        <f t="shared" si="3"/>
        <v>-2.4962556165751373</v>
      </c>
      <c r="L55" s="75">
        <f>VLOOKUP($A55,'Data Vlaue (Cr)'!$C:$FB,67)</f>
        <v>7163</v>
      </c>
      <c r="M55" s="75">
        <f>VLOOKUP($A55,'Data Vlaue (Cr)'!$C:$FB,68)</f>
        <v>8318</v>
      </c>
      <c r="N55" s="75">
        <f t="shared" si="4"/>
        <v>-1155</v>
      </c>
      <c r="O55" s="75">
        <f t="shared" si="5"/>
        <v>-16.12452882870306</v>
      </c>
      <c r="P55" s="75">
        <f>VLOOKUP($A55,'Data Vlaue (Cr)'!$C:$FB,119)</f>
        <v>0.5</v>
      </c>
      <c r="Q55" s="75">
        <f>VLOOKUP($A55,'Data Vlaue (Cr)'!$C:$FB,122)*100</f>
        <v>-9.09</v>
      </c>
      <c r="R55" s="75">
        <f>VLOOKUP($A55,'Data Vlaue (Cr)'!$C:$FB,125)</f>
        <v>0.37</v>
      </c>
      <c r="S55" s="75">
        <f>VLOOKUP($A55,'Data Vlaue (Cr)'!$C:$FB,128)*100</f>
        <v>19.350000000000001</v>
      </c>
    </row>
    <row r="56" spans="1:19" x14ac:dyDescent="0.25">
      <c r="A56" s="96" t="str">
        <f>'Data Vlaue (Cr)'!C47</f>
        <v>COLPAL</v>
      </c>
      <c r="B56" s="75">
        <f>VLOOKUP($A56,'Data Vlaue (Cr)'!$C:$FB,2)</f>
        <v>225</v>
      </c>
      <c r="C56" s="75">
        <f>VLOOKUP($A56,'Data Vlaue (Cr)'!$C:$FB,8)</f>
        <v>2179.6999999999998</v>
      </c>
      <c r="D56" s="75">
        <f>VLOOKUP($A56,'Data Vlaue (Cr)'!$C:$FB,4)</f>
        <v>2185.1</v>
      </c>
      <c r="E56" s="75">
        <f>VLOOKUP($A56,'Data Vlaue (Cr)'!$C:$FB,5)</f>
        <v>2182.6999999999998</v>
      </c>
      <c r="F56" s="75">
        <f t="shared" si="0"/>
        <v>5.4000000000000909</v>
      </c>
      <c r="G56" s="75">
        <f t="shared" si="1"/>
        <v>0.10983479016979045</v>
      </c>
      <c r="H56" s="75">
        <f>VLOOKUP($A56,'Data Vlaue (Cr)'!$C:$FB,99)</f>
        <v>2432</v>
      </c>
      <c r="I56" s="75">
        <f>VLOOKUP($A56,'Data Vlaue (Cr)'!$C:$FB,100)</f>
        <v>2548</v>
      </c>
      <c r="J56" s="75">
        <f t="shared" si="2"/>
        <v>-116</v>
      </c>
      <c r="K56" s="75">
        <f t="shared" si="3"/>
        <v>-4.7697368421052637</v>
      </c>
      <c r="L56" s="75">
        <f>VLOOKUP($A56,'Data Vlaue (Cr)'!$C:$FB,67)</f>
        <v>2985</v>
      </c>
      <c r="M56" s="75">
        <f>VLOOKUP($A56,'Data Vlaue (Cr)'!$C:$FB,68)</f>
        <v>632</v>
      </c>
      <c r="N56" s="75">
        <f t="shared" si="4"/>
        <v>2353</v>
      </c>
      <c r="O56" s="75">
        <f t="shared" si="5"/>
        <v>78.827470686767171</v>
      </c>
      <c r="P56" s="75">
        <f>VLOOKUP($A56,'Data Vlaue (Cr)'!$C:$FB,119)</f>
        <v>0.64</v>
      </c>
      <c r="Q56" s="75">
        <f>VLOOKUP($A56,'Data Vlaue (Cr)'!$C:$FB,122)*100</f>
        <v>-1.54</v>
      </c>
      <c r="R56" s="75">
        <f>VLOOKUP($A56,'Data Vlaue (Cr)'!$C:$FB,125)</f>
        <v>0.27</v>
      </c>
      <c r="S56" s="75">
        <f>VLOOKUP($A56,'Data Vlaue (Cr)'!$C:$FB,128)*100</f>
        <v>-25</v>
      </c>
    </row>
    <row r="57" spans="1:19" x14ac:dyDescent="0.25">
      <c r="A57" s="96" t="str">
        <f>'Data Vlaue (Cr)'!C48</f>
        <v>CONCOR</v>
      </c>
      <c r="B57" s="75">
        <f>VLOOKUP($A57,'Data Vlaue (Cr)'!$C:$FB,2)</f>
        <v>1250</v>
      </c>
      <c r="C57" s="75">
        <f>VLOOKUP($A57,'Data Vlaue (Cr)'!$C:$FB,8)</f>
        <v>515.4</v>
      </c>
      <c r="D57" s="75">
        <f>VLOOKUP($A57,'Data Vlaue (Cr)'!$C:$FB,4)</f>
        <v>516</v>
      </c>
      <c r="E57" s="75">
        <f>VLOOKUP($A57,'Data Vlaue (Cr)'!$C:$FB,5)</f>
        <v>515.9</v>
      </c>
      <c r="F57" s="75">
        <f t="shared" si="0"/>
        <v>0.60000000000002274</v>
      </c>
      <c r="G57" s="75">
        <f t="shared" si="1"/>
        <v>1.9379844961244716E-2</v>
      </c>
      <c r="H57" s="75">
        <f>VLOOKUP($A57,'Data Vlaue (Cr)'!$C:$FB,99)</f>
        <v>3513</v>
      </c>
      <c r="I57" s="75">
        <f>VLOOKUP($A57,'Data Vlaue (Cr)'!$C:$FB,100)</f>
        <v>3575</v>
      </c>
      <c r="J57" s="75">
        <f t="shared" si="2"/>
        <v>-62</v>
      </c>
      <c r="K57" s="75">
        <f t="shared" si="3"/>
        <v>-1.7648733276401936</v>
      </c>
      <c r="L57" s="75">
        <f>VLOOKUP($A57,'Data Vlaue (Cr)'!$C:$FB,67)</f>
        <v>2331</v>
      </c>
      <c r="M57" s="75">
        <f>VLOOKUP($A57,'Data Vlaue (Cr)'!$C:$FB,68)</f>
        <v>1997</v>
      </c>
      <c r="N57" s="75">
        <f t="shared" si="4"/>
        <v>334</v>
      </c>
      <c r="O57" s="75">
        <f t="shared" si="5"/>
        <v>14.328614328614329</v>
      </c>
      <c r="P57" s="75">
        <f>VLOOKUP($A57,'Data Vlaue (Cr)'!$C:$FB,119)</f>
        <v>0.67</v>
      </c>
      <c r="Q57" s="75">
        <f>VLOOKUP($A57,'Data Vlaue (Cr)'!$C:$FB,122)*100</f>
        <v>11.67</v>
      </c>
      <c r="R57" s="75">
        <f>VLOOKUP($A57,'Data Vlaue (Cr)'!$C:$FB,125)</f>
        <v>0.38</v>
      </c>
      <c r="S57" s="75">
        <f>VLOOKUP($A57,'Data Vlaue (Cr)'!$C:$FB,128)*100</f>
        <v>18.75</v>
      </c>
    </row>
    <row r="58" spans="1:19" x14ac:dyDescent="0.25">
      <c r="A58" s="96" t="str">
        <f>'Data Vlaue (Cr)'!C49</f>
        <v>CROMPTON</v>
      </c>
      <c r="B58" s="75">
        <f>VLOOKUP($A58,'Data Vlaue (Cr)'!$C:$FB,2)</f>
        <v>1800</v>
      </c>
      <c r="C58" s="75">
        <f>VLOOKUP($A58,'Data Vlaue (Cr)'!$C:$FB,8)</f>
        <v>270</v>
      </c>
      <c r="D58" s="75">
        <f>VLOOKUP($A58,'Data Vlaue (Cr)'!$C:$FB,4)</f>
        <v>269.95</v>
      </c>
      <c r="E58" s="75">
        <f>VLOOKUP($A58,'Data Vlaue (Cr)'!$C:$FB,5)</f>
        <v>274.2</v>
      </c>
      <c r="F58" s="75">
        <f t="shared" si="0"/>
        <v>-5.0000000000011369E-2</v>
      </c>
      <c r="G58" s="75">
        <f t="shared" si="1"/>
        <v>-1.5743656232635672</v>
      </c>
      <c r="H58" s="75">
        <f>VLOOKUP($A58,'Data Vlaue (Cr)'!$C:$FB,99)</f>
        <v>2628</v>
      </c>
      <c r="I58" s="75">
        <f>VLOOKUP($A58,'Data Vlaue (Cr)'!$C:$FB,100)</f>
        <v>2634</v>
      </c>
      <c r="J58" s="75">
        <f t="shared" si="2"/>
        <v>-6</v>
      </c>
      <c r="K58" s="75">
        <f t="shared" si="3"/>
        <v>-0.22831050228310501</v>
      </c>
      <c r="L58" s="75">
        <f>VLOOKUP($A58,'Data Vlaue (Cr)'!$C:$FB,67)</f>
        <v>1245</v>
      </c>
      <c r="M58" s="75">
        <f>VLOOKUP($A58,'Data Vlaue (Cr)'!$C:$FB,68)</f>
        <v>634</v>
      </c>
      <c r="N58" s="75">
        <f t="shared" si="4"/>
        <v>611</v>
      </c>
      <c r="O58" s="75">
        <f t="shared" si="5"/>
        <v>49.076305220883533</v>
      </c>
      <c r="P58" s="75">
        <f>VLOOKUP($A58,'Data Vlaue (Cr)'!$C:$FB,119)</f>
        <v>0.51</v>
      </c>
      <c r="Q58" s="75">
        <f>VLOOKUP($A58,'Data Vlaue (Cr)'!$C:$FB,122)*100</f>
        <v>4.08</v>
      </c>
      <c r="R58" s="75">
        <f>VLOOKUP($A58,'Data Vlaue (Cr)'!$C:$FB,125)</f>
        <v>0.3</v>
      </c>
      <c r="S58" s="75">
        <f>VLOOKUP($A58,'Data Vlaue (Cr)'!$C:$FB,128)*100</f>
        <v>42.86</v>
      </c>
    </row>
    <row r="59" spans="1:19" x14ac:dyDescent="0.25">
      <c r="A59" s="96" t="str">
        <f>'Data Vlaue (Cr)'!C50</f>
        <v>CUMMINSIND</v>
      </c>
      <c r="B59" s="75">
        <f>VLOOKUP($A59,'Data Vlaue (Cr)'!$C:$FB,2)</f>
        <v>200</v>
      </c>
      <c r="C59" s="75">
        <f>VLOOKUP($A59,'Data Vlaue (Cr)'!$C:$FB,8)</f>
        <v>4375.7</v>
      </c>
      <c r="D59" s="75">
        <f>VLOOKUP($A59,'Data Vlaue (Cr)'!$C:$FB,4)</f>
        <v>4380.6000000000004</v>
      </c>
      <c r="E59" s="75">
        <f>VLOOKUP($A59,'Data Vlaue (Cr)'!$C:$FB,5)</f>
        <v>4264.8</v>
      </c>
      <c r="F59" s="75">
        <f t="shared" si="0"/>
        <v>4.9000000000005457</v>
      </c>
      <c r="G59" s="75">
        <f t="shared" si="1"/>
        <v>2.643473496781267</v>
      </c>
      <c r="H59" s="75">
        <f>VLOOKUP($A59,'Data Vlaue (Cr)'!$C:$FB,99)</f>
        <v>2609</v>
      </c>
      <c r="I59" s="75">
        <f>VLOOKUP($A59,'Data Vlaue (Cr)'!$C:$FB,100)</f>
        <v>2563</v>
      </c>
      <c r="J59" s="75">
        <f t="shared" si="2"/>
        <v>46</v>
      </c>
      <c r="K59" s="75">
        <f t="shared" si="3"/>
        <v>1.7631276351092371</v>
      </c>
      <c r="L59" s="75">
        <f>VLOOKUP($A59,'Data Vlaue (Cr)'!$C:$FB,67)</f>
        <v>9433</v>
      </c>
      <c r="M59" s="75">
        <f>VLOOKUP($A59,'Data Vlaue (Cr)'!$C:$FB,68)</f>
        <v>3351</v>
      </c>
      <c r="N59" s="75">
        <f t="shared" si="4"/>
        <v>6082</v>
      </c>
      <c r="O59" s="75">
        <f t="shared" si="5"/>
        <v>64.475776529205973</v>
      </c>
      <c r="P59" s="75">
        <f>VLOOKUP($A59,'Data Vlaue (Cr)'!$C:$FB,119)</f>
        <v>0.61</v>
      </c>
      <c r="Q59" s="75">
        <f>VLOOKUP($A59,'Data Vlaue (Cr)'!$C:$FB,122)*100</f>
        <v>-4.6899999999999995</v>
      </c>
      <c r="R59" s="75">
        <f>VLOOKUP($A59,'Data Vlaue (Cr)'!$C:$FB,125)</f>
        <v>0.25</v>
      </c>
      <c r="S59" s="75">
        <f>VLOOKUP($A59,'Data Vlaue (Cr)'!$C:$FB,128)*100</f>
        <v>-50</v>
      </c>
    </row>
    <row r="60" spans="1:19" x14ac:dyDescent="0.25">
      <c r="A60" s="96" t="str">
        <f>'Data Vlaue (Cr)'!C51</f>
        <v>CYIENT</v>
      </c>
      <c r="B60" s="75">
        <f>VLOOKUP($A60,'Data Vlaue (Cr)'!$C:$FB,2)</f>
        <v>425</v>
      </c>
      <c r="C60" s="75">
        <f>VLOOKUP($A60,'Data Vlaue (Cr)'!$C:$FB,8)</f>
        <v>1148.9000000000001</v>
      </c>
      <c r="D60" s="75">
        <f>VLOOKUP($A60,'Data Vlaue (Cr)'!$C:$FB,4)</f>
        <v>1148</v>
      </c>
      <c r="E60" s="75">
        <f>VLOOKUP($A60,'Data Vlaue (Cr)'!$C:$FB,5)</f>
        <v>1155</v>
      </c>
      <c r="F60" s="75">
        <f t="shared" si="0"/>
        <v>-0.90000000000009095</v>
      </c>
      <c r="G60" s="75">
        <f t="shared" si="1"/>
        <v>-0.6097560975609756</v>
      </c>
      <c r="H60" s="75">
        <f>VLOOKUP($A60,'Data Vlaue (Cr)'!$C:$FB,99)</f>
        <v>963</v>
      </c>
      <c r="I60" s="75">
        <f>VLOOKUP($A60,'Data Vlaue (Cr)'!$C:$FB,100)</f>
        <v>992</v>
      </c>
      <c r="J60" s="75">
        <f t="shared" si="2"/>
        <v>-29</v>
      </c>
      <c r="K60" s="75">
        <f t="shared" si="3"/>
        <v>-3.0114226375908619</v>
      </c>
      <c r="L60" s="75">
        <f>VLOOKUP($A60,'Data Vlaue (Cr)'!$C:$FB,67)</f>
        <v>513</v>
      </c>
      <c r="M60" s="75">
        <f>VLOOKUP($A60,'Data Vlaue (Cr)'!$C:$FB,68)</f>
        <v>1014</v>
      </c>
      <c r="N60" s="75">
        <f t="shared" si="4"/>
        <v>-501</v>
      </c>
      <c r="O60" s="75">
        <f t="shared" si="5"/>
        <v>-97.660818713450297</v>
      </c>
      <c r="P60" s="75">
        <f>VLOOKUP($A60,'Data Vlaue (Cr)'!$C:$FB,119)</f>
        <v>0.57999999999999996</v>
      </c>
      <c r="Q60" s="75">
        <f>VLOOKUP($A60,'Data Vlaue (Cr)'!$C:$FB,122)*100</f>
        <v>-3.3300000000000005</v>
      </c>
      <c r="R60" s="75">
        <f>VLOOKUP($A60,'Data Vlaue (Cr)'!$C:$FB,125)</f>
        <v>0.4</v>
      </c>
      <c r="S60" s="75">
        <f>VLOOKUP($A60,'Data Vlaue (Cr)'!$C:$FB,128)*100</f>
        <v>42.86</v>
      </c>
    </row>
    <row r="61" spans="1:19" x14ac:dyDescent="0.25">
      <c r="A61" s="96" t="str">
        <f>'Data Vlaue (Cr)'!C52</f>
        <v>DABUR</v>
      </c>
      <c r="B61" s="75">
        <f>VLOOKUP($A61,'Data Vlaue (Cr)'!$C:$FB,2)</f>
        <v>1250</v>
      </c>
      <c r="C61" s="75">
        <f>VLOOKUP($A61,'Data Vlaue (Cr)'!$C:$FB,8)</f>
        <v>525.04999999999995</v>
      </c>
      <c r="D61" s="75">
        <f>VLOOKUP($A61,'Data Vlaue (Cr)'!$C:$FB,4)</f>
        <v>524.6</v>
      </c>
      <c r="E61" s="75">
        <f>VLOOKUP($A61,'Data Vlaue (Cr)'!$C:$FB,5)</f>
        <v>518.25</v>
      </c>
      <c r="F61" s="75">
        <f t="shared" si="0"/>
        <v>-0.44999999999993179</v>
      </c>
      <c r="G61" s="75">
        <f t="shared" si="1"/>
        <v>1.2104460541364892</v>
      </c>
      <c r="H61" s="75">
        <f>VLOOKUP($A61,'Data Vlaue (Cr)'!$C:$FB,99)</f>
        <v>2705</v>
      </c>
      <c r="I61" s="75">
        <f>VLOOKUP($A61,'Data Vlaue (Cr)'!$C:$FB,100)</f>
        <v>2856</v>
      </c>
      <c r="J61" s="75">
        <f t="shared" si="2"/>
        <v>-151</v>
      </c>
      <c r="K61" s="75">
        <f t="shared" si="3"/>
        <v>-5.5822550831792972</v>
      </c>
      <c r="L61" s="75">
        <f>VLOOKUP($A61,'Data Vlaue (Cr)'!$C:$FB,67)</f>
        <v>2329</v>
      </c>
      <c r="M61" s="75">
        <f>VLOOKUP($A61,'Data Vlaue (Cr)'!$C:$FB,68)</f>
        <v>1521</v>
      </c>
      <c r="N61" s="75">
        <f t="shared" si="4"/>
        <v>808</v>
      </c>
      <c r="O61" s="75">
        <f t="shared" si="5"/>
        <v>34.693001288106487</v>
      </c>
      <c r="P61" s="75">
        <f>VLOOKUP($A61,'Data Vlaue (Cr)'!$C:$FB,119)</f>
        <v>0.59</v>
      </c>
      <c r="Q61" s="75">
        <f>VLOOKUP($A61,'Data Vlaue (Cr)'!$C:$FB,122)*100</f>
        <v>7.2700000000000005</v>
      </c>
      <c r="R61" s="75">
        <f>VLOOKUP($A61,'Data Vlaue (Cr)'!$C:$FB,125)</f>
        <v>0.53</v>
      </c>
      <c r="S61" s="75">
        <f>VLOOKUP($A61,'Data Vlaue (Cr)'!$C:$FB,128)*100</f>
        <v>10.42</v>
      </c>
    </row>
    <row r="62" spans="1:19" x14ac:dyDescent="0.25">
      <c r="A62" s="96" t="str">
        <f>'Data Vlaue (Cr)'!C53</f>
        <v>DALBHARAT</v>
      </c>
      <c r="B62" s="75">
        <f>VLOOKUP($A62,'Data Vlaue (Cr)'!$C:$FB,2)</f>
        <v>325</v>
      </c>
      <c r="C62" s="75">
        <f>VLOOKUP($A62,'Data Vlaue (Cr)'!$C:$FB,8)</f>
        <v>2012.1</v>
      </c>
      <c r="D62" s="75">
        <f>VLOOKUP($A62,'Data Vlaue (Cr)'!$C:$FB,4)</f>
        <v>2016.3</v>
      </c>
      <c r="E62" s="75">
        <f>VLOOKUP($A62,'Data Vlaue (Cr)'!$C:$FB,5)</f>
        <v>2022.6</v>
      </c>
      <c r="F62" s="75">
        <f t="shared" si="0"/>
        <v>4.2000000000000455</v>
      </c>
      <c r="G62" s="75">
        <f t="shared" si="1"/>
        <v>-0.31245350394286336</v>
      </c>
      <c r="H62" s="75">
        <f>VLOOKUP($A62,'Data Vlaue (Cr)'!$C:$FB,99)</f>
        <v>992</v>
      </c>
      <c r="I62" s="75">
        <f>VLOOKUP($A62,'Data Vlaue (Cr)'!$C:$FB,100)</f>
        <v>1027</v>
      </c>
      <c r="J62" s="75">
        <f t="shared" si="2"/>
        <v>-35</v>
      </c>
      <c r="K62" s="75">
        <f t="shared" si="3"/>
        <v>-3.5282258064516134</v>
      </c>
      <c r="L62" s="75">
        <f>VLOOKUP($A62,'Data Vlaue (Cr)'!$C:$FB,67)</f>
        <v>416</v>
      </c>
      <c r="M62" s="75">
        <f>VLOOKUP($A62,'Data Vlaue (Cr)'!$C:$FB,68)</f>
        <v>901</v>
      </c>
      <c r="N62" s="75">
        <f t="shared" si="4"/>
        <v>-485</v>
      </c>
      <c r="O62" s="75">
        <f t="shared" si="5"/>
        <v>-116.58653846153845</v>
      </c>
      <c r="P62" s="75">
        <f>VLOOKUP($A62,'Data Vlaue (Cr)'!$C:$FB,119)</f>
        <v>0.67</v>
      </c>
      <c r="Q62" s="75">
        <f>VLOOKUP($A62,'Data Vlaue (Cr)'!$C:$FB,122)*100</f>
        <v>3.08</v>
      </c>
      <c r="R62" s="75">
        <f>VLOOKUP($A62,'Data Vlaue (Cr)'!$C:$FB,125)</f>
        <v>0.37</v>
      </c>
      <c r="S62" s="75">
        <f>VLOOKUP($A62,'Data Vlaue (Cr)'!$C:$FB,128)*100</f>
        <v>-19.57</v>
      </c>
    </row>
    <row r="63" spans="1:19" x14ac:dyDescent="0.25">
      <c r="A63" s="96" t="str">
        <f>'Data Vlaue (Cr)'!C54</f>
        <v>DELHIVERY</v>
      </c>
      <c r="B63" s="75">
        <f>VLOOKUP($A63,'Data Vlaue (Cr)'!$C:$FB,2)</f>
        <v>2075</v>
      </c>
      <c r="C63" s="75">
        <f>VLOOKUP($A63,'Data Vlaue (Cr)'!$C:$FB,8)</f>
        <v>426</v>
      </c>
      <c r="D63" s="75">
        <f>VLOOKUP($A63,'Data Vlaue (Cr)'!$C:$FB,4)</f>
        <v>426.7</v>
      </c>
      <c r="E63" s="75">
        <f>VLOOKUP($A63,'Data Vlaue (Cr)'!$C:$FB,5)</f>
        <v>435.85</v>
      </c>
      <c r="F63" s="75">
        <f t="shared" si="0"/>
        <v>0.69999999999998863</v>
      </c>
      <c r="G63" s="75">
        <f t="shared" si="1"/>
        <v>-2.1443637215842593</v>
      </c>
      <c r="H63" s="75">
        <f>VLOOKUP($A63,'Data Vlaue (Cr)'!$C:$FB,99)</f>
        <v>2299</v>
      </c>
      <c r="I63" s="75">
        <f>VLOOKUP($A63,'Data Vlaue (Cr)'!$C:$FB,100)</f>
        <v>2500</v>
      </c>
      <c r="J63" s="75">
        <f t="shared" si="2"/>
        <v>-201</v>
      </c>
      <c r="K63" s="75">
        <f t="shared" si="3"/>
        <v>-8.7429317094388868</v>
      </c>
      <c r="L63" s="75">
        <f>VLOOKUP($A63,'Data Vlaue (Cr)'!$C:$FB,67)</f>
        <v>2197</v>
      </c>
      <c r="M63" s="75">
        <f>VLOOKUP($A63,'Data Vlaue (Cr)'!$C:$FB,68)</f>
        <v>2242</v>
      </c>
      <c r="N63" s="75">
        <f t="shared" si="4"/>
        <v>-45</v>
      </c>
      <c r="O63" s="75">
        <f t="shared" si="5"/>
        <v>-2.0482476103777878</v>
      </c>
      <c r="P63" s="75">
        <f>VLOOKUP($A63,'Data Vlaue (Cr)'!$C:$FB,119)</f>
        <v>0.48</v>
      </c>
      <c r="Q63" s="75">
        <f>VLOOKUP($A63,'Data Vlaue (Cr)'!$C:$FB,122)*100</f>
        <v>9.09</v>
      </c>
      <c r="R63" s="75">
        <f>VLOOKUP($A63,'Data Vlaue (Cr)'!$C:$FB,125)</f>
        <v>0.37</v>
      </c>
      <c r="S63" s="75">
        <f>VLOOKUP($A63,'Data Vlaue (Cr)'!$C:$FB,128)*100</f>
        <v>-9.76</v>
      </c>
    </row>
    <row r="64" spans="1:19" x14ac:dyDescent="0.25">
      <c r="A64" s="96" t="str">
        <f>'Data Vlaue (Cr)'!C55</f>
        <v>DIVISLAB</v>
      </c>
      <c r="B64" s="75">
        <f>VLOOKUP($A64,'Data Vlaue (Cr)'!$C:$FB,2)</f>
        <v>100</v>
      </c>
      <c r="C64" s="75">
        <f>VLOOKUP($A64,'Data Vlaue (Cr)'!$C:$FB,8)</f>
        <v>6462.5</v>
      </c>
      <c r="D64" s="75">
        <f>VLOOKUP($A64,'Data Vlaue (Cr)'!$C:$FB,4)</f>
        <v>6458.5</v>
      </c>
      <c r="E64" s="75">
        <f>VLOOKUP($A64,'Data Vlaue (Cr)'!$C:$FB,5)</f>
        <v>6462</v>
      </c>
      <c r="F64" s="75">
        <f t="shared" si="0"/>
        <v>-4</v>
      </c>
      <c r="G64" s="75">
        <f t="shared" si="1"/>
        <v>-5.41921498800031E-2</v>
      </c>
      <c r="H64" s="75">
        <f>VLOOKUP($A64,'Data Vlaue (Cr)'!$C:$FB,99)</f>
        <v>4536</v>
      </c>
      <c r="I64" s="75">
        <f>VLOOKUP($A64,'Data Vlaue (Cr)'!$C:$FB,100)</f>
        <v>4742</v>
      </c>
      <c r="J64" s="75">
        <f t="shared" si="2"/>
        <v>-206</v>
      </c>
      <c r="K64" s="75">
        <f t="shared" si="3"/>
        <v>-4.5414462081128741</v>
      </c>
      <c r="L64" s="75">
        <f>VLOOKUP($A64,'Data Vlaue (Cr)'!$C:$FB,67)</f>
        <v>2299</v>
      </c>
      <c r="M64" s="75">
        <f>VLOOKUP($A64,'Data Vlaue (Cr)'!$C:$FB,68)</f>
        <v>2222</v>
      </c>
      <c r="N64" s="75">
        <f t="shared" si="4"/>
        <v>77</v>
      </c>
      <c r="O64" s="75">
        <f t="shared" si="5"/>
        <v>3.3492822966507179</v>
      </c>
      <c r="P64" s="75">
        <f>VLOOKUP($A64,'Data Vlaue (Cr)'!$C:$FB,119)</f>
        <v>0.7</v>
      </c>
      <c r="Q64" s="75">
        <f>VLOOKUP($A64,'Data Vlaue (Cr)'!$C:$FB,122)*100</f>
        <v>4.4799999999999995</v>
      </c>
      <c r="R64" s="75">
        <f>VLOOKUP($A64,'Data Vlaue (Cr)'!$C:$FB,125)</f>
        <v>0.38</v>
      </c>
      <c r="S64" s="75">
        <f>VLOOKUP($A64,'Data Vlaue (Cr)'!$C:$FB,128)*100</f>
        <v>-15.559999999999999</v>
      </c>
    </row>
    <row r="65" spans="1:19" x14ac:dyDescent="0.25">
      <c r="A65" s="96" t="str">
        <f>'Data Vlaue (Cr)'!C56</f>
        <v>DIXON</v>
      </c>
      <c r="B65" s="75">
        <f>VLOOKUP($A65,'Data Vlaue (Cr)'!$C:$FB,2)</f>
        <v>50</v>
      </c>
      <c r="C65" s="75">
        <f>VLOOKUP($A65,'Data Vlaue (Cr)'!$C:$FB,8)</f>
        <v>15313</v>
      </c>
      <c r="D65" s="75">
        <f>VLOOKUP($A65,'Data Vlaue (Cr)'!$C:$FB,4)</f>
        <v>15307</v>
      </c>
      <c r="E65" s="75">
        <f>VLOOKUP($A65,'Data Vlaue (Cr)'!$C:$FB,5)</f>
        <v>15495</v>
      </c>
      <c r="F65" s="75">
        <f t="shared" si="0"/>
        <v>-6</v>
      </c>
      <c r="G65" s="75">
        <f t="shared" si="1"/>
        <v>-1.2281962500816619</v>
      </c>
      <c r="H65" s="75">
        <f>VLOOKUP($A65,'Data Vlaue (Cr)'!$C:$FB,99)</f>
        <v>7528</v>
      </c>
      <c r="I65" s="75">
        <f>VLOOKUP($A65,'Data Vlaue (Cr)'!$C:$FB,100)</f>
        <v>7849</v>
      </c>
      <c r="J65" s="75">
        <f t="shared" si="2"/>
        <v>-321</v>
      </c>
      <c r="K65" s="75">
        <f t="shared" si="3"/>
        <v>-4.2640807651434649</v>
      </c>
      <c r="L65" s="75">
        <f>VLOOKUP($A65,'Data Vlaue (Cr)'!$C:$FB,67)</f>
        <v>9916</v>
      </c>
      <c r="M65" s="75">
        <f>VLOOKUP($A65,'Data Vlaue (Cr)'!$C:$FB,68)</f>
        <v>6999</v>
      </c>
      <c r="N65" s="75">
        <f t="shared" si="4"/>
        <v>2917</v>
      </c>
      <c r="O65" s="75">
        <f t="shared" si="5"/>
        <v>29.417103670835015</v>
      </c>
      <c r="P65" s="75">
        <f>VLOOKUP($A65,'Data Vlaue (Cr)'!$C:$FB,119)</f>
        <v>0.5</v>
      </c>
      <c r="Q65" s="75">
        <f>VLOOKUP($A65,'Data Vlaue (Cr)'!$C:$FB,122)*100</f>
        <v>6.38</v>
      </c>
      <c r="R65" s="75">
        <f>VLOOKUP($A65,'Data Vlaue (Cr)'!$C:$FB,125)</f>
        <v>0.46</v>
      </c>
      <c r="S65" s="75">
        <f>VLOOKUP($A65,'Data Vlaue (Cr)'!$C:$FB,128)*100</f>
        <v>0</v>
      </c>
    </row>
    <row r="66" spans="1:19" x14ac:dyDescent="0.25">
      <c r="A66" s="96" t="str">
        <f>'Data Vlaue (Cr)'!C57</f>
        <v>DLF</v>
      </c>
      <c r="B66" s="75">
        <f>VLOOKUP($A66,'Data Vlaue (Cr)'!$C:$FB,2)</f>
        <v>825</v>
      </c>
      <c r="C66" s="75">
        <f>VLOOKUP($A66,'Data Vlaue (Cr)'!$C:$FB,8)</f>
        <v>741.1</v>
      </c>
      <c r="D66" s="75">
        <f>VLOOKUP($A66,'Data Vlaue (Cr)'!$C:$FB,4)</f>
        <v>742.65</v>
      </c>
      <c r="E66" s="75">
        <f>VLOOKUP($A66,'Data Vlaue (Cr)'!$C:$FB,5)</f>
        <v>745.25</v>
      </c>
      <c r="F66" s="75">
        <f t="shared" si="0"/>
        <v>1.5499999999999545</v>
      </c>
      <c r="G66" s="75">
        <f t="shared" si="1"/>
        <v>-0.35009762337575212</v>
      </c>
      <c r="H66" s="75">
        <f>VLOOKUP($A66,'Data Vlaue (Cr)'!$C:$FB,99)</f>
        <v>5080</v>
      </c>
      <c r="I66" s="75">
        <f>VLOOKUP($A66,'Data Vlaue (Cr)'!$C:$FB,100)</f>
        <v>5063</v>
      </c>
      <c r="J66" s="75">
        <f t="shared" si="2"/>
        <v>17</v>
      </c>
      <c r="K66" s="75">
        <f t="shared" si="3"/>
        <v>0.3346456692913386</v>
      </c>
      <c r="L66" s="75">
        <f>VLOOKUP($A66,'Data Vlaue (Cr)'!$C:$FB,67)</f>
        <v>3247</v>
      </c>
      <c r="M66" s="75">
        <f>VLOOKUP($A66,'Data Vlaue (Cr)'!$C:$FB,68)</f>
        <v>3211</v>
      </c>
      <c r="N66" s="75">
        <f t="shared" si="4"/>
        <v>36</v>
      </c>
      <c r="O66" s="75">
        <f t="shared" si="5"/>
        <v>1.108715737603942</v>
      </c>
      <c r="P66" s="75">
        <f>VLOOKUP($A66,'Data Vlaue (Cr)'!$C:$FB,119)</f>
        <v>0.72</v>
      </c>
      <c r="Q66" s="75">
        <f>VLOOKUP($A66,'Data Vlaue (Cr)'!$C:$FB,122)*100</f>
        <v>2.86</v>
      </c>
      <c r="R66" s="75">
        <f>VLOOKUP($A66,'Data Vlaue (Cr)'!$C:$FB,125)</f>
        <v>0.38</v>
      </c>
      <c r="S66" s="75">
        <f>VLOOKUP($A66,'Data Vlaue (Cr)'!$C:$FB,128)*100</f>
        <v>-35.589999999999996</v>
      </c>
    </row>
    <row r="67" spans="1:19" x14ac:dyDescent="0.25">
      <c r="A67" s="96" t="str">
        <f>'Data Vlaue (Cr)'!C58</f>
        <v>DMART</v>
      </c>
      <c r="B67" s="75">
        <f>VLOOKUP($A67,'Data Vlaue (Cr)'!$C:$FB,2)</f>
        <v>150</v>
      </c>
      <c r="C67" s="75">
        <f>VLOOKUP($A67,'Data Vlaue (Cr)'!$C:$FB,8)</f>
        <v>4085</v>
      </c>
      <c r="D67" s="75">
        <f>VLOOKUP($A67,'Data Vlaue (Cr)'!$C:$FB,4)</f>
        <v>4097.7</v>
      </c>
      <c r="E67" s="75">
        <f>VLOOKUP($A67,'Data Vlaue (Cr)'!$C:$FB,5)</f>
        <v>4042.2</v>
      </c>
      <c r="F67" s="75">
        <f t="shared" si="0"/>
        <v>12.699999999999818</v>
      </c>
      <c r="G67" s="75">
        <f t="shared" si="1"/>
        <v>1.3544183322351564</v>
      </c>
      <c r="H67" s="75">
        <f>VLOOKUP($A67,'Data Vlaue (Cr)'!$C:$FB,99)</f>
        <v>3847</v>
      </c>
      <c r="I67" s="75">
        <f>VLOOKUP($A67,'Data Vlaue (Cr)'!$C:$FB,100)</f>
        <v>4257</v>
      </c>
      <c r="J67" s="75">
        <f t="shared" si="2"/>
        <v>-410</v>
      </c>
      <c r="K67" s="75">
        <f t="shared" si="3"/>
        <v>-10.657655315830517</v>
      </c>
      <c r="L67" s="75">
        <f>VLOOKUP($A67,'Data Vlaue (Cr)'!$C:$FB,67)</f>
        <v>5374</v>
      </c>
      <c r="M67" s="75">
        <f>VLOOKUP($A67,'Data Vlaue (Cr)'!$C:$FB,68)</f>
        <v>1986</v>
      </c>
      <c r="N67" s="75">
        <f t="shared" si="4"/>
        <v>3388</v>
      </c>
      <c r="O67" s="75">
        <f t="shared" si="5"/>
        <v>63.044287309266842</v>
      </c>
      <c r="P67" s="75">
        <f>VLOOKUP($A67,'Data Vlaue (Cr)'!$C:$FB,119)</f>
        <v>0.46</v>
      </c>
      <c r="Q67" s="75">
        <f>VLOOKUP($A67,'Data Vlaue (Cr)'!$C:$FB,122)*100</f>
        <v>9.5200000000000014</v>
      </c>
      <c r="R67" s="75">
        <f>VLOOKUP($A67,'Data Vlaue (Cr)'!$C:$FB,125)</f>
        <v>0.25</v>
      </c>
      <c r="S67" s="75">
        <f>VLOOKUP($A67,'Data Vlaue (Cr)'!$C:$FB,128)*100</f>
        <v>-3.85</v>
      </c>
    </row>
    <row r="68" spans="1:19" x14ac:dyDescent="0.25">
      <c r="A68" s="96" t="str">
        <f>'Data Vlaue (Cr)'!C59</f>
        <v>DRREDDY</v>
      </c>
      <c r="B68" s="75">
        <f>VLOOKUP($A68,'Data Vlaue (Cr)'!$C:$FB,2)</f>
        <v>625</v>
      </c>
      <c r="C68" s="75">
        <f>VLOOKUP($A68,'Data Vlaue (Cr)'!$C:$FB,8)</f>
        <v>1248.5999999999999</v>
      </c>
      <c r="D68" s="75">
        <f>VLOOKUP($A68,'Data Vlaue (Cr)'!$C:$FB,4)</f>
        <v>1247.5999999999999</v>
      </c>
      <c r="E68" s="75">
        <f>VLOOKUP($A68,'Data Vlaue (Cr)'!$C:$FB,5)</f>
        <v>1247</v>
      </c>
      <c r="F68" s="75">
        <f t="shared" si="0"/>
        <v>-1</v>
      </c>
      <c r="G68" s="75">
        <f t="shared" si="1"/>
        <v>4.8092337287584892E-2</v>
      </c>
      <c r="H68" s="75">
        <f>VLOOKUP($A68,'Data Vlaue (Cr)'!$C:$FB,99)</f>
        <v>3871</v>
      </c>
      <c r="I68" s="75">
        <f>VLOOKUP($A68,'Data Vlaue (Cr)'!$C:$FB,100)</f>
        <v>4126</v>
      </c>
      <c r="J68" s="75">
        <f t="shared" si="2"/>
        <v>-255</v>
      </c>
      <c r="K68" s="75">
        <f t="shared" si="3"/>
        <v>-6.5874451046241278</v>
      </c>
      <c r="L68" s="75">
        <f>VLOOKUP($A68,'Data Vlaue (Cr)'!$C:$FB,67)</f>
        <v>2841</v>
      </c>
      <c r="M68" s="75">
        <f>VLOOKUP($A68,'Data Vlaue (Cr)'!$C:$FB,68)</f>
        <v>1630</v>
      </c>
      <c r="N68" s="75">
        <f t="shared" si="4"/>
        <v>1211</v>
      </c>
      <c r="O68" s="75">
        <f t="shared" si="5"/>
        <v>42.625835973248854</v>
      </c>
      <c r="P68" s="75">
        <f>VLOOKUP($A68,'Data Vlaue (Cr)'!$C:$FB,119)</f>
        <v>0.49</v>
      </c>
      <c r="Q68" s="75">
        <f>VLOOKUP($A68,'Data Vlaue (Cr)'!$C:$FB,122)*100</f>
        <v>8.89</v>
      </c>
      <c r="R68" s="75">
        <f>VLOOKUP($A68,'Data Vlaue (Cr)'!$C:$FB,125)</f>
        <v>0.52</v>
      </c>
      <c r="S68" s="75">
        <f>VLOOKUP($A68,'Data Vlaue (Cr)'!$C:$FB,128)*100</f>
        <v>20.93</v>
      </c>
    </row>
    <row r="69" spans="1:19" x14ac:dyDescent="0.25">
      <c r="A69" s="96" t="str">
        <f>'Data Vlaue (Cr)'!C60</f>
        <v>EICHERMOT</v>
      </c>
      <c r="B69" s="75">
        <f>VLOOKUP($A69,'Data Vlaue (Cr)'!$C:$FB,2)</f>
        <v>175</v>
      </c>
      <c r="C69" s="75">
        <f>VLOOKUP($A69,'Data Vlaue (Cr)'!$C:$FB,8)</f>
        <v>7125.5</v>
      </c>
      <c r="D69" s="75">
        <f>VLOOKUP($A69,'Data Vlaue (Cr)'!$C:$FB,4)</f>
        <v>7113.5</v>
      </c>
      <c r="E69" s="75">
        <f>VLOOKUP($A69,'Data Vlaue (Cr)'!$C:$FB,5)</f>
        <v>6889</v>
      </c>
      <c r="F69" s="75">
        <f t="shared" si="0"/>
        <v>-12</v>
      </c>
      <c r="G69" s="75">
        <f t="shared" si="1"/>
        <v>3.1559710409784212</v>
      </c>
      <c r="H69" s="75">
        <f>VLOOKUP($A69,'Data Vlaue (Cr)'!$C:$FB,99)</f>
        <v>5903</v>
      </c>
      <c r="I69" s="75">
        <f>VLOOKUP($A69,'Data Vlaue (Cr)'!$C:$FB,100)</f>
        <v>5171</v>
      </c>
      <c r="J69" s="75">
        <f t="shared" si="2"/>
        <v>732</v>
      </c>
      <c r="K69" s="75">
        <f t="shared" si="3"/>
        <v>12.400474335083855</v>
      </c>
      <c r="L69" s="75">
        <f>VLOOKUP($A69,'Data Vlaue (Cr)'!$C:$FB,67)</f>
        <v>30193</v>
      </c>
      <c r="M69" s="75">
        <f>VLOOKUP($A69,'Data Vlaue (Cr)'!$C:$FB,68)</f>
        <v>6035</v>
      </c>
      <c r="N69" s="75">
        <f t="shared" si="4"/>
        <v>24158</v>
      </c>
      <c r="O69" s="75">
        <f t="shared" si="5"/>
        <v>80.011923293478631</v>
      </c>
      <c r="P69" s="75">
        <f>VLOOKUP($A69,'Data Vlaue (Cr)'!$C:$FB,119)</f>
        <v>0.89</v>
      </c>
      <c r="Q69" s="75">
        <f>VLOOKUP($A69,'Data Vlaue (Cr)'!$C:$FB,122)*100</f>
        <v>21.92</v>
      </c>
      <c r="R69" s="75">
        <f>VLOOKUP($A69,'Data Vlaue (Cr)'!$C:$FB,125)</f>
        <v>0.28999999999999998</v>
      </c>
      <c r="S69" s="75">
        <f>VLOOKUP($A69,'Data Vlaue (Cr)'!$C:$FB,128)*100</f>
        <v>-29.270000000000003</v>
      </c>
    </row>
    <row r="70" spans="1:19" x14ac:dyDescent="0.25">
      <c r="A70" s="96" t="str">
        <f>'Data Vlaue (Cr)'!C61</f>
        <v>ETERNAL</v>
      </c>
      <c r="B70" s="75">
        <f>VLOOKUP($A70,'Data Vlaue (Cr)'!$C:$FB,2)</f>
        <v>2425</v>
      </c>
      <c r="C70" s="75">
        <f>VLOOKUP($A70,'Data Vlaue (Cr)'!$C:$FB,8)</f>
        <v>306.89999999999998</v>
      </c>
      <c r="D70" s="75">
        <f>VLOOKUP($A70,'Data Vlaue (Cr)'!$C:$FB,4)</f>
        <v>306.75</v>
      </c>
      <c r="E70" s="75">
        <f>VLOOKUP($A70,'Data Vlaue (Cr)'!$C:$FB,5)</f>
        <v>306.8</v>
      </c>
      <c r="F70" s="75">
        <f t="shared" si="0"/>
        <v>-0.14999999999997726</v>
      </c>
      <c r="G70" s="75">
        <f t="shared" si="1"/>
        <v>-1.6299918500411202E-2</v>
      </c>
      <c r="H70" s="75">
        <f>VLOOKUP($A70,'Data Vlaue (Cr)'!$C:$FB,99)</f>
        <v>14241</v>
      </c>
      <c r="I70" s="75">
        <f>VLOOKUP($A70,'Data Vlaue (Cr)'!$C:$FB,100)</f>
        <v>14501</v>
      </c>
      <c r="J70" s="75">
        <f t="shared" si="2"/>
        <v>-260</v>
      </c>
      <c r="K70" s="75">
        <f t="shared" si="3"/>
        <v>-1.8257144863422514</v>
      </c>
      <c r="L70" s="75">
        <f>VLOOKUP($A70,'Data Vlaue (Cr)'!$C:$FB,67)</f>
        <v>9201</v>
      </c>
      <c r="M70" s="75">
        <f>VLOOKUP($A70,'Data Vlaue (Cr)'!$C:$FB,68)</f>
        <v>4565</v>
      </c>
      <c r="N70" s="75">
        <f t="shared" si="4"/>
        <v>4636</v>
      </c>
      <c r="O70" s="75">
        <f t="shared" si="5"/>
        <v>50.385827627431802</v>
      </c>
      <c r="P70" s="75">
        <f>VLOOKUP($A70,'Data Vlaue (Cr)'!$C:$FB,119)</f>
        <v>0.5</v>
      </c>
      <c r="Q70" s="75">
        <f>VLOOKUP($A70,'Data Vlaue (Cr)'!$C:$FB,122)*100</f>
        <v>6.38</v>
      </c>
      <c r="R70" s="75">
        <f>VLOOKUP($A70,'Data Vlaue (Cr)'!$C:$FB,125)</f>
        <v>0.32</v>
      </c>
      <c r="S70" s="75">
        <f>VLOOKUP($A70,'Data Vlaue (Cr)'!$C:$FB,128)*100</f>
        <v>-13.51</v>
      </c>
    </row>
    <row r="71" spans="1:19" x14ac:dyDescent="0.25">
      <c r="A71" s="96" t="str">
        <f>'Data Vlaue (Cr)'!C62</f>
        <v>EXIDEIND</v>
      </c>
      <c r="B71" s="75">
        <f>VLOOKUP($A71,'Data Vlaue (Cr)'!$C:$FB,2)</f>
        <v>1800</v>
      </c>
      <c r="C71" s="75">
        <f>VLOOKUP($A71,'Data Vlaue (Cr)'!$C:$FB,8)</f>
        <v>380.8</v>
      </c>
      <c r="D71" s="75">
        <f>VLOOKUP($A71,'Data Vlaue (Cr)'!$C:$FB,4)</f>
        <v>381.4</v>
      </c>
      <c r="E71" s="75">
        <f>VLOOKUP($A71,'Data Vlaue (Cr)'!$C:$FB,5)</f>
        <v>380.75</v>
      </c>
      <c r="F71" s="75">
        <f t="shared" si="0"/>
        <v>0.59999999999996589</v>
      </c>
      <c r="G71" s="75">
        <f t="shared" si="1"/>
        <v>0.17042475091766576</v>
      </c>
      <c r="H71" s="75">
        <f>VLOOKUP($A71,'Data Vlaue (Cr)'!$C:$FB,99)</f>
        <v>2503</v>
      </c>
      <c r="I71" s="75">
        <f>VLOOKUP($A71,'Data Vlaue (Cr)'!$C:$FB,100)</f>
        <v>2551</v>
      </c>
      <c r="J71" s="75">
        <f t="shared" si="2"/>
        <v>-48</v>
      </c>
      <c r="K71" s="75">
        <f t="shared" si="3"/>
        <v>-1.9176987614862164</v>
      </c>
      <c r="L71" s="75">
        <f>VLOOKUP($A71,'Data Vlaue (Cr)'!$C:$FB,67)</f>
        <v>1200</v>
      </c>
      <c r="M71" s="75">
        <f>VLOOKUP($A71,'Data Vlaue (Cr)'!$C:$FB,68)</f>
        <v>1516</v>
      </c>
      <c r="N71" s="75">
        <f t="shared" si="4"/>
        <v>-316</v>
      </c>
      <c r="O71" s="75">
        <f t="shared" si="5"/>
        <v>-26.333333333333332</v>
      </c>
      <c r="P71" s="75">
        <f>VLOOKUP($A71,'Data Vlaue (Cr)'!$C:$FB,119)</f>
        <v>0.65</v>
      </c>
      <c r="Q71" s="75">
        <f>VLOOKUP($A71,'Data Vlaue (Cr)'!$C:$FB,122)*100</f>
        <v>-2.9899999999999998</v>
      </c>
      <c r="R71" s="75">
        <f>VLOOKUP($A71,'Data Vlaue (Cr)'!$C:$FB,125)</f>
        <v>0.39</v>
      </c>
      <c r="S71" s="75">
        <f>VLOOKUP($A71,'Data Vlaue (Cr)'!$C:$FB,128)*100</f>
        <v>-7.1400000000000006</v>
      </c>
    </row>
    <row r="72" spans="1:19" x14ac:dyDescent="0.25">
      <c r="A72" s="96" t="str">
        <f>'Data Vlaue (Cr)'!C63</f>
        <v>FEDERALBNK</v>
      </c>
      <c r="B72" s="75">
        <f>VLOOKUP($A72,'Data Vlaue (Cr)'!$C:$FB,2)</f>
        <v>5000</v>
      </c>
      <c r="C72" s="75">
        <f>VLOOKUP($A72,'Data Vlaue (Cr)'!$C:$FB,8)</f>
        <v>244.93</v>
      </c>
      <c r="D72" s="75">
        <f>VLOOKUP($A72,'Data Vlaue (Cr)'!$C:$FB,4)</f>
        <v>244.79</v>
      </c>
      <c r="E72" s="75">
        <f>VLOOKUP($A72,'Data Vlaue (Cr)'!$C:$FB,5)</f>
        <v>245.39</v>
      </c>
      <c r="F72" s="75">
        <f t="shared" si="0"/>
        <v>-0.14000000000001478</v>
      </c>
      <c r="G72" s="75">
        <f t="shared" si="1"/>
        <v>-0.24510805179949929</v>
      </c>
      <c r="H72" s="75">
        <f>VLOOKUP($A72,'Data Vlaue (Cr)'!$C:$FB,99)</f>
        <v>3620</v>
      </c>
      <c r="I72" s="75">
        <f>VLOOKUP($A72,'Data Vlaue (Cr)'!$C:$FB,100)</f>
        <v>3953</v>
      </c>
      <c r="J72" s="75">
        <f t="shared" si="2"/>
        <v>-333</v>
      </c>
      <c r="K72" s="75">
        <f t="shared" si="3"/>
        <v>-9.1988950276243102</v>
      </c>
      <c r="L72" s="75">
        <f>VLOOKUP($A72,'Data Vlaue (Cr)'!$C:$FB,67)</f>
        <v>3174</v>
      </c>
      <c r="M72" s="75">
        <f>VLOOKUP($A72,'Data Vlaue (Cr)'!$C:$FB,68)</f>
        <v>5424</v>
      </c>
      <c r="N72" s="75">
        <f t="shared" si="4"/>
        <v>-2250</v>
      </c>
      <c r="O72" s="75">
        <f t="shared" si="5"/>
        <v>-70.888468809073728</v>
      </c>
      <c r="P72" s="75">
        <f>VLOOKUP($A72,'Data Vlaue (Cr)'!$C:$FB,119)</f>
        <v>0.87</v>
      </c>
      <c r="Q72" s="75">
        <f>VLOOKUP($A72,'Data Vlaue (Cr)'!$C:$FB,122)*100</f>
        <v>-6.45</v>
      </c>
      <c r="R72" s="75">
        <f>VLOOKUP($A72,'Data Vlaue (Cr)'!$C:$FB,125)</f>
        <v>0.67</v>
      </c>
      <c r="S72" s="75">
        <f>VLOOKUP($A72,'Data Vlaue (Cr)'!$C:$FB,128)*100</f>
        <v>39.58</v>
      </c>
    </row>
    <row r="73" spans="1:19" x14ac:dyDescent="0.25">
      <c r="A73" s="96" t="str">
        <f>'Data Vlaue (Cr)'!C64</f>
        <v>FINNIFTY</v>
      </c>
      <c r="B73" s="75">
        <f>VLOOKUP($A73,'Data Vlaue (Cr)'!$C:$FB,2)</f>
        <v>65</v>
      </c>
      <c r="C73" s="75">
        <f>VLOOKUP($A73,'Data Vlaue (Cr)'!$C:$FB,8)</f>
        <v>27861.35</v>
      </c>
      <c r="D73" s="75">
        <f>VLOOKUP($A73,'Data Vlaue (Cr)'!$C:$FB,4)</f>
        <v>27885.599999999999</v>
      </c>
      <c r="E73" s="75">
        <f>VLOOKUP($A73,'Data Vlaue (Cr)'!$C:$FB,5)</f>
        <v>27662.400000000001</v>
      </c>
      <c r="F73" s="75">
        <f t="shared" si="0"/>
        <v>24.25</v>
      </c>
      <c r="G73" s="75">
        <f t="shared" si="1"/>
        <v>0.80041311644718816</v>
      </c>
      <c r="H73" s="75">
        <f>VLOOKUP($A73,'Data Vlaue (Cr)'!$C:$FB,99)</f>
        <v>7306</v>
      </c>
      <c r="I73" s="75">
        <f>VLOOKUP($A73,'Data Vlaue (Cr)'!$C:$FB,100)</f>
        <v>7750</v>
      </c>
      <c r="J73" s="75">
        <f t="shared" si="2"/>
        <v>-444</v>
      </c>
      <c r="K73" s="75">
        <f t="shared" si="3"/>
        <v>-6.0771968245277854</v>
      </c>
      <c r="L73" s="75">
        <f>VLOOKUP($A73,'Data Vlaue (Cr)'!$C:$FB,67)</f>
        <v>42094</v>
      </c>
      <c r="M73" s="75">
        <f>VLOOKUP($A73,'Data Vlaue (Cr)'!$C:$FB,68)</f>
        <v>35933</v>
      </c>
      <c r="N73" s="75">
        <f t="shared" si="4"/>
        <v>6161</v>
      </c>
      <c r="O73" s="75">
        <f t="shared" si="5"/>
        <v>14.636290207630543</v>
      </c>
      <c r="P73" s="75">
        <f>VLOOKUP($A73,'Data Vlaue (Cr)'!$C:$FB,119)</f>
        <v>1.33</v>
      </c>
      <c r="Q73" s="75">
        <f>VLOOKUP($A73,'Data Vlaue (Cr)'!$C:$FB,122)*100</f>
        <v>24.3</v>
      </c>
      <c r="R73" s="75">
        <f>VLOOKUP($A73,'Data Vlaue (Cr)'!$C:$FB,125)</f>
        <v>0.82</v>
      </c>
      <c r="S73" s="75">
        <f>VLOOKUP($A73,'Data Vlaue (Cr)'!$C:$FB,128)*100</f>
        <v>-12.770000000000001</v>
      </c>
    </row>
    <row r="74" spans="1:19" x14ac:dyDescent="0.25">
      <c r="A74" s="96" t="str">
        <f>'Data Vlaue (Cr)'!C65</f>
        <v>FORTIS</v>
      </c>
      <c r="B74" s="75">
        <f>VLOOKUP($A74,'Data Vlaue (Cr)'!$C:$FB,2)</f>
        <v>775</v>
      </c>
      <c r="C74" s="75">
        <f>VLOOKUP($A74,'Data Vlaue (Cr)'!$C:$FB,8)</f>
        <v>935.4</v>
      </c>
      <c r="D74" s="75">
        <f>VLOOKUP($A74,'Data Vlaue (Cr)'!$C:$FB,4)</f>
        <v>932.4</v>
      </c>
      <c r="E74" s="75">
        <f>VLOOKUP($A74,'Data Vlaue (Cr)'!$C:$FB,5)</f>
        <v>923.1</v>
      </c>
      <c r="F74" s="75">
        <f t="shared" si="0"/>
        <v>-3</v>
      </c>
      <c r="G74" s="75">
        <f t="shared" si="1"/>
        <v>0.99742599742599258</v>
      </c>
      <c r="H74" s="75">
        <f>VLOOKUP($A74,'Data Vlaue (Cr)'!$C:$FB,99)</f>
        <v>2493</v>
      </c>
      <c r="I74" s="75">
        <f>VLOOKUP($A74,'Data Vlaue (Cr)'!$C:$FB,100)</f>
        <v>2633</v>
      </c>
      <c r="J74" s="75">
        <f t="shared" si="2"/>
        <v>-140</v>
      </c>
      <c r="K74" s="75">
        <f t="shared" si="3"/>
        <v>-5.6157240272763742</v>
      </c>
      <c r="L74" s="75">
        <f>VLOOKUP($A74,'Data Vlaue (Cr)'!$C:$FB,67)</f>
        <v>2428</v>
      </c>
      <c r="M74" s="75">
        <f>VLOOKUP($A74,'Data Vlaue (Cr)'!$C:$FB,68)</f>
        <v>2252</v>
      </c>
      <c r="N74" s="75">
        <f t="shared" si="4"/>
        <v>176</v>
      </c>
      <c r="O74" s="75">
        <f t="shared" si="5"/>
        <v>7.2487644151565069</v>
      </c>
      <c r="P74" s="75">
        <f>VLOOKUP($A74,'Data Vlaue (Cr)'!$C:$FB,119)</f>
        <v>0.41</v>
      </c>
      <c r="Q74" s="75">
        <f>VLOOKUP($A74,'Data Vlaue (Cr)'!$C:$FB,122)*100</f>
        <v>7.89</v>
      </c>
      <c r="R74" s="75">
        <f>VLOOKUP($A74,'Data Vlaue (Cr)'!$C:$FB,125)</f>
        <v>0.3</v>
      </c>
      <c r="S74" s="75">
        <f>VLOOKUP($A74,'Data Vlaue (Cr)'!$C:$FB,128)*100</f>
        <v>15.379999999999999</v>
      </c>
    </row>
    <row r="75" spans="1:19" x14ac:dyDescent="0.25">
      <c r="A75" s="96" t="str">
        <f>'Data Vlaue (Cr)'!C66</f>
        <v>GAIL</v>
      </c>
      <c r="B75" s="75">
        <f>VLOOKUP($A75,'Data Vlaue (Cr)'!$C:$FB,2)</f>
        <v>3150</v>
      </c>
      <c r="C75" s="75">
        <f>VLOOKUP($A75,'Data Vlaue (Cr)'!$C:$FB,8)</f>
        <v>184.31</v>
      </c>
      <c r="D75" s="75">
        <f>VLOOKUP($A75,'Data Vlaue (Cr)'!$C:$FB,4)</f>
        <v>184.19</v>
      </c>
      <c r="E75" s="75">
        <f>VLOOKUP($A75,'Data Vlaue (Cr)'!$C:$FB,5)</f>
        <v>183.96</v>
      </c>
      <c r="F75" s="75">
        <f t="shared" si="0"/>
        <v>-0.12000000000000455</v>
      </c>
      <c r="G75" s="75">
        <f>(D75-E75)/D75*100</f>
        <v>0.12487105706063834</v>
      </c>
      <c r="H75" s="75">
        <f>VLOOKUP($A75,'Data Vlaue (Cr)'!$C:$FB,99)</f>
        <v>2711</v>
      </c>
      <c r="I75" s="75">
        <f>VLOOKUP($A75,'Data Vlaue (Cr)'!$C:$FB,100)</f>
        <v>2797</v>
      </c>
      <c r="J75" s="75">
        <f t="shared" si="2"/>
        <v>-86</v>
      </c>
      <c r="K75" s="75">
        <f t="shared" si="3"/>
        <v>-3.1722611582441904</v>
      </c>
      <c r="L75" s="75">
        <f>VLOOKUP($A75,'Data Vlaue (Cr)'!$C:$FB,67)</f>
        <v>1644</v>
      </c>
      <c r="M75" s="75">
        <f>VLOOKUP($A75,'Data Vlaue (Cr)'!$C:$FB,68)</f>
        <v>661</v>
      </c>
      <c r="N75" s="75">
        <f t="shared" si="4"/>
        <v>983</v>
      </c>
      <c r="O75" s="75">
        <f t="shared" si="5"/>
        <v>59.793187347931877</v>
      </c>
      <c r="P75" s="75">
        <f>VLOOKUP($A75,'Data Vlaue (Cr)'!$C:$FB,119)</f>
        <v>0.7</v>
      </c>
      <c r="Q75" s="75">
        <f>VLOOKUP($A75,'Data Vlaue (Cr)'!$C:$FB,122)*100</f>
        <v>6.0600000000000005</v>
      </c>
      <c r="R75" s="75">
        <f>VLOOKUP($A75,'Data Vlaue (Cr)'!$C:$FB,125)</f>
        <v>0.56000000000000005</v>
      </c>
      <c r="S75" s="75">
        <f>VLOOKUP($A75,'Data Vlaue (Cr)'!$C:$FB,128)*100</f>
        <v>36.590000000000003</v>
      </c>
    </row>
    <row r="76" spans="1:19" x14ac:dyDescent="0.25">
      <c r="A76" s="96" t="str">
        <f>'Data Vlaue (Cr)'!C67</f>
        <v>GLENMARK</v>
      </c>
      <c r="B76" s="75">
        <f>VLOOKUP($A76,'Data Vlaue (Cr)'!$C:$FB,2)</f>
        <v>375</v>
      </c>
      <c r="C76" s="75">
        <f>VLOOKUP($A76,'Data Vlaue (Cr)'!$C:$FB,8)</f>
        <v>1878</v>
      </c>
      <c r="D76" s="75">
        <f>VLOOKUP($A76,'Data Vlaue (Cr)'!$C:$FB,4)</f>
        <v>1883.9</v>
      </c>
      <c r="E76" s="75">
        <f>VLOOKUP($A76,'Data Vlaue (Cr)'!$C:$FB,5)</f>
        <v>1842.1</v>
      </c>
      <c r="F76" s="75">
        <f t="shared" ref="F76:F139" si="6">D76-C76</f>
        <v>5.9000000000000909</v>
      </c>
      <c r="G76" s="75">
        <f t="shared" ref="G76:G139" si="7">(D76-E76)/D76*100</f>
        <v>2.2188014225808259</v>
      </c>
      <c r="H76" s="75">
        <f>VLOOKUP($A76,'Data Vlaue (Cr)'!$C:$FB,99)</f>
        <v>5067</v>
      </c>
      <c r="I76" s="75">
        <f>VLOOKUP($A76,'Data Vlaue (Cr)'!$C:$FB,100)</f>
        <v>5602</v>
      </c>
      <c r="J76" s="75">
        <f t="shared" ref="J76:J139" si="8">H76-I76</f>
        <v>-535</v>
      </c>
      <c r="K76" s="75">
        <f t="shared" ref="K76:K139" si="9">J76/H76*100</f>
        <v>-10.558515887112691</v>
      </c>
      <c r="L76" s="75">
        <f>VLOOKUP($A76,'Data Vlaue (Cr)'!$C:$FB,67)</f>
        <v>8527</v>
      </c>
      <c r="M76" s="75">
        <f>VLOOKUP($A76,'Data Vlaue (Cr)'!$C:$FB,68)</f>
        <v>5943</v>
      </c>
      <c r="N76" s="75">
        <f t="shared" ref="N76:N139" si="10">L76-M76</f>
        <v>2584</v>
      </c>
      <c r="O76" s="75">
        <f t="shared" ref="O76:O139" si="11">N76/L76*100</f>
        <v>30.303741057816346</v>
      </c>
      <c r="P76" s="75">
        <f>VLOOKUP($A76,'Data Vlaue (Cr)'!$C:$FB,119)</f>
        <v>0.55000000000000004</v>
      </c>
      <c r="Q76" s="75">
        <f>VLOOKUP($A76,'Data Vlaue (Cr)'!$C:$FB,122)*100</f>
        <v>25</v>
      </c>
      <c r="R76" s="75">
        <f>VLOOKUP($A76,'Data Vlaue (Cr)'!$C:$FB,125)</f>
        <v>0.28999999999999998</v>
      </c>
      <c r="S76" s="75">
        <f>VLOOKUP($A76,'Data Vlaue (Cr)'!$C:$FB,128)*100</f>
        <v>0</v>
      </c>
    </row>
    <row r="77" spans="1:19" x14ac:dyDescent="0.25">
      <c r="A77" s="96" t="str">
        <f>'Data Vlaue (Cr)'!C68</f>
        <v>GMRAIRPORT</v>
      </c>
      <c r="B77" s="75">
        <f>VLOOKUP($A77,'Data Vlaue (Cr)'!$C:$FB,2)</f>
        <v>6975</v>
      </c>
      <c r="C77" s="75">
        <f>VLOOKUP($A77,'Data Vlaue (Cr)'!$C:$FB,8)</f>
        <v>103.27</v>
      </c>
      <c r="D77" s="75">
        <f>VLOOKUP($A77,'Data Vlaue (Cr)'!$C:$FB,4)</f>
        <v>103.2</v>
      </c>
      <c r="E77" s="75">
        <f>VLOOKUP($A77,'Data Vlaue (Cr)'!$C:$FB,5)</f>
        <v>102.87</v>
      </c>
      <c r="F77" s="75">
        <f t="shared" si="6"/>
        <v>-6.9999999999993179E-2</v>
      </c>
      <c r="G77" s="75">
        <f t="shared" si="7"/>
        <v>0.31976744186046346</v>
      </c>
      <c r="H77" s="75">
        <f>VLOOKUP($A77,'Data Vlaue (Cr)'!$C:$FB,99)</f>
        <v>4909</v>
      </c>
      <c r="I77" s="75">
        <f>VLOOKUP($A77,'Data Vlaue (Cr)'!$C:$FB,100)</f>
        <v>5048</v>
      </c>
      <c r="J77" s="75">
        <f t="shared" si="8"/>
        <v>-139</v>
      </c>
      <c r="K77" s="75">
        <f t="shared" si="9"/>
        <v>-2.8315339172947649</v>
      </c>
      <c r="L77" s="75">
        <f>VLOOKUP($A77,'Data Vlaue (Cr)'!$C:$FB,67)</f>
        <v>3448</v>
      </c>
      <c r="M77" s="75">
        <f>VLOOKUP($A77,'Data Vlaue (Cr)'!$C:$FB,68)</f>
        <v>4875</v>
      </c>
      <c r="N77" s="75">
        <f t="shared" si="10"/>
        <v>-1427</v>
      </c>
      <c r="O77" s="75">
        <f t="shared" si="11"/>
        <v>-41.386310904872389</v>
      </c>
      <c r="P77" s="75">
        <f>VLOOKUP($A77,'Data Vlaue (Cr)'!$C:$FB,119)</f>
        <v>0.6</v>
      </c>
      <c r="Q77" s="75">
        <f>VLOOKUP($A77,'Data Vlaue (Cr)'!$C:$FB,122)*100</f>
        <v>-4.7600000000000007</v>
      </c>
      <c r="R77" s="75">
        <f>VLOOKUP($A77,'Data Vlaue (Cr)'!$C:$FB,125)</f>
        <v>0.47</v>
      </c>
      <c r="S77" s="75">
        <f>VLOOKUP($A77,'Data Vlaue (Cr)'!$C:$FB,128)*100</f>
        <v>2.17</v>
      </c>
    </row>
    <row r="78" spans="1:19" x14ac:dyDescent="0.25">
      <c r="A78" s="96" t="str">
        <f>'Data Vlaue (Cr)'!C69</f>
        <v>GODREJCP</v>
      </c>
      <c r="B78" s="75">
        <f>VLOOKUP($A78,'Data Vlaue (Cr)'!$C:$FB,2)</f>
        <v>500</v>
      </c>
      <c r="C78" s="75">
        <f>VLOOKUP($A78,'Data Vlaue (Cr)'!$C:$FB,8)</f>
        <v>1127.3</v>
      </c>
      <c r="D78" s="75">
        <f>VLOOKUP($A78,'Data Vlaue (Cr)'!$C:$FB,4)</f>
        <v>1129.2</v>
      </c>
      <c r="E78" s="75">
        <f>VLOOKUP($A78,'Data Vlaue (Cr)'!$C:$FB,5)</f>
        <v>1143.0999999999999</v>
      </c>
      <c r="F78" s="75">
        <f t="shared" si="6"/>
        <v>1.9000000000000909</v>
      </c>
      <c r="G78" s="75">
        <f t="shared" si="7"/>
        <v>-1.2309599716613411</v>
      </c>
      <c r="H78" s="75">
        <f>VLOOKUP($A78,'Data Vlaue (Cr)'!$C:$FB,99)</f>
        <v>1653</v>
      </c>
      <c r="I78" s="75">
        <f>VLOOKUP($A78,'Data Vlaue (Cr)'!$C:$FB,100)</f>
        <v>1612</v>
      </c>
      <c r="J78" s="75">
        <f t="shared" si="8"/>
        <v>41</v>
      </c>
      <c r="K78" s="75">
        <f t="shared" si="9"/>
        <v>2.4803387779794313</v>
      </c>
      <c r="L78" s="75">
        <f>VLOOKUP($A78,'Data Vlaue (Cr)'!$C:$FB,67)</f>
        <v>1136</v>
      </c>
      <c r="M78" s="75">
        <f>VLOOKUP($A78,'Data Vlaue (Cr)'!$C:$FB,68)</f>
        <v>692</v>
      </c>
      <c r="N78" s="75">
        <f t="shared" si="10"/>
        <v>444</v>
      </c>
      <c r="O78" s="75">
        <f t="shared" si="11"/>
        <v>39.08450704225352</v>
      </c>
      <c r="P78" s="75">
        <f>VLOOKUP($A78,'Data Vlaue (Cr)'!$C:$FB,119)</f>
        <v>0.76</v>
      </c>
      <c r="Q78" s="75">
        <f>VLOOKUP($A78,'Data Vlaue (Cr)'!$C:$FB,122)*100</f>
        <v>5.56</v>
      </c>
      <c r="R78" s="75">
        <f>VLOOKUP($A78,'Data Vlaue (Cr)'!$C:$FB,125)</f>
        <v>0.52</v>
      </c>
      <c r="S78" s="75">
        <f>VLOOKUP($A78,'Data Vlaue (Cr)'!$C:$FB,128)*100</f>
        <v>-10.34</v>
      </c>
    </row>
    <row r="79" spans="1:19" x14ac:dyDescent="0.25">
      <c r="A79" s="96" t="str">
        <f>'Data Vlaue (Cr)'!C70</f>
        <v>GODREJPROP</v>
      </c>
      <c r="B79" s="75">
        <f>VLOOKUP($A79,'Data Vlaue (Cr)'!$C:$FB,2)</f>
        <v>275</v>
      </c>
      <c r="C79" s="75">
        <f>VLOOKUP($A79,'Data Vlaue (Cr)'!$C:$FB,8)</f>
        <v>2123.8000000000002</v>
      </c>
      <c r="D79" s="75">
        <f>VLOOKUP($A79,'Data Vlaue (Cr)'!$C:$FB,4)</f>
        <v>2125.6999999999998</v>
      </c>
      <c r="E79" s="75">
        <f>VLOOKUP($A79,'Data Vlaue (Cr)'!$C:$FB,5)</f>
        <v>2132.1999999999998</v>
      </c>
      <c r="F79" s="75">
        <f t="shared" si="6"/>
        <v>1.8999999999996362</v>
      </c>
      <c r="G79" s="75">
        <f t="shared" si="7"/>
        <v>-0.30578162487651128</v>
      </c>
      <c r="H79" s="75">
        <f>VLOOKUP($A79,'Data Vlaue (Cr)'!$C:$FB,99)</f>
        <v>2747</v>
      </c>
      <c r="I79" s="75">
        <f>VLOOKUP($A79,'Data Vlaue (Cr)'!$C:$FB,100)</f>
        <v>2746</v>
      </c>
      <c r="J79" s="75">
        <f t="shared" si="8"/>
        <v>1</v>
      </c>
      <c r="K79" s="75">
        <f t="shared" si="9"/>
        <v>3.6403349108117947E-2</v>
      </c>
      <c r="L79" s="75">
        <f>VLOOKUP($A79,'Data Vlaue (Cr)'!$C:$FB,67)</f>
        <v>1613</v>
      </c>
      <c r="M79" s="75">
        <f>VLOOKUP($A79,'Data Vlaue (Cr)'!$C:$FB,68)</f>
        <v>1598</v>
      </c>
      <c r="N79" s="75">
        <f t="shared" si="10"/>
        <v>15</v>
      </c>
      <c r="O79" s="75">
        <f t="shared" si="11"/>
        <v>0.92994420334779915</v>
      </c>
      <c r="P79" s="75">
        <f>VLOOKUP($A79,'Data Vlaue (Cr)'!$C:$FB,119)</f>
        <v>0.57999999999999996</v>
      </c>
      <c r="Q79" s="75">
        <f>VLOOKUP($A79,'Data Vlaue (Cr)'!$C:$FB,122)*100</f>
        <v>-3.3300000000000005</v>
      </c>
      <c r="R79" s="75">
        <f>VLOOKUP($A79,'Data Vlaue (Cr)'!$C:$FB,125)</f>
        <v>0.32</v>
      </c>
      <c r="S79" s="75">
        <f>VLOOKUP($A79,'Data Vlaue (Cr)'!$C:$FB,128)*100</f>
        <v>-33.33</v>
      </c>
    </row>
    <row r="80" spans="1:19" x14ac:dyDescent="0.25">
      <c r="A80" s="96" t="str">
        <f>'Data Vlaue (Cr)'!C71</f>
        <v>GRASIM</v>
      </c>
      <c r="B80" s="75">
        <f>VLOOKUP($A80,'Data Vlaue (Cr)'!$C:$FB,2)</f>
        <v>250</v>
      </c>
      <c r="C80" s="75">
        <f>VLOOKUP($A80,'Data Vlaue (Cr)'!$C:$FB,8)</f>
        <v>2748.6</v>
      </c>
      <c r="D80" s="75">
        <f>VLOOKUP($A80,'Data Vlaue (Cr)'!$C:$FB,4)</f>
        <v>2751.9</v>
      </c>
      <c r="E80" s="75">
        <f>VLOOKUP($A80,'Data Vlaue (Cr)'!$C:$FB,5)</f>
        <v>2745.7</v>
      </c>
      <c r="F80" s="75">
        <f t="shared" si="6"/>
        <v>3.3000000000001819</v>
      </c>
      <c r="G80" s="75">
        <f t="shared" si="7"/>
        <v>0.22529888440714682</v>
      </c>
      <c r="H80" s="75">
        <f>VLOOKUP($A80,'Data Vlaue (Cr)'!$C:$FB,99)</f>
        <v>6441</v>
      </c>
      <c r="I80" s="75">
        <f>VLOOKUP($A80,'Data Vlaue (Cr)'!$C:$FB,100)</f>
        <v>6531</v>
      </c>
      <c r="J80" s="75">
        <f t="shared" si="8"/>
        <v>-90</v>
      </c>
      <c r="K80" s="75">
        <f t="shared" si="9"/>
        <v>-1.3972985561248252</v>
      </c>
      <c r="L80" s="75">
        <f>VLOOKUP($A80,'Data Vlaue (Cr)'!$C:$FB,67)</f>
        <v>3315</v>
      </c>
      <c r="M80" s="75">
        <f>VLOOKUP($A80,'Data Vlaue (Cr)'!$C:$FB,68)</f>
        <v>3557</v>
      </c>
      <c r="N80" s="75">
        <f t="shared" si="10"/>
        <v>-242</v>
      </c>
      <c r="O80" s="75">
        <f t="shared" si="11"/>
        <v>-7.300150829562595</v>
      </c>
      <c r="P80" s="75">
        <f>VLOOKUP($A80,'Data Vlaue (Cr)'!$C:$FB,119)</f>
        <v>0.54</v>
      </c>
      <c r="Q80" s="75">
        <f>VLOOKUP($A80,'Data Vlaue (Cr)'!$C:$FB,122)*100</f>
        <v>3.85</v>
      </c>
      <c r="R80" s="75">
        <f>VLOOKUP($A80,'Data Vlaue (Cr)'!$C:$FB,125)</f>
        <v>0.4</v>
      </c>
      <c r="S80" s="75">
        <f>VLOOKUP($A80,'Data Vlaue (Cr)'!$C:$FB,128)*100</f>
        <v>11.110000000000001</v>
      </c>
    </row>
    <row r="81" spans="1:19" x14ac:dyDescent="0.25">
      <c r="A81" s="96" t="str">
        <f>'Data Vlaue (Cr)'!C72</f>
        <v>HAL</v>
      </c>
      <c r="B81" s="75">
        <f>VLOOKUP($A81,'Data Vlaue (Cr)'!$C:$FB,2)</f>
        <v>150</v>
      </c>
      <c r="C81" s="75">
        <f>VLOOKUP($A81,'Data Vlaue (Cr)'!$C:$FB,8)</f>
        <v>4716.6000000000004</v>
      </c>
      <c r="D81" s="75">
        <f>VLOOKUP($A81,'Data Vlaue (Cr)'!$C:$FB,4)</f>
        <v>4716.8</v>
      </c>
      <c r="E81" s="75">
        <f>VLOOKUP($A81,'Data Vlaue (Cr)'!$C:$FB,5)</f>
        <v>4742.2</v>
      </c>
      <c r="F81" s="75">
        <f t="shared" si="6"/>
        <v>0.1999999999998181</v>
      </c>
      <c r="G81" s="75">
        <f t="shared" si="7"/>
        <v>-0.53850067842604377</v>
      </c>
      <c r="H81" s="75">
        <f>VLOOKUP($A81,'Data Vlaue (Cr)'!$C:$FB,99)</f>
        <v>9725</v>
      </c>
      <c r="I81" s="75">
        <f>VLOOKUP($A81,'Data Vlaue (Cr)'!$C:$FB,100)</f>
        <v>9925</v>
      </c>
      <c r="J81" s="75">
        <f t="shared" si="8"/>
        <v>-200</v>
      </c>
      <c r="K81" s="75">
        <f t="shared" si="9"/>
        <v>-2.0565552699228791</v>
      </c>
      <c r="L81" s="75">
        <f>VLOOKUP($A81,'Data Vlaue (Cr)'!$C:$FB,67)</f>
        <v>11460</v>
      </c>
      <c r="M81" s="75">
        <f>VLOOKUP($A81,'Data Vlaue (Cr)'!$C:$FB,68)</f>
        <v>9287</v>
      </c>
      <c r="N81" s="75">
        <f t="shared" si="10"/>
        <v>2173</v>
      </c>
      <c r="O81" s="75">
        <f t="shared" si="11"/>
        <v>18.961605584642232</v>
      </c>
      <c r="P81" s="75">
        <f>VLOOKUP($A81,'Data Vlaue (Cr)'!$C:$FB,119)</f>
        <v>0.46</v>
      </c>
      <c r="Q81" s="75">
        <f>VLOOKUP($A81,'Data Vlaue (Cr)'!$C:$FB,122)*100</f>
        <v>2.2200000000000002</v>
      </c>
      <c r="R81" s="75">
        <f>VLOOKUP($A81,'Data Vlaue (Cr)'!$C:$FB,125)</f>
        <v>0.28999999999999998</v>
      </c>
      <c r="S81" s="75">
        <f>VLOOKUP($A81,'Data Vlaue (Cr)'!$C:$FB,128)*100</f>
        <v>-17.14</v>
      </c>
    </row>
    <row r="82" spans="1:19" x14ac:dyDescent="0.25">
      <c r="A82" s="96" t="str">
        <f>'Data Vlaue (Cr)'!C73</f>
        <v>HAVELLS</v>
      </c>
      <c r="B82" s="75">
        <f>VLOOKUP($A82,'Data Vlaue (Cr)'!$C:$FB,2)</f>
        <v>500</v>
      </c>
      <c r="C82" s="75">
        <f>VLOOKUP($A82,'Data Vlaue (Cr)'!$C:$FB,8)</f>
        <v>1448.5</v>
      </c>
      <c r="D82" s="75">
        <f>VLOOKUP($A82,'Data Vlaue (Cr)'!$C:$FB,4)</f>
        <v>1447.9</v>
      </c>
      <c r="E82" s="75">
        <f>VLOOKUP($A82,'Data Vlaue (Cr)'!$C:$FB,5)</f>
        <v>1443</v>
      </c>
      <c r="F82" s="75">
        <f t="shared" si="6"/>
        <v>-0.59999999999990905</v>
      </c>
      <c r="G82" s="75">
        <f t="shared" si="7"/>
        <v>0.33842116168244291</v>
      </c>
      <c r="H82" s="75">
        <f>VLOOKUP($A82,'Data Vlaue (Cr)'!$C:$FB,99)</f>
        <v>1959</v>
      </c>
      <c r="I82" s="75">
        <f>VLOOKUP($A82,'Data Vlaue (Cr)'!$C:$FB,100)</f>
        <v>2017</v>
      </c>
      <c r="J82" s="75">
        <f t="shared" si="8"/>
        <v>-58</v>
      </c>
      <c r="K82" s="75">
        <f t="shared" si="9"/>
        <v>-2.9606942317508933</v>
      </c>
      <c r="L82" s="75">
        <f>VLOOKUP($A82,'Data Vlaue (Cr)'!$C:$FB,67)</f>
        <v>1276</v>
      </c>
      <c r="M82" s="75">
        <f>VLOOKUP($A82,'Data Vlaue (Cr)'!$C:$FB,68)</f>
        <v>934</v>
      </c>
      <c r="N82" s="75">
        <f t="shared" si="10"/>
        <v>342</v>
      </c>
      <c r="O82" s="75">
        <f t="shared" si="11"/>
        <v>26.802507836990596</v>
      </c>
      <c r="P82" s="75">
        <f>VLOOKUP($A82,'Data Vlaue (Cr)'!$C:$FB,119)</f>
        <v>0.72</v>
      </c>
      <c r="Q82" s="75">
        <f>VLOOKUP($A82,'Data Vlaue (Cr)'!$C:$FB,122)*100</f>
        <v>9.09</v>
      </c>
      <c r="R82" s="75">
        <f>VLOOKUP($A82,'Data Vlaue (Cr)'!$C:$FB,125)</f>
        <v>0.45</v>
      </c>
      <c r="S82" s="75">
        <f>VLOOKUP($A82,'Data Vlaue (Cr)'!$C:$FB,128)*100</f>
        <v>0</v>
      </c>
    </row>
    <row r="83" spans="1:19" x14ac:dyDescent="0.25">
      <c r="A83" s="96" t="str">
        <f>'Data Vlaue (Cr)'!C74</f>
        <v>HCLTECH</v>
      </c>
      <c r="B83" s="75">
        <f>VLOOKUP($A83,'Data Vlaue (Cr)'!$C:$FB,2)</f>
        <v>350</v>
      </c>
      <c r="C83" s="75">
        <f>VLOOKUP($A83,'Data Vlaue (Cr)'!$C:$FB,8)</f>
        <v>1645.4</v>
      </c>
      <c r="D83" s="75">
        <f>VLOOKUP($A83,'Data Vlaue (Cr)'!$C:$FB,4)</f>
        <v>1647.6</v>
      </c>
      <c r="E83" s="75">
        <f>VLOOKUP($A83,'Data Vlaue (Cr)'!$C:$FB,5)</f>
        <v>1660</v>
      </c>
      <c r="F83" s="75">
        <f t="shared" si="6"/>
        <v>2.1999999999998181</v>
      </c>
      <c r="G83" s="75">
        <f t="shared" si="7"/>
        <v>-0.75260985676135539</v>
      </c>
      <c r="H83" s="75">
        <f>VLOOKUP($A83,'Data Vlaue (Cr)'!$C:$FB,99)</f>
        <v>4666</v>
      </c>
      <c r="I83" s="75">
        <f>VLOOKUP($A83,'Data Vlaue (Cr)'!$C:$FB,100)</f>
        <v>4779</v>
      </c>
      <c r="J83" s="75">
        <f t="shared" si="8"/>
        <v>-113</v>
      </c>
      <c r="K83" s="75">
        <f t="shared" si="9"/>
        <v>-2.4217745392198888</v>
      </c>
      <c r="L83" s="75">
        <f>VLOOKUP($A83,'Data Vlaue (Cr)'!$C:$FB,67)</f>
        <v>6618</v>
      </c>
      <c r="M83" s="75">
        <f>VLOOKUP($A83,'Data Vlaue (Cr)'!$C:$FB,68)</f>
        <v>16829</v>
      </c>
      <c r="N83" s="75">
        <f t="shared" si="10"/>
        <v>-10211</v>
      </c>
      <c r="O83" s="75">
        <f t="shared" si="11"/>
        <v>-154.29132668479903</v>
      </c>
      <c r="P83" s="75">
        <f>VLOOKUP($A83,'Data Vlaue (Cr)'!$C:$FB,119)</f>
        <v>0.77</v>
      </c>
      <c r="Q83" s="75">
        <f>VLOOKUP($A83,'Data Vlaue (Cr)'!$C:$FB,122)*100</f>
        <v>-15.379999999999999</v>
      </c>
      <c r="R83" s="75">
        <f>VLOOKUP($A83,'Data Vlaue (Cr)'!$C:$FB,125)</f>
        <v>0.68</v>
      </c>
      <c r="S83" s="75">
        <f>VLOOKUP($A83,'Data Vlaue (Cr)'!$C:$FB,128)*100</f>
        <v>70</v>
      </c>
    </row>
    <row r="84" spans="1:19" x14ac:dyDescent="0.25">
      <c r="A84" s="96" t="str">
        <f>'Data Vlaue (Cr)'!C75</f>
        <v>HDFCAMC</v>
      </c>
      <c r="B84" s="75">
        <f>VLOOKUP($A84,'Data Vlaue (Cr)'!$C:$FB,2)</f>
        <v>150</v>
      </c>
      <c r="C84" s="75">
        <f>VLOOKUP($A84,'Data Vlaue (Cr)'!$C:$FB,8)</f>
        <v>5399</v>
      </c>
      <c r="D84" s="75">
        <f>VLOOKUP($A84,'Data Vlaue (Cr)'!$C:$FB,4)</f>
        <v>5406</v>
      </c>
      <c r="E84" s="75">
        <f>VLOOKUP($A84,'Data Vlaue (Cr)'!$C:$FB,5)</f>
        <v>5399.5</v>
      </c>
      <c r="F84" s="75">
        <f t="shared" si="6"/>
        <v>7</v>
      </c>
      <c r="G84" s="75">
        <f t="shared" si="7"/>
        <v>0.12023677395486497</v>
      </c>
      <c r="H84" s="75">
        <f>VLOOKUP($A84,'Data Vlaue (Cr)'!$C:$FB,99)</f>
        <v>2731</v>
      </c>
      <c r="I84" s="75">
        <f>VLOOKUP($A84,'Data Vlaue (Cr)'!$C:$FB,100)</f>
        <v>2797</v>
      </c>
      <c r="J84" s="75">
        <f t="shared" si="8"/>
        <v>-66</v>
      </c>
      <c r="K84" s="75">
        <f t="shared" si="9"/>
        <v>-2.4166971805199564</v>
      </c>
      <c r="L84" s="75">
        <f>VLOOKUP($A84,'Data Vlaue (Cr)'!$C:$FB,67)</f>
        <v>1854</v>
      </c>
      <c r="M84" s="75">
        <f>VLOOKUP($A84,'Data Vlaue (Cr)'!$C:$FB,68)</f>
        <v>1557</v>
      </c>
      <c r="N84" s="75">
        <f t="shared" si="10"/>
        <v>297</v>
      </c>
      <c r="O84" s="75">
        <f t="shared" si="11"/>
        <v>16.019417475728158</v>
      </c>
      <c r="P84" s="75">
        <f>VLOOKUP($A84,'Data Vlaue (Cr)'!$C:$FB,119)</f>
        <v>0.61</v>
      </c>
      <c r="Q84" s="75">
        <f>VLOOKUP($A84,'Data Vlaue (Cr)'!$C:$FB,122)*100</f>
        <v>5.17</v>
      </c>
      <c r="R84" s="75">
        <f>VLOOKUP($A84,'Data Vlaue (Cr)'!$C:$FB,125)</f>
        <v>0.27</v>
      </c>
      <c r="S84" s="75">
        <f>VLOOKUP($A84,'Data Vlaue (Cr)'!$C:$FB,128)*100</f>
        <v>12.5</v>
      </c>
    </row>
    <row r="85" spans="1:19" x14ac:dyDescent="0.25">
      <c r="A85" s="96" t="str">
        <f>'Data Vlaue (Cr)'!C76</f>
        <v>HDFCBANK</v>
      </c>
      <c r="B85" s="75">
        <f>VLOOKUP($A85,'Data Vlaue (Cr)'!$C:$FB,2)</f>
        <v>550</v>
      </c>
      <c r="C85" s="75">
        <f>VLOOKUP($A85,'Data Vlaue (Cr)'!$C:$FB,8)</f>
        <v>1008.85</v>
      </c>
      <c r="D85" s="75">
        <f>VLOOKUP($A85,'Data Vlaue (Cr)'!$C:$FB,4)</f>
        <v>1010.05</v>
      </c>
      <c r="E85" s="75">
        <f>VLOOKUP($A85,'Data Vlaue (Cr)'!$C:$FB,5)</f>
        <v>995.2</v>
      </c>
      <c r="F85" s="75">
        <f t="shared" si="6"/>
        <v>1.1999999999999318</v>
      </c>
      <c r="G85" s="75">
        <f t="shared" si="7"/>
        <v>1.4702242463244304</v>
      </c>
      <c r="H85" s="75">
        <f>VLOOKUP($A85,'Data Vlaue (Cr)'!$C:$FB,99)</f>
        <v>27751</v>
      </c>
      <c r="I85" s="75">
        <f>VLOOKUP($A85,'Data Vlaue (Cr)'!$C:$FB,100)</f>
        <v>28228</v>
      </c>
      <c r="J85" s="75">
        <f t="shared" si="8"/>
        <v>-477</v>
      </c>
      <c r="K85" s="75">
        <f t="shared" si="9"/>
        <v>-1.7188569781269143</v>
      </c>
      <c r="L85" s="75">
        <f>VLOOKUP($A85,'Data Vlaue (Cr)'!$C:$FB,67)</f>
        <v>28953</v>
      </c>
      <c r="M85" s="75">
        <f>VLOOKUP($A85,'Data Vlaue (Cr)'!$C:$FB,68)</f>
        <v>12803</v>
      </c>
      <c r="N85" s="75">
        <f t="shared" si="10"/>
        <v>16150</v>
      </c>
      <c r="O85" s="75">
        <f t="shared" si="11"/>
        <v>55.780057334300416</v>
      </c>
      <c r="P85" s="75">
        <f>VLOOKUP($A85,'Data Vlaue (Cr)'!$C:$FB,119)</f>
        <v>0.74</v>
      </c>
      <c r="Q85" s="75">
        <f>VLOOKUP($A85,'Data Vlaue (Cr)'!$C:$FB,122)*100</f>
        <v>19.350000000000001</v>
      </c>
      <c r="R85" s="75">
        <f>VLOOKUP($A85,'Data Vlaue (Cr)'!$C:$FB,125)</f>
        <v>0.51</v>
      </c>
      <c r="S85" s="75">
        <f>VLOOKUP($A85,'Data Vlaue (Cr)'!$C:$FB,128)*100</f>
        <v>8.51</v>
      </c>
    </row>
    <row r="86" spans="1:19" x14ac:dyDescent="0.25">
      <c r="A86" s="96" t="str">
        <f>'Data Vlaue (Cr)'!C77</f>
        <v>HDFCLIFE</v>
      </c>
      <c r="B86" s="75">
        <f>VLOOKUP($A86,'Data Vlaue (Cr)'!$C:$FB,2)</f>
        <v>1100</v>
      </c>
      <c r="C86" s="75">
        <f>VLOOKUP($A86,'Data Vlaue (Cr)'!$C:$FB,8)</f>
        <v>762.2</v>
      </c>
      <c r="D86" s="75">
        <f>VLOOKUP($A86,'Data Vlaue (Cr)'!$C:$FB,4)</f>
        <v>762.6</v>
      </c>
      <c r="E86" s="75">
        <f>VLOOKUP($A86,'Data Vlaue (Cr)'!$C:$FB,5)</f>
        <v>760.45</v>
      </c>
      <c r="F86" s="75">
        <f t="shared" si="6"/>
        <v>0.39999999999997726</v>
      </c>
      <c r="G86" s="75">
        <f t="shared" si="7"/>
        <v>0.28193023865722233</v>
      </c>
      <c r="H86" s="75">
        <f>VLOOKUP($A86,'Data Vlaue (Cr)'!$C:$FB,99)</f>
        <v>3634</v>
      </c>
      <c r="I86" s="75">
        <f>VLOOKUP($A86,'Data Vlaue (Cr)'!$C:$FB,100)</f>
        <v>3602</v>
      </c>
      <c r="J86" s="75">
        <f t="shared" si="8"/>
        <v>32</v>
      </c>
      <c r="K86" s="75">
        <f t="shared" si="9"/>
        <v>0.88057237204182714</v>
      </c>
      <c r="L86" s="75">
        <f>VLOOKUP($A86,'Data Vlaue (Cr)'!$C:$FB,67)</f>
        <v>3280</v>
      </c>
      <c r="M86" s="75">
        <f>VLOOKUP($A86,'Data Vlaue (Cr)'!$C:$FB,68)</f>
        <v>1311</v>
      </c>
      <c r="N86" s="75">
        <f t="shared" si="10"/>
        <v>1969</v>
      </c>
      <c r="O86" s="75">
        <f t="shared" si="11"/>
        <v>60.030487804878049</v>
      </c>
      <c r="P86" s="75">
        <f>VLOOKUP($A86,'Data Vlaue (Cr)'!$C:$FB,119)</f>
        <v>0.71</v>
      </c>
      <c r="Q86" s="75">
        <f>VLOOKUP($A86,'Data Vlaue (Cr)'!$C:$FB,122)*100</f>
        <v>5.9700000000000006</v>
      </c>
      <c r="R86" s="75">
        <f>VLOOKUP($A86,'Data Vlaue (Cr)'!$C:$FB,125)</f>
        <v>0.56000000000000005</v>
      </c>
      <c r="S86" s="75">
        <f>VLOOKUP($A86,'Data Vlaue (Cr)'!$C:$FB,128)*100</f>
        <v>16.669999999999998</v>
      </c>
    </row>
    <row r="87" spans="1:19" x14ac:dyDescent="0.25">
      <c r="A87" s="96" t="str">
        <f>'Data Vlaue (Cr)'!C78</f>
        <v>HEROMOTOCO</v>
      </c>
      <c r="B87" s="75">
        <f>VLOOKUP($A87,'Data Vlaue (Cr)'!$C:$FB,2)</f>
        <v>150</v>
      </c>
      <c r="C87" s="75">
        <f>VLOOKUP($A87,'Data Vlaue (Cr)'!$C:$FB,8)</f>
        <v>5999.5</v>
      </c>
      <c r="D87" s="75">
        <f>VLOOKUP($A87,'Data Vlaue (Cr)'!$C:$FB,4)</f>
        <v>6005</v>
      </c>
      <c r="E87" s="75">
        <f>VLOOKUP($A87,'Data Vlaue (Cr)'!$C:$FB,5)</f>
        <v>5891</v>
      </c>
      <c r="F87" s="75">
        <f t="shared" si="6"/>
        <v>5.5</v>
      </c>
      <c r="G87" s="75">
        <f t="shared" si="7"/>
        <v>1.8984179850124894</v>
      </c>
      <c r="H87" s="75">
        <f>VLOOKUP($A87,'Data Vlaue (Cr)'!$C:$FB,99)</f>
        <v>8357</v>
      </c>
      <c r="I87" s="75">
        <f>VLOOKUP($A87,'Data Vlaue (Cr)'!$C:$FB,100)</f>
        <v>7916</v>
      </c>
      <c r="J87" s="75">
        <f t="shared" si="8"/>
        <v>441</v>
      </c>
      <c r="K87" s="75">
        <f t="shared" si="9"/>
        <v>5.2770132822783298</v>
      </c>
      <c r="L87" s="75">
        <f>VLOOKUP($A87,'Data Vlaue (Cr)'!$C:$FB,67)</f>
        <v>29128</v>
      </c>
      <c r="M87" s="75">
        <f>VLOOKUP($A87,'Data Vlaue (Cr)'!$C:$FB,68)</f>
        <v>14786</v>
      </c>
      <c r="N87" s="75">
        <f t="shared" si="10"/>
        <v>14342</v>
      </c>
      <c r="O87" s="75">
        <f t="shared" si="11"/>
        <v>49.237846745399615</v>
      </c>
      <c r="P87" s="75">
        <f>VLOOKUP($A87,'Data Vlaue (Cr)'!$C:$FB,119)</f>
        <v>1.05</v>
      </c>
      <c r="Q87" s="75">
        <f>VLOOKUP($A87,'Data Vlaue (Cr)'!$C:$FB,122)*100</f>
        <v>3.9600000000000004</v>
      </c>
      <c r="R87" s="75">
        <f>VLOOKUP($A87,'Data Vlaue (Cr)'!$C:$FB,125)</f>
        <v>0.52</v>
      </c>
      <c r="S87" s="75">
        <f>VLOOKUP($A87,'Data Vlaue (Cr)'!$C:$FB,128)*100</f>
        <v>-11.86</v>
      </c>
    </row>
    <row r="88" spans="1:19" x14ac:dyDescent="0.25">
      <c r="A88" s="96" t="str">
        <f>'Data Vlaue (Cr)'!C79</f>
        <v>HFCL</v>
      </c>
      <c r="B88" s="75">
        <f>VLOOKUP($A88,'Data Vlaue (Cr)'!$C:$FB,2)</f>
        <v>6450</v>
      </c>
      <c r="C88" s="75">
        <f>VLOOKUP($A88,'Data Vlaue (Cr)'!$C:$FB,8)</f>
        <v>73.400000000000006</v>
      </c>
      <c r="D88" s="75">
        <f>VLOOKUP($A88,'Data Vlaue (Cr)'!$C:$FB,4)</f>
        <v>73.38</v>
      </c>
      <c r="E88" s="75">
        <f>VLOOKUP($A88,'Data Vlaue (Cr)'!$C:$FB,5)</f>
        <v>73.739999999999995</v>
      </c>
      <c r="F88" s="75">
        <f t="shared" si="6"/>
        <v>-2.0000000000010232E-2</v>
      </c>
      <c r="G88" s="75">
        <f t="shared" si="7"/>
        <v>-0.49059689288634428</v>
      </c>
      <c r="H88" s="75">
        <f>VLOOKUP($A88,'Data Vlaue (Cr)'!$C:$FB,99)</f>
        <v>1506</v>
      </c>
      <c r="I88" s="75">
        <f>VLOOKUP($A88,'Data Vlaue (Cr)'!$C:$FB,100)</f>
        <v>1512</v>
      </c>
      <c r="J88" s="75">
        <f t="shared" si="8"/>
        <v>-6</v>
      </c>
      <c r="K88" s="75">
        <f t="shared" si="9"/>
        <v>-0.39840637450199201</v>
      </c>
      <c r="L88" s="75">
        <f>VLOOKUP($A88,'Data Vlaue (Cr)'!$C:$FB,67)</f>
        <v>728</v>
      </c>
      <c r="M88" s="75">
        <f>VLOOKUP($A88,'Data Vlaue (Cr)'!$C:$FB,68)</f>
        <v>660</v>
      </c>
      <c r="N88" s="75">
        <f t="shared" si="10"/>
        <v>68</v>
      </c>
      <c r="O88" s="75">
        <f t="shared" si="11"/>
        <v>9.3406593406593412</v>
      </c>
      <c r="P88" s="75">
        <f>VLOOKUP($A88,'Data Vlaue (Cr)'!$C:$FB,119)</f>
        <v>0.56000000000000005</v>
      </c>
      <c r="Q88" s="75">
        <f>VLOOKUP($A88,'Data Vlaue (Cr)'!$C:$FB,122)*100</f>
        <v>0</v>
      </c>
      <c r="R88" s="75">
        <f>VLOOKUP($A88,'Data Vlaue (Cr)'!$C:$FB,125)</f>
        <v>0.64</v>
      </c>
      <c r="S88" s="75">
        <f>VLOOKUP($A88,'Data Vlaue (Cr)'!$C:$FB,128)*100</f>
        <v>42.22</v>
      </c>
    </row>
    <row r="89" spans="1:19" x14ac:dyDescent="0.25">
      <c r="A89" s="96" t="str">
        <f>'Data Vlaue (Cr)'!C80</f>
        <v>HINDALCO</v>
      </c>
      <c r="B89" s="75">
        <f>VLOOKUP($A89,'Data Vlaue (Cr)'!$C:$FB,2)</f>
        <v>700</v>
      </c>
      <c r="C89" s="75">
        <f>VLOOKUP($A89,'Data Vlaue (Cr)'!$C:$FB,8)</f>
        <v>799.8</v>
      </c>
      <c r="D89" s="75">
        <f>VLOOKUP($A89,'Data Vlaue (Cr)'!$C:$FB,4)</f>
        <v>800.45</v>
      </c>
      <c r="E89" s="75">
        <f>VLOOKUP($A89,'Data Vlaue (Cr)'!$C:$FB,5)</f>
        <v>792.1</v>
      </c>
      <c r="F89" s="75">
        <f t="shared" si="6"/>
        <v>0.65000000000009095</v>
      </c>
      <c r="G89" s="75">
        <f t="shared" si="7"/>
        <v>1.0431632206883656</v>
      </c>
      <c r="H89" s="75">
        <f>VLOOKUP($A89,'Data Vlaue (Cr)'!$C:$FB,99)</f>
        <v>9815</v>
      </c>
      <c r="I89" s="75">
        <f>VLOOKUP($A89,'Data Vlaue (Cr)'!$C:$FB,100)</f>
        <v>9905</v>
      </c>
      <c r="J89" s="75">
        <f t="shared" si="8"/>
        <v>-90</v>
      </c>
      <c r="K89" s="75">
        <f t="shared" si="9"/>
        <v>-0.91696383087111566</v>
      </c>
      <c r="L89" s="75">
        <f>VLOOKUP($A89,'Data Vlaue (Cr)'!$C:$FB,67)</f>
        <v>8605</v>
      </c>
      <c r="M89" s="75">
        <f>VLOOKUP($A89,'Data Vlaue (Cr)'!$C:$FB,68)</f>
        <v>6736</v>
      </c>
      <c r="N89" s="75">
        <f t="shared" si="10"/>
        <v>1869</v>
      </c>
      <c r="O89" s="75">
        <f t="shared" si="11"/>
        <v>21.719930273097038</v>
      </c>
      <c r="P89" s="75">
        <f>VLOOKUP($A89,'Data Vlaue (Cr)'!$C:$FB,119)</f>
        <v>0.69</v>
      </c>
      <c r="Q89" s="75">
        <f>VLOOKUP($A89,'Data Vlaue (Cr)'!$C:$FB,122)*100</f>
        <v>1.47</v>
      </c>
      <c r="R89" s="75">
        <f>VLOOKUP($A89,'Data Vlaue (Cr)'!$C:$FB,125)</f>
        <v>0.41</v>
      </c>
      <c r="S89" s="75">
        <f>VLOOKUP($A89,'Data Vlaue (Cr)'!$C:$FB,128)*100</f>
        <v>-31.669999999999998</v>
      </c>
    </row>
    <row r="90" spans="1:19" x14ac:dyDescent="0.25">
      <c r="A90" s="96" t="str">
        <f>'Data Vlaue (Cr)'!C81</f>
        <v>HINDPETRO</v>
      </c>
      <c r="B90" s="75">
        <f>VLOOKUP($A90,'Data Vlaue (Cr)'!$C:$FB,2)</f>
        <v>2025</v>
      </c>
      <c r="C90" s="75">
        <f>VLOOKUP($A90,'Data Vlaue (Cr)'!$C:$FB,8)</f>
        <v>477.9</v>
      </c>
      <c r="D90" s="75">
        <f>VLOOKUP($A90,'Data Vlaue (Cr)'!$C:$FB,4)</f>
        <v>478.6</v>
      </c>
      <c r="E90" s="75">
        <f>VLOOKUP($A90,'Data Vlaue (Cr)'!$C:$FB,5)</f>
        <v>478.25</v>
      </c>
      <c r="F90" s="75">
        <f t="shared" si="6"/>
        <v>0.70000000000004547</v>
      </c>
      <c r="G90" s="75">
        <f t="shared" si="7"/>
        <v>7.3129962390309805E-2</v>
      </c>
      <c r="H90" s="75">
        <f>VLOOKUP($A90,'Data Vlaue (Cr)'!$C:$FB,99)</f>
        <v>3090</v>
      </c>
      <c r="I90" s="75">
        <f>VLOOKUP($A90,'Data Vlaue (Cr)'!$C:$FB,100)</f>
        <v>3119</v>
      </c>
      <c r="J90" s="75">
        <f t="shared" si="8"/>
        <v>-29</v>
      </c>
      <c r="K90" s="75">
        <f t="shared" si="9"/>
        <v>-0.93851132686084138</v>
      </c>
      <c r="L90" s="75">
        <f>VLOOKUP($A90,'Data Vlaue (Cr)'!$C:$FB,67)</f>
        <v>2207</v>
      </c>
      <c r="M90" s="75">
        <f>VLOOKUP($A90,'Data Vlaue (Cr)'!$C:$FB,68)</f>
        <v>1625</v>
      </c>
      <c r="N90" s="75">
        <f t="shared" si="10"/>
        <v>582</v>
      </c>
      <c r="O90" s="75">
        <f t="shared" si="11"/>
        <v>26.370638876302671</v>
      </c>
      <c r="P90" s="75">
        <f>VLOOKUP($A90,'Data Vlaue (Cr)'!$C:$FB,119)</f>
        <v>0.69</v>
      </c>
      <c r="Q90" s="75">
        <f>VLOOKUP($A90,'Data Vlaue (Cr)'!$C:$FB,122)*100</f>
        <v>4.55</v>
      </c>
      <c r="R90" s="75">
        <f>VLOOKUP($A90,'Data Vlaue (Cr)'!$C:$FB,125)</f>
        <v>0.4</v>
      </c>
      <c r="S90" s="75">
        <f>VLOOKUP($A90,'Data Vlaue (Cr)'!$C:$FB,128)*100</f>
        <v>-20</v>
      </c>
    </row>
    <row r="91" spans="1:19" x14ac:dyDescent="0.25">
      <c r="A91" s="96" t="str">
        <f>'Data Vlaue (Cr)'!C82</f>
        <v>HINDUNILVR</v>
      </c>
      <c r="B91" s="75">
        <f>VLOOKUP($A91,'Data Vlaue (Cr)'!$C:$FB,2)</f>
        <v>300</v>
      </c>
      <c r="C91" s="75">
        <f>VLOOKUP($A91,'Data Vlaue (Cr)'!$C:$FB,8)</f>
        <v>2428.4</v>
      </c>
      <c r="D91" s="75">
        <f>VLOOKUP($A91,'Data Vlaue (Cr)'!$C:$FB,4)</f>
        <v>2432.8000000000002</v>
      </c>
      <c r="E91" s="75">
        <f>VLOOKUP($A91,'Data Vlaue (Cr)'!$C:$FB,5)</f>
        <v>2442.1</v>
      </c>
      <c r="F91" s="75">
        <f t="shared" si="6"/>
        <v>4.4000000000000909</v>
      </c>
      <c r="G91" s="75">
        <f t="shared" si="7"/>
        <v>-0.3822755672476047</v>
      </c>
      <c r="H91" s="75">
        <f>VLOOKUP($A91,'Data Vlaue (Cr)'!$C:$FB,99)</f>
        <v>8503</v>
      </c>
      <c r="I91" s="75">
        <f>VLOOKUP($A91,'Data Vlaue (Cr)'!$C:$FB,100)</f>
        <v>9122</v>
      </c>
      <c r="J91" s="75">
        <f t="shared" si="8"/>
        <v>-619</v>
      </c>
      <c r="K91" s="75">
        <f t="shared" si="9"/>
        <v>-7.2797836057861929</v>
      </c>
      <c r="L91" s="75">
        <f>VLOOKUP($A91,'Data Vlaue (Cr)'!$C:$FB,67)</f>
        <v>8434</v>
      </c>
      <c r="M91" s="75">
        <f>VLOOKUP($A91,'Data Vlaue (Cr)'!$C:$FB,68)</f>
        <v>11109</v>
      </c>
      <c r="N91" s="75">
        <f t="shared" si="10"/>
        <v>-2675</v>
      </c>
      <c r="O91" s="75">
        <f t="shared" si="11"/>
        <v>-31.716860327246859</v>
      </c>
      <c r="P91" s="75">
        <f>VLOOKUP($A91,'Data Vlaue (Cr)'!$C:$FB,119)</f>
        <v>0.45</v>
      </c>
      <c r="Q91" s="75">
        <f>VLOOKUP($A91,'Data Vlaue (Cr)'!$C:$FB,122)*100</f>
        <v>0</v>
      </c>
      <c r="R91" s="75">
        <f>VLOOKUP($A91,'Data Vlaue (Cr)'!$C:$FB,125)</f>
        <v>0.37</v>
      </c>
      <c r="S91" s="75">
        <f>VLOOKUP($A91,'Data Vlaue (Cr)'!$C:$FB,128)*100</f>
        <v>5.71</v>
      </c>
    </row>
    <row r="92" spans="1:19" x14ac:dyDescent="0.25">
      <c r="A92" s="96" t="str">
        <f>'Data Vlaue (Cr)'!C83</f>
        <v>HINDZINC</v>
      </c>
      <c r="B92" s="75">
        <f>VLOOKUP($A92,'Data Vlaue (Cr)'!$C:$FB,2)</f>
        <v>1225</v>
      </c>
      <c r="C92" s="75">
        <f>VLOOKUP($A92,'Data Vlaue (Cr)'!$C:$FB,8)</f>
        <v>472.15</v>
      </c>
      <c r="D92" s="75">
        <f>VLOOKUP($A92,'Data Vlaue (Cr)'!$C:$FB,4)</f>
        <v>472.05</v>
      </c>
      <c r="E92" s="75">
        <f>VLOOKUP($A92,'Data Vlaue (Cr)'!$C:$FB,5)</f>
        <v>477.45</v>
      </c>
      <c r="F92" s="75">
        <f t="shared" si="6"/>
        <v>-9.9999999999965894E-2</v>
      </c>
      <c r="G92" s="75">
        <f t="shared" si="7"/>
        <v>-1.1439466158245899</v>
      </c>
      <c r="H92" s="75">
        <f>VLOOKUP($A92,'Data Vlaue (Cr)'!$C:$FB,99)</f>
        <v>3788</v>
      </c>
      <c r="I92" s="75">
        <f>VLOOKUP($A92,'Data Vlaue (Cr)'!$C:$FB,100)</f>
        <v>3865</v>
      </c>
      <c r="J92" s="75">
        <f t="shared" si="8"/>
        <v>-77</v>
      </c>
      <c r="K92" s="75">
        <f t="shared" si="9"/>
        <v>-2.0327349524815208</v>
      </c>
      <c r="L92" s="75">
        <f>VLOOKUP($A92,'Data Vlaue (Cr)'!$C:$FB,67)</f>
        <v>1818</v>
      </c>
      <c r="M92" s="75">
        <f>VLOOKUP($A92,'Data Vlaue (Cr)'!$C:$FB,68)</f>
        <v>1690</v>
      </c>
      <c r="N92" s="75">
        <f t="shared" si="10"/>
        <v>128</v>
      </c>
      <c r="O92" s="75">
        <f t="shared" si="11"/>
        <v>7.04070407040704</v>
      </c>
      <c r="P92" s="75">
        <f>VLOOKUP($A92,'Data Vlaue (Cr)'!$C:$FB,119)</f>
        <v>0.52</v>
      </c>
      <c r="Q92" s="75">
        <f>VLOOKUP($A92,'Data Vlaue (Cr)'!$C:$FB,122)*100</f>
        <v>6.12</v>
      </c>
      <c r="R92" s="75">
        <f>VLOOKUP($A92,'Data Vlaue (Cr)'!$C:$FB,125)</f>
        <v>0.23</v>
      </c>
      <c r="S92" s="75">
        <f>VLOOKUP($A92,'Data Vlaue (Cr)'!$C:$FB,128)*100</f>
        <v>-32.35</v>
      </c>
    </row>
    <row r="93" spans="1:19" x14ac:dyDescent="0.25">
      <c r="A93" s="96" t="str">
        <f>'Data Vlaue (Cr)'!C84</f>
        <v>HUDCO</v>
      </c>
      <c r="B93" s="75">
        <f>VLOOKUP($A93,'Data Vlaue (Cr)'!$C:$FB,2)</f>
        <v>2775</v>
      </c>
      <c r="C93" s="75">
        <f>VLOOKUP($A93,'Data Vlaue (Cr)'!$C:$FB,8)</f>
        <v>237.1</v>
      </c>
      <c r="D93" s="75">
        <f>VLOOKUP($A93,'Data Vlaue (Cr)'!$C:$FB,4)</f>
        <v>237.78</v>
      </c>
      <c r="E93" s="75">
        <f>VLOOKUP($A93,'Data Vlaue (Cr)'!$C:$FB,5)</f>
        <v>237.29</v>
      </c>
      <c r="F93" s="75">
        <f t="shared" si="6"/>
        <v>0.68000000000000682</v>
      </c>
      <c r="G93" s="75">
        <f t="shared" si="7"/>
        <v>0.20607284044074736</v>
      </c>
      <c r="H93" s="75">
        <f>VLOOKUP($A93,'Data Vlaue (Cr)'!$C:$FB,99)</f>
        <v>2048</v>
      </c>
      <c r="I93" s="75">
        <f>VLOOKUP($A93,'Data Vlaue (Cr)'!$C:$FB,100)</f>
        <v>2091</v>
      </c>
      <c r="J93" s="75">
        <f t="shared" si="8"/>
        <v>-43</v>
      </c>
      <c r="K93" s="75">
        <f t="shared" si="9"/>
        <v>-2.099609375</v>
      </c>
      <c r="L93" s="75">
        <f>VLOOKUP($A93,'Data Vlaue (Cr)'!$C:$FB,67)</f>
        <v>2921</v>
      </c>
      <c r="M93" s="75">
        <f>VLOOKUP($A93,'Data Vlaue (Cr)'!$C:$FB,68)</f>
        <v>2367</v>
      </c>
      <c r="N93" s="75">
        <f t="shared" si="10"/>
        <v>554</v>
      </c>
      <c r="O93" s="75">
        <f t="shared" si="11"/>
        <v>18.966107497432386</v>
      </c>
      <c r="P93" s="75">
        <f>VLOOKUP($A93,'Data Vlaue (Cr)'!$C:$FB,119)</f>
        <v>0.56999999999999995</v>
      </c>
      <c r="Q93" s="75">
        <f>VLOOKUP($A93,'Data Vlaue (Cr)'!$C:$FB,122)*100</f>
        <v>3.64</v>
      </c>
      <c r="R93" s="75">
        <f>VLOOKUP($A93,'Data Vlaue (Cr)'!$C:$FB,125)</f>
        <v>0.51</v>
      </c>
      <c r="S93" s="75">
        <f>VLOOKUP($A93,'Data Vlaue (Cr)'!$C:$FB,128)*100</f>
        <v>21.43</v>
      </c>
    </row>
    <row r="94" spans="1:19" x14ac:dyDescent="0.25">
      <c r="A94" s="96" t="str">
        <f>'Data Vlaue (Cr)'!C85</f>
        <v>ICICIBANK</v>
      </c>
      <c r="B94" s="75">
        <f>VLOOKUP($A94,'Data Vlaue (Cr)'!$C:$FB,2)</f>
        <v>700</v>
      </c>
      <c r="C94" s="75">
        <f>VLOOKUP($A94,'Data Vlaue (Cr)'!$C:$FB,8)</f>
        <v>1383</v>
      </c>
      <c r="D94" s="75">
        <f>VLOOKUP($A94,'Data Vlaue (Cr)'!$C:$FB,4)</f>
        <v>1384.8</v>
      </c>
      <c r="E94" s="75">
        <f>VLOOKUP($A94,'Data Vlaue (Cr)'!$C:$FB,5)</f>
        <v>1382.7</v>
      </c>
      <c r="F94" s="75">
        <f t="shared" si="6"/>
        <v>1.7999999999999545</v>
      </c>
      <c r="G94" s="75">
        <f t="shared" si="7"/>
        <v>0.1516464471403747</v>
      </c>
      <c r="H94" s="75">
        <f>VLOOKUP($A94,'Data Vlaue (Cr)'!$C:$FB,99)</f>
        <v>24223</v>
      </c>
      <c r="I94" s="75">
        <f>VLOOKUP($A94,'Data Vlaue (Cr)'!$C:$FB,100)</f>
        <v>24166</v>
      </c>
      <c r="J94" s="75">
        <f t="shared" si="8"/>
        <v>57</v>
      </c>
      <c r="K94" s="75">
        <f t="shared" si="9"/>
        <v>0.23531354497791354</v>
      </c>
      <c r="L94" s="75">
        <f>VLOOKUP($A94,'Data Vlaue (Cr)'!$C:$FB,67)</f>
        <v>18136</v>
      </c>
      <c r="M94" s="75">
        <f>VLOOKUP($A94,'Data Vlaue (Cr)'!$C:$FB,68)</f>
        <v>10739</v>
      </c>
      <c r="N94" s="75">
        <f t="shared" si="10"/>
        <v>7397</v>
      </c>
      <c r="O94" s="75">
        <f t="shared" si="11"/>
        <v>40.786281429201587</v>
      </c>
      <c r="P94" s="75">
        <f>VLOOKUP($A94,'Data Vlaue (Cr)'!$C:$FB,119)</f>
        <v>0.62</v>
      </c>
      <c r="Q94" s="75">
        <f>VLOOKUP($A94,'Data Vlaue (Cr)'!$C:$FB,122)*100</f>
        <v>0</v>
      </c>
      <c r="R94" s="75">
        <f>VLOOKUP($A94,'Data Vlaue (Cr)'!$C:$FB,125)</f>
        <v>0.46</v>
      </c>
      <c r="S94" s="75">
        <f>VLOOKUP($A94,'Data Vlaue (Cr)'!$C:$FB,128)*100</f>
        <v>-23.330000000000002</v>
      </c>
    </row>
    <row r="95" spans="1:19" x14ac:dyDescent="0.25">
      <c r="A95" s="96" t="str">
        <f>'Data Vlaue (Cr)'!C86</f>
        <v>ICICIGI</v>
      </c>
      <c r="B95" s="75">
        <f>VLOOKUP($A95,'Data Vlaue (Cr)'!$C:$FB,2)</f>
        <v>325</v>
      </c>
      <c r="C95" s="75">
        <f>VLOOKUP($A95,'Data Vlaue (Cr)'!$C:$FB,8)</f>
        <v>2037.6</v>
      </c>
      <c r="D95" s="75">
        <f>VLOOKUP($A95,'Data Vlaue (Cr)'!$C:$FB,4)</f>
        <v>2035.8</v>
      </c>
      <c r="E95" s="75">
        <f>VLOOKUP($A95,'Data Vlaue (Cr)'!$C:$FB,5)</f>
        <v>2041.7</v>
      </c>
      <c r="F95" s="75">
        <f t="shared" si="6"/>
        <v>-1.7999999999999545</v>
      </c>
      <c r="G95" s="75">
        <f t="shared" si="7"/>
        <v>-0.28981235877788053</v>
      </c>
      <c r="H95" s="75">
        <f>VLOOKUP($A95,'Data Vlaue (Cr)'!$C:$FB,99)</f>
        <v>1707</v>
      </c>
      <c r="I95" s="75">
        <f>VLOOKUP($A95,'Data Vlaue (Cr)'!$C:$FB,100)</f>
        <v>1748</v>
      </c>
      <c r="J95" s="75">
        <f t="shared" si="8"/>
        <v>-41</v>
      </c>
      <c r="K95" s="75">
        <f t="shared" si="9"/>
        <v>-2.4018746338605741</v>
      </c>
      <c r="L95" s="75">
        <f>VLOOKUP($A95,'Data Vlaue (Cr)'!$C:$FB,67)</f>
        <v>1079</v>
      </c>
      <c r="M95" s="75">
        <f>VLOOKUP($A95,'Data Vlaue (Cr)'!$C:$FB,68)</f>
        <v>671</v>
      </c>
      <c r="N95" s="75">
        <f t="shared" si="10"/>
        <v>408</v>
      </c>
      <c r="O95" s="75">
        <f t="shared" si="11"/>
        <v>37.812789620018535</v>
      </c>
      <c r="P95" s="75">
        <f>VLOOKUP($A95,'Data Vlaue (Cr)'!$C:$FB,119)</f>
        <v>0.67</v>
      </c>
      <c r="Q95" s="75">
        <f>VLOOKUP($A95,'Data Vlaue (Cr)'!$C:$FB,122)*100</f>
        <v>4.6899999999999995</v>
      </c>
      <c r="R95" s="75">
        <f>VLOOKUP($A95,'Data Vlaue (Cr)'!$C:$FB,125)</f>
        <v>0.36</v>
      </c>
      <c r="S95" s="75">
        <f>VLOOKUP($A95,'Data Vlaue (Cr)'!$C:$FB,128)*100</f>
        <v>-5.26</v>
      </c>
    </row>
    <row r="96" spans="1:19" x14ac:dyDescent="0.25">
      <c r="A96" s="96" t="str">
        <f>'Data Vlaue (Cr)'!C87</f>
        <v>ICICIPRULI</v>
      </c>
      <c r="B96" s="75">
        <f>VLOOKUP($A96,'Data Vlaue (Cr)'!$C:$FB,2)</f>
        <v>925</v>
      </c>
      <c r="C96" s="75">
        <f>VLOOKUP($A96,'Data Vlaue (Cr)'!$C:$FB,8)</f>
        <v>618.4</v>
      </c>
      <c r="D96" s="75">
        <f>VLOOKUP($A96,'Data Vlaue (Cr)'!$C:$FB,4)</f>
        <v>619.1</v>
      </c>
      <c r="E96" s="75">
        <f>VLOOKUP($A96,'Data Vlaue (Cr)'!$C:$FB,5)</f>
        <v>615.25</v>
      </c>
      <c r="F96" s="75">
        <f t="shared" si="6"/>
        <v>0.70000000000004547</v>
      </c>
      <c r="G96" s="75">
        <f t="shared" si="7"/>
        <v>0.62187045711517086</v>
      </c>
      <c r="H96" s="75">
        <f>VLOOKUP($A96,'Data Vlaue (Cr)'!$C:$FB,99)</f>
        <v>1260</v>
      </c>
      <c r="I96" s="75">
        <f>VLOOKUP($A96,'Data Vlaue (Cr)'!$C:$FB,100)</f>
        <v>1251</v>
      </c>
      <c r="J96" s="75">
        <f t="shared" si="8"/>
        <v>9</v>
      </c>
      <c r="K96" s="75">
        <f t="shared" si="9"/>
        <v>0.7142857142857143</v>
      </c>
      <c r="L96" s="75">
        <f>VLOOKUP($A96,'Data Vlaue (Cr)'!$C:$FB,67)</f>
        <v>1170</v>
      </c>
      <c r="M96" s="75">
        <f>VLOOKUP($A96,'Data Vlaue (Cr)'!$C:$FB,68)</f>
        <v>645</v>
      </c>
      <c r="N96" s="75">
        <f t="shared" si="10"/>
        <v>525</v>
      </c>
      <c r="O96" s="75">
        <f t="shared" si="11"/>
        <v>44.871794871794876</v>
      </c>
      <c r="P96" s="75">
        <f>VLOOKUP($A96,'Data Vlaue (Cr)'!$C:$FB,119)</f>
        <v>0.76</v>
      </c>
      <c r="Q96" s="75">
        <f>VLOOKUP($A96,'Data Vlaue (Cr)'!$C:$FB,122)*100</f>
        <v>0</v>
      </c>
      <c r="R96" s="75">
        <f>VLOOKUP($A96,'Data Vlaue (Cr)'!$C:$FB,125)</f>
        <v>0.48</v>
      </c>
      <c r="S96" s="75">
        <f>VLOOKUP($A96,'Data Vlaue (Cr)'!$C:$FB,128)*100</f>
        <v>-20</v>
      </c>
    </row>
    <row r="97" spans="1:19" x14ac:dyDescent="0.25">
      <c r="A97" s="96" t="str">
        <f>'Data Vlaue (Cr)'!C88</f>
        <v>IDEA</v>
      </c>
      <c r="B97" s="75">
        <f>VLOOKUP($A97,'Data Vlaue (Cr)'!$C:$FB,2)</f>
        <v>71475</v>
      </c>
      <c r="C97" s="75">
        <f>VLOOKUP($A97,'Data Vlaue (Cr)'!$C:$FB,8)</f>
        <v>10.17</v>
      </c>
      <c r="D97" s="75">
        <f>VLOOKUP($A97,'Data Vlaue (Cr)'!$C:$FB,4)</f>
        <v>10.17</v>
      </c>
      <c r="E97" s="75">
        <f>VLOOKUP($A97,'Data Vlaue (Cr)'!$C:$FB,5)</f>
        <v>10.71</v>
      </c>
      <c r="F97" s="75">
        <f t="shared" si="6"/>
        <v>0</v>
      </c>
      <c r="G97" s="75">
        <f t="shared" si="7"/>
        <v>-5.3097345132743454</v>
      </c>
      <c r="H97" s="75">
        <f>VLOOKUP($A97,'Data Vlaue (Cr)'!$C:$FB,99)</f>
        <v>10499</v>
      </c>
      <c r="I97" s="75">
        <f>VLOOKUP($A97,'Data Vlaue (Cr)'!$C:$FB,100)</f>
        <v>10656</v>
      </c>
      <c r="J97" s="75">
        <f t="shared" si="8"/>
        <v>-157</v>
      </c>
      <c r="K97" s="75">
        <f t="shared" si="9"/>
        <v>-1.4953805124297552</v>
      </c>
      <c r="L97" s="75">
        <f>VLOOKUP($A97,'Data Vlaue (Cr)'!$C:$FB,67)</f>
        <v>6899</v>
      </c>
      <c r="M97" s="75">
        <f>VLOOKUP($A97,'Data Vlaue (Cr)'!$C:$FB,68)</f>
        <v>4759</v>
      </c>
      <c r="N97" s="75">
        <f t="shared" si="10"/>
        <v>2140</v>
      </c>
      <c r="O97" s="75">
        <f t="shared" si="11"/>
        <v>31.018988259167994</v>
      </c>
      <c r="P97" s="75">
        <f>VLOOKUP($A97,'Data Vlaue (Cr)'!$C:$FB,119)</f>
        <v>0.56999999999999995</v>
      </c>
      <c r="Q97" s="75">
        <f>VLOOKUP($A97,'Data Vlaue (Cr)'!$C:$FB,122)*100</f>
        <v>-10.94</v>
      </c>
      <c r="R97" s="75">
        <f>VLOOKUP($A97,'Data Vlaue (Cr)'!$C:$FB,125)</f>
        <v>0.54</v>
      </c>
      <c r="S97" s="75">
        <f>VLOOKUP($A97,'Data Vlaue (Cr)'!$C:$FB,128)*100</f>
        <v>68.75</v>
      </c>
    </row>
    <row r="98" spans="1:19" x14ac:dyDescent="0.25">
      <c r="A98" s="96" t="str">
        <f>'Data Vlaue (Cr)'!C89</f>
        <v>IDFCFIRSTB</v>
      </c>
      <c r="B98" s="75">
        <f>VLOOKUP($A98,'Data Vlaue (Cr)'!$C:$FB,2)</f>
        <v>9275</v>
      </c>
      <c r="C98" s="75">
        <f>VLOOKUP($A98,'Data Vlaue (Cr)'!$C:$FB,8)</f>
        <v>78.930000000000007</v>
      </c>
      <c r="D98" s="75">
        <f>VLOOKUP($A98,'Data Vlaue (Cr)'!$C:$FB,4)</f>
        <v>79.02</v>
      </c>
      <c r="E98" s="75">
        <f>VLOOKUP($A98,'Data Vlaue (Cr)'!$C:$FB,5)</f>
        <v>79.58</v>
      </c>
      <c r="F98" s="75">
        <f t="shared" si="6"/>
        <v>8.99999999999892E-2</v>
      </c>
      <c r="G98" s="75">
        <f t="shared" si="7"/>
        <v>-0.70868134649456127</v>
      </c>
      <c r="H98" s="75">
        <f>VLOOKUP($A98,'Data Vlaue (Cr)'!$C:$FB,99)</f>
        <v>5280</v>
      </c>
      <c r="I98" s="75">
        <f>VLOOKUP($A98,'Data Vlaue (Cr)'!$C:$FB,100)</f>
        <v>5382</v>
      </c>
      <c r="J98" s="75">
        <f t="shared" si="8"/>
        <v>-102</v>
      </c>
      <c r="K98" s="75">
        <f t="shared" si="9"/>
        <v>-1.9318181818181817</v>
      </c>
      <c r="L98" s="75">
        <f>VLOOKUP($A98,'Data Vlaue (Cr)'!$C:$FB,67)</f>
        <v>3269</v>
      </c>
      <c r="M98" s="75">
        <f>VLOOKUP($A98,'Data Vlaue (Cr)'!$C:$FB,68)</f>
        <v>3019</v>
      </c>
      <c r="N98" s="75">
        <f t="shared" si="10"/>
        <v>250</v>
      </c>
      <c r="O98" s="75">
        <f t="shared" si="11"/>
        <v>7.6475986540226373</v>
      </c>
      <c r="P98" s="75">
        <f>VLOOKUP($A98,'Data Vlaue (Cr)'!$C:$FB,119)</f>
        <v>0.52</v>
      </c>
      <c r="Q98" s="75">
        <f>VLOOKUP($A98,'Data Vlaue (Cr)'!$C:$FB,122)*100</f>
        <v>-1.8900000000000001</v>
      </c>
      <c r="R98" s="75">
        <f>VLOOKUP($A98,'Data Vlaue (Cr)'!$C:$FB,125)</f>
        <v>0.44</v>
      </c>
      <c r="S98" s="75">
        <f>VLOOKUP($A98,'Data Vlaue (Cr)'!$C:$FB,128)*100</f>
        <v>-21.43</v>
      </c>
    </row>
    <row r="99" spans="1:19" x14ac:dyDescent="0.25">
      <c r="A99" s="96" t="str">
        <f>'Data Vlaue (Cr)'!C90</f>
        <v>IEX</v>
      </c>
      <c r="B99" s="75">
        <f>VLOOKUP($A99,'Data Vlaue (Cr)'!$C:$FB,2)</f>
        <v>3750</v>
      </c>
      <c r="C99" s="75">
        <f>VLOOKUP($A99,'Data Vlaue (Cr)'!$C:$FB,8)</f>
        <v>143.13</v>
      </c>
      <c r="D99" s="75">
        <f>VLOOKUP($A99,'Data Vlaue (Cr)'!$C:$FB,4)</f>
        <v>143.04</v>
      </c>
      <c r="E99" s="75">
        <f>VLOOKUP($A99,'Data Vlaue (Cr)'!$C:$FB,5)</f>
        <v>137.11000000000001</v>
      </c>
      <c r="F99" s="75">
        <f t="shared" si="6"/>
        <v>-9.0000000000003411E-2</v>
      </c>
      <c r="G99" s="75">
        <f t="shared" si="7"/>
        <v>4.1456935123042351</v>
      </c>
      <c r="H99" s="75">
        <f>VLOOKUP($A99,'Data Vlaue (Cr)'!$C:$FB,99)</f>
        <v>2308</v>
      </c>
      <c r="I99" s="75">
        <f>VLOOKUP($A99,'Data Vlaue (Cr)'!$C:$FB,100)</f>
        <v>2378</v>
      </c>
      <c r="J99" s="75">
        <f t="shared" si="8"/>
        <v>-70</v>
      </c>
      <c r="K99" s="75">
        <f t="shared" si="9"/>
        <v>-3.0329289428076258</v>
      </c>
      <c r="L99" s="75">
        <f>VLOOKUP($A99,'Data Vlaue (Cr)'!$C:$FB,67)</f>
        <v>5157</v>
      </c>
      <c r="M99" s="75">
        <f>VLOOKUP($A99,'Data Vlaue (Cr)'!$C:$FB,68)</f>
        <v>838</v>
      </c>
      <c r="N99" s="75">
        <f t="shared" si="10"/>
        <v>4319</v>
      </c>
      <c r="O99" s="75">
        <f t="shared" si="11"/>
        <v>83.750242388985839</v>
      </c>
      <c r="P99" s="75">
        <f>VLOOKUP($A99,'Data Vlaue (Cr)'!$C:$FB,119)</f>
        <v>0.64</v>
      </c>
      <c r="Q99" s="75">
        <f>VLOOKUP($A99,'Data Vlaue (Cr)'!$C:$FB,122)*100</f>
        <v>6.67</v>
      </c>
      <c r="R99" s="75">
        <f>VLOOKUP($A99,'Data Vlaue (Cr)'!$C:$FB,125)</f>
        <v>0.23</v>
      </c>
      <c r="S99" s="75">
        <f>VLOOKUP($A99,'Data Vlaue (Cr)'!$C:$FB,128)*100</f>
        <v>-48.89</v>
      </c>
    </row>
    <row r="100" spans="1:19" x14ac:dyDescent="0.25">
      <c r="A100" s="96" t="str">
        <f>'Data Vlaue (Cr)'!C91</f>
        <v>IGL</v>
      </c>
      <c r="B100" s="75">
        <f>VLOOKUP($A100,'Data Vlaue (Cr)'!$C:$FB,2)</f>
        <v>2750</v>
      </c>
      <c r="C100" s="75">
        <f>VLOOKUP($A100,'Data Vlaue (Cr)'!$C:$FB,8)</f>
        <v>204.06</v>
      </c>
      <c r="D100" s="75">
        <f>VLOOKUP($A100,'Data Vlaue (Cr)'!$C:$FB,4)</f>
        <v>204.61</v>
      </c>
      <c r="E100" s="75">
        <f>VLOOKUP($A100,'Data Vlaue (Cr)'!$C:$FB,5)</f>
        <v>206.78</v>
      </c>
      <c r="F100" s="75">
        <f t="shared" si="6"/>
        <v>0.55000000000001137</v>
      </c>
      <c r="G100" s="75">
        <f t="shared" si="7"/>
        <v>-1.060554225111181</v>
      </c>
      <c r="H100" s="75">
        <f>VLOOKUP($A100,'Data Vlaue (Cr)'!$C:$FB,99)</f>
        <v>715</v>
      </c>
      <c r="I100" s="75">
        <f>VLOOKUP($A100,'Data Vlaue (Cr)'!$C:$FB,100)</f>
        <v>754</v>
      </c>
      <c r="J100" s="75">
        <f t="shared" si="8"/>
        <v>-39</v>
      </c>
      <c r="K100" s="75">
        <f t="shared" si="9"/>
        <v>-5.4545454545454541</v>
      </c>
      <c r="L100" s="75">
        <f>VLOOKUP($A100,'Data Vlaue (Cr)'!$C:$FB,67)</f>
        <v>397</v>
      </c>
      <c r="M100" s="75">
        <f>VLOOKUP($A100,'Data Vlaue (Cr)'!$C:$FB,68)</f>
        <v>519</v>
      </c>
      <c r="N100" s="75">
        <f t="shared" si="10"/>
        <v>-122</v>
      </c>
      <c r="O100" s="75">
        <f t="shared" si="11"/>
        <v>-30.730478589420656</v>
      </c>
      <c r="P100" s="75">
        <f>VLOOKUP($A100,'Data Vlaue (Cr)'!$C:$FB,119)</f>
        <v>0.59</v>
      </c>
      <c r="Q100" s="75">
        <f>VLOOKUP($A100,'Data Vlaue (Cr)'!$C:$FB,122)*100</f>
        <v>3.51</v>
      </c>
      <c r="R100" s="75">
        <f>VLOOKUP($A100,'Data Vlaue (Cr)'!$C:$FB,125)</f>
        <v>0.51</v>
      </c>
      <c r="S100" s="75">
        <f>VLOOKUP($A100,'Data Vlaue (Cr)'!$C:$FB,128)*100</f>
        <v>2</v>
      </c>
    </row>
    <row r="101" spans="1:19" x14ac:dyDescent="0.25">
      <c r="A101" s="96" t="str">
        <f>'Data Vlaue (Cr)'!C92</f>
        <v>IIFL</v>
      </c>
      <c r="B101" s="75">
        <f>VLOOKUP($A101,'Data Vlaue (Cr)'!$C:$FB,2)</f>
        <v>1650</v>
      </c>
      <c r="C101" s="75">
        <f>VLOOKUP($A101,'Data Vlaue (Cr)'!$C:$FB,8)</f>
        <v>544.75</v>
      </c>
      <c r="D101" s="75">
        <f>VLOOKUP($A101,'Data Vlaue (Cr)'!$C:$FB,4)</f>
        <v>545.4</v>
      </c>
      <c r="E101" s="75">
        <f>VLOOKUP($A101,'Data Vlaue (Cr)'!$C:$FB,5)</f>
        <v>558.25</v>
      </c>
      <c r="F101" s="75">
        <f t="shared" si="6"/>
        <v>0.64999999999997726</v>
      </c>
      <c r="G101" s="75">
        <f t="shared" si="7"/>
        <v>-2.3560689402273605</v>
      </c>
      <c r="H101" s="75">
        <f>VLOOKUP($A101,'Data Vlaue (Cr)'!$C:$FB,99)</f>
        <v>1586</v>
      </c>
      <c r="I101" s="75">
        <f>VLOOKUP($A101,'Data Vlaue (Cr)'!$C:$FB,100)</f>
        <v>1657</v>
      </c>
      <c r="J101" s="75">
        <f t="shared" si="8"/>
        <v>-71</v>
      </c>
      <c r="K101" s="75">
        <f t="shared" si="9"/>
        <v>-4.4766708701134927</v>
      </c>
      <c r="L101" s="75">
        <f>VLOOKUP($A101,'Data Vlaue (Cr)'!$C:$FB,67)</f>
        <v>1581</v>
      </c>
      <c r="M101" s="75">
        <f>VLOOKUP($A101,'Data Vlaue (Cr)'!$C:$FB,68)</f>
        <v>945</v>
      </c>
      <c r="N101" s="75">
        <f t="shared" si="10"/>
        <v>636</v>
      </c>
      <c r="O101" s="75">
        <f t="shared" si="11"/>
        <v>40.227703984819733</v>
      </c>
      <c r="P101" s="75">
        <f>VLOOKUP($A101,'Data Vlaue (Cr)'!$C:$FB,119)</f>
        <v>0.64</v>
      </c>
      <c r="Q101" s="75">
        <f>VLOOKUP($A101,'Data Vlaue (Cr)'!$C:$FB,122)*100</f>
        <v>3.2300000000000004</v>
      </c>
      <c r="R101" s="75">
        <f>VLOOKUP($A101,'Data Vlaue (Cr)'!$C:$FB,125)</f>
        <v>0.49</v>
      </c>
      <c r="S101" s="75">
        <f>VLOOKUP($A101,'Data Vlaue (Cr)'!$C:$FB,128)*100</f>
        <v>36.11</v>
      </c>
    </row>
    <row r="102" spans="1:19" x14ac:dyDescent="0.25">
      <c r="A102" s="96" t="str">
        <f>'Data Vlaue (Cr)'!C93</f>
        <v>INDHOTEL</v>
      </c>
      <c r="B102" s="75">
        <f>VLOOKUP($A102,'Data Vlaue (Cr)'!$C:$FB,2)</f>
        <v>1000</v>
      </c>
      <c r="C102" s="75">
        <f>VLOOKUP($A102,'Data Vlaue (Cr)'!$C:$FB,8)</f>
        <v>733.35</v>
      </c>
      <c r="D102" s="75">
        <f>VLOOKUP($A102,'Data Vlaue (Cr)'!$C:$FB,4)</f>
        <v>734</v>
      </c>
      <c r="E102" s="75">
        <f>VLOOKUP($A102,'Data Vlaue (Cr)'!$C:$FB,5)</f>
        <v>719.3</v>
      </c>
      <c r="F102" s="75">
        <f t="shared" si="6"/>
        <v>0.64999999999997726</v>
      </c>
      <c r="G102" s="75">
        <f t="shared" si="7"/>
        <v>2.0027247956403333</v>
      </c>
      <c r="H102" s="75">
        <f>VLOOKUP($A102,'Data Vlaue (Cr)'!$C:$FB,99)</f>
        <v>3660</v>
      </c>
      <c r="I102" s="75">
        <f>VLOOKUP($A102,'Data Vlaue (Cr)'!$C:$FB,100)</f>
        <v>3782</v>
      </c>
      <c r="J102" s="75">
        <f t="shared" si="8"/>
        <v>-122</v>
      </c>
      <c r="K102" s="75">
        <f t="shared" si="9"/>
        <v>-3.3333333333333335</v>
      </c>
      <c r="L102" s="75">
        <f>VLOOKUP($A102,'Data Vlaue (Cr)'!$C:$FB,67)</f>
        <v>6254</v>
      </c>
      <c r="M102" s="75">
        <f>VLOOKUP($A102,'Data Vlaue (Cr)'!$C:$FB,68)</f>
        <v>1914</v>
      </c>
      <c r="N102" s="75">
        <f t="shared" si="10"/>
        <v>4340</v>
      </c>
      <c r="O102" s="75">
        <f t="shared" si="11"/>
        <v>69.395586824432371</v>
      </c>
      <c r="P102" s="75">
        <f>VLOOKUP($A102,'Data Vlaue (Cr)'!$C:$FB,119)</f>
        <v>0.64</v>
      </c>
      <c r="Q102" s="75">
        <f>VLOOKUP($A102,'Data Vlaue (Cr)'!$C:$FB,122)*100</f>
        <v>4.92</v>
      </c>
      <c r="R102" s="75">
        <f>VLOOKUP($A102,'Data Vlaue (Cr)'!$C:$FB,125)</f>
        <v>0.4</v>
      </c>
      <c r="S102" s="75">
        <f>VLOOKUP($A102,'Data Vlaue (Cr)'!$C:$FB,128)*100</f>
        <v>-13.04</v>
      </c>
    </row>
    <row r="103" spans="1:19" x14ac:dyDescent="0.25">
      <c r="A103" s="96" t="str">
        <f>'Data Vlaue (Cr)'!C94</f>
        <v>INDIANB</v>
      </c>
      <c r="B103" s="75">
        <f>VLOOKUP($A103,'Data Vlaue (Cr)'!$C:$FB,2)</f>
        <v>1000</v>
      </c>
      <c r="C103" s="75">
        <f>VLOOKUP($A103,'Data Vlaue (Cr)'!$C:$FB,8)</f>
        <v>882.35</v>
      </c>
      <c r="D103" s="75">
        <f>VLOOKUP($A103,'Data Vlaue (Cr)'!$C:$FB,4)</f>
        <v>880.65</v>
      </c>
      <c r="E103" s="75">
        <f>VLOOKUP($A103,'Data Vlaue (Cr)'!$C:$FB,5)</f>
        <v>885.5</v>
      </c>
      <c r="F103" s="75">
        <f t="shared" si="6"/>
        <v>-1.7000000000000455</v>
      </c>
      <c r="G103" s="75">
        <f t="shared" si="7"/>
        <v>-0.55072957474592887</v>
      </c>
      <c r="H103" s="75">
        <f>VLOOKUP($A103,'Data Vlaue (Cr)'!$C:$FB,99)</f>
        <v>2023</v>
      </c>
      <c r="I103" s="75">
        <f>VLOOKUP($A103,'Data Vlaue (Cr)'!$C:$FB,100)</f>
        <v>2162</v>
      </c>
      <c r="J103" s="75">
        <f t="shared" si="8"/>
        <v>-139</v>
      </c>
      <c r="K103" s="75">
        <f t="shared" si="9"/>
        <v>-6.870983687592684</v>
      </c>
      <c r="L103" s="75">
        <f>VLOOKUP($A103,'Data Vlaue (Cr)'!$C:$FB,67)</f>
        <v>1431</v>
      </c>
      <c r="M103" s="75">
        <f>VLOOKUP($A103,'Data Vlaue (Cr)'!$C:$FB,68)</f>
        <v>1227</v>
      </c>
      <c r="N103" s="75">
        <f t="shared" si="10"/>
        <v>204</v>
      </c>
      <c r="O103" s="75">
        <f t="shared" si="11"/>
        <v>14.255765199161424</v>
      </c>
      <c r="P103" s="75">
        <f>VLOOKUP($A103,'Data Vlaue (Cr)'!$C:$FB,119)</f>
        <v>0.63</v>
      </c>
      <c r="Q103" s="75">
        <f>VLOOKUP($A103,'Data Vlaue (Cr)'!$C:$FB,122)*100</f>
        <v>3.2800000000000002</v>
      </c>
      <c r="R103" s="75">
        <f>VLOOKUP($A103,'Data Vlaue (Cr)'!$C:$FB,125)</f>
        <v>0.52</v>
      </c>
      <c r="S103" s="75">
        <f>VLOOKUP($A103,'Data Vlaue (Cr)'!$C:$FB,128)*100</f>
        <v>10.639999999999999</v>
      </c>
    </row>
    <row r="104" spans="1:19" x14ac:dyDescent="0.25">
      <c r="A104" s="96" t="str">
        <f>'Data Vlaue (Cr)'!C95</f>
        <v>INDIAVIX</v>
      </c>
      <c r="B104" s="75">
        <f>VLOOKUP($A104,'Data Vlaue (Cr)'!$C:$FB,2)</f>
        <v>1</v>
      </c>
      <c r="C104" s="75">
        <f>VLOOKUP($A104,'Data Vlaue (Cr)'!$C:$FB,8)</f>
        <v>12.13</v>
      </c>
      <c r="D104" s="75">
        <f>VLOOKUP($A104,'Data Vlaue (Cr)'!$C:$FB,4)</f>
        <v>12.13</v>
      </c>
      <c r="E104" s="75">
        <f>VLOOKUP($A104,'Data Vlaue (Cr)'!$C:$FB,5)</f>
        <v>11.97</v>
      </c>
      <c r="F104" s="75">
        <f t="shared" si="6"/>
        <v>0</v>
      </c>
      <c r="G104" s="75">
        <f t="shared" si="7"/>
        <v>1.3190436933223424</v>
      </c>
      <c r="H104" s="75">
        <f>VLOOKUP($A104,'Data Vlaue (Cr)'!$C:$FB,99)</f>
        <v>0</v>
      </c>
      <c r="I104" s="75">
        <f>VLOOKUP($A104,'Data Vlaue (Cr)'!$C:$FB,100)</f>
        <v>0</v>
      </c>
      <c r="J104" s="75">
        <f t="shared" si="8"/>
        <v>0</v>
      </c>
      <c r="K104" s="75" t="e">
        <f t="shared" si="9"/>
        <v>#DIV/0!</v>
      </c>
      <c r="L104" s="75">
        <f>VLOOKUP($A104,'Data Vlaue (Cr)'!$C:$FB,67)</f>
        <v>0</v>
      </c>
      <c r="M104" s="75">
        <f>VLOOKUP($A104,'Data Vlaue (Cr)'!$C:$FB,68)</f>
        <v>0</v>
      </c>
      <c r="N104" s="75">
        <f t="shared" si="10"/>
        <v>0</v>
      </c>
      <c r="O104" s="75" t="e">
        <f t="shared" si="11"/>
        <v>#DIV/0!</v>
      </c>
      <c r="P104" s="75">
        <f>VLOOKUP($A104,'Data Vlaue (Cr)'!$C:$FB,119)</f>
        <v>0</v>
      </c>
      <c r="Q104" s="75">
        <f>VLOOKUP($A104,'Data Vlaue (Cr)'!$C:$FB,122)*100</f>
        <v>0</v>
      </c>
      <c r="R104" s="75">
        <f>VLOOKUP($A104,'Data Vlaue (Cr)'!$C:$FB,125)</f>
        <v>0</v>
      </c>
      <c r="S104" s="75">
        <f>VLOOKUP($A104,'Data Vlaue (Cr)'!$C:$FB,128)*100</f>
        <v>0</v>
      </c>
    </row>
    <row r="105" spans="1:19" x14ac:dyDescent="0.25">
      <c r="A105" s="96" t="str">
        <f>'Data Vlaue (Cr)'!C96</f>
        <v>INDIGO</v>
      </c>
      <c r="B105" s="75">
        <f>VLOOKUP($A105,'Data Vlaue (Cr)'!$C:$FB,2)</f>
        <v>150</v>
      </c>
      <c r="C105" s="75">
        <f>VLOOKUP($A105,'Data Vlaue (Cr)'!$C:$FB,8)</f>
        <v>5785.5</v>
      </c>
      <c r="D105" s="75">
        <f>VLOOKUP($A105,'Data Vlaue (Cr)'!$C:$FB,4)</f>
        <v>5788</v>
      </c>
      <c r="E105" s="75">
        <f>VLOOKUP($A105,'Data Vlaue (Cr)'!$C:$FB,5)</f>
        <v>5768</v>
      </c>
      <c r="F105" s="75">
        <f t="shared" si="6"/>
        <v>2.5</v>
      </c>
      <c r="G105" s="75">
        <f t="shared" si="7"/>
        <v>0.3455425017277125</v>
      </c>
      <c r="H105" s="75">
        <f>VLOOKUP($A105,'Data Vlaue (Cr)'!$C:$FB,99)</f>
        <v>7974</v>
      </c>
      <c r="I105" s="75">
        <f>VLOOKUP($A105,'Data Vlaue (Cr)'!$C:$FB,100)</f>
        <v>8081</v>
      </c>
      <c r="J105" s="75">
        <f t="shared" si="8"/>
        <v>-107</v>
      </c>
      <c r="K105" s="75">
        <f t="shared" si="9"/>
        <v>-1.3418610484073237</v>
      </c>
      <c r="L105" s="75">
        <f>VLOOKUP($A105,'Data Vlaue (Cr)'!$C:$FB,67)</f>
        <v>8754</v>
      </c>
      <c r="M105" s="75">
        <f>VLOOKUP($A105,'Data Vlaue (Cr)'!$C:$FB,68)</f>
        <v>7127</v>
      </c>
      <c r="N105" s="75">
        <f t="shared" si="10"/>
        <v>1627</v>
      </c>
      <c r="O105" s="75">
        <f t="shared" si="11"/>
        <v>18.585789353438429</v>
      </c>
      <c r="P105" s="75">
        <f>VLOOKUP($A105,'Data Vlaue (Cr)'!$C:$FB,119)</f>
        <v>0.6</v>
      </c>
      <c r="Q105" s="75">
        <f>VLOOKUP($A105,'Data Vlaue (Cr)'!$C:$FB,122)*100</f>
        <v>3.45</v>
      </c>
      <c r="R105" s="75">
        <f>VLOOKUP($A105,'Data Vlaue (Cr)'!$C:$FB,125)</f>
        <v>0.46</v>
      </c>
      <c r="S105" s="75">
        <f>VLOOKUP($A105,'Data Vlaue (Cr)'!$C:$FB,128)*100</f>
        <v>-20.69</v>
      </c>
    </row>
    <row r="106" spans="1:19" x14ac:dyDescent="0.25">
      <c r="A106" s="96" t="str">
        <f>'Data Vlaue (Cr)'!C97</f>
        <v>INDUSINDBK</v>
      </c>
      <c r="B106" s="75">
        <f>VLOOKUP($A106,'Data Vlaue (Cr)'!$C:$FB,2)</f>
        <v>700</v>
      </c>
      <c r="C106" s="75">
        <f>VLOOKUP($A106,'Data Vlaue (Cr)'!$C:$FB,8)</f>
        <v>829.4</v>
      </c>
      <c r="D106" s="75">
        <f>VLOOKUP($A106,'Data Vlaue (Cr)'!$C:$FB,4)</f>
        <v>830.05</v>
      </c>
      <c r="E106" s="75">
        <f>VLOOKUP($A106,'Data Vlaue (Cr)'!$C:$FB,5)</f>
        <v>840.7</v>
      </c>
      <c r="F106" s="75">
        <f t="shared" si="6"/>
        <v>0.64999999999997726</v>
      </c>
      <c r="G106" s="75">
        <f t="shared" si="7"/>
        <v>-1.283055237636298</v>
      </c>
      <c r="H106" s="75">
        <f>VLOOKUP($A106,'Data Vlaue (Cr)'!$C:$FB,99)</f>
        <v>6673</v>
      </c>
      <c r="I106" s="75">
        <f>VLOOKUP($A106,'Data Vlaue (Cr)'!$C:$FB,100)</f>
        <v>6586</v>
      </c>
      <c r="J106" s="75">
        <f t="shared" si="8"/>
        <v>87</v>
      </c>
      <c r="K106" s="75">
        <f t="shared" si="9"/>
        <v>1.3037614266446875</v>
      </c>
      <c r="L106" s="75">
        <f>VLOOKUP($A106,'Data Vlaue (Cr)'!$C:$FB,67)</f>
        <v>5472</v>
      </c>
      <c r="M106" s="75">
        <f>VLOOKUP($A106,'Data Vlaue (Cr)'!$C:$FB,68)</f>
        <v>4431</v>
      </c>
      <c r="N106" s="75">
        <f t="shared" si="10"/>
        <v>1041</v>
      </c>
      <c r="O106" s="75">
        <f t="shared" si="11"/>
        <v>19.024122807017545</v>
      </c>
      <c r="P106" s="75">
        <f>VLOOKUP($A106,'Data Vlaue (Cr)'!$C:$FB,119)</f>
        <v>0.73</v>
      </c>
      <c r="Q106" s="75">
        <f>VLOOKUP($A106,'Data Vlaue (Cr)'!$C:$FB,122)*100</f>
        <v>0</v>
      </c>
      <c r="R106" s="75">
        <f>VLOOKUP($A106,'Data Vlaue (Cr)'!$C:$FB,125)</f>
        <v>0.49</v>
      </c>
      <c r="S106" s="75">
        <f>VLOOKUP($A106,'Data Vlaue (Cr)'!$C:$FB,128)*100</f>
        <v>-24.62</v>
      </c>
    </row>
    <row r="107" spans="1:19" x14ac:dyDescent="0.25">
      <c r="A107" s="96" t="str">
        <f>'Data Vlaue (Cr)'!C98</f>
        <v>INDUSTOWER</v>
      </c>
      <c r="B107" s="75">
        <f>VLOOKUP($A107,'Data Vlaue (Cr)'!$C:$FB,2)</f>
        <v>1700</v>
      </c>
      <c r="C107" s="75">
        <f>VLOOKUP($A107,'Data Vlaue (Cr)'!$C:$FB,8)</f>
        <v>400.5</v>
      </c>
      <c r="D107" s="75">
        <f>VLOOKUP($A107,'Data Vlaue (Cr)'!$C:$FB,4)</f>
        <v>400.7</v>
      </c>
      <c r="E107" s="75">
        <f>VLOOKUP($A107,'Data Vlaue (Cr)'!$C:$FB,5)</f>
        <v>404.15</v>
      </c>
      <c r="F107" s="75">
        <f t="shared" si="6"/>
        <v>0.19999999999998863</v>
      </c>
      <c r="G107" s="75">
        <f t="shared" si="7"/>
        <v>-0.86099326179186142</v>
      </c>
      <c r="H107" s="75">
        <f>VLOOKUP($A107,'Data Vlaue (Cr)'!$C:$FB,99)</f>
        <v>5653</v>
      </c>
      <c r="I107" s="75">
        <f>VLOOKUP($A107,'Data Vlaue (Cr)'!$C:$FB,100)</f>
        <v>5724</v>
      </c>
      <c r="J107" s="75">
        <f t="shared" si="8"/>
        <v>-71</v>
      </c>
      <c r="K107" s="75">
        <f t="shared" si="9"/>
        <v>-1.2559702812665841</v>
      </c>
      <c r="L107" s="75">
        <f>VLOOKUP($A107,'Data Vlaue (Cr)'!$C:$FB,67)</f>
        <v>2801</v>
      </c>
      <c r="M107" s="75">
        <f>VLOOKUP($A107,'Data Vlaue (Cr)'!$C:$FB,68)</f>
        <v>2119</v>
      </c>
      <c r="N107" s="75">
        <f t="shared" si="10"/>
        <v>682</v>
      </c>
      <c r="O107" s="75">
        <f t="shared" si="11"/>
        <v>24.348446983220278</v>
      </c>
      <c r="P107" s="75">
        <f>VLOOKUP($A107,'Data Vlaue (Cr)'!$C:$FB,119)</f>
        <v>0.74</v>
      </c>
      <c r="Q107" s="75">
        <f>VLOOKUP($A107,'Data Vlaue (Cr)'!$C:$FB,122)*100</f>
        <v>0</v>
      </c>
      <c r="R107" s="75">
        <f>VLOOKUP($A107,'Data Vlaue (Cr)'!$C:$FB,125)</f>
        <v>0.63</v>
      </c>
      <c r="S107" s="75">
        <f>VLOOKUP($A107,'Data Vlaue (Cr)'!$C:$FB,128)*100</f>
        <v>-1.5599999999999998</v>
      </c>
    </row>
    <row r="108" spans="1:19" x14ac:dyDescent="0.25">
      <c r="A108" s="96" t="str">
        <f>'Data Vlaue (Cr)'!C99</f>
        <v>INFY</v>
      </c>
      <c r="B108" s="75">
        <f>VLOOKUP($A108,'Data Vlaue (Cr)'!$C:$FB,2)</f>
        <v>400</v>
      </c>
      <c r="C108" s="75">
        <f>VLOOKUP($A108,'Data Vlaue (Cr)'!$C:$FB,8)</f>
        <v>1536.5</v>
      </c>
      <c r="D108" s="75">
        <f>VLOOKUP($A108,'Data Vlaue (Cr)'!$C:$FB,4)</f>
        <v>1539.2</v>
      </c>
      <c r="E108" s="75">
        <f>VLOOKUP($A108,'Data Vlaue (Cr)'!$C:$FB,5)</f>
        <v>1542.1</v>
      </c>
      <c r="F108" s="75">
        <f t="shared" si="6"/>
        <v>2.7000000000000455</v>
      </c>
      <c r="G108" s="75">
        <f t="shared" si="7"/>
        <v>-0.18840956340955456</v>
      </c>
      <c r="H108" s="75">
        <f>VLOOKUP($A108,'Data Vlaue (Cr)'!$C:$FB,99)</f>
        <v>18470</v>
      </c>
      <c r="I108" s="75">
        <f>VLOOKUP($A108,'Data Vlaue (Cr)'!$C:$FB,100)</f>
        <v>18314</v>
      </c>
      <c r="J108" s="75">
        <f t="shared" si="8"/>
        <v>156</v>
      </c>
      <c r="K108" s="75">
        <f t="shared" si="9"/>
        <v>0.84461288576069304</v>
      </c>
      <c r="L108" s="75">
        <f>VLOOKUP($A108,'Data Vlaue (Cr)'!$C:$FB,67)</f>
        <v>18756</v>
      </c>
      <c r="M108" s="75">
        <f>VLOOKUP($A108,'Data Vlaue (Cr)'!$C:$FB,68)</f>
        <v>32924</v>
      </c>
      <c r="N108" s="75">
        <f t="shared" si="10"/>
        <v>-14168</v>
      </c>
      <c r="O108" s="75">
        <f t="shared" si="11"/>
        <v>-75.538494348475155</v>
      </c>
      <c r="P108" s="75">
        <f>VLOOKUP($A108,'Data Vlaue (Cr)'!$C:$FB,119)</f>
        <v>0.74</v>
      </c>
      <c r="Q108" s="75">
        <f>VLOOKUP($A108,'Data Vlaue (Cr)'!$C:$FB,122)*100</f>
        <v>-3.9</v>
      </c>
      <c r="R108" s="75">
        <f>VLOOKUP($A108,'Data Vlaue (Cr)'!$C:$FB,125)</f>
        <v>0.61</v>
      </c>
      <c r="S108" s="75">
        <f>VLOOKUP($A108,'Data Vlaue (Cr)'!$C:$FB,128)*100</f>
        <v>48.78</v>
      </c>
    </row>
    <row r="109" spans="1:19" x14ac:dyDescent="0.25">
      <c r="A109" s="96" t="str">
        <f>'Data Vlaue (Cr)'!C100</f>
        <v>INOXWIND</v>
      </c>
      <c r="B109" s="75">
        <f>VLOOKUP($A109,'Data Vlaue (Cr)'!$C:$FB,2)</f>
        <v>3272</v>
      </c>
      <c r="C109" s="75">
        <f>VLOOKUP($A109,'Data Vlaue (Cr)'!$C:$FB,8)</f>
        <v>138.08000000000001</v>
      </c>
      <c r="D109" s="75">
        <f>VLOOKUP($A109,'Data Vlaue (Cr)'!$C:$FB,4)</f>
        <v>138.38999999999999</v>
      </c>
      <c r="E109" s="75">
        <f>VLOOKUP($A109,'Data Vlaue (Cr)'!$C:$FB,5)</f>
        <v>139.79</v>
      </c>
      <c r="F109" s="75">
        <f t="shared" si="6"/>
        <v>0.30999999999997385</v>
      </c>
      <c r="G109" s="75">
        <f t="shared" si="7"/>
        <v>-1.0116337885685425</v>
      </c>
      <c r="H109" s="75">
        <f>VLOOKUP($A109,'Data Vlaue (Cr)'!$C:$FB,99)</f>
        <v>2070</v>
      </c>
      <c r="I109" s="75">
        <f>VLOOKUP($A109,'Data Vlaue (Cr)'!$C:$FB,100)</f>
        <v>2144</v>
      </c>
      <c r="J109" s="75">
        <f t="shared" si="8"/>
        <v>-74</v>
      </c>
      <c r="K109" s="75">
        <f t="shared" si="9"/>
        <v>-3.5748792270531404</v>
      </c>
      <c r="L109" s="75">
        <f>VLOOKUP($A109,'Data Vlaue (Cr)'!$C:$FB,67)</f>
        <v>1485</v>
      </c>
      <c r="M109" s="75">
        <f>VLOOKUP($A109,'Data Vlaue (Cr)'!$C:$FB,68)</f>
        <v>1330</v>
      </c>
      <c r="N109" s="75">
        <f t="shared" si="10"/>
        <v>155</v>
      </c>
      <c r="O109" s="75">
        <f t="shared" si="11"/>
        <v>10.437710437710438</v>
      </c>
      <c r="P109" s="75">
        <f>VLOOKUP($A109,'Data Vlaue (Cr)'!$C:$FB,119)</f>
        <v>0.41</v>
      </c>
      <c r="Q109" s="75">
        <f>VLOOKUP($A109,'Data Vlaue (Cr)'!$C:$FB,122)*100</f>
        <v>7.89</v>
      </c>
      <c r="R109" s="75">
        <f>VLOOKUP($A109,'Data Vlaue (Cr)'!$C:$FB,125)</f>
        <v>0.25</v>
      </c>
      <c r="S109" s="75">
        <f>VLOOKUP($A109,'Data Vlaue (Cr)'!$C:$FB,128)*100</f>
        <v>0</v>
      </c>
    </row>
    <row r="110" spans="1:19" x14ac:dyDescent="0.25">
      <c r="A110" s="96" t="str">
        <f>'Data Vlaue (Cr)'!C101</f>
        <v>IOC</v>
      </c>
      <c r="B110" s="75">
        <f>VLOOKUP($A110,'Data Vlaue (Cr)'!$C:$FB,2)</f>
        <v>4875</v>
      </c>
      <c r="C110" s="75">
        <f>VLOOKUP($A110,'Data Vlaue (Cr)'!$C:$FB,8)</f>
        <v>168.7</v>
      </c>
      <c r="D110" s="75">
        <f>VLOOKUP($A110,'Data Vlaue (Cr)'!$C:$FB,4)</f>
        <v>168.58</v>
      </c>
      <c r="E110" s="75">
        <f>VLOOKUP($A110,'Data Vlaue (Cr)'!$C:$FB,5)</f>
        <v>169.55</v>
      </c>
      <c r="F110" s="75">
        <f t="shared" si="6"/>
        <v>-0.11999999999997613</v>
      </c>
      <c r="G110" s="75">
        <f t="shared" si="7"/>
        <v>-0.57539447146755185</v>
      </c>
      <c r="H110" s="75">
        <f>VLOOKUP($A110,'Data Vlaue (Cr)'!$C:$FB,99)</f>
        <v>3537</v>
      </c>
      <c r="I110" s="75">
        <f>VLOOKUP($A110,'Data Vlaue (Cr)'!$C:$FB,100)</f>
        <v>3601</v>
      </c>
      <c r="J110" s="75">
        <f t="shared" si="8"/>
        <v>-64</v>
      </c>
      <c r="K110" s="75">
        <f t="shared" si="9"/>
        <v>-1.8094430308170766</v>
      </c>
      <c r="L110" s="75">
        <f>VLOOKUP($A110,'Data Vlaue (Cr)'!$C:$FB,67)</f>
        <v>2526</v>
      </c>
      <c r="M110" s="75">
        <f>VLOOKUP($A110,'Data Vlaue (Cr)'!$C:$FB,68)</f>
        <v>1894</v>
      </c>
      <c r="N110" s="75">
        <f t="shared" si="10"/>
        <v>632</v>
      </c>
      <c r="O110" s="75">
        <f t="shared" si="11"/>
        <v>25.01979414093428</v>
      </c>
      <c r="P110" s="75">
        <f>VLOOKUP($A110,'Data Vlaue (Cr)'!$C:$FB,119)</f>
        <v>0.88</v>
      </c>
      <c r="Q110" s="75">
        <f>VLOOKUP($A110,'Data Vlaue (Cr)'!$C:$FB,122)*100</f>
        <v>0</v>
      </c>
      <c r="R110" s="75">
        <f>VLOOKUP($A110,'Data Vlaue (Cr)'!$C:$FB,125)</f>
        <v>0.6</v>
      </c>
      <c r="S110" s="75">
        <f>VLOOKUP($A110,'Data Vlaue (Cr)'!$C:$FB,128)*100</f>
        <v>-6.25</v>
      </c>
    </row>
    <row r="111" spans="1:19" x14ac:dyDescent="0.25">
      <c r="A111" s="96" t="str">
        <f>'Data Vlaue (Cr)'!C102</f>
        <v>IRCTC</v>
      </c>
      <c r="B111" s="75">
        <f>VLOOKUP($A111,'Data Vlaue (Cr)'!$C:$FB,2)</f>
        <v>875</v>
      </c>
      <c r="C111" s="75">
        <f>VLOOKUP($A111,'Data Vlaue (Cr)'!$C:$FB,8)</f>
        <v>703</v>
      </c>
      <c r="D111" s="75">
        <f>VLOOKUP($A111,'Data Vlaue (Cr)'!$C:$FB,4)</f>
        <v>698.95</v>
      </c>
      <c r="E111" s="75">
        <f>VLOOKUP($A111,'Data Vlaue (Cr)'!$C:$FB,5)</f>
        <v>699.35</v>
      </c>
      <c r="F111" s="75">
        <f t="shared" si="6"/>
        <v>-4.0499999999999545</v>
      </c>
      <c r="G111" s="75">
        <f t="shared" si="7"/>
        <v>-5.7228700193143599E-2</v>
      </c>
      <c r="H111" s="75">
        <f>VLOOKUP($A111,'Data Vlaue (Cr)'!$C:$FB,99)</f>
        <v>2746</v>
      </c>
      <c r="I111" s="75">
        <f>VLOOKUP($A111,'Data Vlaue (Cr)'!$C:$FB,100)</f>
        <v>2827</v>
      </c>
      <c r="J111" s="75">
        <f t="shared" si="8"/>
        <v>-81</v>
      </c>
      <c r="K111" s="75">
        <f t="shared" si="9"/>
        <v>-2.9497450837581938</v>
      </c>
      <c r="L111" s="75">
        <f>VLOOKUP($A111,'Data Vlaue (Cr)'!$C:$FB,67)</f>
        <v>2276</v>
      </c>
      <c r="M111" s="75">
        <f>VLOOKUP($A111,'Data Vlaue (Cr)'!$C:$FB,68)</f>
        <v>1570</v>
      </c>
      <c r="N111" s="75">
        <f t="shared" si="10"/>
        <v>706</v>
      </c>
      <c r="O111" s="75">
        <f t="shared" si="11"/>
        <v>31.019332161687167</v>
      </c>
      <c r="P111" s="75">
        <f>VLOOKUP($A111,'Data Vlaue (Cr)'!$C:$FB,119)</f>
        <v>0.64</v>
      </c>
      <c r="Q111" s="75">
        <f>VLOOKUP($A111,'Data Vlaue (Cr)'!$C:$FB,122)*100</f>
        <v>3.2300000000000004</v>
      </c>
      <c r="R111" s="75">
        <f>VLOOKUP($A111,'Data Vlaue (Cr)'!$C:$FB,125)</f>
        <v>0.4</v>
      </c>
      <c r="S111" s="75">
        <f>VLOOKUP($A111,'Data Vlaue (Cr)'!$C:$FB,128)*100</f>
        <v>25</v>
      </c>
    </row>
    <row r="112" spans="1:19" x14ac:dyDescent="0.25">
      <c r="A112" s="96" t="str">
        <f>'Data Vlaue (Cr)'!C103</f>
        <v>IREDA</v>
      </c>
      <c r="B112" s="75">
        <f>VLOOKUP($A112,'Data Vlaue (Cr)'!$C:$FB,2)</f>
        <v>3450</v>
      </c>
      <c r="C112" s="75">
        <f>VLOOKUP($A112,'Data Vlaue (Cr)'!$C:$FB,8)</f>
        <v>146.63999999999999</v>
      </c>
      <c r="D112" s="75">
        <f>VLOOKUP($A112,'Data Vlaue (Cr)'!$C:$FB,4)</f>
        <v>146.76</v>
      </c>
      <c r="E112" s="75">
        <f>VLOOKUP($A112,'Data Vlaue (Cr)'!$C:$FB,5)</f>
        <v>147.36000000000001</v>
      </c>
      <c r="F112" s="75">
        <f t="shared" si="6"/>
        <v>0.12000000000000455</v>
      </c>
      <c r="G112" s="75">
        <f t="shared" si="7"/>
        <v>-0.40883074407196973</v>
      </c>
      <c r="H112" s="75">
        <f>VLOOKUP($A112,'Data Vlaue (Cr)'!$C:$FB,99)</f>
        <v>1306</v>
      </c>
      <c r="I112" s="75">
        <f>VLOOKUP($A112,'Data Vlaue (Cr)'!$C:$FB,100)</f>
        <v>1373</v>
      </c>
      <c r="J112" s="75">
        <f t="shared" si="8"/>
        <v>-67</v>
      </c>
      <c r="K112" s="75">
        <f t="shared" si="9"/>
        <v>-5.1301684532924963</v>
      </c>
      <c r="L112" s="75">
        <f>VLOOKUP($A112,'Data Vlaue (Cr)'!$C:$FB,67)</f>
        <v>667</v>
      </c>
      <c r="M112" s="75">
        <f>VLOOKUP($A112,'Data Vlaue (Cr)'!$C:$FB,68)</f>
        <v>721</v>
      </c>
      <c r="N112" s="75">
        <f t="shared" si="10"/>
        <v>-54</v>
      </c>
      <c r="O112" s="75">
        <f t="shared" si="11"/>
        <v>-8.095952023988005</v>
      </c>
      <c r="P112" s="75">
        <f>VLOOKUP($A112,'Data Vlaue (Cr)'!$C:$FB,119)</f>
        <v>0.56000000000000005</v>
      </c>
      <c r="Q112" s="75">
        <f>VLOOKUP($A112,'Data Vlaue (Cr)'!$C:$FB,122)*100</f>
        <v>9.8000000000000007</v>
      </c>
      <c r="R112" s="75">
        <f>VLOOKUP($A112,'Data Vlaue (Cr)'!$C:$FB,125)</f>
        <v>0.23</v>
      </c>
      <c r="S112" s="75">
        <f>VLOOKUP($A112,'Data Vlaue (Cr)'!$C:$FB,128)*100</f>
        <v>-28.13</v>
      </c>
    </row>
    <row r="113" spans="1:19" x14ac:dyDescent="0.25">
      <c r="A113" s="96" t="str">
        <f>'Data Vlaue (Cr)'!C104</f>
        <v>IRFC</v>
      </c>
      <c r="B113" s="75">
        <f>VLOOKUP($A113,'Data Vlaue (Cr)'!$C:$FB,2)</f>
        <v>4250</v>
      </c>
      <c r="C113" s="75">
        <f>VLOOKUP($A113,'Data Vlaue (Cr)'!$C:$FB,8)</f>
        <v>120.08</v>
      </c>
      <c r="D113" s="75">
        <f>VLOOKUP($A113,'Data Vlaue (Cr)'!$C:$FB,4)</f>
        <v>120.02</v>
      </c>
      <c r="E113" s="75">
        <f>VLOOKUP($A113,'Data Vlaue (Cr)'!$C:$FB,5)</f>
        <v>121.08</v>
      </c>
      <c r="F113" s="75">
        <f t="shared" si="6"/>
        <v>-6.0000000000002274E-2</v>
      </c>
      <c r="G113" s="75">
        <f t="shared" si="7"/>
        <v>-0.88318613564406134</v>
      </c>
      <c r="H113" s="75">
        <f>VLOOKUP($A113,'Data Vlaue (Cr)'!$C:$FB,99)</f>
        <v>1219</v>
      </c>
      <c r="I113" s="75">
        <f>VLOOKUP($A113,'Data Vlaue (Cr)'!$C:$FB,100)</f>
        <v>1254</v>
      </c>
      <c r="J113" s="75">
        <f t="shared" si="8"/>
        <v>-35</v>
      </c>
      <c r="K113" s="75">
        <f t="shared" si="9"/>
        <v>-2.8712059064807218</v>
      </c>
      <c r="L113" s="75">
        <f>VLOOKUP($A113,'Data Vlaue (Cr)'!$C:$FB,67)</f>
        <v>583</v>
      </c>
      <c r="M113" s="75">
        <f>VLOOKUP($A113,'Data Vlaue (Cr)'!$C:$FB,68)</f>
        <v>488</v>
      </c>
      <c r="N113" s="75">
        <f t="shared" si="10"/>
        <v>95</v>
      </c>
      <c r="O113" s="75">
        <f t="shared" si="11"/>
        <v>16.295025728987994</v>
      </c>
      <c r="P113" s="75">
        <f>VLOOKUP($A113,'Data Vlaue (Cr)'!$C:$FB,119)</f>
        <v>0.49</v>
      </c>
      <c r="Q113" s="75">
        <f>VLOOKUP($A113,'Data Vlaue (Cr)'!$C:$FB,122)*100</f>
        <v>2.08</v>
      </c>
      <c r="R113" s="75">
        <f>VLOOKUP($A113,'Data Vlaue (Cr)'!$C:$FB,125)</f>
        <v>0.34</v>
      </c>
      <c r="S113" s="75">
        <f>VLOOKUP($A113,'Data Vlaue (Cr)'!$C:$FB,128)*100</f>
        <v>36</v>
      </c>
    </row>
    <row r="114" spans="1:19" x14ac:dyDescent="0.25">
      <c r="A114" s="96" t="str">
        <f>'Data Vlaue (Cr)'!C105</f>
        <v>ITC</v>
      </c>
      <c r="B114" s="75">
        <f>VLOOKUP($A114,'Data Vlaue (Cr)'!$C:$FB,2)</f>
        <v>1600</v>
      </c>
      <c r="C114" s="75">
        <f>VLOOKUP($A114,'Data Vlaue (Cr)'!$C:$FB,8)</f>
        <v>405.45</v>
      </c>
      <c r="D114" s="75">
        <f>VLOOKUP($A114,'Data Vlaue (Cr)'!$C:$FB,4)</f>
        <v>405.85</v>
      </c>
      <c r="E114" s="75">
        <f>VLOOKUP($A114,'Data Vlaue (Cr)'!$C:$FB,5)</f>
        <v>404.25</v>
      </c>
      <c r="F114" s="75">
        <f t="shared" si="6"/>
        <v>0.40000000000003411</v>
      </c>
      <c r="G114" s="75">
        <f t="shared" si="7"/>
        <v>0.39423432302575406</v>
      </c>
      <c r="H114" s="75">
        <f>VLOOKUP($A114,'Data Vlaue (Cr)'!$C:$FB,99)</f>
        <v>11204</v>
      </c>
      <c r="I114" s="75">
        <f>VLOOKUP($A114,'Data Vlaue (Cr)'!$C:$FB,100)</f>
        <v>11482</v>
      </c>
      <c r="J114" s="75">
        <f t="shared" si="8"/>
        <v>-278</v>
      </c>
      <c r="K114" s="75">
        <f t="shared" si="9"/>
        <v>-2.4812566940378438</v>
      </c>
      <c r="L114" s="75">
        <f>VLOOKUP($A114,'Data Vlaue (Cr)'!$C:$FB,67)</f>
        <v>6140</v>
      </c>
      <c r="M114" s="75">
        <f>VLOOKUP($A114,'Data Vlaue (Cr)'!$C:$FB,68)</f>
        <v>3578</v>
      </c>
      <c r="N114" s="75">
        <f t="shared" si="10"/>
        <v>2562</v>
      </c>
      <c r="O114" s="75">
        <f t="shared" si="11"/>
        <v>41.726384364820845</v>
      </c>
      <c r="P114" s="75">
        <f>VLOOKUP($A114,'Data Vlaue (Cr)'!$C:$FB,119)</f>
        <v>0.46</v>
      </c>
      <c r="Q114" s="75">
        <f>VLOOKUP($A114,'Data Vlaue (Cr)'!$C:$FB,122)*100</f>
        <v>0</v>
      </c>
      <c r="R114" s="75">
        <f>VLOOKUP($A114,'Data Vlaue (Cr)'!$C:$FB,125)</f>
        <v>0.45</v>
      </c>
      <c r="S114" s="75">
        <f>VLOOKUP($A114,'Data Vlaue (Cr)'!$C:$FB,128)*100</f>
        <v>12.5</v>
      </c>
    </row>
    <row r="115" spans="1:19" x14ac:dyDescent="0.25">
      <c r="A115" s="96" t="str">
        <f>'Data Vlaue (Cr)'!C106</f>
        <v>JINDALSTEL</v>
      </c>
      <c r="B115" s="75">
        <f>VLOOKUP($A115,'Data Vlaue (Cr)'!$C:$FB,2)</f>
        <v>625</v>
      </c>
      <c r="C115" s="75">
        <f>VLOOKUP($A115,'Data Vlaue (Cr)'!$C:$FB,8)</f>
        <v>1069.4000000000001</v>
      </c>
      <c r="D115" s="75">
        <f>VLOOKUP($A115,'Data Vlaue (Cr)'!$C:$FB,4)</f>
        <v>1070.4000000000001</v>
      </c>
      <c r="E115" s="75">
        <f>VLOOKUP($A115,'Data Vlaue (Cr)'!$C:$FB,5)</f>
        <v>1069.9000000000001</v>
      </c>
      <c r="F115" s="75">
        <f t="shared" si="6"/>
        <v>1</v>
      </c>
      <c r="G115" s="75">
        <f t="shared" si="7"/>
        <v>4.6711509715994019E-2</v>
      </c>
      <c r="H115" s="75">
        <f>VLOOKUP($A115,'Data Vlaue (Cr)'!$C:$FB,99)</f>
        <v>2578</v>
      </c>
      <c r="I115" s="75">
        <f>VLOOKUP($A115,'Data Vlaue (Cr)'!$C:$FB,100)</f>
        <v>2680</v>
      </c>
      <c r="J115" s="75">
        <f t="shared" si="8"/>
        <v>-102</v>
      </c>
      <c r="K115" s="75">
        <f t="shared" si="9"/>
        <v>-3.9565554693560898</v>
      </c>
      <c r="L115" s="75">
        <f>VLOOKUP($A115,'Data Vlaue (Cr)'!$C:$FB,67)</f>
        <v>1638</v>
      </c>
      <c r="M115" s="75">
        <f>VLOOKUP($A115,'Data Vlaue (Cr)'!$C:$FB,68)</f>
        <v>1493</v>
      </c>
      <c r="N115" s="75">
        <f t="shared" si="10"/>
        <v>145</v>
      </c>
      <c r="O115" s="75">
        <f t="shared" si="11"/>
        <v>8.8522588522588528</v>
      </c>
      <c r="P115" s="75">
        <f>VLOOKUP($A115,'Data Vlaue (Cr)'!$C:$FB,119)</f>
        <v>0.86</v>
      </c>
      <c r="Q115" s="75">
        <f>VLOOKUP($A115,'Data Vlaue (Cr)'!$C:$FB,122)*100</f>
        <v>0</v>
      </c>
      <c r="R115" s="75">
        <f>VLOOKUP($A115,'Data Vlaue (Cr)'!$C:$FB,125)</f>
        <v>0.56000000000000005</v>
      </c>
      <c r="S115" s="75">
        <f>VLOOKUP($A115,'Data Vlaue (Cr)'!$C:$FB,128)*100</f>
        <v>1.82</v>
      </c>
    </row>
    <row r="116" spans="1:19" x14ac:dyDescent="0.25">
      <c r="A116" s="96" t="str">
        <f>'Data Vlaue (Cr)'!C107</f>
        <v>JIOFIN</v>
      </c>
      <c r="B116" s="75">
        <f>VLOOKUP($A116,'Data Vlaue (Cr)'!$C:$FB,2)</f>
        <v>2350</v>
      </c>
      <c r="C116" s="75">
        <f>VLOOKUP($A116,'Data Vlaue (Cr)'!$C:$FB,8)</f>
        <v>308.35000000000002</v>
      </c>
      <c r="D116" s="75">
        <f>VLOOKUP($A116,'Data Vlaue (Cr)'!$C:$FB,4)</f>
        <v>308.8</v>
      </c>
      <c r="E116" s="75">
        <f>VLOOKUP($A116,'Data Vlaue (Cr)'!$C:$FB,5)</f>
        <v>304.7</v>
      </c>
      <c r="F116" s="75">
        <f t="shared" si="6"/>
        <v>0.44999999999998863</v>
      </c>
      <c r="G116" s="75">
        <f t="shared" si="7"/>
        <v>1.3277202072538934</v>
      </c>
      <c r="H116" s="75">
        <f>VLOOKUP($A116,'Data Vlaue (Cr)'!$C:$FB,99)</f>
        <v>8292</v>
      </c>
      <c r="I116" s="75">
        <f>VLOOKUP($A116,'Data Vlaue (Cr)'!$C:$FB,100)</f>
        <v>8424</v>
      </c>
      <c r="J116" s="75">
        <f t="shared" si="8"/>
        <v>-132</v>
      </c>
      <c r="K116" s="75">
        <f t="shared" si="9"/>
        <v>-1.5918958031837915</v>
      </c>
      <c r="L116" s="75">
        <f>VLOOKUP($A116,'Data Vlaue (Cr)'!$C:$FB,67)</f>
        <v>5085</v>
      </c>
      <c r="M116" s="75">
        <f>VLOOKUP($A116,'Data Vlaue (Cr)'!$C:$FB,68)</f>
        <v>3602</v>
      </c>
      <c r="N116" s="75">
        <f t="shared" si="10"/>
        <v>1483</v>
      </c>
      <c r="O116" s="75">
        <f t="shared" si="11"/>
        <v>29.164208456243855</v>
      </c>
      <c r="P116" s="75">
        <f>VLOOKUP($A116,'Data Vlaue (Cr)'!$C:$FB,119)</f>
        <v>0.61</v>
      </c>
      <c r="Q116" s="75">
        <f>VLOOKUP($A116,'Data Vlaue (Cr)'!$C:$FB,122)*100</f>
        <v>5.17</v>
      </c>
      <c r="R116" s="75">
        <f>VLOOKUP($A116,'Data Vlaue (Cr)'!$C:$FB,125)</f>
        <v>0.35</v>
      </c>
      <c r="S116" s="75">
        <f>VLOOKUP($A116,'Data Vlaue (Cr)'!$C:$FB,128)*100</f>
        <v>-12.5</v>
      </c>
    </row>
    <row r="117" spans="1:19" x14ac:dyDescent="0.25">
      <c r="A117" s="96" t="str">
        <f>'Data Vlaue (Cr)'!C108</f>
        <v>JSWENERGY</v>
      </c>
      <c r="B117" s="75">
        <f>VLOOKUP($A117,'Data Vlaue (Cr)'!$C:$FB,2)</f>
        <v>1000</v>
      </c>
      <c r="C117" s="75">
        <f>VLOOKUP($A117,'Data Vlaue (Cr)'!$C:$FB,8)</f>
        <v>504.85</v>
      </c>
      <c r="D117" s="75">
        <f>VLOOKUP($A117,'Data Vlaue (Cr)'!$C:$FB,4)</f>
        <v>504.8</v>
      </c>
      <c r="E117" s="75">
        <f>VLOOKUP($A117,'Data Vlaue (Cr)'!$C:$FB,5)</f>
        <v>513.5</v>
      </c>
      <c r="F117" s="75">
        <f t="shared" si="6"/>
        <v>-5.0000000000011369E-2</v>
      </c>
      <c r="G117" s="75">
        <f t="shared" si="7"/>
        <v>-1.7234548335974622</v>
      </c>
      <c r="H117" s="75">
        <f>VLOOKUP($A117,'Data Vlaue (Cr)'!$C:$FB,99)</f>
        <v>3164</v>
      </c>
      <c r="I117" s="75">
        <f>VLOOKUP($A117,'Data Vlaue (Cr)'!$C:$FB,100)</f>
        <v>3055</v>
      </c>
      <c r="J117" s="75">
        <f t="shared" si="8"/>
        <v>109</v>
      </c>
      <c r="K117" s="75">
        <f t="shared" si="9"/>
        <v>3.4450063211125155</v>
      </c>
      <c r="L117" s="75">
        <f>VLOOKUP($A117,'Data Vlaue (Cr)'!$C:$FB,67)</f>
        <v>2266</v>
      </c>
      <c r="M117" s="75">
        <f>VLOOKUP($A117,'Data Vlaue (Cr)'!$C:$FB,68)</f>
        <v>1483</v>
      </c>
      <c r="N117" s="75">
        <f t="shared" si="10"/>
        <v>783</v>
      </c>
      <c r="O117" s="75">
        <f t="shared" si="11"/>
        <v>34.554280670785523</v>
      </c>
      <c r="P117" s="75">
        <f>VLOOKUP($A117,'Data Vlaue (Cr)'!$C:$FB,119)</f>
        <v>0.44</v>
      </c>
      <c r="Q117" s="75">
        <f>VLOOKUP($A117,'Data Vlaue (Cr)'!$C:$FB,122)*100</f>
        <v>7.32</v>
      </c>
      <c r="R117" s="75">
        <f>VLOOKUP($A117,'Data Vlaue (Cr)'!$C:$FB,125)</f>
        <v>0.45</v>
      </c>
      <c r="S117" s="75">
        <f>VLOOKUP($A117,'Data Vlaue (Cr)'!$C:$FB,128)*100</f>
        <v>0</v>
      </c>
    </row>
    <row r="118" spans="1:19" x14ac:dyDescent="0.25">
      <c r="A118" s="96" t="str">
        <f>'Data Vlaue (Cr)'!C109</f>
        <v>JSWSTEEL</v>
      </c>
      <c r="B118" s="75">
        <f>VLOOKUP($A118,'Data Vlaue (Cr)'!$C:$FB,2)</f>
        <v>675</v>
      </c>
      <c r="C118" s="75">
        <f>VLOOKUP($A118,'Data Vlaue (Cr)'!$C:$FB,8)</f>
        <v>1170</v>
      </c>
      <c r="D118" s="75">
        <f>VLOOKUP($A118,'Data Vlaue (Cr)'!$C:$FB,4)</f>
        <v>1172</v>
      </c>
      <c r="E118" s="75">
        <f>VLOOKUP($A118,'Data Vlaue (Cr)'!$C:$FB,5)</f>
        <v>1165.0999999999999</v>
      </c>
      <c r="F118" s="75">
        <f t="shared" si="6"/>
        <v>2</v>
      </c>
      <c r="G118" s="75">
        <f t="shared" si="7"/>
        <v>0.58873720136519547</v>
      </c>
      <c r="H118" s="75">
        <f>VLOOKUP($A118,'Data Vlaue (Cr)'!$C:$FB,99)</f>
        <v>6906</v>
      </c>
      <c r="I118" s="75">
        <f>VLOOKUP($A118,'Data Vlaue (Cr)'!$C:$FB,100)</f>
        <v>6958</v>
      </c>
      <c r="J118" s="75">
        <f t="shared" si="8"/>
        <v>-52</v>
      </c>
      <c r="K118" s="75">
        <f t="shared" si="9"/>
        <v>-0.75296843324645235</v>
      </c>
      <c r="L118" s="75">
        <f>VLOOKUP($A118,'Data Vlaue (Cr)'!$C:$FB,67)</f>
        <v>4325</v>
      </c>
      <c r="M118" s="75">
        <f>VLOOKUP($A118,'Data Vlaue (Cr)'!$C:$FB,68)</f>
        <v>2102</v>
      </c>
      <c r="N118" s="75">
        <f t="shared" si="10"/>
        <v>2223</v>
      </c>
      <c r="O118" s="75">
        <f t="shared" si="11"/>
        <v>51.398843930635842</v>
      </c>
      <c r="P118" s="75">
        <f>VLOOKUP($A118,'Data Vlaue (Cr)'!$C:$FB,119)</f>
        <v>0.57999999999999996</v>
      </c>
      <c r="Q118" s="75">
        <f>VLOOKUP($A118,'Data Vlaue (Cr)'!$C:$FB,122)*100</f>
        <v>5.45</v>
      </c>
      <c r="R118" s="75">
        <f>VLOOKUP($A118,'Data Vlaue (Cr)'!$C:$FB,125)</f>
        <v>0.5</v>
      </c>
      <c r="S118" s="75">
        <f>VLOOKUP($A118,'Data Vlaue (Cr)'!$C:$FB,128)*100</f>
        <v>25</v>
      </c>
    </row>
    <row r="119" spans="1:19" x14ac:dyDescent="0.25">
      <c r="A119" s="96" t="str">
        <f>'Data Vlaue (Cr)'!C110</f>
        <v>JUBLFOOD</v>
      </c>
      <c r="B119" s="75">
        <f>VLOOKUP($A119,'Data Vlaue (Cr)'!$C:$FB,2)</f>
        <v>1250</v>
      </c>
      <c r="C119" s="75">
        <f>VLOOKUP($A119,'Data Vlaue (Cr)'!$C:$FB,8)</f>
        <v>591.15</v>
      </c>
      <c r="D119" s="75">
        <f>VLOOKUP($A119,'Data Vlaue (Cr)'!$C:$FB,4)</f>
        <v>592.1</v>
      </c>
      <c r="E119" s="75">
        <f>VLOOKUP($A119,'Data Vlaue (Cr)'!$C:$FB,5)</f>
        <v>595.45000000000005</v>
      </c>
      <c r="F119" s="75">
        <f t="shared" si="6"/>
        <v>0.95000000000004547</v>
      </c>
      <c r="G119" s="75">
        <f t="shared" si="7"/>
        <v>-0.56578280695828786</v>
      </c>
      <c r="H119" s="75">
        <f>VLOOKUP($A119,'Data Vlaue (Cr)'!$C:$FB,99)</f>
        <v>2532</v>
      </c>
      <c r="I119" s="75">
        <f>VLOOKUP($A119,'Data Vlaue (Cr)'!$C:$FB,100)</f>
        <v>2600</v>
      </c>
      <c r="J119" s="75">
        <f t="shared" si="8"/>
        <v>-68</v>
      </c>
      <c r="K119" s="75">
        <f t="shared" si="9"/>
        <v>-2.6856240126382307</v>
      </c>
      <c r="L119" s="75">
        <f>VLOOKUP($A119,'Data Vlaue (Cr)'!$C:$FB,67)</f>
        <v>2547</v>
      </c>
      <c r="M119" s="75">
        <f>VLOOKUP($A119,'Data Vlaue (Cr)'!$C:$FB,68)</f>
        <v>1781</v>
      </c>
      <c r="N119" s="75">
        <f t="shared" si="10"/>
        <v>766</v>
      </c>
      <c r="O119" s="75">
        <f t="shared" si="11"/>
        <v>30.074597565763643</v>
      </c>
      <c r="P119" s="75">
        <f>VLOOKUP($A119,'Data Vlaue (Cr)'!$C:$FB,119)</f>
        <v>0.65</v>
      </c>
      <c r="Q119" s="75">
        <f>VLOOKUP($A119,'Data Vlaue (Cr)'!$C:$FB,122)*100</f>
        <v>0</v>
      </c>
      <c r="R119" s="75">
        <f>VLOOKUP($A119,'Data Vlaue (Cr)'!$C:$FB,125)</f>
        <v>0.39</v>
      </c>
      <c r="S119" s="75">
        <f>VLOOKUP($A119,'Data Vlaue (Cr)'!$C:$FB,128)*100</f>
        <v>-20.41</v>
      </c>
    </row>
    <row r="120" spans="1:19" x14ac:dyDescent="0.25">
      <c r="A120" s="96" t="str">
        <f>'Data Vlaue (Cr)'!C111</f>
        <v>KALYANKJIL</v>
      </c>
      <c r="B120" s="75">
        <f>VLOOKUP($A120,'Data Vlaue (Cr)'!$C:$FB,2)</f>
        <v>1175</v>
      </c>
      <c r="C120" s="75">
        <f>VLOOKUP($A120,'Data Vlaue (Cr)'!$C:$FB,8)</f>
        <v>504.1</v>
      </c>
      <c r="D120" s="75">
        <f>VLOOKUP($A120,'Data Vlaue (Cr)'!$C:$FB,4)</f>
        <v>504.85</v>
      </c>
      <c r="E120" s="75">
        <f>VLOOKUP($A120,'Data Vlaue (Cr)'!$C:$FB,5)</f>
        <v>500.8</v>
      </c>
      <c r="F120" s="75">
        <f t="shared" si="6"/>
        <v>0.75</v>
      </c>
      <c r="G120" s="75">
        <f t="shared" si="7"/>
        <v>0.80221848073685464</v>
      </c>
      <c r="H120" s="75">
        <f>VLOOKUP($A120,'Data Vlaue (Cr)'!$C:$FB,99)</f>
        <v>2459</v>
      </c>
      <c r="I120" s="75">
        <f>VLOOKUP($A120,'Data Vlaue (Cr)'!$C:$FB,100)</f>
        <v>2591</v>
      </c>
      <c r="J120" s="75">
        <f t="shared" si="8"/>
        <v>-132</v>
      </c>
      <c r="K120" s="75">
        <f t="shared" si="9"/>
        <v>-5.3680357869052457</v>
      </c>
      <c r="L120" s="75">
        <f>VLOOKUP($A120,'Data Vlaue (Cr)'!$C:$FB,67)</f>
        <v>3648</v>
      </c>
      <c r="M120" s="75">
        <f>VLOOKUP($A120,'Data Vlaue (Cr)'!$C:$FB,68)</f>
        <v>1997</v>
      </c>
      <c r="N120" s="75">
        <f t="shared" si="10"/>
        <v>1651</v>
      </c>
      <c r="O120" s="75">
        <f t="shared" si="11"/>
        <v>45.257675438596493</v>
      </c>
      <c r="P120" s="75">
        <f>VLOOKUP($A120,'Data Vlaue (Cr)'!$C:$FB,119)</f>
        <v>0.52</v>
      </c>
      <c r="Q120" s="75">
        <f>VLOOKUP($A120,'Data Vlaue (Cr)'!$C:$FB,122)*100</f>
        <v>8.33</v>
      </c>
      <c r="R120" s="75">
        <f>VLOOKUP($A120,'Data Vlaue (Cr)'!$C:$FB,125)</f>
        <v>0.37</v>
      </c>
      <c r="S120" s="75">
        <f>VLOOKUP($A120,'Data Vlaue (Cr)'!$C:$FB,128)*100</f>
        <v>5.71</v>
      </c>
    </row>
    <row r="121" spans="1:19" x14ac:dyDescent="0.25">
      <c r="A121" s="96" t="str">
        <f>'Data Vlaue (Cr)'!C112</f>
        <v>KAYNES</v>
      </c>
      <c r="B121" s="75">
        <f>VLOOKUP($A121,'Data Vlaue (Cr)'!$C:$FB,2)</f>
        <v>100</v>
      </c>
      <c r="C121" s="75">
        <f>VLOOKUP($A121,'Data Vlaue (Cr)'!$C:$FB,8)</f>
        <v>5967.5</v>
      </c>
      <c r="D121" s="75">
        <f>VLOOKUP($A121,'Data Vlaue (Cr)'!$C:$FB,4)</f>
        <v>5978.5</v>
      </c>
      <c r="E121" s="75">
        <f>VLOOKUP($A121,'Data Vlaue (Cr)'!$C:$FB,5)</f>
        <v>5982.5</v>
      </c>
      <c r="F121" s="75">
        <f t="shared" si="6"/>
        <v>11</v>
      </c>
      <c r="G121" s="75">
        <f t="shared" si="7"/>
        <v>-6.6906414652504811E-2</v>
      </c>
      <c r="H121" s="75">
        <f>VLOOKUP($A121,'Data Vlaue (Cr)'!$C:$FB,99)</f>
        <v>4110</v>
      </c>
      <c r="I121" s="75">
        <f>VLOOKUP($A121,'Data Vlaue (Cr)'!$C:$FB,100)</f>
        <v>4503</v>
      </c>
      <c r="J121" s="75">
        <f t="shared" si="8"/>
        <v>-393</v>
      </c>
      <c r="K121" s="75">
        <f t="shared" si="9"/>
        <v>-9.562043795620438</v>
      </c>
      <c r="L121" s="75">
        <f>VLOOKUP($A121,'Data Vlaue (Cr)'!$C:$FB,67)</f>
        <v>5079</v>
      </c>
      <c r="M121" s="75">
        <f>VLOOKUP($A121,'Data Vlaue (Cr)'!$C:$FB,68)</f>
        <v>9570</v>
      </c>
      <c r="N121" s="75">
        <f t="shared" si="10"/>
        <v>-4491</v>
      </c>
      <c r="O121" s="75">
        <f t="shared" si="11"/>
        <v>-88.422917897223869</v>
      </c>
      <c r="P121" s="75">
        <f>VLOOKUP($A121,'Data Vlaue (Cr)'!$C:$FB,119)</f>
        <v>0.33</v>
      </c>
      <c r="Q121" s="75">
        <f>VLOOKUP($A121,'Data Vlaue (Cr)'!$C:$FB,122)*100</f>
        <v>6.45</v>
      </c>
      <c r="R121" s="75">
        <f>VLOOKUP($A121,'Data Vlaue (Cr)'!$C:$FB,125)</f>
        <v>0.32</v>
      </c>
      <c r="S121" s="75">
        <f>VLOOKUP($A121,'Data Vlaue (Cr)'!$C:$FB,128)*100</f>
        <v>6.67</v>
      </c>
    </row>
    <row r="122" spans="1:19" x14ac:dyDescent="0.25">
      <c r="A122" s="96" t="str">
        <f>'Data Vlaue (Cr)'!C113</f>
        <v>KEI</v>
      </c>
      <c r="B122" s="75">
        <f>VLOOKUP($A122,'Data Vlaue (Cr)'!$C:$FB,2)</f>
        <v>175</v>
      </c>
      <c r="C122" s="75">
        <f>VLOOKUP($A122,'Data Vlaue (Cr)'!$C:$FB,8)</f>
        <v>4167.3</v>
      </c>
      <c r="D122" s="75">
        <f>VLOOKUP($A122,'Data Vlaue (Cr)'!$C:$FB,4)</f>
        <v>4165.8999999999996</v>
      </c>
      <c r="E122" s="75">
        <f>VLOOKUP($A122,'Data Vlaue (Cr)'!$C:$FB,5)</f>
        <v>4122.7</v>
      </c>
      <c r="F122" s="75">
        <f t="shared" si="6"/>
        <v>-1.4000000000005457</v>
      </c>
      <c r="G122" s="75">
        <f t="shared" si="7"/>
        <v>1.0369908063083566</v>
      </c>
      <c r="H122" s="75">
        <f>VLOOKUP($A122,'Data Vlaue (Cr)'!$C:$FB,99)</f>
        <v>835</v>
      </c>
      <c r="I122" s="75">
        <f>VLOOKUP($A122,'Data Vlaue (Cr)'!$C:$FB,100)</f>
        <v>877</v>
      </c>
      <c r="J122" s="75">
        <f t="shared" si="8"/>
        <v>-42</v>
      </c>
      <c r="K122" s="75">
        <f t="shared" si="9"/>
        <v>-5.0299401197604787</v>
      </c>
      <c r="L122" s="75">
        <f>VLOOKUP($A122,'Data Vlaue (Cr)'!$C:$FB,67)</f>
        <v>833</v>
      </c>
      <c r="M122" s="75">
        <f>VLOOKUP($A122,'Data Vlaue (Cr)'!$C:$FB,68)</f>
        <v>307</v>
      </c>
      <c r="N122" s="75">
        <f t="shared" si="10"/>
        <v>526</v>
      </c>
      <c r="O122" s="75">
        <f t="shared" si="11"/>
        <v>63.145258103241297</v>
      </c>
      <c r="P122" s="75">
        <f>VLOOKUP($A122,'Data Vlaue (Cr)'!$C:$FB,119)</f>
        <v>0.6</v>
      </c>
      <c r="Q122" s="75">
        <f>VLOOKUP($A122,'Data Vlaue (Cr)'!$C:$FB,122)*100</f>
        <v>13.209999999999999</v>
      </c>
      <c r="R122" s="75">
        <f>VLOOKUP($A122,'Data Vlaue (Cr)'!$C:$FB,125)</f>
        <v>0.28999999999999998</v>
      </c>
      <c r="S122" s="75">
        <f>VLOOKUP($A122,'Data Vlaue (Cr)'!$C:$FB,128)*100</f>
        <v>-44.230000000000004</v>
      </c>
    </row>
    <row r="123" spans="1:19" x14ac:dyDescent="0.25">
      <c r="A123" s="96" t="str">
        <f>'Data Vlaue (Cr)'!C114</f>
        <v>KFINTECH</v>
      </c>
      <c r="B123" s="75">
        <f>VLOOKUP($A123,'Data Vlaue (Cr)'!$C:$FB,2)</f>
        <v>450</v>
      </c>
      <c r="C123" s="75">
        <f>VLOOKUP($A123,'Data Vlaue (Cr)'!$C:$FB,8)</f>
        <v>1080.4000000000001</v>
      </c>
      <c r="D123" s="75">
        <f>VLOOKUP($A123,'Data Vlaue (Cr)'!$C:$FB,4)</f>
        <v>1081.8</v>
      </c>
      <c r="E123" s="75">
        <f>VLOOKUP($A123,'Data Vlaue (Cr)'!$C:$FB,5)</f>
        <v>1085.8</v>
      </c>
      <c r="F123" s="75">
        <f t="shared" si="6"/>
        <v>1.3999999999998636</v>
      </c>
      <c r="G123" s="75">
        <f t="shared" si="7"/>
        <v>-0.36975411351451287</v>
      </c>
      <c r="H123" s="75">
        <f>VLOOKUP($A123,'Data Vlaue (Cr)'!$C:$FB,99)</f>
        <v>1088</v>
      </c>
      <c r="I123" s="75">
        <f>VLOOKUP($A123,'Data Vlaue (Cr)'!$C:$FB,100)</f>
        <v>1172</v>
      </c>
      <c r="J123" s="75">
        <f t="shared" si="8"/>
        <v>-84</v>
      </c>
      <c r="K123" s="75">
        <f t="shared" si="9"/>
        <v>-7.7205882352941178</v>
      </c>
      <c r="L123" s="75">
        <f>VLOOKUP($A123,'Data Vlaue (Cr)'!$C:$FB,67)</f>
        <v>811</v>
      </c>
      <c r="M123" s="75">
        <f>VLOOKUP($A123,'Data Vlaue (Cr)'!$C:$FB,68)</f>
        <v>589</v>
      </c>
      <c r="N123" s="75">
        <f t="shared" si="10"/>
        <v>222</v>
      </c>
      <c r="O123" s="75">
        <f t="shared" si="11"/>
        <v>27.373612823674478</v>
      </c>
      <c r="P123" s="75">
        <f>VLOOKUP($A123,'Data Vlaue (Cr)'!$C:$FB,119)</f>
        <v>0.47</v>
      </c>
      <c r="Q123" s="75">
        <f>VLOOKUP($A123,'Data Vlaue (Cr)'!$C:$FB,122)*100</f>
        <v>6.8199999999999994</v>
      </c>
      <c r="R123" s="75">
        <f>VLOOKUP($A123,'Data Vlaue (Cr)'!$C:$FB,125)</f>
        <v>0.35</v>
      </c>
      <c r="S123" s="75">
        <f>VLOOKUP($A123,'Data Vlaue (Cr)'!$C:$FB,128)*100</f>
        <v>-2.78</v>
      </c>
    </row>
    <row r="124" spans="1:19" x14ac:dyDescent="0.25">
      <c r="A124" s="96" t="str">
        <f>'Data Vlaue (Cr)'!C115</f>
        <v>KOTAKBANK</v>
      </c>
      <c r="B124" s="75">
        <f>VLOOKUP($A124,'Data Vlaue (Cr)'!$C:$FB,2)</f>
        <v>400</v>
      </c>
      <c r="C124" s="75">
        <f>VLOOKUP($A124,'Data Vlaue (Cr)'!$C:$FB,8)</f>
        <v>2098.6999999999998</v>
      </c>
      <c r="D124" s="75">
        <f>VLOOKUP($A124,'Data Vlaue (Cr)'!$C:$FB,4)</f>
        <v>2097.1</v>
      </c>
      <c r="E124" s="75">
        <f>VLOOKUP($A124,'Data Vlaue (Cr)'!$C:$FB,5)</f>
        <v>2105.1</v>
      </c>
      <c r="F124" s="75">
        <f t="shared" si="6"/>
        <v>-1.5999999999999091</v>
      </c>
      <c r="G124" s="75">
        <f t="shared" si="7"/>
        <v>-0.38147918554193888</v>
      </c>
      <c r="H124" s="75">
        <f>VLOOKUP($A124,'Data Vlaue (Cr)'!$C:$FB,99)</f>
        <v>12132</v>
      </c>
      <c r="I124" s="75">
        <f>VLOOKUP($A124,'Data Vlaue (Cr)'!$C:$FB,100)</f>
        <v>12380</v>
      </c>
      <c r="J124" s="75">
        <f t="shared" si="8"/>
        <v>-248</v>
      </c>
      <c r="K124" s="75">
        <f t="shared" si="9"/>
        <v>-2.0441806791955162</v>
      </c>
      <c r="L124" s="75">
        <f>VLOOKUP($A124,'Data Vlaue (Cr)'!$C:$FB,67)</f>
        <v>11593</v>
      </c>
      <c r="M124" s="75">
        <f>VLOOKUP($A124,'Data Vlaue (Cr)'!$C:$FB,68)</f>
        <v>7135</v>
      </c>
      <c r="N124" s="75">
        <f t="shared" si="10"/>
        <v>4458</v>
      </c>
      <c r="O124" s="75">
        <f t="shared" si="11"/>
        <v>38.454239627361339</v>
      </c>
      <c r="P124" s="75">
        <f>VLOOKUP($A124,'Data Vlaue (Cr)'!$C:$FB,119)</f>
        <v>0.52</v>
      </c>
      <c r="Q124" s="75">
        <f>VLOOKUP($A124,'Data Vlaue (Cr)'!$C:$FB,122)*100</f>
        <v>4</v>
      </c>
      <c r="R124" s="75">
        <f>VLOOKUP($A124,'Data Vlaue (Cr)'!$C:$FB,125)</f>
        <v>0.44</v>
      </c>
      <c r="S124" s="75">
        <f>VLOOKUP($A124,'Data Vlaue (Cr)'!$C:$FB,128)*100</f>
        <v>7.32</v>
      </c>
    </row>
    <row r="125" spans="1:19" x14ac:dyDescent="0.25">
      <c r="A125" s="96" t="str">
        <f>'Data Vlaue (Cr)'!C116</f>
        <v>KPITTECH</v>
      </c>
      <c r="B125" s="75">
        <f>VLOOKUP($A125,'Data Vlaue (Cr)'!$C:$FB,2)</f>
        <v>400</v>
      </c>
      <c r="C125" s="75">
        <f>VLOOKUP($A125,'Data Vlaue (Cr)'!$C:$FB,8)</f>
        <v>1196.5999999999999</v>
      </c>
      <c r="D125" s="75">
        <f>VLOOKUP($A125,'Data Vlaue (Cr)'!$C:$FB,4)</f>
        <v>1200.5</v>
      </c>
      <c r="E125" s="75">
        <f>VLOOKUP($A125,'Data Vlaue (Cr)'!$C:$FB,5)</f>
        <v>1207.3</v>
      </c>
      <c r="F125" s="75">
        <f t="shared" si="6"/>
        <v>3.9000000000000909</v>
      </c>
      <c r="G125" s="75">
        <f t="shared" si="7"/>
        <v>-0.56643065389420699</v>
      </c>
      <c r="H125" s="75">
        <f>VLOOKUP($A125,'Data Vlaue (Cr)'!$C:$FB,99)</f>
        <v>837</v>
      </c>
      <c r="I125" s="75">
        <f>VLOOKUP($A125,'Data Vlaue (Cr)'!$C:$FB,100)</f>
        <v>863</v>
      </c>
      <c r="J125" s="75">
        <f t="shared" si="8"/>
        <v>-26</v>
      </c>
      <c r="K125" s="75">
        <f t="shared" si="9"/>
        <v>-3.106332138590203</v>
      </c>
      <c r="L125" s="75">
        <f>VLOOKUP($A125,'Data Vlaue (Cr)'!$C:$FB,67)</f>
        <v>943</v>
      </c>
      <c r="M125" s="75">
        <f>VLOOKUP($A125,'Data Vlaue (Cr)'!$C:$FB,68)</f>
        <v>856</v>
      </c>
      <c r="N125" s="75">
        <f t="shared" si="10"/>
        <v>87</v>
      </c>
      <c r="O125" s="75">
        <f t="shared" si="11"/>
        <v>9.2258748674443272</v>
      </c>
      <c r="P125" s="75">
        <f>VLOOKUP($A125,'Data Vlaue (Cr)'!$C:$FB,119)</f>
        <v>0.79</v>
      </c>
      <c r="Q125" s="75">
        <f>VLOOKUP($A125,'Data Vlaue (Cr)'!$C:$FB,122)*100</f>
        <v>-3.66</v>
      </c>
      <c r="R125" s="75">
        <f>VLOOKUP($A125,'Data Vlaue (Cr)'!$C:$FB,125)</f>
        <v>0.21</v>
      </c>
      <c r="S125" s="75">
        <f>VLOOKUP($A125,'Data Vlaue (Cr)'!$C:$FB,128)*100</f>
        <v>-36.36</v>
      </c>
    </row>
    <row r="126" spans="1:19" x14ac:dyDescent="0.25">
      <c r="A126" s="96" t="str">
        <f>'Data Vlaue (Cr)'!C117</f>
        <v>LAURUSLABS</v>
      </c>
      <c r="B126" s="75">
        <f>VLOOKUP($A126,'Data Vlaue (Cr)'!$C:$FB,2)</f>
        <v>850</v>
      </c>
      <c r="C126" s="75">
        <f>VLOOKUP($A126,'Data Vlaue (Cr)'!$C:$FB,8)</f>
        <v>987.1</v>
      </c>
      <c r="D126" s="75">
        <f>VLOOKUP($A126,'Data Vlaue (Cr)'!$C:$FB,4)</f>
        <v>987.2</v>
      </c>
      <c r="E126" s="75">
        <f>VLOOKUP($A126,'Data Vlaue (Cr)'!$C:$FB,5)</f>
        <v>986.65</v>
      </c>
      <c r="F126" s="75">
        <f t="shared" si="6"/>
        <v>0.10000000000002274</v>
      </c>
      <c r="G126" s="75">
        <f t="shared" si="7"/>
        <v>5.5713128038904804E-2</v>
      </c>
      <c r="H126" s="75">
        <f>VLOOKUP($A126,'Data Vlaue (Cr)'!$C:$FB,99)</f>
        <v>3714</v>
      </c>
      <c r="I126" s="75">
        <f>VLOOKUP($A126,'Data Vlaue (Cr)'!$C:$FB,100)</f>
        <v>3867</v>
      </c>
      <c r="J126" s="75">
        <f t="shared" si="8"/>
        <v>-153</v>
      </c>
      <c r="K126" s="75">
        <f t="shared" si="9"/>
        <v>-4.1195476575121157</v>
      </c>
      <c r="L126" s="75">
        <f>VLOOKUP($A126,'Data Vlaue (Cr)'!$C:$FB,67)</f>
        <v>4338</v>
      </c>
      <c r="M126" s="75">
        <f>VLOOKUP($A126,'Data Vlaue (Cr)'!$C:$FB,68)</f>
        <v>5215</v>
      </c>
      <c r="N126" s="75">
        <f t="shared" si="10"/>
        <v>-877</v>
      </c>
      <c r="O126" s="75">
        <f t="shared" si="11"/>
        <v>-20.216689718764407</v>
      </c>
      <c r="P126" s="75">
        <f>VLOOKUP($A126,'Data Vlaue (Cr)'!$C:$FB,119)</f>
        <v>0.7</v>
      </c>
      <c r="Q126" s="75">
        <f>VLOOKUP($A126,'Data Vlaue (Cr)'!$C:$FB,122)*100</f>
        <v>-1.41</v>
      </c>
      <c r="R126" s="75">
        <f>VLOOKUP($A126,'Data Vlaue (Cr)'!$C:$FB,125)</f>
        <v>0.66</v>
      </c>
      <c r="S126" s="75">
        <f>VLOOKUP($A126,'Data Vlaue (Cr)'!$C:$FB,128)*100</f>
        <v>0</v>
      </c>
    </row>
    <row r="127" spans="1:19" x14ac:dyDescent="0.25">
      <c r="A127" s="96" t="str">
        <f>'Data Vlaue (Cr)'!C118</f>
        <v>LICHSGFIN</v>
      </c>
      <c r="B127" s="75">
        <f>VLOOKUP($A127,'Data Vlaue (Cr)'!$C:$FB,2)</f>
        <v>1000</v>
      </c>
      <c r="C127" s="75">
        <f>VLOOKUP($A127,'Data Vlaue (Cr)'!$C:$FB,8)</f>
        <v>554.79999999999995</v>
      </c>
      <c r="D127" s="75">
        <f>VLOOKUP($A127,'Data Vlaue (Cr)'!$C:$FB,4)</f>
        <v>555.4</v>
      </c>
      <c r="E127" s="75">
        <f>VLOOKUP($A127,'Data Vlaue (Cr)'!$C:$FB,5)</f>
        <v>563.70000000000005</v>
      </c>
      <c r="F127" s="75">
        <f t="shared" si="6"/>
        <v>0.60000000000002274</v>
      </c>
      <c r="G127" s="75">
        <f t="shared" si="7"/>
        <v>-1.4944184371624178</v>
      </c>
      <c r="H127" s="75">
        <f>VLOOKUP($A127,'Data Vlaue (Cr)'!$C:$FB,99)</f>
        <v>3079</v>
      </c>
      <c r="I127" s="75">
        <f>VLOOKUP($A127,'Data Vlaue (Cr)'!$C:$FB,100)</f>
        <v>2941</v>
      </c>
      <c r="J127" s="75">
        <f t="shared" si="8"/>
        <v>138</v>
      </c>
      <c r="K127" s="75">
        <f t="shared" si="9"/>
        <v>4.481974667099708</v>
      </c>
      <c r="L127" s="75">
        <f>VLOOKUP($A127,'Data Vlaue (Cr)'!$C:$FB,67)</f>
        <v>1613</v>
      </c>
      <c r="M127" s="75">
        <f>VLOOKUP($A127,'Data Vlaue (Cr)'!$C:$FB,68)</f>
        <v>1073</v>
      </c>
      <c r="N127" s="75">
        <f t="shared" si="10"/>
        <v>540</v>
      </c>
      <c r="O127" s="75">
        <f t="shared" si="11"/>
        <v>33.477991320520765</v>
      </c>
      <c r="P127" s="75">
        <f>VLOOKUP($A127,'Data Vlaue (Cr)'!$C:$FB,119)</f>
        <v>0.7</v>
      </c>
      <c r="Q127" s="75">
        <f>VLOOKUP($A127,'Data Vlaue (Cr)'!$C:$FB,122)*100</f>
        <v>6.0600000000000005</v>
      </c>
      <c r="R127" s="75">
        <f>VLOOKUP($A127,'Data Vlaue (Cr)'!$C:$FB,125)</f>
        <v>0.5</v>
      </c>
      <c r="S127" s="75">
        <f>VLOOKUP($A127,'Data Vlaue (Cr)'!$C:$FB,128)*100</f>
        <v>42.86</v>
      </c>
    </row>
    <row r="128" spans="1:19" x14ac:dyDescent="0.25">
      <c r="A128" s="96" t="str">
        <f>'Data Vlaue (Cr)'!C119</f>
        <v>LICI</v>
      </c>
      <c r="B128" s="75">
        <f>VLOOKUP($A128,'Data Vlaue (Cr)'!$C:$FB,2)</f>
        <v>700</v>
      </c>
      <c r="C128" s="75">
        <f>VLOOKUP($A128,'Data Vlaue (Cr)'!$C:$FB,8)</f>
        <v>908.3</v>
      </c>
      <c r="D128" s="75">
        <f>VLOOKUP($A128,'Data Vlaue (Cr)'!$C:$FB,4)</f>
        <v>908.05</v>
      </c>
      <c r="E128" s="75">
        <f>VLOOKUP($A128,'Data Vlaue (Cr)'!$C:$FB,5)</f>
        <v>913.95</v>
      </c>
      <c r="F128" s="75">
        <f t="shared" si="6"/>
        <v>-0.25</v>
      </c>
      <c r="G128" s="75">
        <f t="shared" si="7"/>
        <v>-0.64974395683058106</v>
      </c>
      <c r="H128" s="75">
        <f>VLOOKUP($A128,'Data Vlaue (Cr)'!$C:$FB,99)</f>
        <v>2115</v>
      </c>
      <c r="I128" s="75">
        <f>VLOOKUP($A128,'Data Vlaue (Cr)'!$C:$FB,100)</f>
        <v>2185</v>
      </c>
      <c r="J128" s="75">
        <f t="shared" si="8"/>
        <v>-70</v>
      </c>
      <c r="K128" s="75">
        <f t="shared" si="9"/>
        <v>-3.3096926713947989</v>
      </c>
      <c r="L128" s="75">
        <f>VLOOKUP($A128,'Data Vlaue (Cr)'!$C:$FB,67)</f>
        <v>1315</v>
      </c>
      <c r="M128" s="75">
        <f>VLOOKUP($A128,'Data Vlaue (Cr)'!$C:$FB,68)</f>
        <v>1265</v>
      </c>
      <c r="N128" s="75">
        <f t="shared" si="10"/>
        <v>50</v>
      </c>
      <c r="O128" s="75">
        <f t="shared" si="11"/>
        <v>3.8022813688212929</v>
      </c>
      <c r="P128" s="75">
        <f>VLOOKUP($A128,'Data Vlaue (Cr)'!$C:$FB,119)</f>
        <v>0.51</v>
      </c>
      <c r="Q128" s="75">
        <f>VLOOKUP($A128,'Data Vlaue (Cr)'!$C:$FB,122)*100</f>
        <v>0</v>
      </c>
      <c r="R128" s="75">
        <f>VLOOKUP($A128,'Data Vlaue (Cr)'!$C:$FB,125)</f>
        <v>0.34</v>
      </c>
      <c r="S128" s="75">
        <f>VLOOKUP($A128,'Data Vlaue (Cr)'!$C:$FB,128)*100</f>
        <v>3.0300000000000002</v>
      </c>
    </row>
    <row r="129" spans="1:19" x14ac:dyDescent="0.25">
      <c r="A129" s="96" t="str">
        <f>'Data Vlaue (Cr)'!C120</f>
        <v>LODHA</v>
      </c>
      <c r="B129" s="75">
        <f>VLOOKUP($A129,'Data Vlaue (Cr)'!$C:$FB,2)</f>
        <v>450</v>
      </c>
      <c r="C129" s="75">
        <f>VLOOKUP($A129,'Data Vlaue (Cr)'!$C:$FB,8)</f>
        <v>1200.8</v>
      </c>
      <c r="D129" s="75">
        <f>VLOOKUP($A129,'Data Vlaue (Cr)'!$C:$FB,4)</f>
        <v>1203.4000000000001</v>
      </c>
      <c r="E129" s="75">
        <f>VLOOKUP($A129,'Data Vlaue (Cr)'!$C:$FB,5)</f>
        <v>1201.4000000000001</v>
      </c>
      <c r="F129" s="75">
        <f t="shared" si="6"/>
        <v>2.6000000000001364</v>
      </c>
      <c r="G129" s="75">
        <f t="shared" si="7"/>
        <v>0.16619577862722285</v>
      </c>
      <c r="H129" s="75">
        <f>VLOOKUP($A129,'Data Vlaue (Cr)'!$C:$FB,99)</f>
        <v>1831</v>
      </c>
      <c r="I129" s="75">
        <f>VLOOKUP($A129,'Data Vlaue (Cr)'!$C:$FB,100)</f>
        <v>1802</v>
      </c>
      <c r="J129" s="75">
        <f t="shared" si="8"/>
        <v>29</v>
      </c>
      <c r="K129" s="75">
        <f t="shared" si="9"/>
        <v>1.5838339705079192</v>
      </c>
      <c r="L129" s="75">
        <f>VLOOKUP($A129,'Data Vlaue (Cr)'!$C:$FB,67)</f>
        <v>1453</v>
      </c>
      <c r="M129" s="75">
        <f>VLOOKUP($A129,'Data Vlaue (Cr)'!$C:$FB,68)</f>
        <v>1016</v>
      </c>
      <c r="N129" s="75">
        <f t="shared" si="10"/>
        <v>437</v>
      </c>
      <c r="O129" s="75">
        <f t="shared" si="11"/>
        <v>30.075705437026841</v>
      </c>
      <c r="P129" s="75">
        <f>VLOOKUP($A129,'Data Vlaue (Cr)'!$C:$FB,119)</f>
        <v>0.66</v>
      </c>
      <c r="Q129" s="75">
        <f>VLOOKUP($A129,'Data Vlaue (Cr)'!$C:$FB,122)*100</f>
        <v>-1.49</v>
      </c>
      <c r="R129" s="75">
        <f>VLOOKUP($A129,'Data Vlaue (Cr)'!$C:$FB,125)</f>
        <v>0.36</v>
      </c>
      <c r="S129" s="75">
        <f>VLOOKUP($A129,'Data Vlaue (Cr)'!$C:$FB,128)*100</f>
        <v>-5.26</v>
      </c>
    </row>
    <row r="130" spans="1:19" x14ac:dyDescent="0.25">
      <c r="A130" s="96" t="str">
        <f>'Data Vlaue (Cr)'!C121</f>
        <v>LT</v>
      </c>
      <c r="B130" s="75">
        <f>VLOOKUP($A130,'Data Vlaue (Cr)'!$C:$FB,2)</f>
        <v>175</v>
      </c>
      <c r="C130" s="75">
        <f>VLOOKUP($A130,'Data Vlaue (Cr)'!$C:$FB,8)</f>
        <v>4037.4</v>
      </c>
      <c r="D130" s="75">
        <f>VLOOKUP($A130,'Data Vlaue (Cr)'!$C:$FB,4)</f>
        <v>4040</v>
      </c>
      <c r="E130" s="75">
        <f>VLOOKUP($A130,'Data Vlaue (Cr)'!$C:$FB,5)</f>
        <v>4017.5</v>
      </c>
      <c r="F130" s="75">
        <f t="shared" si="6"/>
        <v>2.5999999999999091</v>
      </c>
      <c r="G130" s="75">
        <f t="shared" si="7"/>
        <v>0.55693069306930687</v>
      </c>
      <c r="H130" s="75">
        <f>VLOOKUP($A130,'Data Vlaue (Cr)'!$C:$FB,99)</f>
        <v>9559</v>
      </c>
      <c r="I130" s="75">
        <f>VLOOKUP($A130,'Data Vlaue (Cr)'!$C:$FB,100)</f>
        <v>9620</v>
      </c>
      <c r="J130" s="75">
        <f t="shared" si="8"/>
        <v>-61</v>
      </c>
      <c r="K130" s="75">
        <f t="shared" si="9"/>
        <v>-0.63814206506956794</v>
      </c>
      <c r="L130" s="75">
        <f>VLOOKUP($A130,'Data Vlaue (Cr)'!$C:$FB,67)</f>
        <v>10090</v>
      </c>
      <c r="M130" s="75">
        <f>VLOOKUP($A130,'Data Vlaue (Cr)'!$C:$FB,68)</f>
        <v>5367</v>
      </c>
      <c r="N130" s="75">
        <f t="shared" si="10"/>
        <v>4723</v>
      </c>
      <c r="O130" s="75">
        <f t="shared" si="11"/>
        <v>46.808721506442019</v>
      </c>
      <c r="P130" s="75">
        <f>VLOOKUP($A130,'Data Vlaue (Cr)'!$C:$FB,119)</f>
        <v>0.59</v>
      </c>
      <c r="Q130" s="75">
        <f>VLOOKUP($A130,'Data Vlaue (Cr)'!$C:$FB,122)*100</f>
        <v>13.459999999999999</v>
      </c>
      <c r="R130" s="75">
        <f>VLOOKUP($A130,'Data Vlaue (Cr)'!$C:$FB,125)</f>
        <v>0.46</v>
      </c>
      <c r="S130" s="75">
        <f>VLOOKUP($A130,'Data Vlaue (Cr)'!$C:$FB,128)*100</f>
        <v>-8</v>
      </c>
    </row>
    <row r="131" spans="1:19" x14ac:dyDescent="0.25">
      <c r="A131" s="96" t="str">
        <f>'Data Vlaue (Cr)'!C122</f>
        <v>LTF</v>
      </c>
      <c r="B131" s="75">
        <f>VLOOKUP($A131,'Data Vlaue (Cr)'!$C:$FB,2)</f>
        <v>4462</v>
      </c>
      <c r="C131" s="75">
        <f>VLOOKUP($A131,'Data Vlaue (Cr)'!$C:$FB,8)</f>
        <v>292.3</v>
      </c>
      <c r="D131" s="75">
        <f>VLOOKUP($A131,'Data Vlaue (Cr)'!$C:$FB,4)</f>
        <v>292.89999999999998</v>
      </c>
      <c r="E131" s="75">
        <f>VLOOKUP($A131,'Data Vlaue (Cr)'!$C:$FB,5)</f>
        <v>297.85000000000002</v>
      </c>
      <c r="F131" s="75">
        <f t="shared" si="6"/>
        <v>0.59999999999996589</v>
      </c>
      <c r="G131" s="75">
        <f t="shared" si="7"/>
        <v>-1.6899965858654986</v>
      </c>
      <c r="H131" s="75">
        <f>VLOOKUP($A131,'Data Vlaue (Cr)'!$C:$FB,99)</f>
        <v>3781</v>
      </c>
      <c r="I131" s="75">
        <f>VLOOKUP($A131,'Data Vlaue (Cr)'!$C:$FB,100)</f>
        <v>3774</v>
      </c>
      <c r="J131" s="75">
        <f t="shared" si="8"/>
        <v>7</v>
      </c>
      <c r="K131" s="75">
        <f t="shared" si="9"/>
        <v>0.18513620735255223</v>
      </c>
      <c r="L131" s="75">
        <f>VLOOKUP($A131,'Data Vlaue (Cr)'!$C:$FB,67)</f>
        <v>3156</v>
      </c>
      <c r="M131" s="75">
        <f>VLOOKUP($A131,'Data Vlaue (Cr)'!$C:$FB,68)</f>
        <v>2779</v>
      </c>
      <c r="N131" s="75">
        <f t="shared" si="10"/>
        <v>377</v>
      </c>
      <c r="O131" s="75">
        <f t="shared" si="11"/>
        <v>11.945500633713561</v>
      </c>
      <c r="P131" s="75">
        <f>VLOOKUP($A131,'Data Vlaue (Cr)'!$C:$FB,119)</f>
        <v>0.84</v>
      </c>
      <c r="Q131" s="75">
        <f>VLOOKUP($A131,'Data Vlaue (Cr)'!$C:$FB,122)*100</f>
        <v>1.2</v>
      </c>
      <c r="R131" s="75">
        <f>VLOOKUP($A131,'Data Vlaue (Cr)'!$C:$FB,125)</f>
        <v>0.45</v>
      </c>
      <c r="S131" s="75">
        <f>VLOOKUP($A131,'Data Vlaue (Cr)'!$C:$FB,128)*100</f>
        <v>-16.669999999999998</v>
      </c>
    </row>
    <row r="132" spans="1:19" x14ac:dyDescent="0.25">
      <c r="A132" s="96" t="str">
        <f>'Data Vlaue (Cr)'!C123</f>
        <v>LTIM</v>
      </c>
      <c r="B132" s="75">
        <f>VLOOKUP($A132,'Data Vlaue (Cr)'!$C:$FB,2)</f>
        <v>150</v>
      </c>
      <c r="C132" s="75">
        <f>VLOOKUP($A132,'Data Vlaue (Cr)'!$C:$FB,8)</f>
        <v>6027</v>
      </c>
      <c r="D132" s="75">
        <f>VLOOKUP($A132,'Data Vlaue (Cr)'!$C:$FB,4)</f>
        <v>6036</v>
      </c>
      <c r="E132" s="75">
        <f>VLOOKUP($A132,'Data Vlaue (Cr)'!$C:$FB,5)</f>
        <v>5983.5</v>
      </c>
      <c r="F132" s="75">
        <f t="shared" si="6"/>
        <v>9</v>
      </c>
      <c r="G132" s="75">
        <f t="shared" si="7"/>
        <v>0.86978131212723664</v>
      </c>
      <c r="H132" s="75">
        <f>VLOOKUP($A132,'Data Vlaue (Cr)'!$C:$FB,99)</f>
        <v>2531</v>
      </c>
      <c r="I132" s="75">
        <f>VLOOKUP($A132,'Data Vlaue (Cr)'!$C:$FB,100)</f>
        <v>2550</v>
      </c>
      <c r="J132" s="75">
        <f t="shared" si="8"/>
        <v>-19</v>
      </c>
      <c r="K132" s="75">
        <f t="shared" si="9"/>
        <v>-0.75069142631371</v>
      </c>
      <c r="L132" s="75">
        <f>VLOOKUP($A132,'Data Vlaue (Cr)'!$C:$FB,67)</f>
        <v>6004</v>
      </c>
      <c r="M132" s="75">
        <f>VLOOKUP($A132,'Data Vlaue (Cr)'!$C:$FB,68)</f>
        <v>11098</v>
      </c>
      <c r="N132" s="75">
        <f t="shared" si="10"/>
        <v>-5094</v>
      </c>
      <c r="O132" s="75">
        <f t="shared" si="11"/>
        <v>-84.843437708194529</v>
      </c>
      <c r="P132" s="75">
        <f>VLOOKUP($A132,'Data Vlaue (Cr)'!$C:$FB,119)</f>
        <v>0.76</v>
      </c>
      <c r="Q132" s="75">
        <f>VLOOKUP($A132,'Data Vlaue (Cr)'!$C:$FB,122)*100</f>
        <v>16.919999999999998</v>
      </c>
      <c r="R132" s="75">
        <f>VLOOKUP($A132,'Data Vlaue (Cr)'!$C:$FB,125)</f>
        <v>0.46</v>
      </c>
      <c r="S132" s="75">
        <f>VLOOKUP($A132,'Data Vlaue (Cr)'!$C:$FB,128)*100</f>
        <v>64.290000000000006</v>
      </c>
    </row>
    <row r="133" spans="1:19" x14ac:dyDescent="0.25">
      <c r="A133" s="96" t="str">
        <f>'Data Vlaue (Cr)'!C124</f>
        <v>LUPIN</v>
      </c>
      <c r="B133" s="75">
        <f>VLOOKUP($A133,'Data Vlaue (Cr)'!$C:$FB,2)</f>
        <v>425</v>
      </c>
      <c r="C133" s="75">
        <f>VLOOKUP($A133,'Data Vlaue (Cr)'!$C:$FB,8)</f>
        <v>2030.8</v>
      </c>
      <c r="D133" s="75">
        <f>VLOOKUP($A133,'Data Vlaue (Cr)'!$C:$FB,4)</f>
        <v>2028.8</v>
      </c>
      <c r="E133" s="75">
        <f>VLOOKUP($A133,'Data Vlaue (Cr)'!$C:$FB,5)</f>
        <v>2029.1</v>
      </c>
      <c r="F133" s="75">
        <f t="shared" si="6"/>
        <v>-2</v>
      </c>
      <c r="G133" s="75">
        <f t="shared" si="7"/>
        <v>-1.4787066246054541E-2</v>
      </c>
      <c r="H133" s="75">
        <f>VLOOKUP($A133,'Data Vlaue (Cr)'!$C:$FB,99)</f>
        <v>3741</v>
      </c>
      <c r="I133" s="75">
        <f>VLOOKUP($A133,'Data Vlaue (Cr)'!$C:$FB,100)</f>
        <v>3818</v>
      </c>
      <c r="J133" s="75">
        <f t="shared" si="8"/>
        <v>-77</v>
      </c>
      <c r="K133" s="75">
        <f t="shared" si="9"/>
        <v>-2.0582731889869019</v>
      </c>
      <c r="L133" s="75">
        <f>VLOOKUP($A133,'Data Vlaue (Cr)'!$C:$FB,67)</f>
        <v>2352</v>
      </c>
      <c r="M133" s="75">
        <f>VLOOKUP($A133,'Data Vlaue (Cr)'!$C:$FB,68)</f>
        <v>1734</v>
      </c>
      <c r="N133" s="75">
        <f t="shared" si="10"/>
        <v>618</v>
      </c>
      <c r="O133" s="75">
        <f t="shared" si="11"/>
        <v>26.27551020408163</v>
      </c>
      <c r="P133" s="75">
        <f>VLOOKUP($A133,'Data Vlaue (Cr)'!$C:$FB,119)</f>
        <v>0.67</v>
      </c>
      <c r="Q133" s="75">
        <f>VLOOKUP($A133,'Data Vlaue (Cr)'!$C:$FB,122)*100</f>
        <v>3.08</v>
      </c>
      <c r="R133" s="75">
        <f>VLOOKUP($A133,'Data Vlaue (Cr)'!$C:$FB,125)</f>
        <v>0.37</v>
      </c>
      <c r="S133" s="75">
        <f>VLOOKUP($A133,'Data Vlaue (Cr)'!$C:$FB,128)*100</f>
        <v>5.71</v>
      </c>
    </row>
    <row r="134" spans="1:19" x14ac:dyDescent="0.25">
      <c r="A134" s="96" t="str">
        <f>'Data Vlaue (Cr)'!C125</f>
        <v>M&amp;M</v>
      </c>
      <c r="B134" s="75">
        <f>VLOOKUP($A134,'Data Vlaue (Cr)'!$C:$FB,2)</f>
        <v>200</v>
      </c>
      <c r="C134" s="75">
        <f>VLOOKUP($A134,'Data Vlaue (Cr)'!$C:$FB,8)</f>
        <v>3716.7</v>
      </c>
      <c r="D134" s="75">
        <f>VLOOKUP($A134,'Data Vlaue (Cr)'!$C:$FB,4)</f>
        <v>3721.7</v>
      </c>
      <c r="E134" s="75">
        <f>VLOOKUP($A134,'Data Vlaue (Cr)'!$C:$FB,5)</f>
        <v>3724.3</v>
      </c>
      <c r="F134" s="75">
        <f t="shared" si="6"/>
        <v>5</v>
      </c>
      <c r="G134" s="75">
        <f t="shared" si="7"/>
        <v>-6.9860547599225192E-2</v>
      </c>
      <c r="H134" s="75">
        <f>VLOOKUP($A134,'Data Vlaue (Cr)'!$C:$FB,99)</f>
        <v>9994</v>
      </c>
      <c r="I134" s="75">
        <f>VLOOKUP($A134,'Data Vlaue (Cr)'!$C:$FB,100)</f>
        <v>10111</v>
      </c>
      <c r="J134" s="75">
        <f t="shared" si="8"/>
        <v>-117</v>
      </c>
      <c r="K134" s="75">
        <f t="shared" si="9"/>
        <v>-1.1707024214528718</v>
      </c>
      <c r="L134" s="75">
        <f>VLOOKUP($A134,'Data Vlaue (Cr)'!$C:$FB,67)</f>
        <v>8775</v>
      </c>
      <c r="M134" s="75">
        <f>VLOOKUP($A134,'Data Vlaue (Cr)'!$C:$FB,68)</f>
        <v>5442</v>
      </c>
      <c r="N134" s="75">
        <f t="shared" si="10"/>
        <v>3333</v>
      </c>
      <c r="O134" s="75">
        <f t="shared" si="11"/>
        <v>37.982905982905983</v>
      </c>
      <c r="P134" s="75">
        <f>VLOOKUP($A134,'Data Vlaue (Cr)'!$C:$FB,119)</f>
        <v>0.76</v>
      </c>
      <c r="Q134" s="75">
        <f>VLOOKUP($A134,'Data Vlaue (Cr)'!$C:$FB,122)*100</f>
        <v>4.1099999999999994</v>
      </c>
      <c r="R134" s="75">
        <f>VLOOKUP($A134,'Data Vlaue (Cr)'!$C:$FB,125)</f>
        <v>0.53</v>
      </c>
      <c r="S134" s="75">
        <f>VLOOKUP($A134,'Data Vlaue (Cr)'!$C:$FB,128)*100</f>
        <v>-17.190000000000001</v>
      </c>
    </row>
    <row r="135" spans="1:19" x14ac:dyDescent="0.25">
      <c r="A135" s="96" t="str">
        <f>'Data Vlaue (Cr)'!C126</f>
        <v>MANAPPURAM</v>
      </c>
      <c r="B135" s="75">
        <f>VLOOKUP($A135,'Data Vlaue (Cr)'!$C:$FB,2)</f>
        <v>3000</v>
      </c>
      <c r="C135" s="75">
        <f>VLOOKUP($A135,'Data Vlaue (Cr)'!$C:$FB,8)</f>
        <v>282.05</v>
      </c>
      <c r="D135" s="75">
        <f>VLOOKUP($A135,'Data Vlaue (Cr)'!$C:$FB,4)</f>
        <v>282.10000000000002</v>
      </c>
      <c r="E135" s="75">
        <f>VLOOKUP($A135,'Data Vlaue (Cr)'!$C:$FB,5)</f>
        <v>280.75</v>
      </c>
      <c r="F135" s="75">
        <f t="shared" si="6"/>
        <v>5.0000000000011369E-2</v>
      </c>
      <c r="G135" s="75">
        <f t="shared" si="7"/>
        <v>0.47855370436016398</v>
      </c>
      <c r="H135" s="75">
        <f>VLOOKUP($A135,'Data Vlaue (Cr)'!$C:$FB,99)</f>
        <v>2258</v>
      </c>
      <c r="I135" s="75">
        <f>VLOOKUP($A135,'Data Vlaue (Cr)'!$C:$FB,100)</f>
        <v>2348</v>
      </c>
      <c r="J135" s="75">
        <f t="shared" si="8"/>
        <v>-90</v>
      </c>
      <c r="K135" s="75">
        <f t="shared" si="9"/>
        <v>-3.9858281665190431</v>
      </c>
      <c r="L135" s="75">
        <f>VLOOKUP($A135,'Data Vlaue (Cr)'!$C:$FB,67)</f>
        <v>1698</v>
      </c>
      <c r="M135" s="75">
        <f>VLOOKUP($A135,'Data Vlaue (Cr)'!$C:$FB,68)</f>
        <v>1659</v>
      </c>
      <c r="N135" s="75">
        <f t="shared" si="10"/>
        <v>39</v>
      </c>
      <c r="O135" s="75">
        <f t="shared" si="11"/>
        <v>2.2968197879858656</v>
      </c>
      <c r="P135" s="75">
        <f>VLOOKUP($A135,'Data Vlaue (Cr)'!$C:$FB,119)</f>
        <v>0.57999999999999996</v>
      </c>
      <c r="Q135" s="75">
        <f>VLOOKUP($A135,'Data Vlaue (Cr)'!$C:$FB,122)*100</f>
        <v>9.43</v>
      </c>
      <c r="R135" s="75">
        <f>VLOOKUP($A135,'Data Vlaue (Cr)'!$C:$FB,125)</f>
        <v>0.4</v>
      </c>
      <c r="S135" s="75">
        <f>VLOOKUP($A135,'Data Vlaue (Cr)'!$C:$FB,128)*100</f>
        <v>5.26</v>
      </c>
    </row>
    <row r="136" spans="1:19" x14ac:dyDescent="0.25">
      <c r="A136" s="96" t="str">
        <f>'Data Vlaue (Cr)'!C127</f>
        <v>MANKIND</v>
      </c>
      <c r="B136" s="75">
        <f>VLOOKUP($A136,'Data Vlaue (Cr)'!$C:$FB,2)</f>
        <v>225</v>
      </c>
      <c r="C136" s="75">
        <f>VLOOKUP($A136,'Data Vlaue (Cr)'!$C:$FB,8)</f>
        <v>2239.5</v>
      </c>
      <c r="D136" s="75">
        <f>VLOOKUP($A136,'Data Vlaue (Cr)'!$C:$FB,4)</f>
        <v>2241.6999999999998</v>
      </c>
      <c r="E136" s="75">
        <f>VLOOKUP($A136,'Data Vlaue (Cr)'!$C:$FB,5)</f>
        <v>2228.1</v>
      </c>
      <c r="F136" s="75">
        <f t="shared" si="6"/>
        <v>2.1999999999998181</v>
      </c>
      <c r="G136" s="75">
        <f t="shared" si="7"/>
        <v>0.60668242851407017</v>
      </c>
      <c r="H136" s="75">
        <f>VLOOKUP($A136,'Data Vlaue (Cr)'!$C:$FB,99)</f>
        <v>1078</v>
      </c>
      <c r="I136" s="75">
        <f>VLOOKUP($A136,'Data Vlaue (Cr)'!$C:$FB,100)</f>
        <v>1140</v>
      </c>
      <c r="J136" s="75">
        <f t="shared" si="8"/>
        <v>-62</v>
      </c>
      <c r="K136" s="75">
        <f t="shared" si="9"/>
        <v>-5.7513914656771803</v>
      </c>
      <c r="L136" s="75">
        <f>VLOOKUP($A136,'Data Vlaue (Cr)'!$C:$FB,67)</f>
        <v>681</v>
      </c>
      <c r="M136" s="75">
        <f>VLOOKUP($A136,'Data Vlaue (Cr)'!$C:$FB,68)</f>
        <v>315</v>
      </c>
      <c r="N136" s="75">
        <f t="shared" si="10"/>
        <v>366</v>
      </c>
      <c r="O136" s="75">
        <f t="shared" si="11"/>
        <v>53.744493392070481</v>
      </c>
      <c r="P136" s="75">
        <f>VLOOKUP($A136,'Data Vlaue (Cr)'!$C:$FB,119)</f>
        <v>0.46</v>
      </c>
      <c r="Q136" s="75">
        <f>VLOOKUP($A136,'Data Vlaue (Cr)'!$C:$FB,122)*100</f>
        <v>15</v>
      </c>
      <c r="R136" s="75">
        <f>VLOOKUP($A136,'Data Vlaue (Cr)'!$C:$FB,125)</f>
        <v>0.22</v>
      </c>
      <c r="S136" s="75">
        <f>VLOOKUP($A136,'Data Vlaue (Cr)'!$C:$FB,128)*100</f>
        <v>-35.29</v>
      </c>
    </row>
    <row r="137" spans="1:19" x14ac:dyDescent="0.25">
      <c r="A137" s="96" t="str">
        <f>'Data Vlaue (Cr)'!C128</f>
        <v>MARICO</v>
      </c>
      <c r="B137" s="75">
        <f>VLOOKUP($A137,'Data Vlaue (Cr)'!$C:$FB,2)</f>
        <v>1200</v>
      </c>
      <c r="C137" s="75">
        <f>VLOOKUP($A137,'Data Vlaue (Cr)'!$C:$FB,8)</f>
        <v>736.15</v>
      </c>
      <c r="D137" s="75">
        <f>VLOOKUP($A137,'Data Vlaue (Cr)'!$C:$FB,4)</f>
        <v>736.75</v>
      </c>
      <c r="E137" s="75">
        <f>VLOOKUP($A137,'Data Vlaue (Cr)'!$C:$FB,5)</f>
        <v>748.9</v>
      </c>
      <c r="F137" s="75">
        <f t="shared" si="6"/>
        <v>0.60000000000002274</v>
      </c>
      <c r="G137" s="75">
        <f t="shared" si="7"/>
        <v>-1.6491347132677268</v>
      </c>
      <c r="H137" s="75">
        <f>VLOOKUP($A137,'Data Vlaue (Cr)'!$C:$FB,99)</f>
        <v>3229</v>
      </c>
      <c r="I137" s="75">
        <f>VLOOKUP($A137,'Data Vlaue (Cr)'!$C:$FB,100)</f>
        <v>3257</v>
      </c>
      <c r="J137" s="75">
        <f t="shared" si="8"/>
        <v>-28</v>
      </c>
      <c r="K137" s="75">
        <f t="shared" si="9"/>
        <v>-0.86714152988541338</v>
      </c>
      <c r="L137" s="75">
        <f>VLOOKUP($A137,'Data Vlaue (Cr)'!$C:$FB,67)</f>
        <v>2991</v>
      </c>
      <c r="M137" s="75">
        <f>VLOOKUP($A137,'Data Vlaue (Cr)'!$C:$FB,68)</f>
        <v>1922</v>
      </c>
      <c r="N137" s="75">
        <f t="shared" si="10"/>
        <v>1069</v>
      </c>
      <c r="O137" s="75">
        <f t="shared" si="11"/>
        <v>35.740554998328314</v>
      </c>
      <c r="P137" s="75">
        <f>VLOOKUP($A137,'Data Vlaue (Cr)'!$C:$FB,119)</f>
        <v>0.69</v>
      </c>
      <c r="Q137" s="75">
        <f>VLOOKUP($A137,'Data Vlaue (Cr)'!$C:$FB,122)*100</f>
        <v>-13.750000000000002</v>
      </c>
      <c r="R137" s="75">
        <f>VLOOKUP($A137,'Data Vlaue (Cr)'!$C:$FB,125)</f>
        <v>0.61</v>
      </c>
      <c r="S137" s="75">
        <f>VLOOKUP($A137,'Data Vlaue (Cr)'!$C:$FB,128)*100</f>
        <v>-3.17</v>
      </c>
    </row>
    <row r="138" spans="1:19" x14ac:dyDescent="0.25">
      <c r="A138" s="96" t="str">
        <f>'Data Vlaue (Cr)'!C129</f>
        <v>MARUTI</v>
      </c>
      <c r="B138" s="75">
        <f>VLOOKUP($A138,'Data Vlaue (Cr)'!$C:$FB,2)</f>
        <v>50</v>
      </c>
      <c r="C138" s="75">
        <f>VLOOKUP($A138,'Data Vlaue (Cr)'!$C:$FB,8)</f>
        <v>15801</v>
      </c>
      <c r="D138" s="75">
        <f>VLOOKUP($A138,'Data Vlaue (Cr)'!$C:$FB,4)</f>
        <v>15813</v>
      </c>
      <c r="E138" s="75">
        <f>VLOOKUP($A138,'Data Vlaue (Cr)'!$C:$FB,5)</f>
        <v>15753</v>
      </c>
      <c r="F138" s="75">
        <f t="shared" si="6"/>
        <v>12</v>
      </c>
      <c r="G138" s="75">
        <f t="shared" si="7"/>
        <v>0.37943464238284952</v>
      </c>
      <c r="H138" s="75">
        <f>VLOOKUP($A138,'Data Vlaue (Cr)'!$C:$FB,99)</f>
        <v>10697</v>
      </c>
      <c r="I138" s="75">
        <f>VLOOKUP($A138,'Data Vlaue (Cr)'!$C:$FB,100)</f>
        <v>11320</v>
      </c>
      <c r="J138" s="75">
        <f t="shared" si="8"/>
        <v>-623</v>
      </c>
      <c r="K138" s="75">
        <f t="shared" si="9"/>
        <v>-5.8240628213517809</v>
      </c>
      <c r="L138" s="75">
        <f>VLOOKUP($A138,'Data Vlaue (Cr)'!$C:$FB,67)</f>
        <v>18944</v>
      </c>
      <c r="M138" s="75">
        <f>VLOOKUP($A138,'Data Vlaue (Cr)'!$C:$FB,68)</f>
        <v>14206</v>
      </c>
      <c r="N138" s="75">
        <f t="shared" si="10"/>
        <v>4738</v>
      </c>
      <c r="O138" s="75">
        <f t="shared" si="11"/>
        <v>25.010557432432435</v>
      </c>
      <c r="P138" s="75">
        <f>VLOOKUP($A138,'Data Vlaue (Cr)'!$C:$FB,119)</f>
        <v>0.46</v>
      </c>
      <c r="Q138" s="75">
        <f>VLOOKUP($A138,'Data Vlaue (Cr)'!$C:$FB,122)*100</f>
        <v>6.98</v>
      </c>
      <c r="R138" s="75">
        <f>VLOOKUP($A138,'Data Vlaue (Cr)'!$C:$FB,125)</f>
        <v>0.43</v>
      </c>
      <c r="S138" s="75">
        <f>VLOOKUP($A138,'Data Vlaue (Cr)'!$C:$FB,128)*100</f>
        <v>-17.309999999999999</v>
      </c>
    </row>
    <row r="139" spans="1:19" x14ac:dyDescent="0.25">
      <c r="A139" s="96" t="str">
        <f>'Data Vlaue (Cr)'!C130</f>
        <v>MAXHEALTH</v>
      </c>
      <c r="B139" s="75">
        <f>VLOOKUP($A139,'Data Vlaue (Cr)'!$C:$FB,2)</f>
        <v>525</v>
      </c>
      <c r="C139" s="75">
        <f>VLOOKUP($A139,'Data Vlaue (Cr)'!$C:$FB,8)</f>
        <v>1168.9000000000001</v>
      </c>
      <c r="D139" s="75">
        <f>VLOOKUP($A139,'Data Vlaue (Cr)'!$C:$FB,4)</f>
        <v>1168.3</v>
      </c>
      <c r="E139" s="75">
        <f>VLOOKUP($A139,'Data Vlaue (Cr)'!$C:$FB,5)</f>
        <v>1163.5999999999999</v>
      </c>
      <c r="F139" s="75">
        <f t="shared" si="6"/>
        <v>-0.60000000000013642</v>
      </c>
      <c r="G139" s="75">
        <f t="shared" si="7"/>
        <v>0.40229393135325225</v>
      </c>
      <c r="H139" s="75">
        <f>VLOOKUP($A139,'Data Vlaue (Cr)'!$C:$FB,99)</f>
        <v>2924</v>
      </c>
      <c r="I139" s="75">
        <f>VLOOKUP($A139,'Data Vlaue (Cr)'!$C:$FB,100)</f>
        <v>3080</v>
      </c>
      <c r="J139" s="75">
        <f t="shared" si="8"/>
        <v>-156</v>
      </c>
      <c r="K139" s="75">
        <f t="shared" si="9"/>
        <v>-5.3351573187414498</v>
      </c>
      <c r="L139" s="75">
        <f>VLOOKUP($A139,'Data Vlaue (Cr)'!$C:$FB,67)</f>
        <v>3781</v>
      </c>
      <c r="M139" s="75">
        <f>VLOOKUP($A139,'Data Vlaue (Cr)'!$C:$FB,68)</f>
        <v>8925</v>
      </c>
      <c r="N139" s="75">
        <f t="shared" si="10"/>
        <v>-5144</v>
      </c>
      <c r="O139" s="75">
        <f t="shared" si="11"/>
        <v>-136.04866437450409</v>
      </c>
      <c r="P139" s="75">
        <f>VLOOKUP($A139,'Data Vlaue (Cr)'!$C:$FB,119)</f>
        <v>0.7</v>
      </c>
      <c r="Q139" s="75">
        <f>VLOOKUP($A139,'Data Vlaue (Cr)'!$C:$FB,122)*100</f>
        <v>-1.41</v>
      </c>
      <c r="R139" s="75">
        <f>VLOOKUP($A139,'Data Vlaue (Cr)'!$C:$FB,125)</f>
        <v>0.5</v>
      </c>
      <c r="S139" s="75">
        <f>VLOOKUP($A139,'Data Vlaue (Cr)'!$C:$FB,128)*100</f>
        <v>16.28</v>
      </c>
    </row>
    <row r="140" spans="1:19" x14ac:dyDescent="0.25">
      <c r="A140" s="96" t="str">
        <f>'Data Vlaue (Cr)'!C131</f>
        <v>MAZDOCK</v>
      </c>
      <c r="B140" s="75">
        <f>VLOOKUP($A140,'Data Vlaue (Cr)'!$C:$FB,2)</f>
        <v>175</v>
      </c>
      <c r="C140" s="75">
        <f>VLOOKUP($A140,'Data Vlaue (Cr)'!$C:$FB,8)</f>
        <v>2829.5</v>
      </c>
      <c r="D140" s="75">
        <f>VLOOKUP($A140,'Data Vlaue (Cr)'!$C:$FB,4)</f>
        <v>2835.5</v>
      </c>
      <c r="E140" s="75">
        <f>VLOOKUP($A140,'Data Vlaue (Cr)'!$C:$FB,5)</f>
        <v>2788.7</v>
      </c>
      <c r="F140" s="75">
        <f t="shared" ref="F140:F176" si="12">D140-C140</f>
        <v>6</v>
      </c>
      <c r="G140" s="75">
        <f t="shared" ref="G140:G176" si="13">(D140-E140)/D140*100</f>
        <v>1.6505025568682836</v>
      </c>
      <c r="H140" s="75">
        <f>VLOOKUP($A140,'Data Vlaue (Cr)'!$C:$FB,99)</f>
        <v>2548</v>
      </c>
      <c r="I140" s="75">
        <f>VLOOKUP($A140,'Data Vlaue (Cr)'!$C:$FB,100)</f>
        <v>2752</v>
      </c>
      <c r="J140" s="75">
        <f t="shared" ref="J140:J176" si="14">H140-I140</f>
        <v>-204</v>
      </c>
      <c r="K140" s="75">
        <f t="shared" ref="K140:K176" si="15">J140/H140*100</f>
        <v>-8.0062794348508639</v>
      </c>
      <c r="L140" s="75">
        <f>VLOOKUP($A140,'Data Vlaue (Cr)'!$C:$FB,67)</f>
        <v>4671</v>
      </c>
      <c r="M140" s="75">
        <f>VLOOKUP($A140,'Data Vlaue (Cr)'!$C:$FB,68)</f>
        <v>1488</v>
      </c>
      <c r="N140" s="75">
        <f t="shared" ref="N140:N176" si="16">L140-M140</f>
        <v>3183</v>
      </c>
      <c r="O140" s="75">
        <f t="shared" ref="O140:O176" si="17">N140/L140*100</f>
        <v>68.143866409762367</v>
      </c>
      <c r="P140" s="75">
        <f>VLOOKUP($A140,'Data Vlaue (Cr)'!$C:$FB,119)</f>
        <v>0.47</v>
      </c>
      <c r="Q140" s="75">
        <f>VLOOKUP($A140,'Data Vlaue (Cr)'!$C:$FB,122)*100</f>
        <v>11.899999999999999</v>
      </c>
      <c r="R140" s="75">
        <f>VLOOKUP($A140,'Data Vlaue (Cr)'!$C:$FB,125)</f>
        <v>0.3</v>
      </c>
      <c r="S140" s="75">
        <f>VLOOKUP($A140,'Data Vlaue (Cr)'!$C:$FB,128)*100</f>
        <v>30.43</v>
      </c>
    </row>
    <row r="141" spans="1:19" x14ac:dyDescent="0.25">
      <c r="A141" s="96" t="str">
        <f>'Data Vlaue (Cr)'!C132</f>
        <v>MCX</v>
      </c>
      <c r="B141" s="75">
        <f>VLOOKUP($A141,'Data Vlaue (Cr)'!$C:$FB,2)</f>
        <v>125</v>
      </c>
      <c r="C141" s="75">
        <f>VLOOKUP($A141,'Data Vlaue (Cr)'!$C:$FB,8)</f>
        <v>9858.5</v>
      </c>
      <c r="D141" s="75">
        <f>VLOOKUP($A141,'Data Vlaue (Cr)'!$C:$FB,4)</f>
        <v>9849.5</v>
      </c>
      <c r="E141" s="75">
        <f>VLOOKUP($A141,'Data Vlaue (Cr)'!$C:$FB,5)</f>
        <v>9793</v>
      </c>
      <c r="F141" s="75">
        <f t="shared" si="12"/>
        <v>-9</v>
      </c>
      <c r="G141" s="75">
        <f t="shared" si="13"/>
        <v>0.57363317934920555</v>
      </c>
      <c r="H141" s="75">
        <f>VLOOKUP($A141,'Data Vlaue (Cr)'!$C:$FB,99)</f>
        <v>7156</v>
      </c>
      <c r="I141" s="75">
        <f>VLOOKUP($A141,'Data Vlaue (Cr)'!$C:$FB,100)</f>
        <v>7488</v>
      </c>
      <c r="J141" s="75">
        <f t="shared" si="14"/>
        <v>-332</v>
      </c>
      <c r="K141" s="75">
        <f t="shared" si="15"/>
        <v>-4.6394633873672442</v>
      </c>
      <c r="L141" s="75">
        <f>VLOOKUP($A141,'Data Vlaue (Cr)'!$C:$FB,67)</f>
        <v>18909</v>
      </c>
      <c r="M141" s="75">
        <f>VLOOKUP($A141,'Data Vlaue (Cr)'!$C:$FB,68)</f>
        <v>13710</v>
      </c>
      <c r="N141" s="75">
        <f t="shared" si="16"/>
        <v>5199</v>
      </c>
      <c r="O141" s="75">
        <f t="shared" si="17"/>
        <v>27.494843725210217</v>
      </c>
      <c r="P141" s="75">
        <f>VLOOKUP($A141,'Data Vlaue (Cr)'!$C:$FB,119)</f>
        <v>0.76</v>
      </c>
      <c r="Q141" s="75">
        <f>VLOOKUP($A141,'Data Vlaue (Cr)'!$C:$FB,122)*100</f>
        <v>-2.56</v>
      </c>
      <c r="R141" s="75">
        <f>VLOOKUP($A141,'Data Vlaue (Cr)'!$C:$FB,125)</f>
        <v>0.54</v>
      </c>
      <c r="S141" s="75">
        <f>VLOOKUP($A141,'Data Vlaue (Cr)'!$C:$FB,128)*100</f>
        <v>-10</v>
      </c>
    </row>
    <row r="142" spans="1:19" x14ac:dyDescent="0.25">
      <c r="A142" s="96" t="str">
        <f>'Data Vlaue (Cr)'!C133</f>
        <v>MFSL</v>
      </c>
      <c r="B142" s="75">
        <f>VLOOKUP($A142,'Data Vlaue (Cr)'!$C:$FB,2)</f>
        <v>400</v>
      </c>
      <c r="C142" s="75">
        <f>VLOOKUP($A142,'Data Vlaue (Cr)'!$C:$FB,8)</f>
        <v>1692.6</v>
      </c>
      <c r="D142" s="75">
        <f>VLOOKUP($A142,'Data Vlaue (Cr)'!$C:$FB,4)</f>
        <v>1692.4</v>
      </c>
      <c r="E142" s="75">
        <f>VLOOKUP($A142,'Data Vlaue (Cr)'!$C:$FB,5)</f>
        <v>1672.2</v>
      </c>
      <c r="F142" s="75">
        <f t="shared" si="12"/>
        <v>-0.1999999999998181</v>
      </c>
      <c r="G142" s="75">
        <f t="shared" si="13"/>
        <v>1.1935712597494708</v>
      </c>
      <c r="H142" s="75">
        <f>VLOOKUP($A142,'Data Vlaue (Cr)'!$C:$FB,99)</f>
        <v>1785</v>
      </c>
      <c r="I142" s="75">
        <f>VLOOKUP($A142,'Data Vlaue (Cr)'!$C:$FB,100)</f>
        <v>1710</v>
      </c>
      <c r="J142" s="75">
        <f t="shared" si="14"/>
        <v>75</v>
      </c>
      <c r="K142" s="75">
        <f t="shared" si="15"/>
        <v>4.2016806722689077</v>
      </c>
      <c r="L142" s="75">
        <f>VLOOKUP($A142,'Data Vlaue (Cr)'!$C:$FB,67)</f>
        <v>2895</v>
      </c>
      <c r="M142" s="75">
        <f>VLOOKUP($A142,'Data Vlaue (Cr)'!$C:$FB,68)</f>
        <v>783</v>
      </c>
      <c r="N142" s="75">
        <f t="shared" si="16"/>
        <v>2112</v>
      </c>
      <c r="O142" s="75">
        <f t="shared" si="17"/>
        <v>72.953367875647672</v>
      </c>
      <c r="P142" s="75">
        <f>VLOOKUP($A142,'Data Vlaue (Cr)'!$C:$FB,119)</f>
        <v>0.66</v>
      </c>
      <c r="Q142" s="75">
        <f>VLOOKUP($A142,'Data Vlaue (Cr)'!$C:$FB,122)*100</f>
        <v>-2.94</v>
      </c>
      <c r="R142" s="75">
        <f>VLOOKUP($A142,'Data Vlaue (Cr)'!$C:$FB,125)</f>
        <v>0.38</v>
      </c>
      <c r="S142" s="75">
        <f>VLOOKUP($A142,'Data Vlaue (Cr)'!$C:$FB,128)*100</f>
        <v>-26.919999999999998</v>
      </c>
    </row>
    <row r="143" spans="1:19" x14ac:dyDescent="0.25">
      <c r="A143" s="96" t="str">
        <f>'Data Vlaue (Cr)'!C134</f>
        <v>MIDCPNIFTY</v>
      </c>
      <c r="B143" s="75">
        <f>VLOOKUP($A143,'Data Vlaue (Cr)'!$C:$FB,2)</f>
        <v>140</v>
      </c>
      <c r="C143" s="75">
        <f>VLOOKUP($A143,'Data Vlaue (Cr)'!$C:$FB,8)</f>
        <v>13992.2</v>
      </c>
      <c r="D143" s="75">
        <f>VLOOKUP($A143,'Data Vlaue (Cr)'!$C:$FB,4)</f>
        <v>14007.25</v>
      </c>
      <c r="E143" s="75">
        <f>VLOOKUP($A143,'Data Vlaue (Cr)'!$C:$FB,5)</f>
        <v>14025.65</v>
      </c>
      <c r="F143" s="75">
        <f t="shared" si="12"/>
        <v>15.049999999999272</v>
      </c>
      <c r="G143" s="75">
        <f t="shared" si="13"/>
        <v>-0.13136054543182735</v>
      </c>
      <c r="H143" s="75">
        <f>VLOOKUP($A143,'Data Vlaue (Cr)'!$C:$FB,99)</f>
        <v>35651</v>
      </c>
      <c r="I143" s="75">
        <f>VLOOKUP($A143,'Data Vlaue (Cr)'!$C:$FB,100)</f>
        <v>36806</v>
      </c>
      <c r="J143" s="75">
        <f t="shared" si="14"/>
        <v>-1155</v>
      </c>
      <c r="K143" s="75"/>
      <c r="L143" s="75">
        <f>VLOOKUP($A143,'Data Vlaue (Cr)'!$C:$FB,67)</f>
        <v>114886</v>
      </c>
      <c r="M143" s="75">
        <f>VLOOKUP($A143,'Data Vlaue (Cr)'!$C:$FB,68)</f>
        <v>102397</v>
      </c>
      <c r="N143" s="75">
        <f t="shared" si="16"/>
        <v>12489</v>
      </c>
      <c r="O143" s="75">
        <f t="shared" si="17"/>
        <v>10.870776247758648</v>
      </c>
      <c r="P143" s="75">
        <f>VLOOKUP($A143,'Data Vlaue (Cr)'!$C:$FB,119)</f>
        <v>1.1000000000000001</v>
      </c>
      <c r="Q143" s="75">
        <f>VLOOKUP($A143,'Data Vlaue (Cr)'!$C:$FB,122)*100</f>
        <v>-8.33</v>
      </c>
      <c r="R143" s="75">
        <f>VLOOKUP($A143,'Data Vlaue (Cr)'!$C:$FB,125)</f>
        <v>1.05</v>
      </c>
      <c r="S143" s="75">
        <f>VLOOKUP($A143,'Data Vlaue (Cr)'!$C:$FB,128)*100</f>
        <v>-10.26</v>
      </c>
    </row>
    <row r="144" spans="1:19" x14ac:dyDescent="0.25">
      <c r="A144" s="96" t="str">
        <f>'Data Vlaue (Cr)'!C135</f>
        <v>MOTHERSON</v>
      </c>
      <c r="B144" s="75">
        <f>VLOOKUP($A144,'Data Vlaue (Cr)'!$C:$FB,2)</f>
        <v>6150</v>
      </c>
      <c r="C144" s="75">
        <f>VLOOKUP($A144,'Data Vlaue (Cr)'!$C:$FB,8)</f>
        <v>112</v>
      </c>
      <c r="D144" s="75">
        <f>VLOOKUP($A144,'Data Vlaue (Cr)'!$C:$FB,4)</f>
        <v>111.95</v>
      </c>
      <c r="E144" s="75">
        <f>VLOOKUP($A144,'Data Vlaue (Cr)'!$C:$FB,5)</f>
        <v>112.16</v>
      </c>
      <c r="F144" s="75">
        <f t="shared" si="12"/>
        <v>-4.9999999999997158E-2</v>
      </c>
      <c r="G144" s="75">
        <f t="shared" si="13"/>
        <v>-0.18758374274229009</v>
      </c>
      <c r="H144" s="75">
        <f>VLOOKUP($A144,'Data Vlaue (Cr)'!$C:$FB,99)</f>
        <v>3663</v>
      </c>
      <c r="I144" s="75">
        <f>VLOOKUP($A144,'Data Vlaue (Cr)'!$C:$FB,100)</f>
        <v>3729</v>
      </c>
      <c r="J144" s="75">
        <f t="shared" si="14"/>
        <v>-66</v>
      </c>
      <c r="K144" s="75">
        <f t="shared" si="15"/>
        <v>-1.8018018018018018</v>
      </c>
      <c r="L144" s="75">
        <f>VLOOKUP($A144,'Data Vlaue (Cr)'!$C:$FB,67)</f>
        <v>2452</v>
      </c>
      <c r="M144" s="75">
        <f>VLOOKUP($A144,'Data Vlaue (Cr)'!$C:$FB,68)</f>
        <v>5624</v>
      </c>
      <c r="N144" s="75">
        <f t="shared" si="16"/>
        <v>-3172</v>
      </c>
      <c r="O144" s="75">
        <f t="shared" si="17"/>
        <v>-129.36378466557912</v>
      </c>
      <c r="P144" s="75">
        <f>VLOOKUP($A144,'Data Vlaue (Cr)'!$C:$FB,119)</f>
        <v>0.61</v>
      </c>
      <c r="Q144" s="75">
        <f>VLOOKUP($A144,'Data Vlaue (Cr)'!$C:$FB,122)*100</f>
        <v>1.67</v>
      </c>
      <c r="R144" s="75">
        <f>VLOOKUP($A144,'Data Vlaue (Cr)'!$C:$FB,125)</f>
        <v>0.4</v>
      </c>
      <c r="S144" s="75">
        <f>VLOOKUP($A144,'Data Vlaue (Cr)'!$C:$FB,128)*100</f>
        <v>17.649999999999999</v>
      </c>
    </row>
    <row r="145" spans="1:19" x14ac:dyDescent="0.25">
      <c r="A145" s="96" t="str">
        <f>'Data Vlaue (Cr)'!C136</f>
        <v>MPHASIS</v>
      </c>
      <c r="B145" s="75">
        <f>VLOOKUP($A145,'Data Vlaue (Cr)'!$C:$FB,2)</f>
        <v>275</v>
      </c>
      <c r="C145" s="75">
        <f>VLOOKUP($A145,'Data Vlaue (Cr)'!$C:$FB,8)</f>
        <v>2740.4</v>
      </c>
      <c r="D145" s="75">
        <f>VLOOKUP($A145,'Data Vlaue (Cr)'!$C:$FB,4)</f>
        <v>2744.2</v>
      </c>
      <c r="E145" s="75">
        <f>VLOOKUP($A145,'Data Vlaue (Cr)'!$C:$FB,5)</f>
        <v>2715</v>
      </c>
      <c r="F145" s="75">
        <f t="shared" si="12"/>
        <v>3.7999999999997272</v>
      </c>
      <c r="G145" s="75">
        <f t="shared" si="13"/>
        <v>1.0640623861234539</v>
      </c>
      <c r="H145" s="75">
        <f>VLOOKUP($A145,'Data Vlaue (Cr)'!$C:$FB,99)</f>
        <v>3071</v>
      </c>
      <c r="I145" s="75">
        <f>VLOOKUP($A145,'Data Vlaue (Cr)'!$C:$FB,100)</f>
        <v>3294</v>
      </c>
      <c r="J145" s="75">
        <f t="shared" si="14"/>
        <v>-223</v>
      </c>
      <c r="K145" s="75">
        <f t="shared" si="15"/>
        <v>-7.2614783458156955</v>
      </c>
      <c r="L145" s="75">
        <f>VLOOKUP($A145,'Data Vlaue (Cr)'!$C:$FB,67)</f>
        <v>4392</v>
      </c>
      <c r="M145" s="75">
        <f>VLOOKUP($A145,'Data Vlaue (Cr)'!$C:$FB,68)</f>
        <v>5556</v>
      </c>
      <c r="N145" s="75">
        <f t="shared" si="16"/>
        <v>-1164</v>
      </c>
      <c r="O145" s="75">
        <f t="shared" si="17"/>
        <v>-26.502732240437162</v>
      </c>
      <c r="P145" s="75">
        <f>VLOOKUP($A145,'Data Vlaue (Cr)'!$C:$FB,119)</f>
        <v>0.6</v>
      </c>
      <c r="Q145" s="75">
        <f>VLOOKUP($A145,'Data Vlaue (Cr)'!$C:$FB,122)*100</f>
        <v>13.209999999999999</v>
      </c>
      <c r="R145" s="75">
        <f>VLOOKUP($A145,'Data Vlaue (Cr)'!$C:$FB,125)</f>
        <v>0.44</v>
      </c>
      <c r="S145" s="75">
        <f>VLOOKUP($A145,'Data Vlaue (Cr)'!$C:$FB,128)*100</f>
        <v>10</v>
      </c>
    </row>
    <row r="146" spans="1:19" x14ac:dyDescent="0.25">
      <c r="A146" s="96" t="str">
        <f>'Data Vlaue (Cr)'!C137</f>
        <v>MUTHOOTFIN</v>
      </c>
      <c r="B146" s="75">
        <f>VLOOKUP($A146,'Data Vlaue (Cr)'!$C:$FB,2)</f>
        <v>275</v>
      </c>
      <c r="C146" s="75">
        <f>VLOOKUP($A146,'Data Vlaue (Cr)'!$C:$FB,8)</f>
        <v>3697.5</v>
      </c>
      <c r="D146" s="75">
        <f>VLOOKUP($A146,'Data Vlaue (Cr)'!$C:$FB,4)</f>
        <v>3708.1</v>
      </c>
      <c r="E146" s="75">
        <f>VLOOKUP($A146,'Data Vlaue (Cr)'!$C:$FB,5)</f>
        <v>3714.4</v>
      </c>
      <c r="F146" s="75">
        <f t="shared" si="12"/>
        <v>10.599999999999909</v>
      </c>
      <c r="G146" s="75">
        <f t="shared" si="13"/>
        <v>-0.16989833068148599</v>
      </c>
      <c r="H146" s="75">
        <f>VLOOKUP($A146,'Data Vlaue (Cr)'!$C:$FB,99)</f>
        <v>3974</v>
      </c>
      <c r="I146" s="75">
        <f>VLOOKUP($A146,'Data Vlaue (Cr)'!$C:$FB,100)</f>
        <v>4256</v>
      </c>
      <c r="J146" s="75">
        <f t="shared" si="14"/>
        <v>-282</v>
      </c>
      <c r="K146" s="75">
        <f t="shared" si="15"/>
        <v>-7.0961248112732758</v>
      </c>
      <c r="L146" s="75">
        <f>VLOOKUP($A146,'Data Vlaue (Cr)'!$C:$FB,67)</f>
        <v>3746</v>
      </c>
      <c r="M146" s="75">
        <f>VLOOKUP($A146,'Data Vlaue (Cr)'!$C:$FB,68)</f>
        <v>4114</v>
      </c>
      <c r="N146" s="75">
        <f t="shared" si="16"/>
        <v>-368</v>
      </c>
      <c r="O146" s="75">
        <f t="shared" si="17"/>
        <v>-9.823812066203951</v>
      </c>
      <c r="P146" s="75">
        <f>VLOOKUP($A146,'Data Vlaue (Cr)'!$C:$FB,119)</f>
        <v>0.85</v>
      </c>
      <c r="Q146" s="75">
        <f>VLOOKUP($A146,'Data Vlaue (Cr)'!$C:$FB,122)*100</f>
        <v>-2.2999999999999998</v>
      </c>
      <c r="R146" s="75">
        <f>VLOOKUP($A146,'Data Vlaue (Cr)'!$C:$FB,125)</f>
        <v>0.81</v>
      </c>
      <c r="S146" s="75">
        <f>VLOOKUP($A146,'Data Vlaue (Cr)'!$C:$FB,128)*100</f>
        <v>-8.99</v>
      </c>
    </row>
    <row r="147" spans="1:19" x14ac:dyDescent="0.25">
      <c r="A147" s="96" t="str">
        <f>'Data Vlaue (Cr)'!C138</f>
        <v>NATIONALUM</v>
      </c>
      <c r="B147" s="75">
        <f>VLOOKUP($A147,'Data Vlaue (Cr)'!$C:$FB,2)</f>
        <v>3750</v>
      </c>
      <c r="C147" s="75">
        <f>VLOOKUP($A147,'Data Vlaue (Cr)'!$C:$FB,8)</f>
        <v>257.62</v>
      </c>
      <c r="D147" s="75">
        <f>VLOOKUP($A147,'Data Vlaue (Cr)'!$C:$FB,4)</f>
        <v>258.22000000000003</v>
      </c>
      <c r="E147" s="75">
        <f>VLOOKUP($A147,'Data Vlaue (Cr)'!$C:$FB,5)</f>
        <v>256.94</v>
      </c>
      <c r="F147" s="75">
        <f t="shared" si="12"/>
        <v>0.60000000000002274</v>
      </c>
      <c r="G147" s="75">
        <f t="shared" si="13"/>
        <v>0.49570133994269588</v>
      </c>
      <c r="H147" s="75">
        <f>VLOOKUP($A147,'Data Vlaue (Cr)'!$C:$FB,99)</f>
        <v>3862</v>
      </c>
      <c r="I147" s="75">
        <f>VLOOKUP($A147,'Data Vlaue (Cr)'!$C:$FB,100)</f>
        <v>3918</v>
      </c>
      <c r="J147" s="75">
        <f t="shared" si="14"/>
        <v>-56</v>
      </c>
      <c r="K147" s="75">
        <f t="shared" si="15"/>
        <v>-1.4500258933195236</v>
      </c>
      <c r="L147" s="75">
        <f>VLOOKUP($A147,'Data Vlaue (Cr)'!$C:$FB,67)</f>
        <v>3899</v>
      </c>
      <c r="M147" s="75">
        <f>VLOOKUP($A147,'Data Vlaue (Cr)'!$C:$FB,68)</f>
        <v>2109</v>
      </c>
      <c r="N147" s="75">
        <f t="shared" si="16"/>
        <v>1790</v>
      </c>
      <c r="O147" s="75">
        <f t="shared" si="17"/>
        <v>45.909207489099771</v>
      </c>
      <c r="P147" s="75">
        <f>VLOOKUP($A147,'Data Vlaue (Cr)'!$C:$FB,119)</f>
        <v>0.93</v>
      </c>
      <c r="Q147" s="75">
        <f>VLOOKUP($A147,'Data Vlaue (Cr)'!$C:$FB,122)*100</f>
        <v>-5.0999999999999996</v>
      </c>
      <c r="R147" s="75">
        <f>VLOOKUP($A147,'Data Vlaue (Cr)'!$C:$FB,125)</f>
        <v>0.42</v>
      </c>
      <c r="S147" s="75">
        <f>VLOOKUP($A147,'Data Vlaue (Cr)'!$C:$FB,128)*100</f>
        <v>-23.64</v>
      </c>
    </row>
    <row r="148" spans="1:19" x14ac:dyDescent="0.25">
      <c r="A148" s="96" t="str">
        <f>'Data Vlaue (Cr)'!C139</f>
        <v>NAUKRI</v>
      </c>
      <c r="B148" s="75">
        <f>VLOOKUP($A148,'Data Vlaue (Cr)'!$C:$FB,2)</f>
        <v>375</v>
      </c>
      <c r="C148" s="75">
        <f>VLOOKUP($A148,'Data Vlaue (Cr)'!$C:$FB,8)</f>
        <v>1365.4</v>
      </c>
      <c r="D148" s="75">
        <f>VLOOKUP($A148,'Data Vlaue (Cr)'!$C:$FB,4)</f>
        <v>1361.7</v>
      </c>
      <c r="E148" s="75">
        <f>VLOOKUP($A148,'Data Vlaue (Cr)'!$C:$FB,5)</f>
        <v>1359.5</v>
      </c>
      <c r="F148" s="75">
        <f t="shared" si="12"/>
        <v>-3.7000000000000455</v>
      </c>
      <c r="G148" s="75">
        <f t="shared" si="13"/>
        <v>0.16156275244180401</v>
      </c>
      <c r="H148" s="75">
        <f>VLOOKUP($A148,'Data Vlaue (Cr)'!$C:$FB,99)</f>
        <v>1786</v>
      </c>
      <c r="I148" s="75">
        <f>VLOOKUP($A148,'Data Vlaue (Cr)'!$C:$FB,100)</f>
        <v>1898</v>
      </c>
      <c r="J148" s="75">
        <f t="shared" si="14"/>
        <v>-112</v>
      </c>
      <c r="K148" s="75">
        <f t="shared" si="15"/>
        <v>-6.2709966405375139</v>
      </c>
      <c r="L148" s="75">
        <f>VLOOKUP($A148,'Data Vlaue (Cr)'!$C:$FB,67)</f>
        <v>1797</v>
      </c>
      <c r="M148" s="75">
        <f>VLOOKUP($A148,'Data Vlaue (Cr)'!$C:$FB,68)</f>
        <v>2059</v>
      </c>
      <c r="N148" s="75">
        <f t="shared" si="16"/>
        <v>-262</v>
      </c>
      <c r="O148" s="75">
        <f t="shared" si="17"/>
        <v>-14.57985531441291</v>
      </c>
      <c r="P148" s="75">
        <f>VLOOKUP($A148,'Data Vlaue (Cr)'!$C:$FB,119)</f>
        <v>0.6</v>
      </c>
      <c r="Q148" s="75">
        <f>VLOOKUP($A148,'Data Vlaue (Cr)'!$C:$FB,122)*100</f>
        <v>11.110000000000001</v>
      </c>
      <c r="R148" s="75">
        <f>VLOOKUP($A148,'Data Vlaue (Cr)'!$C:$FB,125)</f>
        <v>0.36</v>
      </c>
      <c r="S148" s="75">
        <f>VLOOKUP($A148,'Data Vlaue (Cr)'!$C:$FB,128)*100</f>
        <v>20</v>
      </c>
    </row>
    <row r="149" spans="1:19" x14ac:dyDescent="0.25">
      <c r="A149" s="96" t="str">
        <f>'Data Vlaue (Cr)'!C140</f>
        <v>NBCC</v>
      </c>
      <c r="B149" s="75">
        <f>VLOOKUP($A149,'Data Vlaue (Cr)'!$C:$FB,2)</f>
        <v>6500</v>
      </c>
      <c r="C149" s="75">
        <f>VLOOKUP($A149,'Data Vlaue (Cr)'!$C:$FB,8)</f>
        <v>115.99</v>
      </c>
      <c r="D149" s="75">
        <f>VLOOKUP($A149,'Data Vlaue (Cr)'!$C:$FB,4)</f>
        <v>116.14</v>
      </c>
      <c r="E149" s="75">
        <f>VLOOKUP($A149,'Data Vlaue (Cr)'!$C:$FB,5)</f>
        <v>113.07</v>
      </c>
      <c r="F149" s="75">
        <f t="shared" si="12"/>
        <v>0.15000000000000568</v>
      </c>
      <c r="G149" s="75">
        <f t="shared" si="13"/>
        <v>2.643361460306533</v>
      </c>
      <c r="H149" s="75">
        <f>VLOOKUP($A149,'Data Vlaue (Cr)'!$C:$FB,99)</f>
        <v>1920</v>
      </c>
      <c r="I149" s="75">
        <f>VLOOKUP($A149,'Data Vlaue (Cr)'!$C:$FB,100)</f>
        <v>1770</v>
      </c>
      <c r="J149" s="75">
        <f t="shared" si="14"/>
        <v>150</v>
      </c>
      <c r="K149" s="75">
        <f t="shared" si="15"/>
        <v>7.8125</v>
      </c>
      <c r="L149" s="75">
        <f>VLOOKUP($A149,'Data Vlaue (Cr)'!$C:$FB,67)</f>
        <v>4796</v>
      </c>
      <c r="M149" s="75">
        <f>VLOOKUP($A149,'Data Vlaue (Cr)'!$C:$FB,68)</f>
        <v>787</v>
      </c>
      <c r="N149" s="75">
        <f t="shared" si="16"/>
        <v>4009</v>
      </c>
      <c r="O149" s="75">
        <f t="shared" si="17"/>
        <v>83.590492076730598</v>
      </c>
      <c r="P149" s="75">
        <f>VLOOKUP($A149,'Data Vlaue (Cr)'!$C:$FB,119)</f>
        <v>0.48</v>
      </c>
      <c r="Q149" s="75">
        <f>VLOOKUP($A149,'Data Vlaue (Cr)'!$C:$FB,122)*100</f>
        <v>-12.73</v>
      </c>
      <c r="R149" s="75">
        <f>VLOOKUP($A149,'Data Vlaue (Cr)'!$C:$FB,125)</f>
        <v>0.34</v>
      </c>
      <c r="S149" s="75">
        <f>VLOOKUP($A149,'Data Vlaue (Cr)'!$C:$FB,128)*100</f>
        <v>-26.090000000000003</v>
      </c>
    </row>
    <row r="150" spans="1:19" x14ac:dyDescent="0.25">
      <c r="A150" s="96" t="str">
        <f>'Data Vlaue (Cr)'!C141</f>
        <v>NCC</v>
      </c>
      <c r="B150" s="75">
        <f>VLOOKUP($A150,'Data Vlaue (Cr)'!$C:$FB,2)</f>
        <v>2700</v>
      </c>
      <c r="C150" s="75">
        <f>VLOOKUP($A150,'Data Vlaue (Cr)'!$C:$FB,8)</f>
        <v>179.03</v>
      </c>
      <c r="D150" s="75">
        <f>VLOOKUP($A150,'Data Vlaue (Cr)'!$C:$FB,4)</f>
        <v>179.26</v>
      </c>
      <c r="E150" s="75">
        <f>VLOOKUP($A150,'Data Vlaue (Cr)'!$C:$FB,5)</f>
        <v>181.2</v>
      </c>
      <c r="F150" s="75">
        <f t="shared" si="12"/>
        <v>0.22999999999998977</v>
      </c>
      <c r="G150" s="75">
        <f t="shared" si="13"/>
        <v>-1.0822269329465568</v>
      </c>
      <c r="H150" s="75">
        <f>VLOOKUP($A150,'Data Vlaue (Cr)'!$C:$FB,99)</f>
        <v>1070</v>
      </c>
      <c r="I150" s="75">
        <f>VLOOKUP($A150,'Data Vlaue (Cr)'!$C:$FB,100)</f>
        <v>1074</v>
      </c>
      <c r="J150" s="75">
        <f t="shared" si="14"/>
        <v>-4</v>
      </c>
      <c r="K150" s="75">
        <f t="shared" si="15"/>
        <v>-0.37383177570093462</v>
      </c>
      <c r="L150" s="75">
        <f>VLOOKUP($A150,'Data Vlaue (Cr)'!$C:$FB,67)</f>
        <v>429</v>
      </c>
      <c r="M150" s="75">
        <f>VLOOKUP($A150,'Data Vlaue (Cr)'!$C:$FB,68)</f>
        <v>457</v>
      </c>
      <c r="N150" s="75">
        <f t="shared" si="16"/>
        <v>-28</v>
      </c>
      <c r="O150" s="75">
        <f t="shared" si="17"/>
        <v>-6.5268065268065261</v>
      </c>
      <c r="P150" s="75">
        <f>VLOOKUP($A150,'Data Vlaue (Cr)'!$C:$FB,119)</f>
        <v>0.47</v>
      </c>
      <c r="Q150" s="75">
        <f>VLOOKUP($A150,'Data Vlaue (Cr)'!$C:$FB,122)*100</f>
        <v>2.17</v>
      </c>
      <c r="R150" s="75">
        <f>VLOOKUP($A150,'Data Vlaue (Cr)'!$C:$FB,125)</f>
        <v>0.33</v>
      </c>
      <c r="S150" s="75">
        <f>VLOOKUP($A150,'Data Vlaue (Cr)'!$C:$FB,128)*100</f>
        <v>13.79</v>
      </c>
    </row>
    <row r="151" spans="1:19" x14ac:dyDescent="0.25">
      <c r="A151" s="96" t="str">
        <f>'Data Vlaue (Cr)'!C142</f>
        <v>NESTLEIND</v>
      </c>
      <c r="B151" s="75">
        <f>VLOOKUP($A151,'Data Vlaue (Cr)'!$C:$FB,2)</f>
        <v>500</v>
      </c>
      <c r="C151" s="75">
        <f>VLOOKUP($A151,'Data Vlaue (Cr)'!$C:$FB,8)</f>
        <v>1279.2</v>
      </c>
      <c r="D151" s="75">
        <f>VLOOKUP($A151,'Data Vlaue (Cr)'!$C:$FB,4)</f>
        <v>1280.7</v>
      </c>
      <c r="E151" s="75">
        <f>VLOOKUP($A151,'Data Vlaue (Cr)'!$C:$FB,5)</f>
        <v>1281.0999999999999</v>
      </c>
      <c r="F151" s="75">
        <f t="shared" si="12"/>
        <v>1.5</v>
      </c>
      <c r="G151" s="75">
        <f t="shared" si="13"/>
        <v>-3.1232919497139345E-2</v>
      </c>
      <c r="H151" s="75">
        <f>VLOOKUP($A151,'Data Vlaue (Cr)'!$C:$FB,99)</f>
        <v>3046</v>
      </c>
      <c r="I151" s="75">
        <f>VLOOKUP($A151,'Data Vlaue (Cr)'!$C:$FB,100)</f>
        <v>3087</v>
      </c>
      <c r="J151" s="75">
        <f t="shared" si="14"/>
        <v>-41</v>
      </c>
      <c r="K151" s="75">
        <f t="shared" si="15"/>
        <v>-1.3460275771503611</v>
      </c>
      <c r="L151" s="75">
        <f>VLOOKUP($A151,'Data Vlaue (Cr)'!$C:$FB,67)</f>
        <v>1996</v>
      </c>
      <c r="M151" s="75">
        <f>VLOOKUP($A151,'Data Vlaue (Cr)'!$C:$FB,68)</f>
        <v>1588</v>
      </c>
      <c r="N151" s="75">
        <f t="shared" si="16"/>
        <v>408</v>
      </c>
      <c r="O151" s="75">
        <f t="shared" si="17"/>
        <v>20.440881763527056</v>
      </c>
      <c r="P151" s="75">
        <f>VLOOKUP($A151,'Data Vlaue (Cr)'!$C:$FB,119)</f>
        <v>0.37</v>
      </c>
      <c r="Q151" s="75">
        <f>VLOOKUP($A151,'Data Vlaue (Cr)'!$C:$FB,122)*100</f>
        <v>-2.63</v>
      </c>
      <c r="R151" s="75">
        <f>VLOOKUP($A151,'Data Vlaue (Cr)'!$C:$FB,125)</f>
        <v>0.3</v>
      </c>
      <c r="S151" s="75">
        <f>VLOOKUP($A151,'Data Vlaue (Cr)'!$C:$FB,128)*100</f>
        <v>-11.76</v>
      </c>
    </row>
    <row r="152" spans="1:19" x14ac:dyDescent="0.25">
      <c r="A152" s="96" t="str">
        <f>'Data Vlaue (Cr)'!C143</f>
        <v>NHPC</v>
      </c>
      <c r="B152" s="75">
        <f>VLOOKUP($A152,'Data Vlaue (Cr)'!$C:$FB,2)</f>
        <v>6400</v>
      </c>
      <c r="C152" s="75">
        <f>VLOOKUP($A152,'Data Vlaue (Cr)'!$C:$FB,8)</f>
        <v>80.12</v>
      </c>
      <c r="D152" s="75">
        <f>VLOOKUP($A152,'Data Vlaue (Cr)'!$C:$FB,4)</f>
        <v>80.17</v>
      </c>
      <c r="E152" s="75">
        <f>VLOOKUP($A152,'Data Vlaue (Cr)'!$C:$FB,5)</f>
        <v>80.16</v>
      </c>
      <c r="F152" s="75">
        <f t="shared" si="12"/>
        <v>4.9999999999997158E-2</v>
      </c>
      <c r="G152" s="75">
        <f t="shared" si="13"/>
        <v>1.2473493825626937E-2</v>
      </c>
      <c r="H152" s="75">
        <f>VLOOKUP($A152,'Data Vlaue (Cr)'!$C:$FB,99)</f>
        <v>992</v>
      </c>
      <c r="I152" s="75">
        <f>VLOOKUP($A152,'Data Vlaue (Cr)'!$C:$FB,100)</f>
        <v>1007</v>
      </c>
      <c r="J152" s="75">
        <f t="shared" si="14"/>
        <v>-15</v>
      </c>
      <c r="K152" s="75">
        <f t="shared" si="15"/>
        <v>-1.5120967741935485</v>
      </c>
      <c r="L152" s="75">
        <f>VLOOKUP($A152,'Data Vlaue (Cr)'!$C:$FB,67)</f>
        <v>473</v>
      </c>
      <c r="M152" s="75">
        <f>VLOOKUP($A152,'Data Vlaue (Cr)'!$C:$FB,68)</f>
        <v>344</v>
      </c>
      <c r="N152" s="75">
        <f t="shared" si="16"/>
        <v>129</v>
      </c>
      <c r="O152" s="75">
        <f t="shared" si="17"/>
        <v>27.27272727272727</v>
      </c>
      <c r="P152" s="75">
        <f>VLOOKUP($A152,'Data Vlaue (Cr)'!$C:$FB,119)</f>
        <v>0.45</v>
      </c>
      <c r="Q152" s="75">
        <f>VLOOKUP($A152,'Data Vlaue (Cr)'!$C:$FB,122)*100</f>
        <v>0</v>
      </c>
      <c r="R152" s="75">
        <f>VLOOKUP($A152,'Data Vlaue (Cr)'!$C:$FB,125)</f>
        <v>0.34</v>
      </c>
      <c r="S152" s="75">
        <f>VLOOKUP($A152,'Data Vlaue (Cr)'!$C:$FB,128)*100</f>
        <v>3.0300000000000002</v>
      </c>
    </row>
    <row r="153" spans="1:19" x14ac:dyDescent="0.25">
      <c r="A153" s="96" t="str">
        <f>'Data Vlaue (Cr)'!C144</f>
        <v>NIFTY</v>
      </c>
      <c r="B153" s="75">
        <f>VLOOKUP($A153,'Data Vlaue (Cr)'!$C:$FB,2)</f>
        <v>75</v>
      </c>
      <c r="C153" s="75">
        <f>VLOOKUP($A153,'Data Vlaue (Cr)'!$C:$FB,8)</f>
        <v>26192.15</v>
      </c>
      <c r="D153" s="75">
        <f>VLOOKUP($A153,'Data Vlaue (Cr)'!$C:$FB,4)</f>
        <v>26220.799999999999</v>
      </c>
      <c r="E153" s="75">
        <f>VLOOKUP($A153,'Data Vlaue (Cr)'!$C:$FB,5)</f>
        <v>26071</v>
      </c>
      <c r="F153" s="75">
        <f t="shared" si="12"/>
        <v>28.649999999997817</v>
      </c>
      <c r="G153" s="75">
        <f t="shared" si="13"/>
        <v>0.57130217232120795</v>
      </c>
      <c r="H153" s="75">
        <f>VLOOKUP($A153,'Data Vlaue (Cr)'!$C:$FB,99)</f>
        <v>1303378</v>
      </c>
      <c r="I153" s="75">
        <f>VLOOKUP($A153,'Data Vlaue (Cr)'!$C:$FB,100)</f>
        <v>1124559</v>
      </c>
      <c r="J153" s="75">
        <f t="shared" si="14"/>
        <v>178819</v>
      </c>
      <c r="K153" s="75">
        <f t="shared" si="15"/>
        <v>13.719657689480719</v>
      </c>
      <c r="L153" s="75">
        <f>VLOOKUP($A153,'Data Vlaue (Cr)'!$C:$FB,67)</f>
        <v>9775523</v>
      </c>
      <c r="M153" s="75">
        <f>VLOOKUP($A153,'Data Vlaue (Cr)'!$C:$FB,68)</f>
        <v>9632156</v>
      </c>
      <c r="N153" s="75">
        <f t="shared" si="16"/>
        <v>143367</v>
      </c>
      <c r="O153" s="75">
        <f t="shared" si="17"/>
        <v>1.4665916084489801</v>
      </c>
      <c r="P153" s="75">
        <f>VLOOKUP($A153,'Data Vlaue (Cr)'!$C:$FB,119)</f>
        <v>1.44</v>
      </c>
      <c r="Q153" s="75">
        <f>VLOOKUP($A153,'Data Vlaue (Cr)'!$C:$FB,122)*100</f>
        <v>11.63</v>
      </c>
      <c r="R153" s="75">
        <f>VLOOKUP($A153,'Data Vlaue (Cr)'!$C:$FB,125)</f>
        <v>0.95</v>
      </c>
      <c r="S153" s="75">
        <f>VLOOKUP($A153,'Data Vlaue (Cr)'!$C:$FB,128)*100</f>
        <v>6.74</v>
      </c>
    </row>
    <row r="154" spans="1:19" x14ac:dyDescent="0.25">
      <c r="A154" s="96" t="str">
        <f>'Data Vlaue (Cr)'!C145</f>
        <v>NIFTYNXT50</v>
      </c>
      <c r="B154" s="75">
        <f>VLOOKUP($A154,'Data Vlaue (Cr)'!$C:$FB,2)</f>
        <v>25</v>
      </c>
      <c r="C154" s="75">
        <f>VLOOKUP($A154,'Data Vlaue (Cr)'!$C:$FB,8)</f>
        <v>69567.75</v>
      </c>
      <c r="D154" s="75">
        <f>VLOOKUP($A154,'Data Vlaue (Cr)'!$C:$FB,4)</f>
        <v>69623.399999999994</v>
      </c>
      <c r="E154" s="75">
        <f>VLOOKUP($A154,'Data Vlaue (Cr)'!$C:$FB,5)</f>
        <v>69658.8</v>
      </c>
      <c r="F154" s="75">
        <f t="shared" si="12"/>
        <v>55.649999999994179</v>
      </c>
      <c r="G154" s="75">
        <f t="shared" si="13"/>
        <v>-5.0844974534436316E-2</v>
      </c>
      <c r="H154" s="75">
        <f>VLOOKUP($A154,'Data Vlaue (Cr)'!$C:$FB,99)</f>
        <v>417</v>
      </c>
      <c r="I154" s="75">
        <f>VLOOKUP($A154,'Data Vlaue (Cr)'!$C:$FB,100)</f>
        <v>382</v>
      </c>
      <c r="J154" s="75">
        <f t="shared" si="14"/>
        <v>35</v>
      </c>
      <c r="K154" s="75">
        <f t="shared" si="15"/>
        <v>8.393285371702639</v>
      </c>
      <c r="L154" s="75">
        <f>VLOOKUP($A154,'Data Vlaue (Cr)'!$C:$FB,67)</f>
        <v>282</v>
      </c>
      <c r="M154" s="75">
        <f>VLOOKUP($A154,'Data Vlaue (Cr)'!$C:$FB,68)</f>
        <v>343</v>
      </c>
      <c r="N154" s="75">
        <f t="shared" si="16"/>
        <v>-61</v>
      </c>
      <c r="O154" s="75">
        <f t="shared" si="17"/>
        <v>-21.631205673758867</v>
      </c>
      <c r="P154" s="75">
        <f>VLOOKUP($A154,'Data Vlaue (Cr)'!$C:$FB,119)</f>
        <v>0.78</v>
      </c>
      <c r="Q154" s="75">
        <f>VLOOKUP($A154,'Data Vlaue (Cr)'!$C:$FB,122)*100</f>
        <v>44.440000000000005</v>
      </c>
      <c r="R154" s="75">
        <f>VLOOKUP($A154,'Data Vlaue (Cr)'!$C:$FB,125)</f>
        <v>0.5</v>
      </c>
      <c r="S154" s="75">
        <f>VLOOKUP($A154,'Data Vlaue (Cr)'!$C:$FB,128)*100</f>
        <v>-26.47</v>
      </c>
    </row>
    <row r="155" spans="1:19" x14ac:dyDescent="0.25">
      <c r="A155" s="96" t="str">
        <f>'Data Vlaue (Cr)'!C146</f>
        <v>NMDC</v>
      </c>
      <c r="B155" s="75">
        <f>VLOOKUP($A155,'Data Vlaue (Cr)'!$C:$FB,2)</f>
        <v>6750</v>
      </c>
      <c r="C155" s="75">
        <f>VLOOKUP($A155,'Data Vlaue (Cr)'!$C:$FB,8)</f>
        <v>74.459999999999994</v>
      </c>
      <c r="D155" s="75">
        <f>VLOOKUP($A155,'Data Vlaue (Cr)'!$C:$FB,4)</f>
        <v>74.489999999999995</v>
      </c>
      <c r="E155" s="75">
        <f>VLOOKUP($A155,'Data Vlaue (Cr)'!$C:$FB,5)</f>
        <v>75.2</v>
      </c>
      <c r="F155" s="75">
        <f t="shared" si="12"/>
        <v>3.0000000000001137E-2</v>
      </c>
      <c r="G155" s="75">
        <f t="shared" si="13"/>
        <v>-0.95314807356693243</v>
      </c>
      <c r="H155" s="75">
        <f>VLOOKUP($A155,'Data Vlaue (Cr)'!$C:$FB,99)</f>
        <v>4414</v>
      </c>
      <c r="I155" s="75">
        <f>VLOOKUP($A155,'Data Vlaue (Cr)'!$C:$FB,100)</f>
        <v>4385</v>
      </c>
      <c r="J155" s="75">
        <f t="shared" si="14"/>
        <v>29</v>
      </c>
      <c r="K155" s="75">
        <f t="shared" si="15"/>
        <v>0.65700045310376076</v>
      </c>
      <c r="L155" s="75">
        <f>VLOOKUP($A155,'Data Vlaue (Cr)'!$C:$FB,67)</f>
        <v>3970</v>
      </c>
      <c r="M155" s="75">
        <f>VLOOKUP($A155,'Data Vlaue (Cr)'!$C:$FB,68)</f>
        <v>1302</v>
      </c>
      <c r="N155" s="75">
        <f t="shared" si="16"/>
        <v>2668</v>
      </c>
      <c r="O155" s="75">
        <f t="shared" si="17"/>
        <v>67.204030226700255</v>
      </c>
      <c r="P155" s="75">
        <f>VLOOKUP($A155,'Data Vlaue (Cr)'!$C:$FB,119)</f>
        <v>0.61</v>
      </c>
      <c r="Q155" s="75">
        <f>VLOOKUP($A155,'Data Vlaue (Cr)'!$C:$FB,122)*100</f>
        <v>0</v>
      </c>
      <c r="R155" s="75">
        <f>VLOOKUP($A155,'Data Vlaue (Cr)'!$C:$FB,125)</f>
        <v>0.6</v>
      </c>
      <c r="S155" s="75">
        <f>VLOOKUP($A155,'Data Vlaue (Cr)'!$C:$FB,128)*100</f>
        <v>22.45</v>
      </c>
    </row>
    <row r="156" spans="1:19" x14ac:dyDescent="0.25">
      <c r="A156" s="96" t="str">
        <f>'Data Vlaue (Cr)'!C147</f>
        <v>NTPC</v>
      </c>
      <c r="B156" s="75">
        <f>VLOOKUP($A156,'Data Vlaue (Cr)'!$C:$FB,2)</f>
        <v>1500</v>
      </c>
      <c r="C156" s="75">
        <f>VLOOKUP($A156,'Data Vlaue (Cr)'!$C:$FB,8)</f>
        <v>326.60000000000002</v>
      </c>
      <c r="D156" s="75">
        <f>VLOOKUP($A156,'Data Vlaue (Cr)'!$C:$FB,4)</f>
        <v>327</v>
      </c>
      <c r="E156" s="75">
        <f>VLOOKUP($A156,'Data Vlaue (Cr)'!$C:$FB,5)</f>
        <v>326.3</v>
      </c>
      <c r="F156" s="75">
        <f t="shared" si="12"/>
        <v>0.39999999999997726</v>
      </c>
      <c r="G156" s="75">
        <f t="shared" si="13"/>
        <v>0.21406727828745831</v>
      </c>
      <c r="H156" s="75">
        <f>VLOOKUP($A156,'Data Vlaue (Cr)'!$C:$FB,99)</f>
        <v>5776</v>
      </c>
      <c r="I156" s="75">
        <f>VLOOKUP($A156,'Data Vlaue (Cr)'!$C:$FB,100)</f>
        <v>5927</v>
      </c>
      <c r="J156" s="75">
        <f t="shared" si="14"/>
        <v>-151</v>
      </c>
      <c r="K156" s="75">
        <f t="shared" si="15"/>
        <v>-2.6142659279778395</v>
      </c>
      <c r="L156" s="75">
        <f>VLOOKUP($A156,'Data Vlaue (Cr)'!$C:$FB,67)</f>
        <v>2666</v>
      </c>
      <c r="M156" s="75">
        <f>VLOOKUP($A156,'Data Vlaue (Cr)'!$C:$FB,68)</f>
        <v>2691</v>
      </c>
      <c r="N156" s="75">
        <f t="shared" si="16"/>
        <v>-25</v>
      </c>
      <c r="O156" s="75">
        <f t="shared" si="17"/>
        <v>-0.93773443360840214</v>
      </c>
      <c r="P156" s="75">
        <f>VLOOKUP($A156,'Data Vlaue (Cr)'!$C:$FB,119)</f>
        <v>0.4</v>
      </c>
      <c r="Q156" s="75">
        <f>VLOOKUP($A156,'Data Vlaue (Cr)'!$C:$FB,122)*100</f>
        <v>0</v>
      </c>
      <c r="R156" s="75">
        <f>VLOOKUP($A156,'Data Vlaue (Cr)'!$C:$FB,125)</f>
        <v>0.44</v>
      </c>
      <c r="S156" s="75">
        <f>VLOOKUP($A156,'Data Vlaue (Cr)'!$C:$FB,128)*100</f>
        <v>37.5</v>
      </c>
    </row>
    <row r="157" spans="1:19" x14ac:dyDescent="0.25">
      <c r="A157" s="96" t="str">
        <f>'Data Vlaue (Cr)'!C148</f>
        <v>NUVAMA</v>
      </c>
      <c r="B157" s="75">
        <f>VLOOKUP($A157,'Data Vlaue (Cr)'!$C:$FB,2)</f>
        <v>75</v>
      </c>
      <c r="C157" s="75">
        <f>VLOOKUP($A157,'Data Vlaue (Cr)'!$C:$FB,8)</f>
        <v>7336</v>
      </c>
      <c r="D157" s="75">
        <f>VLOOKUP($A157,'Data Vlaue (Cr)'!$C:$FB,4)</f>
        <v>7342</v>
      </c>
      <c r="E157" s="75">
        <f>VLOOKUP($A157,'Data Vlaue (Cr)'!$C:$FB,5)</f>
        <v>7365.5</v>
      </c>
      <c r="F157" s="75">
        <f t="shared" si="12"/>
        <v>6</v>
      </c>
      <c r="G157" s="75">
        <f t="shared" si="13"/>
        <v>-0.32007627349496048</v>
      </c>
      <c r="H157" s="75">
        <f>VLOOKUP($A157,'Data Vlaue (Cr)'!$C:$FB,99)</f>
        <v>740</v>
      </c>
      <c r="I157" s="75">
        <f>VLOOKUP($A157,'Data Vlaue (Cr)'!$C:$FB,100)</f>
        <v>722</v>
      </c>
      <c r="J157" s="75">
        <f t="shared" si="14"/>
        <v>18</v>
      </c>
      <c r="K157" s="75">
        <f t="shared" si="15"/>
        <v>2.4324324324324325</v>
      </c>
      <c r="L157" s="75">
        <f>VLOOKUP($A157,'Data Vlaue (Cr)'!$C:$FB,67)</f>
        <v>674</v>
      </c>
      <c r="M157" s="75">
        <f>VLOOKUP($A157,'Data Vlaue (Cr)'!$C:$FB,68)</f>
        <v>396</v>
      </c>
      <c r="N157" s="75">
        <f t="shared" si="16"/>
        <v>278</v>
      </c>
      <c r="O157" s="75">
        <f t="shared" si="17"/>
        <v>41.246290801186944</v>
      </c>
      <c r="P157" s="75">
        <f>VLOOKUP($A157,'Data Vlaue (Cr)'!$C:$FB,119)</f>
        <v>0.65</v>
      </c>
      <c r="Q157" s="75">
        <f>VLOOKUP($A157,'Data Vlaue (Cr)'!$C:$FB,122)*100</f>
        <v>16.07</v>
      </c>
      <c r="R157" s="75">
        <f>VLOOKUP($A157,'Data Vlaue (Cr)'!$C:$FB,125)</f>
        <v>0.26</v>
      </c>
      <c r="S157" s="75">
        <f>VLOOKUP($A157,'Data Vlaue (Cr)'!$C:$FB,128)*100</f>
        <v>23.810000000000002</v>
      </c>
    </row>
    <row r="158" spans="1:19" x14ac:dyDescent="0.25">
      <c r="A158" s="96" t="str">
        <f>'Data Vlaue (Cr)'!C149</f>
        <v>NYKAA</v>
      </c>
      <c r="B158" s="75">
        <f>VLOOKUP($A158,'Data Vlaue (Cr)'!$C:$FB,2)</f>
        <v>3125</v>
      </c>
      <c r="C158" s="75">
        <f>VLOOKUP($A158,'Data Vlaue (Cr)'!$C:$FB,8)</f>
        <v>268.74</v>
      </c>
      <c r="D158" s="75">
        <f>VLOOKUP($A158,'Data Vlaue (Cr)'!$C:$FB,4)</f>
        <v>269.16000000000003</v>
      </c>
      <c r="E158" s="75">
        <f>VLOOKUP($A158,'Data Vlaue (Cr)'!$C:$FB,5)</f>
        <v>268.83</v>
      </c>
      <c r="F158" s="75">
        <f t="shared" si="12"/>
        <v>0.42000000000001592</v>
      </c>
      <c r="G158" s="75">
        <f t="shared" si="13"/>
        <v>0.12260365581811596</v>
      </c>
      <c r="H158" s="75">
        <f>VLOOKUP($A158,'Data Vlaue (Cr)'!$C:$FB,99)</f>
        <v>2454</v>
      </c>
      <c r="I158" s="75">
        <f>VLOOKUP($A158,'Data Vlaue (Cr)'!$C:$FB,100)</f>
        <v>2631</v>
      </c>
      <c r="J158" s="75">
        <f t="shared" si="14"/>
        <v>-177</v>
      </c>
      <c r="K158" s="75">
        <f t="shared" si="15"/>
        <v>-7.2127139364303181</v>
      </c>
      <c r="L158" s="75">
        <f>VLOOKUP($A158,'Data Vlaue (Cr)'!$C:$FB,67)</f>
        <v>2153</v>
      </c>
      <c r="M158" s="75">
        <f>VLOOKUP($A158,'Data Vlaue (Cr)'!$C:$FB,68)</f>
        <v>1680</v>
      </c>
      <c r="N158" s="75">
        <f t="shared" si="16"/>
        <v>473</v>
      </c>
      <c r="O158" s="75">
        <f t="shared" si="17"/>
        <v>21.969345099860661</v>
      </c>
      <c r="P158" s="75">
        <f>VLOOKUP($A158,'Data Vlaue (Cr)'!$C:$FB,119)</f>
        <v>0.59</v>
      </c>
      <c r="Q158" s="75">
        <f>VLOOKUP($A158,'Data Vlaue (Cr)'!$C:$FB,122)*100</f>
        <v>-3.2800000000000002</v>
      </c>
      <c r="R158" s="75">
        <f>VLOOKUP($A158,'Data Vlaue (Cr)'!$C:$FB,125)</f>
        <v>0.4</v>
      </c>
      <c r="S158" s="75">
        <f>VLOOKUP($A158,'Data Vlaue (Cr)'!$C:$FB,128)*100</f>
        <v>-13.04</v>
      </c>
    </row>
    <row r="159" spans="1:19" x14ac:dyDescent="0.25">
      <c r="A159" s="96" t="str">
        <f>'Data Vlaue (Cr)'!C150</f>
        <v>OBEROIRLTY</v>
      </c>
      <c r="B159" s="75">
        <f>VLOOKUP($A159,'Data Vlaue (Cr)'!$C:$FB,2)</f>
        <v>350</v>
      </c>
      <c r="C159" s="75">
        <f>VLOOKUP($A159,'Data Vlaue (Cr)'!$C:$FB,8)</f>
        <v>1708.5</v>
      </c>
      <c r="D159" s="75">
        <f>VLOOKUP($A159,'Data Vlaue (Cr)'!$C:$FB,4)</f>
        <v>1709.5</v>
      </c>
      <c r="E159" s="75">
        <f>VLOOKUP($A159,'Data Vlaue (Cr)'!$C:$FB,5)</f>
        <v>1714.2</v>
      </c>
      <c r="F159" s="75">
        <f t="shared" si="12"/>
        <v>1</v>
      </c>
      <c r="G159" s="75">
        <f t="shared" si="13"/>
        <v>-0.27493419128400381</v>
      </c>
      <c r="H159" s="75">
        <f>VLOOKUP($A159,'Data Vlaue (Cr)'!$C:$FB,99)</f>
        <v>1154</v>
      </c>
      <c r="I159" s="75">
        <f>VLOOKUP($A159,'Data Vlaue (Cr)'!$C:$FB,100)</f>
        <v>1256</v>
      </c>
      <c r="J159" s="75">
        <f t="shared" si="14"/>
        <v>-102</v>
      </c>
      <c r="K159" s="75">
        <f t="shared" si="15"/>
        <v>-8.8388214904679376</v>
      </c>
      <c r="L159" s="75">
        <f>VLOOKUP($A159,'Data Vlaue (Cr)'!$C:$FB,67)</f>
        <v>907</v>
      </c>
      <c r="M159" s="75">
        <f>VLOOKUP($A159,'Data Vlaue (Cr)'!$C:$FB,68)</f>
        <v>726</v>
      </c>
      <c r="N159" s="75">
        <f t="shared" si="16"/>
        <v>181</v>
      </c>
      <c r="O159" s="75">
        <f t="shared" si="17"/>
        <v>19.955898566703418</v>
      </c>
      <c r="P159" s="75">
        <f>VLOOKUP($A159,'Data Vlaue (Cr)'!$C:$FB,119)</f>
        <v>0.66</v>
      </c>
      <c r="Q159" s="75">
        <f>VLOOKUP($A159,'Data Vlaue (Cr)'!$C:$FB,122)*100</f>
        <v>8.2000000000000011</v>
      </c>
      <c r="R159" s="75">
        <f>VLOOKUP($A159,'Data Vlaue (Cr)'!$C:$FB,125)</f>
        <v>0.43</v>
      </c>
      <c r="S159" s="75">
        <f>VLOOKUP($A159,'Data Vlaue (Cr)'!$C:$FB,128)*100</f>
        <v>-6.52</v>
      </c>
    </row>
    <row r="160" spans="1:19" x14ac:dyDescent="0.25">
      <c r="A160" s="96" t="str">
        <f>'Data Vlaue (Cr)'!C151</f>
        <v>OFSS</v>
      </c>
      <c r="B160" s="75">
        <f>VLOOKUP($A160,'Data Vlaue (Cr)'!$C:$FB,2)</f>
        <v>75</v>
      </c>
      <c r="C160" s="75">
        <f>VLOOKUP($A160,'Data Vlaue (Cr)'!$C:$FB,8)</f>
        <v>8372.5</v>
      </c>
      <c r="D160" s="75">
        <f>VLOOKUP($A160,'Data Vlaue (Cr)'!$C:$FB,4)</f>
        <v>8398</v>
      </c>
      <c r="E160" s="75">
        <f>VLOOKUP($A160,'Data Vlaue (Cr)'!$C:$FB,5)</f>
        <v>8356</v>
      </c>
      <c r="F160" s="75">
        <f t="shared" si="12"/>
        <v>25.5</v>
      </c>
      <c r="G160" s="75">
        <f t="shared" si="13"/>
        <v>0.50011907597046912</v>
      </c>
      <c r="H160" s="75">
        <f>VLOOKUP($A160,'Data Vlaue (Cr)'!$C:$FB,99)</f>
        <v>2302</v>
      </c>
      <c r="I160" s="75">
        <f>VLOOKUP($A160,'Data Vlaue (Cr)'!$C:$FB,100)</f>
        <v>2357</v>
      </c>
      <c r="J160" s="75">
        <f t="shared" si="14"/>
        <v>-55</v>
      </c>
      <c r="K160" s="75">
        <f t="shared" si="15"/>
        <v>-2.3892267593397043</v>
      </c>
      <c r="L160" s="75">
        <f>VLOOKUP($A160,'Data Vlaue (Cr)'!$C:$FB,67)</f>
        <v>4489</v>
      </c>
      <c r="M160" s="75">
        <f>VLOOKUP($A160,'Data Vlaue (Cr)'!$C:$FB,68)</f>
        <v>2509</v>
      </c>
      <c r="N160" s="75">
        <f t="shared" si="16"/>
        <v>1980</v>
      </c>
      <c r="O160" s="75">
        <f t="shared" si="17"/>
        <v>44.107819113388281</v>
      </c>
      <c r="P160" s="75">
        <f>VLOOKUP($A160,'Data Vlaue (Cr)'!$C:$FB,119)</f>
        <v>0.51</v>
      </c>
      <c r="Q160" s="75">
        <f>VLOOKUP($A160,'Data Vlaue (Cr)'!$C:$FB,122)*100</f>
        <v>0</v>
      </c>
      <c r="R160" s="75">
        <f>VLOOKUP($A160,'Data Vlaue (Cr)'!$C:$FB,125)</f>
        <v>0.27</v>
      </c>
      <c r="S160" s="75">
        <f>VLOOKUP($A160,'Data Vlaue (Cr)'!$C:$FB,128)*100</f>
        <v>-10</v>
      </c>
    </row>
    <row r="161" spans="1:19" x14ac:dyDescent="0.25">
      <c r="A161" s="96" t="str">
        <f>'Data Vlaue (Cr)'!C152</f>
        <v>OIL</v>
      </c>
      <c r="B161" s="75">
        <f>VLOOKUP($A161,'Data Vlaue (Cr)'!$C:$FB,2)</f>
        <v>1400</v>
      </c>
      <c r="C161" s="75">
        <f>VLOOKUP($A161,'Data Vlaue (Cr)'!$C:$FB,8)</f>
        <v>436.2</v>
      </c>
      <c r="D161" s="75">
        <f>VLOOKUP($A161,'Data Vlaue (Cr)'!$C:$FB,4)</f>
        <v>433.05</v>
      </c>
      <c r="E161" s="75">
        <f>VLOOKUP($A161,'Data Vlaue (Cr)'!$C:$FB,5)</f>
        <v>433.5</v>
      </c>
      <c r="F161" s="75">
        <f t="shared" si="12"/>
        <v>-3.1499999999999773</v>
      </c>
      <c r="G161" s="75">
        <f t="shared" si="13"/>
        <v>-0.1039140976792492</v>
      </c>
      <c r="H161" s="75">
        <f>VLOOKUP($A161,'Data Vlaue (Cr)'!$C:$FB,99)</f>
        <v>986</v>
      </c>
      <c r="I161" s="75">
        <f>VLOOKUP($A161,'Data Vlaue (Cr)'!$C:$FB,100)</f>
        <v>1026</v>
      </c>
      <c r="J161" s="75">
        <f t="shared" si="14"/>
        <v>-40</v>
      </c>
      <c r="K161" s="75">
        <f t="shared" si="15"/>
        <v>-4.056795131845842</v>
      </c>
      <c r="L161" s="75">
        <f>VLOOKUP($A161,'Data Vlaue (Cr)'!$C:$FB,67)</f>
        <v>735</v>
      </c>
      <c r="M161" s="75">
        <f>VLOOKUP($A161,'Data Vlaue (Cr)'!$C:$FB,68)</f>
        <v>291</v>
      </c>
      <c r="N161" s="75">
        <f t="shared" si="16"/>
        <v>444</v>
      </c>
      <c r="O161" s="75">
        <f t="shared" si="17"/>
        <v>60.408163265306122</v>
      </c>
      <c r="P161" s="75">
        <f>VLOOKUP($A161,'Data Vlaue (Cr)'!$C:$FB,119)</f>
        <v>0.56000000000000005</v>
      </c>
      <c r="Q161" s="75">
        <f>VLOOKUP($A161,'Data Vlaue (Cr)'!$C:$FB,122)*100</f>
        <v>5.66</v>
      </c>
      <c r="R161" s="75">
        <f>VLOOKUP($A161,'Data Vlaue (Cr)'!$C:$FB,125)</f>
        <v>0.37</v>
      </c>
      <c r="S161" s="75">
        <f>VLOOKUP($A161,'Data Vlaue (Cr)'!$C:$FB,128)*100</f>
        <v>37.04</v>
      </c>
    </row>
    <row r="162" spans="1:19" x14ac:dyDescent="0.25">
      <c r="A162" s="96" t="str">
        <f>'Data Vlaue (Cr)'!C153</f>
        <v>ONGC</v>
      </c>
      <c r="B162" s="75">
        <f>VLOOKUP($A162,'Data Vlaue (Cr)'!$C:$FB,2)</f>
        <v>2250</v>
      </c>
      <c r="C162" s="75">
        <f>VLOOKUP($A162,'Data Vlaue (Cr)'!$C:$FB,8)</f>
        <v>248.05</v>
      </c>
      <c r="D162" s="75">
        <f>VLOOKUP($A162,'Data Vlaue (Cr)'!$C:$FB,4)</f>
        <v>248.1</v>
      </c>
      <c r="E162" s="75">
        <f>VLOOKUP($A162,'Data Vlaue (Cr)'!$C:$FB,5)</f>
        <v>249.05</v>
      </c>
      <c r="F162" s="75">
        <f t="shared" si="12"/>
        <v>4.9999999999982947E-2</v>
      </c>
      <c r="G162" s="75">
        <f t="shared" si="13"/>
        <v>-0.38291011688835835</v>
      </c>
      <c r="H162" s="75">
        <f>VLOOKUP($A162,'Data Vlaue (Cr)'!$C:$FB,99)</f>
        <v>4298</v>
      </c>
      <c r="I162" s="75">
        <f>VLOOKUP($A162,'Data Vlaue (Cr)'!$C:$FB,100)</f>
        <v>4266</v>
      </c>
      <c r="J162" s="75">
        <f t="shared" si="14"/>
        <v>32</v>
      </c>
      <c r="K162" s="75">
        <f t="shared" si="15"/>
        <v>0.7445323406235459</v>
      </c>
      <c r="L162" s="75">
        <f>VLOOKUP($A162,'Data Vlaue (Cr)'!$C:$FB,67)</f>
        <v>2620</v>
      </c>
      <c r="M162" s="75">
        <f>VLOOKUP($A162,'Data Vlaue (Cr)'!$C:$FB,68)</f>
        <v>2030</v>
      </c>
      <c r="N162" s="75">
        <f t="shared" si="16"/>
        <v>590</v>
      </c>
      <c r="O162" s="75">
        <f t="shared" si="17"/>
        <v>22.519083969465647</v>
      </c>
      <c r="P162" s="75">
        <f>VLOOKUP($A162,'Data Vlaue (Cr)'!$C:$FB,119)</f>
        <v>0.38</v>
      </c>
      <c r="Q162" s="75">
        <f>VLOOKUP($A162,'Data Vlaue (Cr)'!$C:$FB,122)*100</f>
        <v>0</v>
      </c>
      <c r="R162" s="75">
        <f>VLOOKUP($A162,'Data Vlaue (Cr)'!$C:$FB,125)</f>
        <v>0.48</v>
      </c>
      <c r="S162" s="75">
        <f>VLOOKUP($A162,'Data Vlaue (Cr)'!$C:$FB,128)*100</f>
        <v>2.13</v>
      </c>
    </row>
    <row r="163" spans="1:19" x14ac:dyDescent="0.25">
      <c r="A163" s="96" t="str">
        <f>'Data Vlaue (Cr)'!C154</f>
        <v>PAGEIND</v>
      </c>
      <c r="B163" s="75">
        <f>VLOOKUP($A163,'Data Vlaue (Cr)'!$C:$FB,2)</f>
        <v>15</v>
      </c>
      <c r="C163" s="75">
        <f>VLOOKUP($A163,'Data Vlaue (Cr)'!$C:$FB,8)</f>
        <v>38565</v>
      </c>
      <c r="D163" s="75">
        <f>VLOOKUP($A163,'Data Vlaue (Cr)'!$C:$FB,4)</f>
        <v>38670</v>
      </c>
      <c r="E163" s="75">
        <f>VLOOKUP($A163,'Data Vlaue (Cr)'!$C:$FB,5)</f>
        <v>38945</v>
      </c>
      <c r="F163" s="75">
        <f t="shared" si="12"/>
        <v>105</v>
      </c>
      <c r="G163" s="75">
        <f t="shared" si="13"/>
        <v>-0.71114559089733642</v>
      </c>
      <c r="H163" s="75">
        <f>VLOOKUP($A163,'Data Vlaue (Cr)'!$C:$FB,99)</f>
        <v>2112</v>
      </c>
      <c r="I163" s="75">
        <f>VLOOKUP($A163,'Data Vlaue (Cr)'!$C:$FB,100)</f>
        <v>2150</v>
      </c>
      <c r="J163" s="75">
        <f t="shared" si="14"/>
        <v>-38</v>
      </c>
      <c r="K163" s="75">
        <f t="shared" si="15"/>
        <v>-1.7992424242424243</v>
      </c>
      <c r="L163" s="75">
        <f>VLOOKUP($A163,'Data Vlaue (Cr)'!$C:$FB,67)</f>
        <v>2323</v>
      </c>
      <c r="M163" s="75">
        <f>VLOOKUP($A163,'Data Vlaue (Cr)'!$C:$FB,68)</f>
        <v>1676</v>
      </c>
      <c r="N163" s="75">
        <f t="shared" si="16"/>
        <v>647</v>
      </c>
      <c r="O163" s="75">
        <f t="shared" si="17"/>
        <v>27.851915626345242</v>
      </c>
      <c r="P163" s="75">
        <f>VLOOKUP($A163,'Data Vlaue (Cr)'!$C:$FB,119)</f>
        <v>0.36</v>
      </c>
      <c r="Q163" s="75">
        <f>VLOOKUP($A163,'Data Vlaue (Cr)'!$C:$FB,122)*100</f>
        <v>5.88</v>
      </c>
      <c r="R163" s="75">
        <f>VLOOKUP($A163,'Data Vlaue (Cr)'!$C:$FB,125)</f>
        <v>0.2</v>
      </c>
      <c r="S163" s="75">
        <f>VLOOKUP($A163,'Data Vlaue (Cr)'!$C:$FB,128)*100</f>
        <v>-23.080000000000002</v>
      </c>
    </row>
    <row r="164" spans="1:19" x14ac:dyDescent="0.25">
      <c r="A164" s="96" t="str">
        <f>'Data Vlaue (Cr)'!C155</f>
        <v>PATANJALI</v>
      </c>
      <c r="B164" s="75">
        <f>VLOOKUP($A164,'Data Vlaue (Cr)'!$C:$FB,2)</f>
        <v>900</v>
      </c>
      <c r="C164" s="75">
        <f>VLOOKUP($A164,'Data Vlaue (Cr)'!$C:$FB,8)</f>
        <v>584.25</v>
      </c>
      <c r="D164" s="75">
        <f>VLOOKUP($A164,'Data Vlaue (Cr)'!$C:$FB,4)</f>
        <v>582.9</v>
      </c>
      <c r="E164" s="75">
        <f>VLOOKUP($A164,'Data Vlaue (Cr)'!$C:$FB,5)</f>
        <v>582.04999999999995</v>
      </c>
      <c r="F164" s="75">
        <f t="shared" si="12"/>
        <v>-1.3500000000000227</v>
      </c>
      <c r="G164" s="75">
        <f t="shared" si="13"/>
        <v>0.14582261108252234</v>
      </c>
      <c r="H164" s="75">
        <f>VLOOKUP($A164,'Data Vlaue (Cr)'!$C:$FB,99)</f>
        <v>2830</v>
      </c>
      <c r="I164" s="75">
        <f>VLOOKUP($A164,'Data Vlaue (Cr)'!$C:$FB,100)</f>
        <v>2889</v>
      </c>
      <c r="J164" s="75">
        <f t="shared" si="14"/>
        <v>-59</v>
      </c>
      <c r="K164" s="75">
        <f t="shared" si="15"/>
        <v>-2.0848056537102475</v>
      </c>
      <c r="L164" s="75">
        <f>VLOOKUP($A164,'Data Vlaue (Cr)'!$C:$FB,67)</f>
        <v>1075</v>
      </c>
      <c r="M164" s="75">
        <f>VLOOKUP($A164,'Data Vlaue (Cr)'!$C:$FB,68)</f>
        <v>679</v>
      </c>
      <c r="N164" s="75">
        <f t="shared" si="16"/>
        <v>396</v>
      </c>
      <c r="O164" s="75">
        <f t="shared" si="17"/>
        <v>36.837209302325583</v>
      </c>
      <c r="P164" s="75">
        <f>VLOOKUP($A164,'Data Vlaue (Cr)'!$C:$FB,119)</f>
        <v>0.37</v>
      </c>
      <c r="Q164" s="75">
        <f>VLOOKUP($A164,'Data Vlaue (Cr)'!$C:$FB,122)*100</f>
        <v>-2.63</v>
      </c>
      <c r="R164" s="75">
        <f>VLOOKUP($A164,'Data Vlaue (Cr)'!$C:$FB,125)</f>
        <v>0.31</v>
      </c>
      <c r="S164" s="75">
        <f>VLOOKUP($A164,'Data Vlaue (Cr)'!$C:$FB,128)*100</f>
        <v>6.9</v>
      </c>
    </row>
    <row r="165" spans="1:19" x14ac:dyDescent="0.25">
      <c r="A165" s="96" t="str">
        <f>'Data Vlaue (Cr)'!C156</f>
        <v>PAYTM</v>
      </c>
      <c r="B165" s="75">
        <f>VLOOKUP($A165,'Data Vlaue (Cr)'!$C:$FB,2)</f>
        <v>725</v>
      </c>
      <c r="C165" s="75">
        <f>VLOOKUP($A165,'Data Vlaue (Cr)'!$C:$FB,8)</f>
        <v>1283.9000000000001</v>
      </c>
      <c r="D165" s="75">
        <f>VLOOKUP($A165,'Data Vlaue (Cr)'!$C:$FB,4)</f>
        <v>1283.8</v>
      </c>
      <c r="E165" s="75">
        <f>VLOOKUP($A165,'Data Vlaue (Cr)'!$C:$FB,5)</f>
        <v>1284.5999999999999</v>
      </c>
      <c r="F165" s="75">
        <f t="shared" si="12"/>
        <v>-0.10000000000013642</v>
      </c>
      <c r="G165" s="75">
        <f t="shared" si="13"/>
        <v>-6.2315002336809047E-2</v>
      </c>
      <c r="H165" s="75">
        <f>VLOOKUP($A165,'Data Vlaue (Cr)'!$C:$FB,99)</f>
        <v>5034</v>
      </c>
      <c r="I165" s="75">
        <f>VLOOKUP($A165,'Data Vlaue (Cr)'!$C:$FB,100)</f>
        <v>4950</v>
      </c>
      <c r="J165" s="75">
        <f t="shared" si="14"/>
        <v>84</v>
      </c>
      <c r="K165" s="75">
        <f t="shared" si="15"/>
        <v>1.6686531585220501</v>
      </c>
      <c r="L165" s="75">
        <f>VLOOKUP($A165,'Data Vlaue (Cr)'!$C:$FB,67)</f>
        <v>4736</v>
      </c>
      <c r="M165" s="75">
        <f>VLOOKUP($A165,'Data Vlaue (Cr)'!$C:$FB,68)</f>
        <v>4974</v>
      </c>
      <c r="N165" s="75">
        <f t="shared" si="16"/>
        <v>-238</v>
      </c>
      <c r="O165" s="75">
        <f t="shared" si="17"/>
        <v>-5.0253378378378377</v>
      </c>
      <c r="P165" s="75">
        <f>VLOOKUP($A165,'Data Vlaue (Cr)'!$C:$FB,119)</f>
        <v>0.64</v>
      </c>
      <c r="Q165" s="75">
        <f>VLOOKUP($A165,'Data Vlaue (Cr)'!$C:$FB,122)*100</f>
        <v>1.59</v>
      </c>
      <c r="R165" s="75">
        <f>VLOOKUP($A165,'Data Vlaue (Cr)'!$C:$FB,125)</f>
        <v>0.35</v>
      </c>
      <c r="S165" s="75">
        <f>VLOOKUP($A165,'Data Vlaue (Cr)'!$C:$FB,128)*100</f>
        <v>-39.660000000000004</v>
      </c>
    </row>
    <row r="166" spans="1:19" x14ac:dyDescent="0.25">
      <c r="A166" s="96" t="str">
        <f>'Data Vlaue (Cr)'!C157</f>
        <v>PERSISTENT</v>
      </c>
      <c r="B166" s="75">
        <f>VLOOKUP($A166,'Data Vlaue (Cr)'!$C:$FB,2)</f>
        <v>100</v>
      </c>
      <c r="C166" s="75">
        <f>VLOOKUP($A166,'Data Vlaue (Cr)'!$C:$FB,8)</f>
        <v>6350.5</v>
      </c>
      <c r="D166" s="75">
        <f>VLOOKUP($A166,'Data Vlaue (Cr)'!$C:$FB,4)</f>
        <v>6350</v>
      </c>
      <c r="E166" s="75">
        <f>VLOOKUP($A166,'Data Vlaue (Cr)'!$C:$FB,5)</f>
        <v>6321</v>
      </c>
      <c r="F166" s="75">
        <f t="shared" si="12"/>
        <v>-0.5</v>
      </c>
      <c r="G166" s="75">
        <f t="shared" si="13"/>
        <v>0.45669291338582674</v>
      </c>
      <c r="H166" s="75">
        <f>VLOOKUP($A166,'Data Vlaue (Cr)'!$C:$FB,99)</f>
        <v>2778</v>
      </c>
      <c r="I166" s="75">
        <f>VLOOKUP($A166,'Data Vlaue (Cr)'!$C:$FB,100)</f>
        <v>2856</v>
      </c>
      <c r="J166" s="75">
        <f t="shared" si="14"/>
        <v>-78</v>
      </c>
      <c r="K166" s="75">
        <f t="shared" si="15"/>
        <v>-2.8077753779697625</v>
      </c>
      <c r="L166" s="75">
        <f>VLOOKUP($A166,'Data Vlaue (Cr)'!$C:$FB,67)</f>
        <v>7171</v>
      </c>
      <c r="M166" s="75">
        <f>VLOOKUP($A166,'Data Vlaue (Cr)'!$C:$FB,68)</f>
        <v>14861</v>
      </c>
      <c r="N166" s="75">
        <f t="shared" si="16"/>
        <v>-7690</v>
      </c>
      <c r="O166" s="75">
        <f t="shared" si="17"/>
        <v>-107.23748431181146</v>
      </c>
      <c r="P166" s="75">
        <f>VLOOKUP($A166,'Data Vlaue (Cr)'!$C:$FB,119)</f>
        <v>1.1499999999999999</v>
      </c>
      <c r="Q166" s="75">
        <f>VLOOKUP($A166,'Data Vlaue (Cr)'!$C:$FB,122)*100</f>
        <v>0</v>
      </c>
      <c r="R166" s="75">
        <f>VLOOKUP($A166,'Data Vlaue (Cr)'!$C:$FB,125)</f>
        <v>0.53</v>
      </c>
      <c r="S166" s="75">
        <f>VLOOKUP($A166,'Data Vlaue (Cr)'!$C:$FB,128)*100</f>
        <v>43.24</v>
      </c>
    </row>
    <row r="167" spans="1:19" x14ac:dyDescent="0.25">
      <c r="A167" s="96" t="str">
        <f>'Data Vlaue (Cr)'!C158</f>
        <v>PETRONET</v>
      </c>
      <c r="B167" s="75">
        <f>VLOOKUP($A167,'Data Vlaue (Cr)'!$C:$FB,2)</f>
        <v>1800</v>
      </c>
      <c r="C167" s="75">
        <f>VLOOKUP($A167,'Data Vlaue (Cr)'!$C:$FB,8)</f>
        <v>274.35000000000002</v>
      </c>
      <c r="D167" s="75">
        <f>VLOOKUP($A167,'Data Vlaue (Cr)'!$C:$FB,4)</f>
        <v>274.14999999999998</v>
      </c>
      <c r="E167" s="75">
        <f>VLOOKUP($A167,'Data Vlaue (Cr)'!$C:$FB,5)</f>
        <v>274.35000000000002</v>
      </c>
      <c r="F167" s="75">
        <f t="shared" si="12"/>
        <v>-0.20000000000004547</v>
      </c>
      <c r="G167" s="75">
        <f t="shared" si="13"/>
        <v>-7.2952763085918471E-2</v>
      </c>
      <c r="H167" s="75">
        <f>VLOOKUP($A167,'Data Vlaue (Cr)'!$C:$FB,99)</f>
        <v>2059</v>
      </c>
      <c r="I167" s="75">
        <f>VLOOKUP($A167,'Data Vlaue (Cr)'!$C:$FB,100)</f>
        <v>2042</v>
      </c>
      <c r="J167" s="75">
        <f t="shared" si="14"/>
        <v>17</v>
      </c>
      <c r="K167" s="75">
        <f t="shared" si="15"/>
        <v>0.82564351627003407</v>
      </c>
      <c r="L167" s="75">
        <f>VLOOKUP($A167,'Data Vlaue (Cr)'!$C:$FB,67)</f>
        <v>1120</v>
      </c>
      <c r="M167" s="75">
        <f>VLOOKUP($A167,'Data Vlaue (Cr)'!$C:$FB,68)</f>
        <v>278</v>
      </c>
      <c r="N167" s="75">
        <f t="shared" si="16"/>
        <v>842</v>
      </c>
      <c r="O167" s="75">
        <f t="shared" si="17"/>
        <v>75.178571428571431</v>
      </c>
      <c r="P167" s="75">
        <f>VLOOKUP($A167,'Data Vlaue (Cr)'!$C:$FB,119)</f>
        <v>1.21</v>
      </c>
      <c r="Q167" s="75">
        <f>VLOOKUP($A167,'Data Vlaue (Cr)'!$C:$FB,122)*100</f>
        <v>0.83</v>
      </c>
      <c r="R167" s="75">
        <f>VLOOKUP($A167,'Data Vlaue (Cr)'!$C:$FB,125)</f>
        <v>1.03</v>
      </c>
      <c r="S167" s="75">
        <f>VLOOKUP($A167,'Data Vlaue (Cr)'!$C:$FB,128)*100</f>
        <v>13.19</v>
      </c>
    </row>
    <row r="168" spans="1:19" x14ac:dyDescent="0.25">
      <c r="A168" s="96" t="str">
        <f>'Data Vlaue (Cr)'!C159</f>
        <v>PFC</v>
      </c>
      <c r="B168" s="75">
        <f>VLOOKUP($A168,'Data Vlaue (Cr)'!$C:$FB,2)</f>
        <v>1300</v>
      </c>
      <c r="C168" s="75">
        <f>VLOOKUP($A168,'Data Vlaue (Cr)'!$C:$FB,8)</f>
        <v>372.75</v>
      </c>
      <c r="D168" s="75">
        <f>VLOOKUP($A168,'Data Vlaue (Cr)'!$C:$FB,4)</f>
        <v>373.4</v>
      </c>
      <c r="E168" s="75">
        <f>VLOOKUP($A168,'Data Vlaue (Cr)'!$C:$FB,5)</f>
        <v>374.15</v>
      </c>
      <c r="F168" s="75">
        <f t="shared" si="12"/>
        <v>0.64999999999997726</v>
      </c>
      <c r="G168" s="75">
        <f t="shared" si="13"/>
        <v>-0.20085698982324585</v>
      </c>
      <c r="H168" s="75">
        <f>VLOOKUP($A168,'Data Vlaue (Cr)'!$C:$FB,99)</f>
        <v>5593</v>
      </c>
      <c r="I168" s="75">
        <f>VLOOKUP($A168,'Data Vlaue (Cr)'!$C:$FB,100)</f>
        <v>5803</v>
      </c>
      <c r="J168" s="75">
        <f t="shared" si="14"/>
        <v>-210</v>
      </c>
      <c r="K168" s="75">
        <f t="shared" si="15"/>
        <v>-3.7546933667083859</v>
      </c>
      <c r="L168" s="75">
        <f>VLOOKUP($A168,'Data Vlaue (Cr)'!$C:$FB,67)</f>
        <v>2646</v>
      </c>
      <c r="M168" s="75">
        <f>VLOOKUP($A168,'Data Vlaue (Cr)'!$C:$FB,68)</f>
        <v>2105</v>
      </c>
      <c r="N168" s="75">
        <f t="shared" si="16"/>
        <v>541</v>
      </c>
      <c r="O168" s="75">
        <f t="shared" si="17"/>
        <v>20.445956160241874</v>
      </c>
      <c r="P168" s="75">
        <f>VLOOKUP($A168,'Data Vlaue (Cr)'!$C:$FB,119)</f>
        <v>0.71</v>
      </c>
      <c r="Q168" s="75">
        <f>VLOOKUP($A168,'Data Vlaue (Cr)'!$C:$FB,122)*100</f>
        <v>7.580000000000001</v>
      </c>
      <c r="R168" s="75">
        <f>VLOOKUP($A168,'Data Vlaue (Cr)'!$C:$FB,125)</f>
        <v>0.52</v>
      </c>
      <c r="S168" s="75">
        <f>VLOOKUP($A168,'Data Vlaue (Cr)'!$C:$FB,128)*100</f>
        <v>13.04</v>
      </c>
    </row>
    <row r="169" spans="1:19" x14ac:dyDescent="0.25">
      <c r="A169" s="96" t="str">
        <f>'Data Vlaue (Cr)'!C160</f>
        <v>PGEL</v>
      </c>
      <c r="B169" s="75">
        <f>VLOOKUP($A169,'Data Vlaue (Cr)'!$C:$FB,2)</f>
        <v>700</v>
      </c>
      <c r="C169" s="75">
        <f>VLOOKUP($A169,'Data Vlaue (Cr)'!$C:$FB,8)</f>
        <v>590.54999999999995</v>
      </c>
      <c r="D169" s="75">
        <f>VLOOKUP($A169,'Data Vlaue (Cr)'!$C:$FB,4)</f>
        <v>593.15</v>
      </c>
      <c r="E169" s="75">
        <f>VLOOKUP($A169,'Data Vlaue (Cr)'!$C:$FB,5)</f>
        <v>581.35</v>
      </c>
      <c r="F169" s="75">
        <f t="shared" si="12"/>
        <v>2.6000000000000227</v>
      </c>
      <c r="G169" s="75">
        <f t="shared" si="13"/>
        <v>1.9893787406220949</v>
      </c>
      <c r="H169" s="75">
        <f>VLOOKUP($A169,'Data Vlaue (Cr)'!$C:$FB,99)</f>
        <v>1730</v>
      </c>
      <c r="I169" s="75">
        <f>VLOOKUP($A169,'Data Vlaue (Cr)'!$C:$FB,100)</f>
        <v>1763</v>
      </c>
      <c r="J169" s="75">
        <f t="shared" si="14"/>
        <v>-33</v>
      </c>
      <c r="K169" s="75">
        <f t="shared" si="15"/>
        <v>-1.9075144508670521</v>
      </c>
      <c r="L169" s="75">
        <f>VLOOKUP($A169,'Data Vlaue (Cr)'!$C:$FB,67)</f>
        <v>2685</v>
      </c>
      <c r="M169" s="75">
        <f>VLOOKUP($A169,'Data Vlaue (Cr)'!$C:$FB,68)</f>
        <v>1555</v>
      </c>
      <c r="N169" s="75">
        <f t="shared" si="16"/>
        <v>1130</v>
      </c>
      <c r="O169" s="75">
        <f t="shared" si="17"/>
        <v>42.085661080074487</v>
      </c>
      <c r="P169" s="75">
        <f>VLOOKUP($A169,'Data Vlaue (Cr)'!$C:$FB,119)</f>
        <v>0.66</v>
      </c>
      <c r="Q169" s="75">
        <f>VLOOKUP($A169,'Data Vlaue (Cr)'!$C:$FB,122)*100</f>
        <v>-16.46</v>
      </c>
      <c r="R169" s="75">
        <f>VLOOKUP($A169,'Data Vlaue (Cr)'!$C:$FB,125)</f>
        <v>0.32</v>
      </c>
      <c r="S169" s="75">
        <f>VLOOKUP($A169,'Data Vlaue (Cr)'!$C:$FB,128)*100</f>
        <v>-48.39</v>
      </c>
    </row>
    <row r="170" spans="1:19" x14ac:dyDescent="0.25">
      <c r="A170" s="96" t="str">
        <f>'Data Vlaue (Cr)'!C161</f>
        <v>PHOENIXLTD</v>
      </c>
      <c r="B170" s="75">
        <f>VLOOKUP($A170,'Data Vlaue (Cr)'!$C:$FB,2)</f>
        <v>350</v>
      </c>
      <c r="C170" s="75">
        <f>VLOOKUP($A170,'Data Vlaue (Cr)'!$C:$FB,8)</f>
        <v>1715.7</v>
      </c>
      <c r="D170" s="75">
        <f>VLOOKUP($A170,'Data Vlaue (Cr)'!$C:$FB,4)</f>
        <v>1718.8</v>
      </c>
      <c r="E170" s="75">
        <f>VLOOKUP($A170,'Data Vlaue (Cr)'!$C:$FB,5)</f>
        <v>1717.2</v>
      </c>
      <c r="F170" s="75">
        <f t="shared" si="12"/>
        <v>3.0999999999999091</v>
      </c>
      <c r="G170" s="75">
        <f t="shared" si="13"/>
        <v>9.3088201070509025E-2</v>
      </c>
      <c r="H170" s="75">
        <f>VLOOKUP($A170,'Data Vlaue (Cr)'!$C:$FB,99)</f>
        <v>880</v>
      </c>
      <c r="I170" s="75">
        <f>VLOOKUP($A170,'Data Vlaue (Cr)'!$C:$FB,100)</f>
        <v>888</v>
      </c>
      <c r="J170" s="75">
        <f t="shared" si="14"/>
        <v>-8</v>
      </c>
      <c r="K170" s="75">
        <f t="shared" si="15"/>
        <v>-0.90909090909090906</v>
      </c>
      <c r="L170" s="75">
        <f>VLOOKUP($A170,'Data Vlaue (Cr)'!$C:$FB,67)</f>
        <v>459</v>
      </c>
      <c r="M170" s="75">
        <f>VLOOKUP($A170,'Data Vlaue (Cr)'!$C:$FB,68)</f>
        <v>372</v>
      </c>
      <c r="N170" s="75">
        <f t="shared" si="16"/>
        <v>87</v>
      </c>
      <c r="O170" s="75">
        <f t="shared" si="17"/>
        <v>18.954248366013072</v>
      </c>
      <c r="P170" s="75">
        <f>VLOOKUP($A170,'Data Vlaue (Cr)'!$C:$FB,119)</f>
        <v>0.47</v>
      </c>
      <c r="Q170" s="75">
        <f>VLOOKUP($A170,'Data Vlaue (Cr)'!$C:$FB,122)*100</f>
        <v>0</v>
      </c>
      <c r="R170" s="75">
        <f>VLOOKUP($A170,'Data Vlaue (Cr)'!$C:$FB,125)</f>
        <v>0.3</v>
      </c>
      <c r="S170" s="75">
        <f>VLOOKUP($A170,'Data Vlaue (Cr)'!$C:$FB,128)*100</f>
        <v>50</v>
      </c>
    </row>
    <row r="171" spans="1:19" x14ac:dyDescent="0.25">
      <c r="A171" s="96" t="str">
        <f>'Data Vlaue (Cr)'!C162</f>
        <v>PIDILITIND</v>
      </c>
      <c r="B171" s="75">
        <f>VLOOKUP($A171,'Data Vlaue (Cr)'!$C:$FB,2)</f>
        <v>500</v>
      </c>
      <c r="C171" s="75">
        <f>VLOOKUP($A171,'Data Vlaue (Cr)'!$C:$FB,8)</f>
        <v>1489</v>
      </c>
      <c r="D171" s="75">
        <f>VLOOKUP($A171,'Data Vlaue (Cr)'!$C:$FB,4)</f>
        <v>1488.3</v>
      </c>
      <c r="E171" s="75">
        <f>VLOOKUP($A171,'Data Vlaue (Cr)'!$C:$FB,5)</f>
        <v>1475.8</v>
      </c>
      <c r="F171" s="75">
        <f t="shared" si="12"/>
        <v>-0.70000000000004547</v>
      </c>
      <c r="G171" s="75">
        <f t="shared" si="13"/>
        <v>0.83988443190217021</v>
      </c>
      <c r="H171" s="75">
        <f>VLOOKUP($A171,'Data Vlaue (Cr)'!$C:$FB,99)</f>
        <v>1771</v>
      </c>
      <c r="I171" s="75">
        <f>VLOOKUP($A171,'Data Vlaue (Cr)'!$C:$FB,100)</f>
        <v>1865</v>
      </c>
      <c r="J171" s="75">
        <f t="shared" si="14"/>
        <v>-94</v>
      </c>
      <c r="K171" s="75">
        <f t="shared" si="15"/>
        <v>-5.3077357425183509</v>
      </c>
      <c r="L171" s="75">
        <f>VLOOKUP($A171,'Data Vlaue (Cr)'!$C:$FB,67)</f>
        <v>1197</v>
      </c>
      <c r="M171" s="75">
        <f>VLOOKUP($A171,'Data Vlaue (Cr)'!$C:$FB,68)</f>
        <v>773</v>
      </c>
      <c r="N171" s="75">
        <f t="shared" si="16"/>
        <v>424</v>
      </c>
      <c r="O171" s="75">
        <f t="shared" si="17"/>
        <v>35.421888053467001</v>
      </c>
      <c r="P171" s="75">
        <f>VLOOKUP($A171,'Data Vlaue (Cr)'!$C:$FB,119)</f>
        <v>0.57999999999999996</v>
      </c>
      <c r="Q171" s="75">
        <f>VLOOKUP($A171,'Data Vlaue (Cr)'!$C:$FB,122)*100</f>
        <v>3.5700000000000003</v>
      </c>
      <c r="R171" s="75">
        <f>VLOOKUP($A171,'Data Vlaue (Cr)'!$C:$FB,125)</f>
        <v>0.33</v>
      </c>
      <c r="S171" s="75">
        <f>VLOOKUP($A171,'Data Vlaue (Cr)'!$C:$FB,128)*100</f>
        <v>10</v>
      </c>
    </row>
    <row r="172" spans="1:19" x14ac:dyDescent="0.25">
      <c r="A172" s="96" t="str">
        <f>'Data Vlaue (Cr)'!C163</f>
        <v>PIIND</v>
      </c>
      <c r="B172" s="75">
        <f>VLOOKUP($A172,'Data Vlaue (Cr)'!$C:$FB,2)</f>
        <v>175</v>
      </c>
      <c r="C172" s="75">
        <f>VLOOKUP($A172,'Data Vlaue (Cr)'!$C:$FB,8)</f>
        <v>3441.1</v>
      </c>
      <c r="D172" s="75">
        <f>VLOOKUP($A172,'Data Vlaue (Cr)'!$C:$FB,4)</f>
        <v>3452.4</v>
      </c>
      <c r="E172" s="75">
        <f>VLOOKUP($A172,'Data Vlaue (Cr)'!$C:$FB,5)</f>
        <v>3450.9</v>
      </c>
      <c r="F172" s="75">
        <f t="shared" si="12"/>
        <v>11.300000000000182</v>
      </c>
      <c r="G172" s="75">
        <f t="shared" si="13"/>
        <v>4.3448036148766078E-2</v>
      </c>
      <c r="H172" s="75">
        <f>VLOOKUP($A172,'Data Vlaue (Cr)'!$C:$FB,99)</f>
        <v>1715</v>
      </c>
      <c r="I172" s="75">
        <f>VLOOKUP($A172,'Data Vlaue (Cr)'!$C:$FB,100)</f>
        <v>1833</v>
      </c>
      <c r="J172" s="75">
        <f t="shared" si="14"/>
        <v>-118</v>
      </c>
      <c r="K172" s="75">
        <f t="shared" si="15"/>
        <v>-6.8804664723032065</v>
      </c>
      <c r="L172" s="75">
        <f>VLOOKUP($A172,'Data Vlaue (Cr)'!$C:$FB,67)</f>
        <v>1624</v>
      </c>
      <c r="M172" s="75">
        <f>VLOOKUP($A172,'Data Vlaue (Cr)'!$C:$FB,68)</f>
        <v>1520</v>
      </c>
      <c r="N172" s="75">
        <f t="shared" si="16"/>
        <v>104</v>
      </c>
      <c r="O172" s="75">
        <f t="shared" si="17"/>
        <v>6.403940886699508</v>
      </c>
      <c r="P172" s="75">
        <f>VLOOKUP($A172,'Data Vlaue (Cr)'!$C:$FB,119)</f>
        <v>0.67</v>
      </c>
      <c r="Q172" s="75">
        <f>VLOOKUP($A172,'Data Vlaue (Cr)'!$C:$FB,122)*100</f>
        <v>8.06</v>
      </c>
      <c r="R172" s="75">
        <f>VLOOKUP($A172,'Data Vlaue (Cr)'!$C:$FB,125)</f>
        <v>0.35</v>
      </c>
      <c r="S172" s="75">
        <f>VLOOKUP($A172,'Data Vlaue (Cr)'!$C:$FB,128)*100</f>
        <v>-18.600000000000001</v>
      </c>
    </row>
    <row r="173" spans="1:19" x14ac:dyDescent="0.25">
      <c r="A173" s="96" t="str">
        <f>'Data Vlaue (Cr)'!C164</f>
        <v>PNB</v>
      </c>
      <c r="B173" s="75">
        <f>VLOOKUP($A173,'Data Vlaue (Cr)'!$C:$FB,2)</f>
        <v>8000</v>
      </c>
      <c r="C173" s="75">
        <f>VLOOKUP($A173,'Data Vlaue (Cr)'!$C:$FB,8)</f>
        <v>123.86</v>
      </c>
      <c r="D173" s="75">
        <f>VLOOKUP($A173,'Data Vlaue (Cr)'!$C:$FB,4)</f>
        <v>123.83</v>
      </c>
      <c r="E173" s="75">
        <f>VLOOKUP($A173,'Data Vlaue (Cr)'!$C:$FB,5)</f>
        <v>125.24</v>
      </c>
      <c r="F173" s="75">
        <f t="shared" si="12"/>
        <v>-3.0000000000001137E-2</v>
      </c>
      <c r="G173" s="75">
        <f t="shared" si="13"/>
        <v>-1.138657837357665</v>
      </c>
      <c r="H173" s="75">
        <f>VLOOKUP($A173,'Data Vlaue (Cr)'!$C:$FB,99)</f>
        <v>5409</v>
      </c>
      <c r="I173" s="75">
        <f>VLOOKUP($A173,'Data Vlaue (Cr)'!$C:$FB,100)</f>
        <v>5380</v>
      </c>
      <c r="J173" s="75">
        <f t="shared" si="14"/>
        <v>29</v>
      </c>
      <c r="K173" s="75">
        <f t="shared" si="15"/>
        <v>0.53614346459604367</v>
      </c>
      <c r="L173" s="75">
        <f>VLOOKUP($A173,'Data Vlaue (Cr)'!$C:$FB,67)</f>
        <v>6016</v>
      </c>
      <c r="M173" s="75">
        <f>VLOOKUP($A173,'Data Vlaue (Cr)'!$C:$FB,68)</f>
        <v>6539</v>
      </c>
      <c r="N173" s="75">
        <f t="shared" si="16"/>
        <v>-523</v>
      </c>
      <c r="O173" s="75">
        <f t="shared" si="17"/>
        <v>-8.693484042553191</v>
      </c>
      <c r="P173" s="75">
        <f>VLOOKUP($A173,'Data Vlaue (Cr)'!$C:$FB,119)</f>
        <v>0.71</v>
      </c>
      <c r="Q173" s="75">
        <f>VLOOKUP($A173,'Data Vlaue (Cr)'!$C:$FB,122)*100</f>
        <v>0</v>
      </c>
      <c r="R173" s="75">
        <f>VLOOKUP($A173,'Data Vlaue (Cr)'!$C:$FB,125)</f>
        <v>0.67</v>
      </c>
      <c r="S173" s="75">
        <f>VLOOKUP($A173,'Data Vlaue (Cr)'!$C:$FB,128)*100</f>
        <v>59.519999999999996</v>
      </c>
    </row>
    <row r="174" spans="1:19" x14ac:dyDescent="0.25">
      <c r="A174" s="96" t="str">
        <f>'Data Vlaue (Cr)'!C165</f>
        <v>PNBHOUSING</v>
      </c>
      <c r="B174" s="75">
        <f>VLOOKUP($A174,'Data Vlaue (Cr)'!$C:$FB,2)</f>
        <v>650</v>
      </c>
      <c r="C174" s="75">
        <f>VLOOKUP($A174,'Data Vlaue (Cr)'!$C:$FB,8)</f>
        <v>905.25</v>
      </c>
      <c r="D174" s="75">
        <f>VLOOKUP($A174,'Data Vlaue (Cr)'!$C:$FB,4)</f>
        <v>904.8</v>
      </c>
      <c r="E174" s="75">
        <f>VLOOKUP($A174,'Data Vlaue (Cr)'!$C:$FB,5)</f>
        <v>908.9</v>
      </c>
      <c r="F174" s="75">
        <f t="shared" si="12"/>
        <v>-0.45000000000004547</v>
      </c>
      <c r="G174" s="75">
        <f t="shared" si="13"/>
        <v>-0.45313881520778326</v>
      </c>
      <c r="H174" s="75">
        <f>VLOOKUP($A174,'Data Vlaue (Cr)'!$C:$FB,99)</f>
        <v>2397</v>
      </c>
      <c r="I174" s="75">
        <f>VLOOKUP($A174,'Data Vlaue (Cr)'!$C:$FB,100)</f>
        <v>2460</v>
      </c>
      <c r="J174" s="75">
        <f t="shared" si="14"/>
        <v>-63</v>
      </c>
      <c r="K174" s="75">
        <f t="shared" si="15"/>
        <v>-2.6282853566958697</v>
      </c>
      <c r="L174" s="75">
        <f>VLOOKUP($A174,'Data Vlaue (Cr)'!$C:$FB,67)</f>
        <v>917</v>
      </c>
      <c r="M174" s="75">
        <f>VLOOKUP($A174,'Data Vlaue (Cr)'!$C:$FB,68)</f>
        <v>1328</v>
      </c>
      <c r="N174" s="75">
        <f t="shared" si="16"/>
        <v>-411</v>
      </c>
      <c r="O174" s="75">
        <f t="shared" si="17"/>
        <v>-44.82006543075245</v>
      </c>
      <c r="P174" s="75">
        <f>VLOOKUP($A174,'Data Vlaue (Cr)'!$C:$FB,119)</f>
        <v>0.8</v>
      </c>
      <c r="Q174" s="75">
        <f>VLOOKUP($A174,'Data Vlaue (Cr)'!$C:$FB,122)*100</f>
        <v>2.56</v>
      </c>
      <c r="R174" s="75">
        <f>VLOOKUP($A174,'Data Vlaue (Cr)'!$C:$FB,125)</f>
        <v>0.38</v>
      </c>
      <c r="S174" s="75">
        <f>VLOOKUP($A174,'Data Vlaue (Cr)'!$C:$FB,128)*100</f>
        <v>-30.91</v>
      </c>
    </row>
    <row r="175" spans="1:19" x14ac:dyDescent="0.25">
      <c r="A175" s="96" t="str">
        <f>'Data Vlaue (Cr)'!C166</f>
        <v>POLICYBZR</v>
      </c>
      <c r="B175" s="75">
        <f>VLOOKUP($A175,'Data Vlaue (Cr)'!$C:$FB,2)</f>
        <v>350</v>
      </c>
      <c r="C175" s="75">
        <f>VLOOKUP($A175,'Data Vlaue (Cr)'!$C:$FB,8)</f>
        <v>1843.9</v>
      </c>
      <c r="D175" s="75">
        <f>VLOOKUP($A175,'Data Vlaue (Cr)'!$C:$FB,4)</f>
        <v>1842.6</v>
      </c>
      <c r="E175" s="75">
        <f>VLOOKUP($A175,'Data Vlaue (Cr)'!$C:$FB,5)</f>
        <v>1853</v>
      </c>
      <c r="F175" s="75">
        <f t="shared" si="12"/>
        <v>-1.3000000000001819</v>
      </c>
      <c r="G175" s="75">
        <f t="shared" si="13"/>
        <v>-0.56441984152828029</v>
      </c>
      <c r="H175" s="75">
        <f>VLOOKUP($A175,'Data Vlaue (Cr)'!$C:$FB,99)</f>
        <v>2337</v>
      </c>
      <c r="I175" s="75">
        <f>VLOOKUP($A175,'Data Vlaue (Cr)'!$C:$FB,100)</f>
        <v>2418</v>
      </c>
      <c r="J175" s="75">
        <f t="shared" si="14"/>
        <v>-81</v>
      </c>
      <c r="K175" s="75">
        <f t="shared" si="15"/>
        <v>-3.4659820282413349</v>
      </c>
      <c r="L175" s="75">
        <f>VLOOKUP($A175,'Data Vlaue (Cr)'!$C:$FB,67)</f>
        <v>1804</v>
      </c>
      <c r="M175" s="75">
        <f>VLOOKUP($A175,'Data Vlaue (Cr)'!$C:$FB,68)</f>
        <v>3314</v>
      </c>
      <c r="N175" s="75">
        <f t="shared" si="16"/>
        <v>-1510</v>
      </c>
      <c r="O175" s="75">
        <f t="shared" si="17"/>
        <v>-83.702882483370288</v>
      </c>
      <c r="P175" s="75">
        <f>VLOOKUP($A175,'Data Vlaue (Cr)'!$C:$FB,119)</f>
        <v>0.59</v>
      </c>
      <c r="Q175" s="75">
        <f>VLOOKUP($A175,'Data Vlaue (Cr)'!$C:$FB,122)*100</f>
        <v>3.51</v>
      </c>
      <c r="R175" s="75">
        <f>VLOOKUP($A175,'Data Vlaue (Cr)'!$C:$FB,125)</f>
        <v>0.57999999999999996</v>
      </c>
      <c r="S175" s="75">
        <f>VLOOKUP($A175,'Data Vlaue (Cr)'!$C:$FB,128)*100</f>
        <v>34.880000000000003</v>
      </c>
    </row>
    <row r="176" spans="1:19" x14ac:dyDescent="0.25">
      <c r="A176" s="96" t="str">
        <f>'Data Vlaue (Cr)'!C167</f>
        <v>POLYCAB</v>
      </c>
      <c r="B176" s="75">
        <f>VLOOKUP($A176,'Data Vlaue (Cr)'!$C:$FB,2)</f>
        <v>125</v>
      </c>
      <c r="C176" s="75">
        <f>VLOOKUP($A176,'Data Vlaue (Cr)'!$C:$FB,8)</f>
        <v>7648.5</v>
      </c>
      <c r="D176" s="75">
        <f>VLOOKUP($A176,'Data Vlaue (Cr)'!$C:$FB,4)</f>
        <v>7658.5</v>
      </c>
      <c r="E176" s="75">
        <f>VLOOKUP($A176,'Data Vlaue (Cr)'!$C:$FB,5)</f>
        <v>7693.5</v>
      </c>
      <c r="F176" s="75">
        <f t="shared" si="12"/>
        <v>10</v>
      </c>
      <c r="G176" s="75">
        <f t="shared" si="13"/>
        <v>-0.45700855258862699</v>
      </c>
      <c r="H176" s="75">
        <f>VLOOKUP($A176,'Data Vlaue (Cr)'!$C:$FB,99)</f>
        <v>2041</v>
      </c>
      <c r="I176" s="75">
        <f>VLOOKUP($A176,'Data Vlaue (Cr)'!$C:$FB,100)</f>
        <v>2083</v>
      </c>
      <c r="J176" s="75">
        <f t="shared" si="14"/>
        <v>-42</v>
      </c>
      <c r="K176" s="75">
        <f t="shared" si="15"/>
        <v>-2.0578147966682998</v>
      </c>
      <c r="L176" s="75">
        <f>VLOOKUP($A176,'Data Vlaue (Cr)'!$C:$FB,67)</f>
        <v>1866</v>
      </c>
      <c r="M176" s="75">
        <f>VLOOKUP($A176,'Data Vlaue (Cr)'!$C:$FB,68)</f>
        <v>1019</v>
      </c>
      <c r="N176" s="75">
        <f t="shared" si="16"/>
        <v>847</v>
      </c>
      <c r="O176" s="75">
        <f t="shared" si="17"/>
        <v>45.39121114683816</v>
      </c>
      <c r="P176" s="75">
        <f>VLOOKUP($A176,'Data Vlaue (Cr)'!$C:$FB,119)</f>
        <v>0.49</v>
      </c>
      <c r="Q176" s="75">
        <f>VLOOKUP($A176,'Data Vlaue (Cr)'!$C:$FB,122)*100</f>
        <v>-5.7700000000000005</v>
      </c>
      <c r="R176" s="75">
        <f>VLOOKUP($A176,'Data Vlaue (Cr)'!$C:$FB,125)</f>
        <v>0.42</v>
      </c>
      <c r="S176" s="75">
        <f>VLOOKUP($A176,'Data Vlaue (Cr)'!$C:$FB,128)*100</f>
        <v>23.53</v>
      </c>
    </row>
    <row r="177" spans="1:19" x14ac:dyDescent="0.25">
      <c r="A177" s="96" t="str">
        <f>'Data Vlaue (Cr)'!C168</f>
        <v>POWERGRID</v>
      </c>
      <c r="B177" s="75">
        <f>VLOOKUP($A177,'Data Vlaue (Cr)'!$C:$FB,2)</f>
        <v>1900</v>
      </c>
      <c r="C177" s="75">
        <f>VLOOKUP($A177,'Data Vlaue (Cr)'!$C:$FB,8)</f>
        <v>277.2</v>
      </c>
      <c r="D177" s="75">
        <f>VLOOKUP($A177,'Data Vlaue (Cr)'!$C:$FB,4)</f>
        <v>276.95</v>
      </c>
      <c r="E177" s="75">
        <f>VLOOKUP($A177,'Data Vlaue (Cr)'!$C:$FB,5)</f>
        <v>275</v>
      </c>
      <c r="F177" s="75">
        <f t="shared" ref="F177:F185" si="18">D177-C177</f>
        <v>-0.25</v>
      </c>
      <c r="G177" s="75">
        <f t="shared" ref="G177:G185" si="19">(D177-E177)/D177*100</f>
        <v>0.70409821267376371</v>
      </c>
      <c r="H177" s="75">
        <f>VLOOKUP($A177,'Data Vlaue (Cr)'!$C:$FB,99)</f>
        <v>3740</v>
      </c>
      <c r="I177" s="75">
        <f>VLOOKUP($A177,'Data Vlaue (Cr)'!$C:$FB,100)</f>
        <v>3960</v>
      </c>
      <c r="J177" s="75">
        <f t="shared" ref="J177:J185" si="20">H177-I177</f>
        <v>-220</v>
      </c>
      <c r="K177" s="75">
        <f t="shared" ref="K177:K185" si="21">J177/H177*100</f>
        <v>-5.8823529411764701</v>
      </c>
      <c r="L177" s="75">
        <f>VLOOKUP($A177,'Data Vlaue (Cr)'!$C:$FB,67)</f>
        <v>2863</v>
      </c>
      <c r="M177" s="75">
        <f>VLOOKUP($A177,'Data Vlaue (Cr)'!$C:$FB,68)</f>
        <v>1575</v>
      </c>
      <c r="N177" s="75">
        <f t="shared" ref="N177:N185" si="22">L177-M177</f>
        <v>1288</v>
      </c>
      <c r="O177" s="75">
        <f t="shared" ref="O177:O185" si="23">N177/L177*100</f>
        <v>44.987775061124694</v>
      </c>
      <c r="P177" s="75">
        <f>VLOOKUP($A177,'Data Vlaue (Cr)'!$C:$FB,119)</f>
        <v>0.56000000000000005</v>
      </c>
      <c r="Q177" s="75">
        <f>VLOOKUP($A177,'Data Vlaue (Cr)'!$C:$FB,122)*100</f>
        <v>5.66</v>
      </c>
      <c r="R177" s="75">
        <f>VLOOKUP($A177,'Data Vlaue (Cr)'!$C:$FB,125)</f>
        <v>0.41</v>
      </c>
      <c r="S177" s="75">
        <f>VLOOKUP($A177,'Data Vlaue (Cr)'!$C:$FB,128)*100</f>
        <v>36.67</v>
      </c>
    </row>
    <row r="178" spans="1:19" x14ac:dyDescent="0.25">
      <c r="A178" s="96" t="str">
        <f>'Data Vlaue (Cr)'!C169</f>
        <v>POWERINDIA</v>
      </c>
      <c r="B178" s="75">
        <f>VLOOKUP($A178,'Data Vlaue (Cr)'!$C:$FB,2)</f>
        <v>50</v>
      </c>
      <c r="C178" s="75">
        <f>VLOOKUP($A178,'Data Vlaue (Cr)'!$C:$FB,8)</f>
        <v>22397</v>
      </c>
      <c r="D178" s="75">
        <f>VLOOKUP($A178,'Data Vlaue (Cr)'!$C:$FB,4)</f>
        <v>22389</v>
      </c>
      <c r="E178" s="75">
        <f>VLOOKUP($A178,'Data Vlaue (Cr)'!$C:$FB,5)</f>
        <v>21665</v>
      </c>
      <c r="F178" s="75">
        <f t="shared" si="18"/>
        <v>-8</v>
      </c>
      <c r="G178" s="75">
        <f t="shared" si="19"/>
        <v>3.2337308499709678</v>
      </c>
      <c r="H178" s="75">
        <f>VLOOKUP($A178,'Data Vlaue (Cr)'!$C:$FB,99)</f>
        <v>1994</v>
      </c>
      <c r="I178" s="75">
        <f>VLOOKUP($A178,'Data Vlaue (Cr)'!$C:$FB,100)</f>
        <v>1629</v>
      </c>
      <c r="J178" s="75">
        <f t="shared" si="20"/>
        <v>365</v>
      </c>
      <c r="K178" s="75">
        <f t="shared" si="21"/>
        <v>18.304914744232697</v>
      </c>
      <c r="L178" s="75">
        <f>VLOOKUP($A178,'Data Vlaue (Cr)'!$C:$FB,67)</f>
        <v>9536</v>
      </c>
      <c r="M178" s="75">
        <f>VLOOKUP($A178,'Data Vlaue (Cr)'!$C:$FB,68)</f>
        <v>1585</v>
      </c>
      <c r="N178" s="75">
        <f t="shared" si="22"/>
        <v>7951</v>
      </c>
      <c r="O178" s="75">
        <f t="shared" si="23"/>
        <v>83.378775167785236</v>
      </c>
      <c r="P178" s="75">
        <f>VLOOKUP($A178,'Data Vlaue (Cr)'!$C:$FB,119)</f>
        <v>0.79</v>
      </c>
      <c r="Q178" s="75">
        <f>VLOOKUP($A178,'Data Vlaue (Cr)'!$C:$FB,122)*100</f>
        <v>-17.71</v>
      </c>
      <c r="R178" s="75">
        <f>VLOOKUP($A178,'Data Vlaue (Cr)'!$C:$FB,125)</f>
        <v>0.33</v>
      </c>
      <c r="S178" s="75">
        <f>VLOOKUP($A178,'Data Vlaue (Cr)'!$C:$FB,128)*100</f>
        <v>-54.790000000000006</v>
      </c>
    </row>
    <row r="179" spans="1:19" x14ac:dyDescent="0.25">
      <c r="A179" s="96" t="str">
        <f>'Data Vlaue (Cr)'!C170</f>
        <v>PPLPHARMA</v>
      </c>
      <c r="B179" s="75">
        <f>VLOOKUP($A179,'Data Vlaue (Cr)'!$C:$FB,2)</f>
        <v>2500</v>
      </c>
      <c r="C179" s="75">
        <f>VLOOKUP($A179,'Data Vlaue (Cr)'!$C:$FB,8)</f>
        <v>189.64</v>
      </c>
      <c r="D179" s="75">
        <f>VLOOKUP($A179,'Data Vlaue (Cr)'!$C:$FB,4)</f>
        <v>189.63</v>
      </c>
      <c r="E179" s="75">
        <f>VLOOKUP($A179,'Data Vlaue (Cr)'!$C:$FB,5)</f>
        <v>189.34</v>
      </c>
      <c r="F179" s="75">
        <f t="shared" si="18"/>
        <v>-9.9999999999909051E-3</v>
      </c>
      <c r="G179" s="75">
        <f t="shared" si="19"/>
        <v>0.1529293888097833</v>
      </c>
      <c r="H179" s="75">
        <f>VLOOKUP($A179,'Data Vlaue (Cr)'!$C:$FB,99)</f>
        <v>890</v>
      </c>
      <c r="I179" s="75">
        <f>VLOOKUP($A179,'Data Vlaue (Cr)'!$C:$FB,100)</f>
        <v>943</v>
      </c>
      <c r="J179" s="75">
        <f t="shared" si="20"/>
        <v>-53</v>
      </c>
      <c r="K179" s="75">
        <f t="shared" si="21"/>
        <v>-5.9550561797752808</v>
      </c>
      <c r="L179" s="75">
        <f>VLOOKUP($A179,'Data Vlaue (Cr)'!$C:$FB,67)</f>
        <v>513</v>
      </c>
      <c r="M179" s="75">
        <f>VLOOKUP($A179,'Data Vlaue (Cr)'!$C:$FB,68)</f>
        <v>435</v>
      </c>
      <c r="N179" s="75">
        <f t="shared" si="22"/>
        <v>78</v>
      </c>
      <c r="O179" s="75">
        <f t="shared" si="23"/>
        <v>15.204678362573098</v>
      </c>
      <c r="P179" s="75">
        <f>VLOOKUP($A179,'Data Vlaue (Cr)'!$C:$FB,119)</f>
        <v>0.44</v>
      </c>
      <c r="Q179" s="75">
        <f>VLOOKUP($A179,'Data Vlaue (Cr)'!$C:$FB,122)*100</f>
        <v>2.33</v>
      </c>
      <c r="R179" s="75">
        <f>VLOOKUP($A179,'Data Vlaue (Cr)'!$C:$FB,125)</f>
        <v>0.25</v>
      </c>
      <c r="S179" s="75">
        <f>VLOOKUP($A179,'Data Vlaue (Cr)'!$C:$FB,128)*100</f>
        <v>-32.43</v>
      </c>
    </row>
    <row r="180" spans="1:19" x14ac:dyDescent="0.25">
      <c r="A180" s="96" t="str">
        <f>'Data Vlaue (Cr)'!C171</f>
        <v>PRESTIGE</v>
      </c>
      <c r="B180" s="75">
        <f>VLOOKUP($A180,'Data Vlaue (Cr)'!$C:$FB,2)</f>
        <v>450</v>
      </c>
      <c r="C180" s="75">
        <f>VLOOKUP($A180,'Data Vlaue (Cr)'!$C:$FB,8)</f>
        <v>1717.2</v>
      </c>
      <c r="D180" s="75">
        <f>VLOOKUP($A180,'Data Vlaue (Cr)'!$C:$FB,4)</f>
        <v>1716.8</v>
      </c>
      <c r="E180" s="75">
        <f>VLOOKUP($A180,'Data Vlaue (Cr)'!$C:$FB,5)</f>
        <v>1722.3</v>
      </c>
      <c r="F180" s="75">
        <f t="shared" si="18"/>
        <v>-0.40000000000009095</v>
      </c>
      <c r="G180" s="75">
        <f t="shared" si="19"/>
        <v>-0.32036346691519102</v>
      </c>
      <c r="H180" s="75">
        <f>VLOOKUP($A180,'Data Vlaue (Cr)'!$C:$FB,99)</f>
        <v>1229</v>
      </c>
      <c r="I180" s="75">
        <f>VLOOKUP($A180,'Data Vlaue (Cr)'!$C:$FB,100)</f>
        <v>1287</v>
      </c>
      <c r="J180" s="75">
        <f t="shared" si="20"/>
        <v>-58</v>
      </c>
      <c r="K180" s="75">
        <f t="shared" si="21"/>
        <v>-4.7192839707078926</v>
      </c>
      <c r="L180" s="75">
        <f>VLOOKUP($A180,'Data Vlaue (Cr)'!$C:$FB,67)</f>
        <v>1203</v>
      </c>
      <c r="M180" s="75">
        <f>VLOOKUP($A180,'Data Vlaue (Cr)'!$C:$FB,68)</f>
        <v>1190</v>
      </c>
      <c r="N180" s="75">
        <f t="shared" si="22"/>
        <v>13</v>
      </c>
      <c r="O180" s="75">
        <f t="shared" si="23"/>
        <v>1.0806317539484622</v>
      </c>
      <c r="P180" s="75">
        <f>VLOOKUP($A180,'Data Vlaue (Cr)'!$C:$FB,119)</f>
        <v>0.56000000000000005</v>
      </c>
      <c r="Q180" s="75">
        <f>VLOOKUP($A180,'Data Vlaue (Cr)'!$C:$FB,122)*100</f>
        <v>9.8000000000000007</v>
      </c>
      <c r="R180" s="75">
        <f>VLOOKUP($A180,'Data Vlaue (Cr)'!$C:$FB,125)</f>
        <v>0.23</v>
      </c>
      <c r="S180" s="75">
        <f>VLOOKUP($A180,'Data Vlaue (Cr)'!$C:$FB,128)*100</f>
        <v>21.05</v>
      </c>
    </row>
    <row r="181" spans="1:19" x14ac:dyDescent="0.25">
      <c r="A181" s="96" t="str">
        <f>'Data Vlaue (Cr)'!C172</f>
        <v>RBLBANK</v>
      </c>
      <c r="B181" s="75">
        <f>VLOOKUP($A181,'Data Vlaue (Cr)'!$C:$FB,2)</f>
        <v>3175</v>
      </c>
      <c r="C181" s="75">
        <f>VLOOKUP($A181,'Data Vlaue (Cr)'!$C:$FB,8)</f>
        <v>313.64999999999998</v>
      </c>
      <c r="D181" s="75">
        <f>VLOOKUP($A181,'Data Vlaue (Cr)'!$C:$FB,4)</f>
        <v>313.5</v>
      </c>
      <c r="E181" s="75">
        <f>VLOOKUP($A181,'Data Vlaue (Cr)'!$C:$FB,5)</f>
        <v>310.5</v>
      </c>
      <c r="F181" s="75">
        <f t="shared" si="18"/>
        <v>-0.14999999999997726</v>
      </c>
      <c r="G181" s="75">
        <f t="shared" si="19"/>
        <v>0.9569377990430622</v>
      </c>
      <c r="H181" s="75">
        <f>VLOOKUP($A181,'Data Vlaue (Cr)'!$C:$FB,99)</f>
        <v>3649</v>
      </c>
      <c r="I181" s="75">
        <f>VLOOKUP($A181,'Data Vlaue (Cr)'!$C:$FB,100)</f>
        <v>3726</v>
      </c>
      <c r="J181" s="75">
        <f t="shared" si="20"/>
        <v>-77</v>
      </c>
      <c r="K181" s="75">
        <f t="shared" si="21"/>
        <v>-2.1101671690874211</v>
      </c>
      <c r="L181" s="75">
        <f>VLOOKUP($A181,'Data Vlaue (Cr)'!$C:$FB,67)</f>
        <v>1619</v>
      </c>
      <c r="M181" s="75">
        <f>VLOOKUP($A181,'Data Vlaue (Cr)'!$C:$FB,68)</f>
        <v>1327</v>
      </c>
      <c r="N181" s="75">
        <f t="shared" si="22"/>
        <v>292</v>
      </c>
      <c r="O181" s="75">
        <f t="shared" si="23"/>
        <v>18.035824583075975</v>
      </c>
      <c r="P181" s="75">
        <f>VLOOKUP($A181,'Data Vlaue (Cr)'!$C:$FB,119)</f>
        <v>0.7</v>
      </c>
      <c r="Q181" s="75">
        <f>VLOOKUP($A181,'Data Vlaue (Cr)'!$C:$FB,122)*100</f>
        <v>-2.78</v>
      </c>
      <c r="R181" s="75">
        <f>VLOOKUP($A181,'Data Vlaue (Cr)'!$C:$FB,125)</f>
        <v>0.42</v>
      </c>
      <c r="S181" s="75">
        <f>VLOOKUP($A181,'Data Vlaue (Cr)'!$C:$FB,128)*100</f>
        <v>-2.33</v>
      </c>
    </row>
    <row r="182" spans="1:19" x14ac:dyDescent="0.25">
      <c r="A182" s="96" t="str">
        <f>'Data Vlaue (Cr)'!C173</f>
        <v>RECLTD</v>
      </c>
      <c r="B182" s="75">
        <f>VLOOKUP($A182,'Data Vlaue (Cr)'!$C:$FB,2)</f>
        <v>1275</v>
      </c>
      <c r="C182" s="75">
        <f>VLOOKUP($A182,'Data Vlaue (Cr)'!$C:$FB,8)</f>
        <v>361.4</v>
      </c>
      <c r="D182" s="75">
        <f>VLOOKUP($A182,'Data Vlaue (Cr)'!$C:$FB,4)</f>
        <v>361.1</v>
      </c>
      <c r="E182" s="75">
        <f>VLOOKUP($A182,'Data Vlaue (Cr)'!$C:$FB,5)</f>
        <v>359.2</v>
      </c>
      <c r="F182" s="75">
        <f t="shared" si="18"/>
        <v>-0.29999999999995453</v>
      </c>
      <c r="G182" s="75">
        <f t="shared" si="19"/>
        <v>0.52617003600111711</v>
      </c>
      <c r="H182" s="75">
        <f>VLOOKUP($A182,'Data Vlaue (Cr)'!$C:$FB,99)</f>
        <v>6378</v>
      </c>
      <c r="I182" s="75">
        <f>VLOOKUP($A182,'Data Vlaue (Cr)'!$C:$FB,100)</f>
        <v>6692</v>
      </c>
      <c r="J182" s="75">
        <f t="shared" si="20"/>
        <v>-314</v>
      </c>
      <c r="K182" s="75">
        <f t="shared" si="21"/>
        <v>-4.9231734085920351</v>
      </c>
      <c r="L182" s="75">
        <f>VLOOKUP($A182,'Data Vlaue (Cr)'!$C:$FB,67)</f>
        <v>3265</v>
      </c>
      <c r="M182" s="75">
        <f>VLOOKUP($A182,'Data Vlaue (Cr)'!$C:$FB,68)</f>
        <v>2323</v>
      </c>
      <c r="N182" s="75">
        <f t="shared" si="22"/>
        <v>942</v>
      </c>
      <c r="O182" s="75">
        <f t="shared" si="23"/>
        <v>28.851454823889739</v>
      </c>
      <c r="P182" s="75">
        <f>VLOOKUP($A182,'Data Vlaue (Cr)'!$C:$FB,119)</f>
        <v>0.72</v>
      </c>
      <c r="Q182" s="75">
        <f>VLOOKUP($A182,'Data Vlaue (Cr)'!$C:$FB,122)*100</f>
        <v>5.88</v>
      </c>
      <c r="R182" s="75">
        <f>VLOOKUP($A182,'Data Vlaue (Cr)'!$C:$FB,125)</f>
        <v>0.55000000000000004</v>
      </c>
      <c r="S182" s="75">
        <f>VLOOKUP($A182,'Data Vlaue (Cr)'!$C:$FB,128)*100</f>
        <v>19.57</v>
      </c>
    </row>
    <row r="183" spans="1:19" x14ac:dyDescent="0.25">
      <c r="A183" s="96" t="str">
        <f>'Data Vlaue (Cr)'!C174</f>
        <v>RELIANCE</v>
      </c>
      <c r="B183" s="75">
        <f>VLOOKUP($A183,'Data Vlaue (Cr)'!$C:$FB,2)</f>
        <v>500</v>
      </c>
      <c r="C183" s="75">
        <f>VLOOKUP($A183,'Data Vlaue (Cr)'!$C:$FB,8)</f>
        <v>1549.1</v>
      </c>
      <c r="D183" s="75">
        <f>VLOOKUP($A183,'Data Vlaue (Cr)'!$C:$FB,4)</f>
        <v>1548</v>
      </c>
      <c r="E183" s="75">
        <f>VLOOKUP($A183,'Data Vlaue (Cr)'!$C:$FB,5)</f>
        <v>1518.1</v>
      </c>
      <c r="F183" s="75">
        <f t="shared" si="18"/>
        <v>-1.0999999999999091</v>
      </c>
      <c r="G183" s="75">
        <f t="shared" si="19"/>
        <v>1.9315245478036234</v>
      </c>
      <c r="H183" s="75">
        <f>VLOOKUP($A183,'Data Vlaue (Cr)'!$C:$FB,99)</f>
        <v>29619</v>
      </c>
      <c r="I183" s="75">
        <f>VLOOKUP($A183,'Data Vlaue (Cr)'!$C:$FB,100)</f>
        <v>28486</v>
      </c>
      <c r="J183" s="75">
        <f t="shared" si="20"/>
        <v>1133</v>
      </c>
      <c r="K183" s="75">
        <f t="shared" si="21"/>
        <v>3.8252473074715554</v>
      </c>
      <c r="L183" s="75">
        <f>VLOOKUP($A183,'Data Vlaue (Cr)'!$C:$FB,67)</f>
        <v>55412</v>
      </c>
      <c r="M183" s="75">
        <f>VLOOKUP($A183,'Data Vlaue (Cr)'!$C:$FB,68)</f>
        <v>18634</v>
      </c>
      <c r="N183" s="75">
        <f t="shared" si="22"/>
        <v>36778</v>
      </c>
      <c r="O183" s="75">
        <f t="shared" si="23"/>
        <v>66.371905002526532</v>
      </c>
      <c r="P183" s="75">
        <f>VLOOKUP($A183,'Data Vlaue (Cr)'!$C:$FB,119)</f>
        <v>0.73</v>
      </c>
      <c r="Q183" s="75">
        <f>VLOOKUP($A183,'Data Vlaue (Cr)'!$C:$FB,122)*100</f>
        <v>12.31</v>
      </c>
      <c r="R183" s="75">
        <f>VLOOKUP($A183,'Data Vlaue (Cr)'!$C:$FB,125)</f>
        <v>0.46</v>
      </c>
      <c r="S183" s="75">
        <f>VLOOKUP($A183,'Data Vlaue (Cr)'!$C:$FB,128)*100</f>
        <v>-23.330000000000002</v>
      </c>
    </row>
    <row r="184" spans="1:19" x14ac:dyDescent="0.25">
      <c r="A184" s="96" t="str">
        <f>'Data Vlaue (Cr)'!C175</f>
        <v>RVNL</v>
      </c>
      <c r="B184" s="75">
        <f>VLOOKUP($A184,'Data Vlaue (Cr)'!$C:$FB,2)</f>
        <v>1375</v>
      </c>
      <c r="C184" s="75">
        <f>VLOOKUP($A184,'Data Vlaue (Cr)'!$C:$FB,8)</f>
        <v>319.10000000000002</v>
      </c>
      <c r="D184" s="75">
        <f>VLOOKUP($A184,'Data Vlaue (Cr)'!$C:$FB,4)</f>
        <v>319.60000000000002</v>
      </c>
      <c r="E184" s="75">
        <f>VLOOKUP($A184,'Data Vlaue (Cr)'!$C:$FB,5)</f>
        <v>319.10000000000002</v>
      </c>
      <c r="F184" s="75">
        <f t="shared" si="18"/>
        <v>0.5</v>
      </c>
      <c r="G184" s="75">
        <f t="shared" si="19"/>
        <v>0.15644555694618273</v>
      </c>
      <c r="H184" s="75">
        <f>VLOOKUP($A184,'Data Vlaue (Cr)'!$C:$FB,99)</f>
        <v>2084</v>
      </c>
      <c r="I184" s="75">
        <f>VLOOKUP($A184,'Data Vlaue (Cr)'!$C:$FB,100)</f>
        <v>2441</v>
      </c>
      <c r="J184" s="75">
        <f t="shared" si="20"/>
        <v>-357</v>
      </c>
      <c r="K184" s="75">
        <f t="shared" si="21"/>
        <v>-17.130518234165066</v>
      </c>
      <c r="L184" s="75">
        <f>VLOOKUP($A184,'Data Vlaue (Cr)'!$C:$FB,67)</f>
        <v>1751</v>
      </c>
      <c r="M184" s="75">
        <f>VLOOKUP($A184,'Data Vlaue (Cr)'!$C:$FB,68)</f>
        <v>1016</v>
      </c>
      <c r="N184" s="75">
        <f t="shared" si="22"/>
        <v>735</v>
      </c>
      <c r="O184" s="75">
        <f t="shared" si="23"/>
        <v>41.976013706453458</v>
      </c>
      <c r="P184" s="75">
        <f>VLOOKUP($A184,'Data Vlaue (Cr)'!$C:$FB,119)</f>
        <v>0.54</v>
      </c>
      <c r="Q184" s="75">
        <f>VLOOKUP($A184,'Data Vlaue (Cr)'!$C:$FB,122)*100</f>
        <v>5.88</v>
      </c>
      <c r="R184" s="75">
        <f>VLOOKUP($A184,'Data Vlaue (Cr)'!$C:$FB,125)</f>
        <v>0.39</v>
      </c>
      <c r="S184" s="75">
        <f>VLOOKUP($A184,'Data Vlaue (Cr)'!$C:$FB,128)*100</f>
        <v>8.33</v>
      </c>
    </row>
    <row r="185" spans="1:19" x14ac:dyDescent="0.25">
      <c r="A185" s="96" t="str">
        <f>'Data Vlaue (Cr)'!C176</f>
        <v>SAIL</v>
      </c>
      <c r="B185" s="75">
        <f>VLOOKUP($A185,'Data Vlaue (Cr)'!$C:$FB,2)</f>
        <v>4700</v>
      </c>
      <c r="C185" s="75">
        <f>VLOOKUP($A185,'Data Vlaue (Cr)'!$C:$FB,8)</f>
        <v>138.19</v>
      </c>
      <c r="D185" s="75">
        <f>VLOOKUP($A185,'Data Vlaue (Cr)'!$C:$FB,4)</f>
        <v>138.38</v>
      </c>
      <c r="E185" s="75">
        <f>VLOOKUP($A185,'Data Vlaue (Cr)'!$C:$FB,5)</f>
        <v>139.93</v>
      </c>
      <c r="F185" s="75">
        <f t="shared" si="18"/>
        <v>0.18999999999999773</v>
      </c>
      <c r="G185" s="75">
        <f t="shared" si="19"/>
        <v>-1.1201040612805402</v>
      </c>
      <c r="H185" s="75">
        <f>VLOOKUP($A185,'Data Vlaue (Cr)'!$C:$FB,99)</f>
        <v>3771</v>
      </c>
      <c r="I185" s="75">
        <f>VLOOKUP($A185,'Data Vlaue (Cr)'!$C:$FB,100)</f>
        <v>3820</v>
      </c>
      <c r="J185" s="75">
        <f t="shared" si="20"/>
        <v>-49</v>
      </c>
      <c r="K185" s="75">
        <f t="shared" si="21"/>
        <v>-1.2993900822063114</v>
      </c>
      <c r="L185" s="75">
        <f>VLOOKUP($A185,'Data Vlaue (Cr)'!$C:$FB,67)</f>
        <v>222</v>
      </c>
      <c r="M185" s="75">
        <f>VLOOKUP($A185,'Data Vlaue (Cr)'!$C:$FB,68)</f>
        <v>57</v>
      </c>
      <c r="N185" s="75">
        <f t="shared" si="22"/>
        <v>165</v>
      </c>
      <c r="O185" s="75">
        <f t="shared" si="23"/>
        <v>74.324324324324323</v>
      </c>
      <c r="P185" s="75">
        <f>VLOOKUP($A185,'Data Vlaue (Cr)'!$C:$FB,119)</f>
        <v>0.89</v>
      </c>
      <c r="Q185" s="75">
        <f>VLOOKUP($A185,'Data Vlaue (Cr)'!$C:$FB,122)*100</f>
        <v>3.49</v>
      </c>
      <c r="R185" s="75">
        <f>VLOOKUP($A185,'Data Vlaue (Cr)'!$C:$FB,125)</f>
        <v>0.28999999999999998</v>
      </c>
      <c r="S185" s="75">
        <f>VLOOKUP($A185,'Data Vlaue (Cr)'!$C:$FB,128)*100</f>
        <v>-34.089999999999996</v>
      </c>
    </row>
    <row r="186" spans="1:19" x14ac:dyDescent="0.25">
      <c r="A186" s="96" t="str">
        <f>'Data Vlaue (Cr)'!C177</f>
        <v>SAMMAANCAP</v>
      </c>
      <c r="B186" s="75">
        <f>VLOOKUP($A186,'Data Vlaue (Cr)'!$C:$FB,2)</f>
        <v>4300</v>
      </c>
      <c r="C186" s="75">
        <f>VLOOKUP($A186,'Data Vlaue (Cr)'!$C:$FB,8)</f>
        <v>157.02000000000001</v>
      </c>
      <c r="D186" s="75">
        <f>VLOOKUP($A186,'Data Vlaue (Cr)'!$C:$FB,4)</f>
        <v>157.49</v>
      </c>
      <c r="E186" s="75">
        <f>VLOOKUP($A186,'Data Vlaue (Cr)'!$C:$FB,5)</f>
        <v>160.13</v>
      </c>
      <c r="F186" s="75">
        <f t="shared" ref="F186:F193" si="24">D186-C186</f>
        <v>0.46999999999999886</v>
      </c>
      <c r="G186" s="75">
        <f t="shared" ref="G186:G193" si="25">(D186-E186)/D186*100</f>
        <v>-1.6762969077401653</v>
      </c>
      <c r="H186" s="75">
        <f>VLOOKUP($A186,'Data Vlaue (Cr)'!$C:$FB,99)</f>
        <v>3392</v>
      </c>
      <c r="I186" s="75">
        <f>VLOOKUP($A186,'Data Vlaue (Cr)'!$C:$FB,100)</f>
        <v>3864</v>
      </c>
      <c r="J186" s="75">
        <f t="shared" ref="J186:J193" si="26">H186-I186</f>
        <v>-472</v>
      </c>
      <c r="K186" s="75">
        <f t="shared" ref="K186:K193" si="27">J186/H186*100</f>
        <v>-13.915094339622641</v>
      </c>
      <c r="L186" s="75">
        <f>VLOOKUP($A186,'Data Vlaue (Cr)'!$C:$FB,67)</f>
        <v>1119</v>
      </c>
      <c r="M186" s="75">
        <f>VLOOKUP($A186,'Data Vlaue (Cr)'!$C:$FB,68)</f>
        <v>11593</v>
      </c>
      <c r="N186" s="75">
        <f t="shared" ref="N186:N193" si="28">L186-M186</f>
        <v>-10474</v>
      </c>
      <c r="O186" s="75">
        <f t="shared" ref="O186:O193" si="29">N186/L186*100</f>
        <v>-936.01429848078635</v>
      </c>
      <c r="P186" s="75">
        <f>VLOOKUP($A186,'Data Vlaue (Cr)'!$C:$FB,119)</f>
        <v>0.59</v>
      </c>
      <c r="Q186" s="75">
        <f>VLOOKUP($A186,'Data Vlaue (Cr)'!$C:$FB,122)*100</f>
        <v>-4.84</v>
      </c>
      <c r="R186" s="75">
        <f>VLOOKUP($A186,'Data Vlaue (Cr)'!$C:$FB,125)</f>
        <v>0.89</v>
      </c>
      <c r="S186" s="75">
        <f>VLOOKUP($A186,'Data Vlaue (Cr)'!$C:$FB,128)*100</f>
        <v>-7.2900000000000009</v>
      </c>
    </row>
    <row r="187" spans="1:19" x14ac:dyDescent="0.25">
      <c r="A187" s="96" t="str">
        <f>'Data Vlaue (Cr)'!C178</f>
        <v>SBICARD</v>
      </c>
      <c r="B187" s="75">
        <f>VLOOKUP($A187,'Data Vlaue (Cr)'!$C:$FB,2)</f>
        <v>800</v>
      </c>
      <c r="C187" s="75">
        <f>VLOOKUP($A187,'Data Vlaue (Cr)'!$C:$FB,8)</f>
        <v>874.1</v>
      </c>
      <c r="D187" s="75">
        <f>VLOOKUP($A187,'Data Vlaue (Cr)'!$C:$FB,4)</f>
        <v>875.35</v>
      </c>
      <c r="E187" s="75">
        <f>VLOOKUP($A187,'Data Vlaue (Cr)'!$C:$FB,5)</f>
        <v>866.6</v>
      </c>
      <c r="F187" s="75">
        <f t="shared" si="24"/>
        <v>1.25</v>
      </c>
      <c r="G187" s="75">
        <f t="shared" si="25"/>
        <v>0.99960015993602547</v>
      </c>
      <c r="H187" s="75">
        <f>VLOOKUP($A187,'Data Vlaue (Cr)'!$C:$FB,99)</f>
        <v>2843</v>
      </c>
      <c r="I187" s="75">
        <f>VLOOKUP($A187,'Data Vlaue (Cr)'!$C:$FB,100)</f>
        <v>3213</v>
      </c>
      <c r="J187" s="75">
        <f t="shared" si="26"/>
        <v>-370</v>
      </c>
      <c r="K187" s="75">
        <f t="shared" si="27"/>
        <v>-13.014421385860006</v>
      </c>
      <c r="L187" s="75">
        <f>VLOOKUP($A187,'Data Vlaue (Cr)'!$C:$FB,67)</f>
        <v>1974</v>
      </c>
      <c r="M187" s="75">
        <f>VLOOKUP($A187,'Data Vlaue (Cr)'!$C:$FB,68)</f>
        <v>1815</v>
      </c>
      <c r="N187" s="75">
        <f t="shared" si="28"/>
        <v>159</v>
      </c>
      <c r="O187" s="75">
        <f t="shared" si="29"/>
        <v>8.0547112462006076</v>
      </c>
      <c r="P187" s="75">
        <f>VLOOKUP($A187,'Data Vlaue (Cr)'!$C:$FB,119)</f>
        <v>0.49</v>
      </c>
      <c r="Q187" s="75">
        <f>VLOOKUP($A187,'Data Vlaue (Cr)'!$C:$FB,122)*100</f>
        <v>6.52</v>
      </c>
      <c r="R187" s="75">
        <f>VLOOKUP($A187,'Data Vlaue (Cr)'!$C:$FB,125)</f>
        <v>0.38</v>
      </c>
      <c r="S187" s="75">
        <f>VLOOKUP($A187,'Data Vlaue (Cr)'!$C:$FB,128)*100</f>
        <v>18.75</v>
      </c>
    </row>
    <row r="188" spans="1:19" x14ac:dyDescent="0.25">
      <c r="A188" s="96" t="str">
        <f>'Data Vlaue (Cr)'!C179</f>
        <v>SBILIFE</v>
      </c>
      <c r="B188" s="75">
        <f>VLOOKUP($A188,'Data Vlaue (Cr)'!$C:$FB,2)</f>
        <v>375</v>
      </c>
      <c r="C188" s="75">
        <f>VLOOKUP($A188,'Data Vlaue (Cr)'!$C:$FB,8)</f>
        <v>2027.1</v>
      </c>
      <c r="D188" s="75">
        <f>VLOOKUP($A188,'Data Vlaue (Cr)'!$C:$FB,4)</f>
        <v>2021.1</v>
      </c>
      <c r="E188" s="75">
        <f>VLOOKUP($A188,'Data Vlaue (Cr)'!$C:$FB,5)</f>
        <v>2002.4</v>
      </c>
      <c r="F188" s="75">
        <f t="shared" si="24"/>
        <v>-6</v>
      </c>
      <c r="G188" s="75">
        <f t="shared" si="25"/>
        <v>0.9252387313838909</v>
      </c>
      <c r="H188" s="75">
        <f>VLOOKUP($A188,'Data Vlaue (Cr)'!$C:$FB,99)</f>
        <v>3563</v>
      </c>
      <c r="I188" s="75">
        <f>VLOOKUP($A188,'Data Vlaue (Cr)'!$C:$FB,100)</f>
        <v>3331</v>
      </c>
      <c r="J188" s="75">
        <f t="shared" si="26"/>
        <v>232</v>
      </c>
      <c r="K188" s="75">
        <f t="shared" si="27"/>
        <v>6.5113668257086728</v>
      </c>
      <c r="L188" s="75">
        <f>VLOOKUP($A188,'Data Vlaue (Cr)'!$C:$FB,67)</f>
        <v>3423</v>
      </c>
      <c r="M188" s="75">
        <f>VLOOKUP($A188,'Data Vlaue (Cr)'!$C:$FB,68)</f>
        <v>1407</v>
      </c>
      <c r="N188" s="75">
        <f t="shared" si="28"/>
        <v>2016</v>
      </c>
      <c r="O188" s="75">
        <f t="shared" si="29"/>
        <v>58.895705521472394</v>
      </c>
      <c r="P188" s="75">
        <f>VLOOKUP($A188,'Data Vlaue (Cr)'!$C:$FB,119)</f>
        <v>0.65</v>
      </c>
      <c r="Q188" s="75">
        <f>VLOOKUP($A188,'Data Vlaue (Cr)'!$C:$FB,122)*100</f>
        <v>1.5599999999999998</v>
      </c>
      <c r="R188" s="75">
        <f>VLOOKUP($A188,'Data Vlaue (Cr)'!$C:$FB,125)</f>
        <v>0.41</v>
      </c>
      <c r="S188" s="75">
        <f>VLOOKUP($A188,'Data Vlaue (Cr)'!$C:$FB,128)*100</f>
        <v>-44.59</v>
      </c>
    </row>
    <row r="189" spans="1:19" x14ac:dyDescent="0.25">
      <c r="A189" s="96" t="str">
        <f>'Data Vlaue (Cr)'!C180</f>
        <v>SBIN</v>
      </c>
      <c r="B189" s="75">
        <f>VLOOKUP($A189,'Data Vlaue (Cr)'!$C:$FB,2)</f>
        <v>750</v>
      </c>
      <c r="C189" s="75">
        <f>VLOOKUP($A189,'Data Vlaue (Cr)'!$C:$FB,8)</f>
        <v>981.55</v>
      </c>
      <c r="D189" s="75">
        <f>VLOOKUP($A189,'Data Vlaue (Cr)'!$C:$FB,4)</f>
        <v>980.5</v>
      </c>
      <c r="E189" s="75">
        <f>VLOOKUP($A189,'Data Vlaue (Cr)'!$C:$FB,5)</f>
        <v>982.15</v>
      </c>
      <c r="F189" s="75">
        <f t="shared" si="24"/>
        <v>-1.0499999999999545</v>
      </c>
      <c r="G189" s="75">
        <f t="shared" si="25"/>
        <v>-0.16828148903620371</v>
      </c>
      <c r="H189" s="75">
        <f>VLOOKUP($A189,'Data Vlaue (Cr)'!$C:$FB,99)</f>
        <v>16313</v>
      </c>
      <c r="I189" s="75">
        <f>VLOOKUP($A189,'Data Vlaue (Cr)'!$C:$FB,100)</f>
        <v>16651</v>
      </c>
      <c r="J189" s="75">
        <f t="shared" si="26"/>
        <v>-338</v>
      </c>
      <c r="K189" s="75">
        <f t="shared" si="27"/>
        <v>-2.0719671427695703</v>
      </c>
      <c r="L189" s="75">
        <f>VLOOKUP($A189,'Data Vlaue (Cr)'!$C:$FB,67)</f>
        <v>16058</v>
      </c>
      <c r="M189" s="75">
        <f>VLOOKUP($A189,'Data Vlaue (Cr)'!$C:$FB,68)</f>
        <v>19768</v>
      </c>
      <c r="N189" s="75">
        <f t="shared" si="28"/>
        <v>-3710</v>
      </c>
      <c r="O189" s="75">
        <f t="shared" si="29"/>
        <v>-23.103748910200522</v>
      </c>
      <c r="P189" s="75">
        <f>VLOOKUP($A189,'Data Vlaue (Cr)'!$C:$FB,119)</f>
        <v>0.91</v>
      </c>
      <c r="Q189" s="75">
        <f>VLOOKUP($A189,'Data Vlaue (Cr)'!$C:$FB,122)*100</f>
        <v>-8.08</v>
      </c>
      <c r="R189" s="75">
        <f>VLOOKUP($A189,'Data Vlaue (Cr)'!$C:$FB,125)</f>
        <v>0.69</v>
      </c>
      <c r="S189" s="75">
        <f>VLOOKUP($A189,'Data Vlaue (Cr)'!$C:$FB,128)*100</f>
        <v>-2.82</v>
      </c>
    </row>
    <row r="190" spans="1:19" x14ac:dyDescent="0.25">
      <c r="A190" s="96" t="str">
        <f>'Data Vlaue (Cr)'!C181</f>
        <v>SHREECEM</v>
      </c>
      <c r="B190" s="75">
        <f>VLOOKUP($A190,'Data Vlaue (Cr)'!$C:$FB,2)</f>
        <v>25</v>
      </c>
      <c r="C190" s="75">
        <f>VLOOKUP($A190,'Data Vlaue (Cr)'!$C:$FB,8)</f>
        <v>26480</v>
      </c>
      <c r="D190" s="75">
        <f>VLOOKUP($A190,'Data Vlaue (Cr)'!$C:$FB,4)</f>
        <v>26565</v>
      </c>
      <c r="E190" s="75">
        <f>VLOOKUP($A190,'Data Vlaue (Cr)'!$C:$FB,5)</f>
        <v>26550</v>
      </c>
      <c r="F190" s="75">
        <f t="shared" si="24"/>
        <v>85</v>
      </c>
      <c r="G190" s="75">
        <f t="shared" si="25"/>
        <v>5.6465273856578201E-2</v>
      </c>
      <c r="H190" s="75">
        <f>VLOOKUP($A190,'Data Vlaue (Cr)'!$C:$FB,99)</f>
        <v>1387</v>
      </c>
      <c r="I190" s="75">
        <f>VLOOKUP($A190,'Data Vlaue (Cr)'!$C:$FB,100)</f>
        <v>1466</v>
      </c>
      <c r="J190" s="75">
        <f t="shared" si="26"/>
        <v>-79</v>
      </c>
      <c r="K190" s="75">
        <f t="shared" si="27"/>
        <v>-5.6957462148521989</v>
      </c>
      <c r="L190" s="75">
        <f>VLOOKUP($A190,'Data Vlaue (Cr)'!$C:$FB,67)</f>
        <v>889</v>
      </c>
      <c r="M190" s="75">
        <f>VLOOKUP($A190,'Data Vlaue (Cr)'!$C:$FB,68)</f>
        <v>583</v>
      </c>
      <c r="N190" s="75">
        <f t="shared" si="28"/>
        <v>306</v>
      </c>
      <c r="O190" s="75">
        <f t="shared" si="29"/>
        <v>34.420697412823401</v>
      </c>
      <c r="P190" s="75">
        <f>VLOOKUP($A190,'Data Vlaue (Cr)'!$C:$FB,119)</f>
        <v>0.35</v>
      </c>
      <c r="Q190" s="75">
        <f>VLOOKUP($A190,'Data Vlaue (Cr)'!$C:$FB,122)*100</f>
        <v>12.9</v>
      </c>
      <c r="R190" s="75">
        <f>VLOOKUP($A190,'Data Vlaue (Cr)'!$C:$FB,125)</f>
        <v>0.11</v>
      </c>
      <c r="S190" s="75">
        <f>VLOOKUP($A190,'Data Vlaue (Cr)'!$C:$FB,128)*100</f>
        <v>-15.379999999999999</v>
      </c>
    </row>
    <row r="191" spans="1:19" x14ac:dyDescent="0.25">
      <c r="A191" s="96" t="str">
        <f>'Data Vlaue (Cr)'!C182</f>
        <v>SHRIRAMFIN</v>
      </c>
      <c r="B191" s="75">
        <f>VLOOKUP($A191,'Data Vlaue (Cr)'!$C:$FB,2)</f>
        <v>825</v>
      </c>
      <c r="C191" s="75">
        <f>VLOOKUP($A191,'Data Vlaue (Cr)'!$C:$FB,8)</f>
        <v>826.6</v>
      </c>
      <c r="D191" s="75">
        <f>VLOOKUP($A191,'Data Vlaue (Cr)'!$C:$FB,4)</f>
        <v>826.6</v>
      </c>
      <c r="E191" s="75">
        <f>VLOOKUP($A191,'Data Vlaue (Cr)'!$C:$FB,5)</f>
        <v>819.3</v>
      </c>
      <c r="F191" s="75">
        <f t="shared" si="24"/>
        <v>0</v>
      </c>
      <c r="G191" s="75">
        <f t="shared" si="25"/>
        <v>0.88313573675297219</v>
      </c>
      <c r="H191" s="75">
        <f>VLOOKUP($A191,'Data Vlaue (Cr)'!$C:$FB,99)</f>
        <v>7248</v>
      </c>
      <c r="I191" s="75">
        <f>VLOOKUP($A191,'Data Vlaue (Cr)'!$C:$FB,100)</f>
        <v>7466</v>
      </c>
      <c r="J191" s="75">
        <f t="shared" si="26"/>
        <v>-218</v>
      </c>
      <c r="K191" s="75">
        <f t="shared" si="27"/>
        <v>-3.0077262693156732</v>
      </c>
      <c r="L191" s="75">
        <f>VLOOKUP($A191,'Data Vlaue (Cr)'!$C:$FB,67)</f>
        <v>4528</v>
      </c>
      <c r="M191" s="75">
        <f>VLOOKUP($A191,'Data Vlaue (Cr)'!$C:$FB,68)</f>
        <v>2866</v>
      </c>
      <c r="N191" s="75">
        <f t="shared" si="28"/>
        <v>1662</v>
      </c>
      <c r="O191" s="75">
        <f t="shared" si="29"/>
        <v>36.704946996466433</v>
      </c>
      <c r="P191" s="75">
        <f>VLOOKUP($A191,'Data Vlaue (Cr)'!$C:$FB,119)</f>
        <v>0.91</v>
      </c>
      <c r="Q191" s="75">
        <f>VLOOKUP($A191,'Data Vlaue (Cr)'!$C:$FB,122)*100</f>
        <v>3.4099999999999997</v>
      </c>
      <c r="R191" s="75">
        <f>VLOOKUP($A191,'Data Vlaue (Cr)'!$C:$FB,125)</f>
        <v>0.56999999999999995</v>
      </c>
      <c r="S191" s="75">
        <f>VLOOKUP($A191,'Data Vlaue (Cr)'!$C:$FB,128)*100</f>
        <v>-13.639999999999999</v>
      </c>
    </row>
    <row r="192" spans="1:19" x14ac:dyDescent="0.25">
      <c r="A192" s="96" t="str">
        <f>'Data Vlaue (Cr)'!C183</f>
        <v>SIEMENS</v>
      </c>
      <c r="B192" s="75">
        <f>VLOOKUP($A192,'Data Vlaue (Cr)'!$C:$FB,2)</f>
        <v>125</v>
      </c>
      <c r="C192" s="75">
        <f>VLOOKUP($A192,'Data Vlaue (Cr)'!$C:$FB,8)</f>
        <v>3216.3</v>
      </c>
      <c r="D192" s="75">
        <f>VLOOKUP($A192,'Data Vlaue (Cr)'!$C:$FB,4)</f>
        <v>3222.8</v>
      </c>
      <c r="E192" s="75">
        <f>VLOOKUP($A192,'Data Vlaue (Cr)'!$C:$FB,5)</f>
        <v>3212.7</v>
      </c>
      <c r="F192" s="75">
        <f t="shared" si="24"/>
        <v>6.5</v>
      </c>
      <c r="G192" s="75">
        <f t="shared" si="25"/>
        <v>0.31339208141989461</v>
      </c>
      <c r="H192" s="75">
        <f>VLOOKUP($A192,'Data Vlaue (Cr)'!$C:$FB,99)</f>
        <v>1620</v>
      </c>
      <c r="I192" s="75">
        <f>VLOOKUP($A192,'Data Vlaue (Cr)'!$C:$FB,100)</f>
        <v>1748</v>
      </c>
      <c r="J192" s="75">
        <f t="shared" si="26"/>
        <v>-128</v>
      </c>
      <c r="K192" s="75">
        <f t="shared" si="27"/>
        <v>-7.9012345679012341</v>
      </c>
      <c r="L192" s="75">
        <f>VLOOKUP($A192,'Data Vlaue (Cr)'!$C:$FB,67)</f>
        <v>2793</v>
      </c>
      <c r="M192" s="75">
        <f>VLOOKUP($A192,'Data Vlaue (Cr)'!$C:$FB,68)</f>
        <v>2708</v>
      </c>
      <c r="N192" s="75">
        <f t="shared" si="28"/>
        <v>85</v>
      </c>
      <c r="O192" s="75">
        <f t="shared" si="29"/>
        <v>3.0433225921947726</v>
      </c>
      <c r="P192" s="75">
        <f>VLOOKUP($A192,'Data Vlaue (Cr)'!$C:$FB,119)</f>
        <v>0.7</v>
      </c>
      <c r="Q192" s="75">
        <f>VLOOKUP($A192,'Data Vlaue (Cr)'!$C:$FB,122)*100</f>
        <v>1.4500000000000002</v>
      </c>
      <c r="R192" s="75">
        <f>VLOOKUP($A192,'Data Vlaue (Cr)'!$C:$FB,125)</f>
        <v>0.44</v>
      </c>
      <c r="S192" s="75">
        <f>VLOOKUP($A192,'Data Vlaue (Cr)'!$C:$FB,128)*100</f>
        <v>-38.03</v>
      </c>
    </row>
    <row r="193" spans="1:19" x14ac:dyDescent="0.25">
      <c r="A193" s="96" t="str">
        <f>'Data Vlaue (Cr)'!C216</f>
        <v>ZYDUSLIFE</v>
      </c>
      <c r="B193" s="75">
        <f>VLOOKUP($A193,'Data Vlaue (Cr)'!$C:$FB,2)</f>
        <v>900</v>
      </c>
      <c r="C193" s="75">
        <f>VLOOKUP($A193,'Data Vlaue (Cr)'!$C:$FB,8)</f>
        <v>928</v>
      </c>
      <c r="D193" s="75">
        <f>VLOOKUP($A193,'Data Vlaue (Cr)'!$C:$FB,4)</f>
        <v>927.5</v>
      </c>
      <c r="E193" s="75">
        <f>VLOOKUP($A193,'Data Vlaue (Cr)'!$C:$FB,5)</f>
        <v>931.6</v>
      </c>
      <c r="F193" s="75">
        <f t="shared" si="24"/>
        <v>-0.5</v>
      </c>
      <c r="G193" s="75">
        <f t="shared" si="25"/>
        <v>-0.44204851752021812</v>
      </c>
      <c r="H193" s="75">
        <f>VLOOKUP($A193,'Data Vlaue (Cr)'!$C:$FB,99)</f>
        <v>1983</v>
      </c>
      <c r="I193" s="75">
        <f>VLOOKUP($A193,'Data Vlaue (Cr)'!$C:$FB,100)</f>
        <v>2067</v>
      </c>
      <c r="J193" s="75">
        <f t="shared" si="26"/>
        <v>-84</v>
      </c>
      <c r="K193" s="75">
        <f t="shared" si="27"/>
        <v>-4.236006051437216</v>
      </c>
      <c r="L193" s="75">
        <f>VLOOKUP($A193,'Data Vlaue (Cr)'!$C:$FB,67)</f>
        <v>1580</v>
      </c>
      <c r="M193" s="75">
        <f>VLOOKUP($A193,'Data Vlaue (Cr)'!$C:$FB,68)</f>
        <v>736</v>
      </c>
      <c r="N193" s="75">
        <f t="shared" si="28"/>
        <v>844</v>
      </c>
      <c r="O193" s="75">
        <f t="shared" si="29"/>
        <v>53.417721518987335</v>
      </c>
      <c r="P193" s="75">
        <f>VLOOKUP($A193,'Data Vlaue (Cr)'!$C:$FB,119)</f>
        <v>0.71</v>
      </c>
      <c r="Q193" s="75">
        <f>VLOOKUP($A193,'Data Vlaue (Cr)'!$C:$FB,122)*100</f>
        <v>10.94</v>
      </c>
      <c r="R193" s="75">
        <f>VLOOKUP($A193,'Data Vlaue (Cr)'!$C:$FB,125)</f>
        <v>0.52</v>
      </c>
      <c r="S193" s="75">
        <f>VLOOKUP($A193,'Data Vlaue (Cr)'!$C:$FB,128)*100</f>
        <v>52.94</v>
      </c>
    </row>
    <row r="194" spans="1:19" ht="13.9" customHeight="1" x14ac:dyDescent="0.25">
      <c r="A194" s="96"/>
      <c r="B194" s="75"/>
      <c r="C194" s="75"/>
      <c r="D194" s="75"/>
      <c r="E194" s="75"/>
      <c r="F194" s="75"/>
      <c r="G194" s="75"/>
      <c r="H194" s="75"/>
      <c r="I194" s="75"/>
      <c r="J194" s="75"/>
      <c r="K194" s="75"/>
      <c r="L194" s="75"/>
      <c r="M194" s="75"/>
      <c r="N194" s="75"/>
      <c r="O194" s="75"/>
      <c r="P194" s="75"/>
      <c r="Q194" s="75"/>
      <c r="R194" s="75"/>
      <c r="S194" s="75"/>
    </row>
    <row r="195" spans="1:19" x14ac:dyDescent="0.25">
      <c r="A195" s="96"/>
      <c r="B195" s="75"/>
      <c r="C195" s="75"/>
      <c r="D195" s="75"/>
      <c r="E195" s="75"/>
      <c r="F195" s="75"/>
      <c r="G195" s="75"/>
      <c r="H195" s="75"/>
      <c r="I195" s="75"/>
      <c r="J195" s="75"/>
      <c r="K195" s="75"/>
      <c r="L195" s="75"/>
      <c r="M195" s="75"/>
      <c r="N195" s="75"/>
      <c r="O195" s="75"/>
      <c r="P195" s="75"/>
      <c r="Q195" s="75"/>
      <c r="R195" s="75"/>
      <c r="S195" s="75"/>
    </row>
    <row r="196" spans="1:19" x14ac:dyDescent="0.25">
      <c r="A196" s="96"/>
      <c r="B196" s="75"/>
      <c r="C196" s="75"/>
      <c r="D196" s="75"/>
      <c r="E196" s="75"/>
      <c r="F196" s="75"/>
      <c r="G196" s="75"/>
      <c r="H196" s="75"/>
      <c r="I196" s="75"/>
      <c r="J196" s="75"/>
      <c r="K196" s="75"/>
      <c r="L196" s="75"/>
      <c r="M196" s="75"/>
      <c r="N196" s="75"/>
      <c r="O196" s="75"/>
      <c r="P196" s="75"/>
      <c r="Q196" s="75"/>
      <c r="R196" s="75"/>
      <c r="S196" s="75"/>
    </row>
    <row r="197" spans="1:19" x14ac:dyDescent="0.25">
      <c r="A197" s="96"/>
      <c r="B197" s="75"/>
      <c r="C197" s="75"/>
      <c r="D197" s="75"/>
      <c r="E197" s="75"/>
      <c r="F197" s="75"/>
      <c r="G197" s="75"/>
      <c r="H197" s="75"/>
      <c r="I197" s="75"/>
      <c r="J197" s="75"/>
      <c r="K197" s="75"/>
      <c r="L197" s="75"/>
      <c r="M197" s="75"/>
      <c r="N197" s="75"/>
      <c r="O197" s="75"/>
      <c r="P197" s="75"/>
      <c r="Q197" s="75"/>
      <c r="R197" s="75"/>
      <c r="S197" s="75"/>
    </row>
    <row r="198" spans="1:19" x14ac:dyDescent="0.25">
      <c r="A198" s="96"/>
      <c r="B198" s="75"/>
      <c r="C198" s="75"/>
      <c r="D198" s="75"/>
      <c r="E198" s="75"/>
      <c r="F198" s="75"/>
      <c r="G198" s="75"/>
      <c r="H198" s="75"/>
      <c r="I198" s="75"/>
      <c r="J198" s="75"/>
      <c r="K198" s="75"/>
      <c r="L198" s="75"/>
      <c r="M198" s="75"/>
      <c r="N198" s="75"/>
      <c r="O198" s="75"/>
      <c r="P198" s="75"/>
      <c r="Q198" s="75"/>
      <c r="R198" s="75"/>
      <c r="S198" s="75"/>
    </row>
    <row r="199" spans="1:19" x14ac:dyDescent="0.25">
      <c r="A199" s="96"/>
      <c r="B199" s="75"/>
      <c r="C199" s="75"/>
      <c r="D199" s="75"/>
      <c r="E199" s="75"/>
      <c r="F199" s="75"/>
      <c r="G199" s="75"/>
      <c r="H199" s="75"/>
      <c r="I199" s="75"/>
      <c r="J199" s="75"/>
      <c r="K199" s="75"/>
      <c r="L199" s="75"/>
      <c r="M199" s="75"/>
      <c r="N199" s="75"/>
      <c r="O199" s="75"/>
      <c r="P199" s="75"/>
      <c r="Q199" s="75"/>
      <c r="R199" s="75"/>
      <c r="S199" s="75"/>
    </row>
    <row r="200" spans="1:19" x14ac:dyDescent="0.25">
      <c r="A200" s="96"/>
      <c r="B200" s="75"/>
      <c r="C200" s="75"/>
      <c r="D200" s="75"/>
      <c r="E200" s="75"/>
      <c r="F200" s="75"/>
      <c r="G200" s="75"/>
      <c r="H200" s="75"/>
      <c r="I200" s="75"/>
      <c r="J200" s="75"/>
      <c r="K200" s="75"/>
      <c r="L200" s="75"/>
      <c r="M200" s="75"/>
      <c r="N200" s="75"/>
      <c r="O200" s="75"/>
      <c r="P200" s="75"/>
      <c r="Q200" s="75"/>
      <c r="R200" s="75"/>
      <c r="S200" s="75"/>
    </row>
    <row r="201" spans="1:19" x14ac:dyDescent="0.25">
      <c r="A201" s="96"/>
      <c r="B201" s="75"/>
      <c r="C201" s="75"/>
      <c r="D201" s="75"/>
      <c r="E201" s="75"/>
      <c r="F201" s="75"/>
      <c r="G201" s="75"/>
      <c r="H201" s="75"/>
      <c r="I201" s="75"/>
      <c r="J201" s="75"/>
      <c r="K201" s="75"/>
      <c r="L201" s="75"/>
      <c r="M201" s="75"/>
      <c r="N201" s="75"/>
      <c r="O201" s="75"/>
      <c r="P201" s="75"/>
      <c r="Q201" s="75"/>
      <c r="R201" s="75"/>
      <c r="S201" s="75"/>
    </row>
    <row r="202" spans="1:19" x14ac:dyDescent="0.25">
      <c r="A202" s="96"/>
      <c r="B202" s="75"/>
      <c r="C202" s="75"/>
      <c r="D202" s="75"/>
      <c r="E202" s="75"/>
      <c r="F202" s="75"/>
      <c r="G202" s="75"/>
      <c r="H202" s="75"/>
      <c r="I202" s="75"/>
      <c r="J202" s="75"/>
      <c r="K202" s="75"/>
      <c r="L202" s="75"/>
      <c r="M202" s="75"/>
      <c r="N202" s="75"/>
      <c r="O202" s="75"/>
      <c r="P202" s="75"/>
      <c r="Q202" s="75"/>
      <c r="R202" s="75"/>
      <c r="S202" s="75"/>
    </row>
    <row r="203" spans="1:19" x14ac:dyDescent="0.25">
      <c r="A203" s="96"/>
      <c r="B203" s="75"/>
      <c r="C203" s="75"/>
      <c r="D203" s="75"/>
      <c r="E203" s="75"/>
      <c r="F203" s="75"/>
      <c r="G203" s="75"/>
      <c r="H203" s="75"/>
      <c r="I203" s="75"/>
      <c r="J203" s="75"/>
      <c r="K203" s="75"/>
      <c r="L203" s="75"/>
      <c r="M203" s="75"/>
      <c r="N203" s="75"/>
      <c r="O203" s="75"/>
      <c r="P203" s="75"/>
      <c r="Q203" s="75"/>
      <c r="R203" s="75"/>
      <c r="S203" s="75"/>
    </row>
    <row r="204" spans="1:19" x14ac:dyDescent="0.25">
      <c r="A204" s="96"/>
      <c r="B204" s="75"/>
      <c r="C204" s="75"/>
      <c r="D204" s="75"/>
      <c r="E204" s="75"/>
      <c r="F204" s="75"/>
      <c r="G204" s="75"/>
      <c r="H204" s="75"/>
      <c r="I204" s="75"/>
      <c r="J204" s="75"/>
      <c r="K204" s="75"/>
      <c r="L204" s="75"/>
      <c r="M204" s="75"/>
      <c r="N204" s="75"/>
      <c r="O204" s="75"/>
      <c r="P204" s="75"/>
      <c r="Q204" s="75"/>
      <c r="R204" s="75"/>
      <c r="S204" s="75"/>
    </row>
    <row r="205" spans="1:19" x14ac:dyDescent="0.25">
      <c r="A205" s="96"/>
      <c r="B205" s="75"/>
      <c r="C205" s="75"/>
      <c r="D205" s="75"/>
      <c r="E205" s="75"/>
      <c r="F205" s="75"/>
      <c r="G205" s="75"/>
      <c r="H205" s="75"/>
      <c r="I205" s="75"/>
      <c r="J205" s="75"/>
      <c r="K205" s="75"/>
      <c r="L205" s="75"/>
      <c r="M205" s="75"/>
      <c r="N205" s="75"/>
      <c r="O205" s="75"/>
      <c r="P205" s="75"/>
      <c r="Q205" s="75"/>
      <c r="R205" s="75"/>
      <c r="S205" s="75"/>
    </row>
    <row r="206" spans="1:19" x14ac:dyDescent="0.25">
      <c r="A206" s="96"/>
      <c r="B206" s="75"/>
      <c r="C206" s="75"/>
      <c r="D206" s="75"/>
      <c r="E206" s="75"/>
      <c r="F206" s="75"/>
      <c r="G206" s="75"/>
      <c r="H206" s="75"/>
      <c r="I206" s="75"/>
      <c r="J206" s="75"/>
      <c r="K206" s="75"/>
      <c r="L206" s="75"/>
      <c r="M206" s="75"/>
      <c r="N206" s="75"/>
      <c r="O206" s="75"/>
      <c r="P206" s="75"/>
      <c r="Q206" s="75"/>
      <c r="R206" s="75"/>
      <c r="S206" s="75"/>
    </row>
    <row r="207" spans="1:19" x14ac:dyDescent="0.25">
      <c r="A207" s="96"/>
      <c r="B207" s="75"/>
      <c r="C207" s="75"/>
      <c r="D207" s="75"/>
      <c r="E207" s="75"/>
      <c r="F207" s="75"/>
      <c r="G207" s="75"/>
      <c r="H207" s="75"/>
      <c r="I207" s="75"/>
      <c r="J207" s="75"/>
      <c r="K207" s="75"/>
      <c r="L207" s="75"/>
      <c r="M207" s="75"/>
      <c r="N207" s="75"/>
      <c r="O207" s="75"/>
      <c r="P207" s="75"/>
      <c r="Q207" s="75"/>
      <c r="R207" s="75"/>
      <c r="S207" s="75"/>
    </row>
    <row r="208" spans="1:19" x14ac:dyDescent="0.25">
      <c r="A208" s="96"/>
      <c r="B208" s="75"/>
      <c r="C208" s="75"/>
      <c r="D208" s="75"/>
      <c r="E208" s="75"/>
      <c r="F208" s="75"/>
      <c r="G208" s="75"/>
      <c r="H208" s="75"/>
      <c r="I208" s="75"/>
      <c r="J208" s="75"/>
      <c r="K208" s="75"/>
      <c r="L208" s="75"/>
      <c r="M208" s="75"/>
      <c r="N208" s="75"/>
      <c r="O208" s="75"/>
      <c r="P208" s="75"/>
      <c r="Q208" s="75"/>
      <c r="R208" s="75"/>
      <c r="S208" s="75"/>
    </row>
    <row r="209" spans="1:19" x14ac:dyDescent="0.25">
      <c r="A209" s="96"/>
      <c r="B209" s="75"/>
      <c r="C209" s="75"/>
      <c r="D209" s="75"/>
      <c r="E209" s="75"/>
      <c r="F209" s="75"/>
      <c r="G209" s="75"/>
      <c r="H209" s="75"/>
      <c r="I209" s="75"/>
      <c r="J209" s="75"/>
      <c r="K209" s="75"/>
      <c r="L209" s="75"/>
      <c r="M209" s="75"/>
      <c r="N209" s="75"/>
      <c r="O209" s="75"/>
      <c r="P209" s="75"/>
      <c r="Q209" s="75"/>
      <c r="R209" s="75"/>
      <c r="S209" s="75"/>
    </row>
    <row r="210" spans="1:19" x14ac:dyDescent="0.25">
      <c r="A210" s="96"/>
      <c r="B210" s="75"/>
      <c r="C210" s="75"/>
      <c r="D210" s="75"/>
      <c r="E210" s="75"/>
      <c r="F210" s="75"/>
      <c r="G210" s="75"/>
      <c r="H210" s="75"/>
      <c r="I210" s="75"/>
      <c r="J210" s="75"/>
      <c r="K210" s="75"/>
      <c r="L210" s="75"/>
      <c r="M210" s="75"/>
      <c r="N210" s="75"/>
      <c r="O210" s="75"/>
      <c r="P210" s="75"/>
      <c r="Q210" s="75"/>
      <c r="R210" s="75"/>
      <c r="S210" s="75"/>
    </row>
    <row r="211" spans="1:19" x14ac:dyDescent="0.25">
      <c r="A211" s="96"/>
      <c r="B211" s="75"/>
      <c r="C211" s="75"/>
      <c r="D211" s="75"/>
      <c r="E211" s="75"/>
      <c r="F211" s="75"/>
      <c r="G211" s="75"/>
      <c r="H211" s="75"/>
      <c r="I211" s="75"/>
      <c r="J211" s="75"/>
      <c r="K211" s="75"/>
      <c r="L211" s="75"/>
      <c r="M211" s="75"/>
      <c r="N211" s="75"/>
      <c r="O211" s="75"/>
      <c r="P211" s="75"/>
      <c r="Q211" s="75"/>
      <c r="R211" s="75"/>
      <c r="S211" s="75"/>
    </row>
    <row r="212" spans="1:19" x14ac:dyDescent="0.25">
      <c r="A212" s="96"/>
      <c r="B212" s="75"/>
      <c r="C212" s="75"/>
      <c r="D212" s="75"/>
      <c r="E212" s="75"/>
      <c r="F212" s="75"/>
      <c r="G212" s="75"/>
      <c r="H212" s="75"/>
      <c r="I212" s="75"/>
      <c r="J212" s="75"/>
      <c r="K212" s="75"/>
      <c r="L212" s="75"/>
      <c r="M212" s="75"/>
      <c r="N212" s="75"/>
      <c r="O212" s="75"/>
      <c r="P212" s="75"/>
      <c r="Q212" s="75"/>
      <c r="R212" s="75"/>
      <c r="S212" s="75"/>
    </row>
    <row r="213" spans="1:19" x14ac:dyDescent="0.25">
      <c r="A213" s="96"/>
      <c r="B213" s="75"/>
      <c r="C213" s="75"/>
      <c r="D213" s="75"/>
      <c r="E213" s="75"/>
      <c r="F213" s="75"/>
      <c r="G213" s="75"/>
      <c r="H213" s="75"/>
      <c r="I213" s="75"/>
      <c r="J213" s="75"/>
      <c r="K213" s="75"/>
      <c r="L213" s="75"/>
      <c r="M213" s="75"/>
      <c r="N213" s="75"/>
      <c r="O213" s="75"/>
      <c r="P213" s="75"/>
      <c r="Q213" s="75"/>
      <c r="R213" s="75"/>
      <c r="S213" s="75"/>
    </row>
    <row r="214" spans="1:19" x14ac:dyDescent="0.25">
      <c r="A214" s="96"/>
      <c r="B214" s="17"/>
      <c r="C214" s="17"/>
      <c r="D214" s="17"/>
      <c r="E214" s="17"/>
      <c r="F214" s="17"/>
      <c r="G214" s="17"/>
      <c r="H214" s="17"/>
      <c r="I214" s="17"/>
      <c r="J214" s="17"/>
      <c r="K214" s="17"/>
      <c r="L214" s="17"/>
      <c r="M214" s="17"/>
      <c r="N214" s="17"/>
      <c r="O214" s="17"/>
      <c r="P214" s="17"/>
      <c r="Q214" s="17"/>
      <c r="R214" s="17"/>
      <c r="S214" s="17"/>
    </row>
    <row r="215" spans="1:19" x14ac:dyDescent="0.25">
      <c r="A215" s="96"/>
      <c r="B215" s="17"/>
      <c r="C215" s="17"/>
      <c r="D215" s="17"/>
      <c r="E215" s="17"/>
      <c r="F215" s="17"/>
      <c r="G215" s="17"/>
      <c r="H215" s="17"/>
      <c r="I215" s="17"/>
      <c r="J215" s="17"/>
      <c r="K215" s="17"/>
      <c r="L215" s="17"/>
      <c r="M215" s="17"/>
      <c r="N215" s="17"/>
      <c r="O215" s="17"/>
      <c r="P215" s="17"/>
      <c r="Q215" s="17"/>
      <c r="R215" s="17"/>
      <c r="S215" s="17"/>
    </row>
    <row r="216" spans="1:19" x14ac:dyDescent="0.25">
      <c r="A216" s="96"/>
      <c r="B216" s="75"/>
      <c r="C216" s="75"/>
      <c r="D216" s="75"/>
      <c r="E216" s="75"/>
      <c r="F216" s="75"/>
      <c r="G216" s="75"/>
      <c r="H216" s="75"/>
      <c r="I216" s="75"/>
      <c r="J216" s="75"/>
      <c r="K216" s="75"/>
      <c r="L216" s="75"/>
      <c r="M216" s="75"/>
      <c r="N216" s="75"/>
      <c r="O216" s="75"/>
      <c r="P216" s="75"/>
      <c r="Q216" s="75"/>
      <c r="R216" s="75"/>
      <c r="S216" s="75"/>
    </row>
    <row r="217" spans="1:19" x14ac:dyDescent="0.25">
      <c r="A217" s="96"/>
      <c r="B217" s="75"/>
      <c r="C217" s="75"/>
      <c r="D217" s="75"/>
      <c r="E217" s="75"/>
      <c r="F217" s="75"/>
      <c r="G217" s="75"/>
      <c r="H217" s="75"/>
      <c r="I217" s="75"/>
      <c r="J217" s="75"/>
      <c r="K217" s="75"/>
      <c r="L217" s="75"/>
      <c r="M217" s="75"/>
      <c r="N217" s="75"/>
      <c r="O217" s="75"/>
      <c r="P217" s="75"/>
      <c r="Q217" s="75"/>
      <c r="R217" s="75"/>
      <c r="S217" s="75"/>
    </row>
    <row r="218" spans="1:19" x14ac:dyDescent="0.25">
      <c r="A218" s="96"/>
      <c r="B218" s="75"/>
      <c r="C218" s="75"/>
      <c r="D218" s="75"/>
      <c r="E218" s="75"/>
      <c r="F218" s="75"/>
      <c r="G218" s="75"/>
      <c r="H218" s="75"/>
      <c r="I218" s="75"/>
      <c r="J218" s="75"/>
      <c r="K218" s="75"/>
      <c r="L218" s="75"/>
      <c r="M218" s="75"/>
      <c r="N218" s="75"/>
      <c r="O218" s="75"/>
      <c r="P218" s="75"/>
      <c r="Q218" s="75"/>
      <c r="R218" s="75"/>
      <c r="S218" s="75"/>
    </row>
    <row r="219" spans="1:19" x14ac:dyDescent="0.25">
      <c r="A219" s="96"/>
      <c r="B219" s="75"/>
      <c r="C219" s="75"/>
      <c r="D219" s="75"/>
      <c r="E219" s="75"/>
      <c r="F219" s="75"/>
      <c r="G219" s="75"/>
      <c r="H219" s="75"/>
      <c r="I219" s="75"/>
      <c r="J219" s="75"/>
      <c r="K219" s="75"/>
      <c r="L219" s="75"/>
      <c r="M219" s="75"/>
      <c r="N219" s="75"/>
      <c r="O219" s="75"/>
      <c r="P219" s="75"/>
      <c r="Q219" s="75"/>
      <c r="R219" s="75"/>
      <c r="S219" s="75"/>
    </row>
    <row r="220" spans="1:19" x14ac:dyDescent="0.25">
      <c r="A220" s="96"/>
      <c r="B220" s="75"/>
      <c r="C220" s="75"/>
      <c r="D220" s="75"/>
      <c r="E220" s="75"/>
      <c r="F220" s="75"/>
      <c r="G220" s="75"/>
      <c r="H220" s="75"/>
      <c r="I220" s="75"/>
      <c r="J220" s="75"/>
      <c r="K220" s="75"/>
      <c r="L220" s="75"/>
      <c r="M220" s="75"/>
      <c r="N220" s="75"/>
      <c r="O220" s="75"/>
      <c r="P220" s="75"/>
      <c r="Q220" s="75"/>
      <c r="R220" s="75"/>
      <c r="S220" s="75"/>
    </row>
    <row r="221" spans="1:19" x14ac:dyDescent="0.25">
      <c r="A221" s="98"/>
      <c r="B221" s="17"/>
      <c r="C221" s="17"/>
      <c r="D221" s="17"/>
      <c r="E221" s="17"/>
      <c r="F221" s="17"/>
      <c r="G221" s="17"/>
      <c r="H221" s="17"/>
      <c r="I221" s="17"/>
      <c r="J221" s="17"/>
      <c r="K221" s="17"/>
      <c r="L221" s="17"/>
      <c r="M221" s="17"/>
      <c r="N221" s="17"/>
      <c r="O221" s="17"/>
      <c r="P221" s="17"/>
      <c r="Q221" s="17"/>
      <c r="R221" s="17"/>
      <c r="S221" s="17"/>
    </row>
    <row r="222" spans="1:19" x14ac:dyDescent="0.25">
      <c r="A222" s="98"/>
      <c r="B222" s="17"/>
      <c r="C222" s="17"/>
      <c r="D222" s="17"/>
      <c r="E222" s="17"/>
      <c r="F222" s="17"/>
      <c r="G222" s="17"/>
      <c r="H222" s="17"/>
      <c r="I222" s="17"/>
      <c r="J222" s="17"/>
      <c r="K222" s="17"/>
      <c r="L222" s="17"/>
      <c r="M222" s="17"/>
      <c r="N222" s="17"/>
      <c r="O222" s="17"/>
      <c r="P222" s="17"/>
      <c r="Q222" s="17"/>
      <c r="R222" s="17"/>
      <c r="S222" s="17"/>
    </row>
    <row r="223" spans="1:19" x14ac:dyDescent="0.25">
      <c r="A223" s="98"/>
      <c r="B223" s="17"/>
      <c r="C223" s="17"/>
      <c r="D223" s="17"/>
      <c r="E223" s="17"/>
      <c r="F223" s="17"/>
      <c r="G223" s="17"/>
      <c r="H223" s="17"/>
      <c r="I223" s="17"/>
      <c r="J223" s="17"/>
      <c r="K223" s="17"/>
      <c r="L223" s="17"/>
      <c r="M223" s="17"/>
      <c r="N223" s="17"/>
      <c r="O223" s="17"/>
      <c r="P223" s="17"/>
      <c r="Q223" s="17"/>
      <c r="R223" s="17"/>
      <c r="S223" s="17"/>
    </row>
    <row r="224" spans="1:19" x14ac:dyDescent="0.25">
      <c r="A224" s="236"/>
      <c r="B224" s="236"/>
      <c r="C224" s="236"/>
      <c r="D224" s="236"/>
      <c r="E224" s="236"/>
      <c r="F224" s="236"/>
      <c r="G224" s="15"/>
      <c r="H224" s="16"/>
      <c r="I224" s="236"/>
      <c r="J224" s="236"/>
      <c r="K224" s="236"/>
      <c r="L224" s="236"/>
      <c r="M224" s="236"/>
      <c r="N224" s="16"/>
      <c r="O224" s="16"/>
      <c r="P224" s="16"/>
      <c r="Q224" s="236"/>
      <c r="R224" s="236"/>
      <c r="S224" s="236"/>
    </row>
    <row r="225" spans="1:19" x14ac:dyDescent="0.25">
      <c r="A225" s="233" t="s">
        <v>391</v>
      </c>
      <c r="B225" s="234"/>
      <c r="C225" s="234"/>
      <c r="D225" s="234"/>
      <c r="E225" s="234"/>
      <c r="F225" s="235"/>
      <c r="G225" s="18"/>
      <c r="H225" s="18">
        <f>SUM(H11:H223)</f>
        <v>2422646</v>
      </c>
      <c r="I225" s="18">
        <f>SUM(I11:I223)</f>
        <v>2254128</v>
      </c>
      <c r="J225" s="18">
        <f>H225-I225</f>
        <v>168518</v>
      </c>
      <c r="K225" s="19">
        <f>J225/I225</f>
        <v>7.4759729704790501E-2</v>
      </c>
      <c r="L225" s="18">
        <f>SUM(L11:L223)</f>
        <v>11899289</v>
      </c>
      <c r="M225" s="18">
        <f>SUM(M11:M223)</f>
        <v>11599782</v>
      </c>
      <c r="N225" s="18">
        <f>L225-M225</f>
        <v>299507</v>
      </c>
      <c r="O225" s="19">
        <f>N225/M225</f>
        <v>2.5820054204466945E-2</v>
      </c>
      <c r="P225" s="233"/>
      <c r="Q225" s="234"/>
      <c r="R225" s="234"/>
      <c r="S225" s="235"/>
    </row>
    <row r="229" spans="1:19" x14ac:dyDescent="0.25">
      <c r="A229" s="239" t="s">
        <v>334</v>
      </c>
      <c r="B229" s="239"/>
      <c r="C229" s="239"/>
      <c r="D229" s="6"/>
      <c r="E229" s="6"/>
      <c r="F229" s="6"/>
      <c r="G229" s="6"/>
      <c r="H229" s="8" t="s">
        <v>385</v>
      </c>
      <c r="J229" s="7"/>
      <c r="K229" s="7"/>
      <c r="L229" s="7"/>
      <c r="M229" s="7"/>
    </row>
    <row r="230" spans="1:19" x14ac:dyDescent="0.25">
      <c r="A230" s="22"/>
      <c r="B230" s="23" t="s">
        <v>182</v>
      </c>
      <c r="C230" s="24" t="s">
        <v>386</v>
      </c>
      <c r="D230" s="25" t="s">
        <v>266</v>
      </c>
      <c r="E230" s="24" t="s">
        <v>386</v>
      </c>
      <c r="F230" s="23" t="s">
        <v>461</v>
      </c>
      <c r="G230" s="23" t="s">
        <v>387</v>
      </c>
      <c r="H230" s="24" t="s">
        <v>386</v>
      </c>
    </row>
    <row r="231" spans="1:19" x14ac:dyDescent="0.25">
      <c r="A231" s="26" t="s">
        <v>388</v>
      </c>
      <c r="B231" s="9">
        <f>VLOOKUP(B230,'OI(Value)'!A7:E209,5,0)</f>
        <v>12959</v>
      </c>
      <c r="C231" s="146">
        <f>VLOOKUP(B230,'OI(Value)'!A7:G209,7,0)</f>
        <v>3.85E-2</v>
      </c>
      <c r="D231" s="9">
        <f>VLOOKUP(D230,'OI(Value)'!A7:E209,5,0)</f>
        <v>51877</v>
      </c>
      <c r="E231" s="147">
        <f>VLOOKUP(D230,'OI(Value)'!A7:G209,7,0)</f>
        <v>6.6E-3</v>
      </c>
      <c r="F231" s="9">
        <f>G231-D231-B231</f>
        <v>453760</v>
      </c>
      <c r="G231" s="10">
        <f>'OI(Value)'!E210</f>
        <v>518596</v>
      </c>
      <c r="H231" s="147">
        <f>'OI(Value)'!D217</f>
        <v>-1.0233399409174001E-2</v>
      </c>
    </row>
    <row r="232" spans="1:19" x14ac:dyDescent="0.25">
      <c r="A232" s="26" t="s">
        <v>389</v>
      </c>
      <c r="B232" s="9">
        <f>VLOOKUP(B230,'OI(Value)'!A7:H209,8,0)</f>
        <v>116913</v>
      </c>
      <c r="C232" s="146">
        <f>VLOOKUP(B230,'OI(Value)'!A7:J209,10,0)</f>
        <v>2.1399999999999999E-2</v>
      </c>
      <c r="D232" s="9">
        <f>VLOOKUP(D230,'OI(Value)'!A1:O210,8,0)</f>
        <v>512819</v>
      </c>
      <c r="E232" s="147">
        <f>VLOOKUP(D230,'OI(Value)'!A1:J209,10,0)</f>
        <v>9.2700000000000005E-2</v>
      </c>
      <c r="F232" s="9">
        <f>G232-D232-B232</f>
        <v>230891</v>
      </c>
      <c r="G232" s="9">
        <f>'OI(Value)'!H210</f>
        <v>860623</v>
      </c>
      <c r="H232" s="147">
        <f>'OI(Value)'!D218</f>
        <v>4.250409296521241E-2</v>
      </c>
    </row>
    <row r="233" spans="1:19" x14ac:dyDescent="0.25">
      <c r="A233" s="26" t="s">
        <v>390</v>
      </c>
      <c r="B233" s="9">
        <f>VLOOKUP(B230,'OI(Value)'!A7:K209,11,0)</f>
        <v>146369</v>
      </c>
      <c r="C233" s="146">
        <f>VLOOKUP(B230,'OI(Value)'!A7:M209,13,0)</f>
        <v>4.2000000000000003E-2</v>
      </c>
      <c r="D233" s="9">
        <f>VLOOKUP(D230,'OI(Value)'!A2:O211,11,0)</f>
        <v>738682</v>
      </c>
      <c r="E233" s="147">
        <f>VLOOKUP(D230,'OI(Value)'!A7:M209,13,0)</f>
        <v>0.22359999999999999</v>
      </c>
      <c r="F233" s="9">
        <f>G233-D233-B233</f>
        <v>158371</v>
      </c>
      <c r="G233" s="9">
        <f>'OI(Value)'!K210</f>
        <v>1043422</v>
      </c>
      <c r="H233" s="147">
        <f>'OI(Volume)'!D229</f>
        <v>-2.7195351688005857E-2</v>
      </c>
    </row>
    <row r="234" spans="1:19" x14ac:dyDescent="0.25">
      <c r="A234" s="22" t="s">
        <v>391</v>
      </c>
      <c r="B234" s="62">
        <f>SUM(B231:B233)</f>
        <v>276241</v>
      </c>
      <c r="C234" s="148">
        <f>VLOOKUP(B230,'OI(Value)'!A7:D148,4,0)</f>
        <v>3.3000000000000002E-2</v>
      </c>
      <c r="D234" s="62">
        <f>SUM(D231:D233)</f>
        <v>1303378</v>
      </c>
      <c r="E234" s="148">
        <f>VLOOKUP(D230,'OI(Value)'!A1:D210,4,0)</f>
        <v>0.159</v>
      </c>
      <c r="F234" s="62">
        <f>SUM(F231:F233)</f>
        <v>843022</v>
      </c>
      <c r="G234" s="62">
        <f>SUM(G231:G233)</f>
        <v>2422641</v>
      </c>
      <c r="H234" s="151">
        <f>'OI(Value)'!D220</f>
        <v>6.9562101854959119E-2</v>
      </c>
    </row>
    <row r="238" spans="1:19" x14ac:dyDescent="0.25">
      <c r="A238" s="20" t="s">
        <v>392</v>
      </c>
      <c r="B238" s="11"/>
      <c r="C238" s="11"/>
      <c r="D238" s="11"/>
      <c r="E238" s="11"/>
      <c r="F238" s="11"/>
      <c r="G238" s="11"/>
      <c r="H238" s="12"/>
    </row>
    <row r="239" spans="1:19" x14ac:dyDescent="0.25">
      <c r="A239" s="27"/>
      <c r="B239" s="27"/>
      <c r="C239" s="240" t="s">
        <v>459</v>
      </c>
      <c r="D239" s="241"/>
      <c r="E239" s="242"/>
      <c r="F239" s="240" t="s">
        <v>460</v>
      </c>
      <c r="G239" s="241"/>
      <c r="H239" s="242"/>
    </row>
    <row r="240" spans="1:19" x14ac:dyDescent="0.25">
      <c r="A240" s="28"/>
      <c r="B240" s="27"/>
      <c r="C240" s="31">
        <f>D10</f>
        <v>45981</v>
      </c>
      <c r="D240" s="31" t="s">
        <v>397</v>
      </c>
      <c r="E240" s="32" t="s">
        <v>321</v>
      </c>
      <c r="F240" s="31">
        <f>C240</f>
        <v>45981</v>
      </c>
      <c r="G240" s="31" t="str">
        <f>D240</f>
        <v>Preious</v>
      </c>
      <c r="H240" s="32" t="s">
        <v>386</v>
      </c>
    </row>
    <row r="241" spans="1:8" x14ac:dyDescent="0.25">
      <c r="A241" s="29" t="s">
        <v>393</v>
      </c>
      <c r="B241" s="30"/>
      <c r="C241" s="13">
        <f>FII!N3</f>
        <v>9675</v>
      </c>
      <c r="D241" s="13">
        <f>FII!J3</f>
        <v>9162</v>
      </c>
      <c r="E241" s="14">
        <f>(C241-D241)/C241</f>
        <v>5.3023255813953486E-2</v>
      </c>
      <c r="F241" s="13">
        <f>FII!M3</f>
        <v>46663</v>
      </c>
      <c r="G241" s="13">
        <f>FII!I3</f>
        <v>44313</v>
      </c>
      <c r="H241" s="14">
        <f>(F241-G241)/F241</f>
        <v>5.0361099800698625E-2</v>
      </c>
    </row>
    <row r="242" spans="1:8" x14ac:dyDescent="0.25">
      <c r="A242" s="237" t="s">
        <v>394</v>
      </c>
      <c r="B242" s="238"/>
      <c r="C242" s="13">
        <f>FII!N4</f>
        <v>66582</v>
      </c>
      <c r="D242" s="13">
        <f>FII!J4</f>
        <v>63040</v>
      </c>
      <c r="E242" s="14">
        <f>(C242-D242)/C242</f>
        <v>5.3197560902345981E-2</v>
      </c>
      <c r="F242" s="13">
        <f>FII!M4</f>
        <v>321463</v>
      </c>
      <c r="G242" s="13">
        <f>FII!I4</f>
        <v>304895</v>
      </c>
      <c r="H242" s="14">
        <f>(F242-G242)/F242</f>
        <v>5.1539368449868256E-2</v>
      </c>
    </row>
    <row r="243" spans="1:8" x14ac:dyDescent="0.25">
      <c r="A243" s="237" t="s">
        <v>395</v>
      </c>
      <c r="B243" s="238"/>
      <c r="C243" s="13">
        <f>FII!N15</f>
        <v>401966</v>
      </c>
      <c r="D243" s="13">
        <f>FII!J15</f>
        <v>406312</v>
      </c>
      <c r="E243" s="14">
        <f>(C243-D243)/C243</f>
        <v>-1.0811859709527671E-2</v>
      </c>
      <c r="F243" s="13">
        <f>FII!M15</f>
        <v>5918708</v>
      </c>
      <c r="G243" s="13">
        <f>FII!I15</f>
        <v>6019400</v>
      </c>
      <c r="H243" s="14">
        <f>(F243-G243)/F243</f>
        <v>-1.7012496646227521E-2</v>
      </c>
    </row>
    <row r="244" spans="1:8" x14ac:dyDescent="0.25">
      <c r="A244" s="237" t="s">
        <v>396</v>
      </c>
      <c r="B244" s="238"/>
      <c r="C244" s="13">
        <f>FII!N16</f>
        <v>35517</v>
      </c>
      <c r="D244" s="13">
        <f>FII!J16</f>
        <v>37861</v>
      </c>
      <c r="E244" s="14">
        <f>(C244-D244)/C244</f>
        <v>-6.5996565025199197E-2</v>
      </c>
      <c r="F244" s="13">
        <f>FII!M16</f>
        <v>515276</v>
      </c>
      <c r="G244" s="13">
        <f>FII!I16</f>
        <v>548430</v>
      </c>
      <c r="H244" s="14">
        <f>(F244-G244)/F244</f>
        <v>-6.4342216598483146E-2</v>
      </c>
    </row>
    <row r="245" spans="1:8" x14ac:dyDescent="0.25">
      <c r="A245" s="237" t="s">
        <v>391</v>
      </c>
      <c r="B245" s="238"/>
      <c r="C245" s="155">
        <f>SUM(C241:C244)</f>
        <v>513740</v>
      </c>
      <c r="D245" s="155">
        <f>SUM(D241:D244)</f>
        <v>516375</v>
      </c>
      <c r="E245" s="156">
        <f>(C245-D245)/C245</f>
        <v>-5.1290536068828588E-3</v>
      </c>
      <c r="F245" s="157">
        <f>SUM(F241:F244)</f>
        <v>6802110</v>
      </c>
      <c r="G245" s="158">
        <f>SUM(G241:G244)</f>
        <v>6917038</v>
      </c>
      <c r="H245" s="156">
        <f>(F245-G245)/F245</f>
        <v>-1.6895933761729817E-2</v>
      </c>
    </row>
  </sheetData>
  <mergeCells count="24">
    <mergeCell ref="A6:S6"/>
    <mergeCell ref="A7:S7"/>
    <mergeCell ref="A8:A9"/>
    <mergeCell ref="H8:K8"/>
    <mergeCell ref="L8:O8"/>
    <mergeCell ref="P8:S8"/>
    <mergeCell ref="D9:G9"/>
    <mergeCell ref="H9:K9"/>
    <mergeCell ref="C8:G8"/>
    <mergeCell ref="L9:O9"/>
    <mergeCell ref="P9:Q9"/>
    <mergeCell ref="R9:S9"/>
    <mergeCell ref="A244:B244"/>
    <mergeCell ref="A245:B245"/>
    <mergeCell ref="A229:C229"/>
    <mergeCell ref="C239:E239"/>
    <mergeCell ref="F239:H239"/>
    <mergeCell ref="A242:B242"/>
    <mergeCell ref="A243:B243"/>
    <mergeCell ref="P225:S225"/>
    <mergeCell ref="A225:F225"/>
    <mergeCell ref="Q224:S224"/>
    <mergeCell ref="I224:M224"/>
    <mergeCell ref="A224:F224"/>
  </mergeCells>
  <pageMargins left="0.7" right="0.7" top="0.75" bottom="0.75" header="0.3" footer="0.3"/>
  <pageSetup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6"/>
  <sheetViews>
    <sheetView workbookViewId="0">
      <pane ySplit="5" topLeftCell="A6" activePane="bottomLeft" state="frozen"/>
      <selection pane="bottomLeft" activeCell="J7" sqref="J7"/>
    </sheetView>
  </sheetViews>
  <sheetFormatPr defaultRowHeight="15" x14ac:dyDescent="0.25"/>
  <cols>
    <col min="1" max="1" width="14.5703125" bestFit="1" customWidth="1"/>
    <col min="3" max="3" width="11.5703125" customWidth="1"/>
    <col min="4" max="7" width="11.7109375" customWidth="1"/>
  </cols>
  <sheetData>
    <row r="1" spans="1:8" ht="21" customHeight="1" x14ac:dyDescent="0.25"/>
    <row r="2" spans="1:8" ht="21.75" customHeight="1" thickBot="1" x14ac:dyDescent="0.3"/>
    <row r="3" spans="1:8" ht="20.25" customHeight="1" thickBot="1" x14ac:dyDescent="0.3">
      <c r="A3" s="309" t="s">
        <v>456</v>
      </c>
      <c r="B3" s="310"/>
      <c r="C3" s="310"/>
      <c r="D3" s="310"/>
      <c r="E3" s="310"/>
      <c r="F3" s="310"/>
      <c r="G3" s="311"/>
      <c r="H3" s="46"/>
    </row>
    <row r="4" spans="1:8" x14ac:dyDescent="0.25">
      <c r="A4" s="285" t="s">
        <v>366</v>
      </c>
      <c r="B4" s="106" t="s">
        <v>312</v>
      </c>
      <c r="C4" s="106" t="s">
        <v>313</v>
      </c>
      <c r="D4" s="285" t="s">
        <v>367</v>
      </c>
      <c r="E4" s="285"/>
      <c r="F4" s="285"/>
      <c r="G4" s="285"/>
      <c r="H4" s="47"/>
    </row>
    <row r="5" spans="1:8" x14ac:dyDescent="0.25">
      <c r="A5" s="304"/>
      <c r="B5" s="3">
        <f>PCR!B6</f>
        <v>45981</v>
      </c>
      <c r="C5" s="3">
        <f>B5</f>
        <v>45981</v>
      </c>
      <c r="D5" s="76" t="s">
        <v>367</v>
      </c>
      <c r="E5" s="76" t="s">
        <v>321</v>
      </c>
      <c r="F5" s="76" t="s">
        <v>368</v>
      </c>
      <c r="G5" s="76" t="s">
        <v>369</v>
      </c>
      <c r="H5" s="48"/>
    </row>
    <row r="6" spans="1:8" x14ac:dyDescent="0.25">
      <c r="A6" s="101" t="str">
        <f>'Data shares'!C2</f>
        <v>360ONE</v>
      </c>
      <c r="B6" s="144">
        <f>VLOOKUP($A6,'Data shares'!$C:$FA,7)</f>
        <v>1142.0999999999999</v>
      </c>
      <c r="C6" s="144">
        <f>VLOOKUP($A6,'Data shares'!$C:$FA,3)</f>
        <v>1141.5</v>
      </c>
      <c r="D6" s="144">
        <f>VLOOKUP($A6,'Data shares'!$C:$FA,23)</f>
        <v>-0.6</v>
      </c>
      <c r="E6" s="145">
        <f>VLOOKUP($A6,'Data shares'!$C:$FA,26)*100</f>
        <v>-0.05</v>
      </c>
      <c r="F6" s="144">
        <f>VLOOKUP($A6,'Data shares'!$C:$FA,24)</f>
        <v>-0.3</v>
      </c>
      <c r="G6" s="144">
        <f>VLOOKUP($A6,'Data shares'!$C:$FA,25)</f>
        <v>-0.3</v>
      </c>
    </row>
    <row r="7" spans="1:8" x14ac:dyDescent="0.25">
      <c r="A7" s="101" t="str">
        <f>'Data shares'!C3</f>
        <v>ABB</v>
      </c>
      <c r="B7" s="144">
        <f>VLOOKUP($A7,'Data shares'!$C:$FA,7)</f>
        <v>5147</v>
      </c>
      <c r="C7" s="144">
        <f>VLOOKUP($A7,'Data shares'!$C:$FA,3)</f>
        <v>5130.5</v>
      </c>
      <c r="D7" s="144">
        <f>VLOOKUP($A7,'Data shares'!$C:$FA,23)</f>
        <v>-16.5</v>
      </c>
      <c r="E7" s="145">
        <f>VLOOKUP($A7,'Data shares'!$C:$FA,26)*100</f>
        <v>-0.32</v>
      </c>
      <c r="F7" s="144">
        <f>VLOOKUP($A7,'Data shares'!$C:$FA,24)</f>
        <v>4.5</v>
      </c>
      <c r="G7" s="144">
        <f>VLOOKUP($A7,'Data shares'!$C:$FA,25)</f>
        <v>-21</v>
      </c>
    </row>
    <row r="8" spans="1:8" x14ac:dyDescent="0.25">
      <c r="A8" s="101" t="str">
        <f>'Data shares'!C4</f>
        <v>ABCAPITAL</v>
      </c>
      <c r="B8" s="144">
        <f>VLOOKUP($A8,'Data shares'!$C:$FA,7)</f>
        <v>327.85</v>
      </c>
      <c r="C8" s="144">
        <f>VLOOKUP($A8,'Data shares'!$C:$FA,3)</f>
        <v>328</v>
      </c>
      <c r="D8" s="144">
        <f>VLOOKUP($A8,'Data shares'!$C:$FA,23)</f>
        <v>0.15</v>
      </c>
      <c r="E8" s="145">
        <f>VLOOKUP($A8,'Data shares'!$C:$FA,26)*100</f>
        <v>0.05</v>
      </c>
      <c r="F8" s="144">
        <f>VLOOKUP($A8,'Data shares'!$C:$FA,24)</f>
        <v>0.05</v>
      </c>
      <c r="G8" s="144">
        <f>VLOOKUP($A8,'Data shares'!$C:$FA,25)</f>
        <v>0.1</v>
      </c>
    </row>
    <row r="9" spans="1:8" x14ac:dyDescent="0.25">
      <c r="A9" s="101" t="str">
        <f>'Data shares'!C5</f>
        <v>ADANIENSOL</v>
      </c>
      <c r="B9" s="144">
        <f>VLOOKUP($A9,'Data shares'!$C:$FA,7)</f>
        <v>993.6</v>
      </c>
      <c r="C9" s="144">
        <f>VLOOKUP($A9,'Data shares'!$C:$FA,3)</f>
        <v>991.9</v>
      </c>
      <c r="D9" s="144">
        <f>VLOOKUP($A9,'Data shares'!$C:$FA,23)</f>
        <v>-1.7</v>
      </c>
      <c r="E9" s="145">
        <f>VLOOKUP($A9,'Data shares'!$C:$FA,26)*100</f>
        <v>-0.16999999999999998</v>
      </c>
      <c r="F9" s="144">
        <f>VLOOKUP($A9,'Data shares'!$C:$FA,24)</f>
        <v>-0.6</v>
      </c>
      <c r="G9" s="144">
        <f>VLOOKUP($A9,'Data shares'!$C:$FA,25)</f>
        <v>-1.1000000000000001</v>
      </c>
    </row>
    <row r="10" spans="1:8" x14ac:dyDescent="0.25">
      <c r="A10" s="101" t="str">
        <f>'Data shares'!C6</f>
        <v>ADANIENT</v>
      </c>
      <c r="B10" s="144">
        <f>VLOOKUP($A10,'Data shares'!$C:$FA,7)</f>
        <v>2446.1</v>
      </c>
      <c r="C10" s="144">
        <f>VLOOKUP($A10,'Data shares'!$C:$FA,3)</f>
        <v>2450.9</v>
      </c>
      <c r="D10" s="144">
        <f>VLOOKUP($A10,'Data shares'!$C:$FA,23)</f>
        <v>4.8</v>
      </c>
      <c r="E10" s="145">
        <f>VLOOKUP($A10,'Data shares'!$C:$FA,26)*100</f>
        <v>0.2</v>
      </c>
      <c r="F10" s="144">
        <f>VLOOKUP($A10,'Data shares'!$C:$FA,24)</f>
        <v>5.0999999999999996</v>
      </c>
      <c r="G10" s="144">
        <f>VLOOKUP($A10,'Data shares'!$C:$FA,25)</f>
        <v>-0.3</v>
      </c>
    </row>
    <row r="11" spans="1:8" x14ac:dyDescent="0.25">
      <c r="A11" s="101" t="str">
        <f>'Data shares'!C7</f>
        <v>ADANIGREEN</v>
      </c>
      <c r="B11" s="144">
        <f>VLOOKUP($A11,'Data shares'!$C:$FA,7)</f>
        <v>1060</v>
      </c>
      <c r="C11" s="144">
        <f>VLOOKUP($A11,'Data shares'!$C:$FA,3)</f>
        <v>1058.4000000000001</v>
      </c>
      <c r="D11" s="144">
        <f>VLOOKUP($A11,'Data shares'!$C:$FA,23)</f>
        <v>-1.6</v>
      </c>
      <c r="E11" s="145">
        <f>VLOOKUP($A11,'Data shares'!$C:$FA,26)*100</f>
        <v>-0.15</v>
      </c>
      <c r="F11" s="144">
        <f>VLOOKUP($A11,'Data shares'!$C:$FA,24)</f>
        <v>-0.7</v>
      </c>
      <c r="G11" s="144">
        <f>VLOOKUP($A11,'Data shares'!$C:$FA,25)</f>
        <v>-0.9</v>
      </c>
    </row>
    <row r="12" spans="1:8" x14ac:dyDescent="0.25">
      <c r="A12" s="101" t="str">
        <f>'Data shares'!C8</f>
        <v>ADANIPORTS</v>
      </c>
      <c r="B12" s="144">
        <f>VLOOKUP($A12,'Data shares'!$C:$FA,7)</f>
        <v>1491.1</v>
      </c>
      <c r="C12" s="144">
        <f>VLOOKUP($A12,'Data shares'!$C:$FA,3)</f>
        <v>1492.4</v>
      </c>
      <c r="D12" s="144">
        <f>VLOOKUP($A12,'Data shares'!$C:$FA,23)</f>
        <v>1.3</v>
      </c>
      <c r="E12" s="145">
        <f>VLOOKUP($A12,'Data shares'!$C:$FA,26)*100</f>
        <v>0.09</v>
      </c>
      <c r="F12" s="144">
        <f>VLOOKUP($A12,'Data shares'!$C:$FA,24)</f>
        <v>2.7</v>
      </c>
      <c r="G12" s="144">
        <f>VLOOKUP($A12,'Data shares'!$C:$FA,25)</f>
        <v>-1.4</v>
      </c>
    </row>
    <row r="13" spans="1:8" x14ac:dyDescent="0.25">
      <c r="A13" s="101" t="str">
        <f>'Data shares'!C9</f>
        <v>ALKEM</v>
      </c>
      <c r="B13" s="144">
        <f>VLOOKUP($A13,'Data shares'!$C:$FA,7)</f>
        <v>5700</v>
      </c>
      <c r="C13" s="144">
        <f>VLOOKUP($A13,'Data shares'!$C:$FA,3)</f>
        <v>5693.5</v>
      </c>
      <c r="D13" s="144">
        <f>VLOOKUP($A13,'Data shares'!$C:$FA,23)</f>
        <v>-6.5</v>
      </c>
      <c r="E13" s="145">
        <f>VLOOKUP($A13,'Data shares'!$C:$FA,26)*100</f>
        <v>-0.11</v>
      </c>
      <c r="F13" s="144">
        <f>VLOOKUP($A13,'Data shares'!$C:$FA,24)</f>
        <v>-1.5</v>
      </c>
      <c r="G13" s="144">
        <f>VLOOKUP($A13,'Data shares'!$C:$FA,25)</f>
        <v>-5</v>
      </c>
    </row>
    <row r="14" spans="1:8" x14ac:dyDescent="0.25">
      <c r="A14" s="101" t="str">
        <f>'Data shares'!C10</f>
        <v>AMBER</v>
      </c>
      <c r="B14" s="144">
        <f>VLOOKUP($A14,'Data shares'!$C:$FA,7)</f>
        <v>7256.5</v>
      </c>
      <c r="C14" s="144">
        <f>VLOOKUP($A14,'Data shares'!$C:$FA,3)</f>
        <v>7271</v>
      </c>
      <c r="D14" s="144">
        <f>VLOOKUP($A14,'Data shares'!$C:$FA,23)</f>
        <v>14.5</v>
      </c>
      <c r="E14" s="145">
        <f>VLOOKUP($A14,'Data shares'!$C:$FA,26)*100</f>
        <v>0.2</v>
      </c>
      <c r="F14" s="144">
        <f>VLOOKUP($A14,'Data shares'!$C:$FA,24)</f>
        <v>16.5</v>
      </c>
      <c r="G14" s="144">
        <f>VLOOKUP($A14,'Data shares'!$C:$FA,25)</f>
        <v>-2</v>
      </c>
    </row>
    <row r="15" spans="1:8" x14ac:dyDescent="0.25">
      <c r="A15" s="101" t="str">
        <f>'Data shares'!C11</f>
        <v>AMBUJACEM</v>
      </c>
      <c r="B15" s="144">
        <f>VLOOKUP($A15,'Data shares'!$C:$FA,7)</f>
        <v>555.75</v>
      </c>
      <c r="C15" s="144">
        <f>VLOOKUP($A15,'Data shares'!$C:$FA,3)</f>
        <v>555.75</v>
      </c>
      <c r="D15" s="144">
        <f>VLOOKUP($A15,'Data shares'!$C:$FA,23)</f>
        <v>0</v>
      </c>
      <c r="E15" s="145">
        <f>VLOOKUP($A15,'Data shares'!$C:$FA,26)*100</f>
        <v>0</v>
      </c>
      <c r="F15" s="144">
        <f>VLOOKUP($A15,'Data shares'!$C:$FA,24)</f>
        <v>0.25</v>
      </c>
      <c r="G15" s="144">
        <f>VLOOKUP($A15,'Data shares'!$C:$FA,25)</f>
        <v>-0.25</v>
      </c>
    </row>
    <row r="16" spans="1:8" x14ac:dyDescent="0.25">
      <c r="A16" s="101" t="str">
        <f>'Data shares'!C12</f>
        <v>ANGELONE</v>
      </c>
      <c r="B16" s="144">
        <f>VLOOKUP($A16,'Data shares'!$C:$FA,7)</f>
        <v>2814.3</v>
      </c>
      <c r="C16" s="144">
        <f>VLOOKUP($A16,'Data shares'!$C:$FA,3)</f>
        <v>2811.4</v>
      </c>
      <c r="D16" s="144">
        <f>VLOOKUP($A16,'Data shares'!$C:$FA,23)</f>
        <v>-2.9</v>
      </c>
      <c r="E16" s="145">
        <f>VLOOKUP($A16,'Data shares'!$C:$FA,26)*100</f>
        <v>-0.1</v>
      </c>
      <c r="F16" s="144">
        <f>VLOOKUP($A16,'Data shares'!$C:$FA,24)</f>
        <v>3.2</v>
      </c>
      <c r="G16" s="144">
        <f>VLOOKUP($A16,'Data shares'!$C:$FA,25)</f>
        <v>-6.1</v>
      </c>
    </row>
    <row r="17" spans="1:7" x14ac:dyDescent="0.25">
      <c r="A17" s="101" t="str">
        <f>'Data shares'!C13</f>
        <v>APLAPOLLO</v>
      </c>
      <c r="B17" s="144">
        <f>VLOOKUP($A17,'Data shares'!$C:$FA,7)</f>
        <v>1721.2</v>
      </c>
      <c r="C17" s="144">
        <f>VLOOKUP($A17,'Data shares'!$C:$FA,3)</f>
        <v>1722.3</v>
      </c>
      <c r="D17" s="144">
        <f>VLOOKUP($A17,'Data shares'!$C:$FA,23)</f>
        <v>1.1000000000000001</v>
      </c>
      <c r="E17" s="145">
        <f>VLOOKUP($A17,'Data shares'!$C:$FA,26)*100</f>
        <v>0.06</v>
      </c>
      <c r="F17" s="144">
        <f>VLOOKUP($A17,'Data shares'!$C:$FA,24)</f>
        <v>3.7</v>
      </c>
      <c r="G17" s="144">
        <f>VLOOKUP($A17,'Data shares'!$C:$FA,25)</f>
        <v>-2.6</v>
      </c>
    </row>
    <row r="18" spans="1:7" x14ac:dyDescent="0.25">
      <c r="A18" s="101" t="str">
        <f>'Data shares'!C14</f>
        <v>APOLLOHOSP</v>
      </c>
      <c r="B18" s="144">
        <f>VLOOKUP($A18,'Data shares'!$C:$FA,7)</f>
        <v>7423</v>
      </c>
      <c r="C18" s="144">
        <f>VLOOKUP($A18,'Data shares'!$C:$FA,3)</f>
        <v>7433.5</v>
      </c>
      <c r="D18" s="144">
        <f>VLOOKUP($A18,'Data shares'!$C:$FA,23)</f>
        <v>10.5</v>
      </c>
      <c r="E18" s="145">
        <f>VLOOKUP($A18,'Data shares'!$C:$FA,26)*100</f>
        <v>0.13999999999999999</v>
      </c>
      <c r="F18" s="144">
        <f>VLOOKUP($A18,'Data shares'!$C:$FA,24)</f>
        <v>-2.5</v>
      </c>
      <c r="G18" s="144">
        <f>VLOOKUP($A18,'Data shares'!$C:$FA,25)</f>
        <v>13</v>
      </c>
    </row>
    <row r="19" spans="1:7" x14ac:dyDescent="0.25">
      <c r="A19" s="101" t="str">
        <f>'Data shares'!C15</f>
        <v>ASHOKLEY</v>
      </c>
      <c r="B19" s="144">
        <f>VLOOKUP($A19,'Data shares'!$C:$FA,7)</f>
        <v>146.24</v>
      </c>
      <c r="C19" s="144">
        <f>VLOOKUP($A19,'Data shares'!$C:$FA,3)</f>
        <v>146.66</v>
      </c>
      <c r="D19" s="144">
        <f>VLOOKUP($A19,'Data shares'!$C:$FA,23)</f>
        <v>0.42</v>
      </c>
      <c r="E19" s="145">
        <f>VLOOKUP($A19,'Data shares'!$C:$FA,26)*100</f>
        <v>0.28999999999999998</v>
      </c>
      <c r="F19" s="144">
        <f>VLOOKUP($A19,'Data shares'!$C:$FA,24)</f>
        <v>0.13</v>
      </c>
      <c r="G19" s="144">
        <f>VLOOKUP($A19,'Data shares'!$C:$FA,25)</f>
        <v>0.28999999999999998</v>
      </c>
    </row>
    <row r="20" spans="1:7" x14ac:dyDescent="0.25">
      <c r="A20" s="101" t="str">
        <f>'Data shares'!C16</f>
        <v>ASIANPAINT</v>
      </c>
      <c r="B20" s="144">
        <f>VLOOKUP($A20,'Data shares'!$C:$FA,7)</f>
        <v>2859.8</v>
      </c>
      <c r="C20" s="144">
        <f>VLOOKUP($A20,'Data shares'!$C:$FA,3)</f>
        <v>2860</v>
      </c>
      <c r="D20" s="144">
        <f>VLOOKUP($A20,'Data shares'!$C:$FA,23)</f>
        <v>0.2</v>
      </c>
      <c r="E20" s="145">
        <f>VLOOKUP($A20,'Data shares'!$C:$FA,26)*100</f>
        <v>0.01</v>
      </c>
      <c r="F20" s="144">
        <f>VLOOKUP($A20,'Data shares'!$C:$FA,24)</f>
        <v>-4.7</v>
      </c>
      <c r="G20" s="144">
        <f>VLOOKUP($A20,'Data shares'!$C:$FA,25)</f>
        <v>4.9000000000000004</v>
      </c>
    </row>
    <row r="21" spans="1:7" x14ac:dyDescent="0.25">
      <c r="A21" s="101" t="str">
        <f>'Data shares'!C17</f>
        <v>ASTRAL</v>
      </c>
      <c r="B21" s="144">
        <f>VLOOKUP($A21,'Data shares'!$C:$FA,7)</f>
        <v>1462.4</v>
      </c>
      <c r="C21" s="144">
        <f>VLOOKUP($A21,'Data shares'!$C:$FA,3)</f>
        <v>1465.6</v>
      </c>
      <c r="D21" s="144">
        <f>VLOOKUP($A21,'Data shares'!$C:$FA,23)</f>
        <v>3.2</v>
      </c>
      <c r="E21" s="145">
        <f>VLOOKUP($A21,'Data shares'!$C:$FA,26)*100</f>
        <v>0.22</v>
      </c>
      <c r="F21" s="144">
        <f>VLOOKUP($A21,'Data shares'!$C:$FA,24)</f>
        <v>6</v>
      </c>
      <c r="G21" s="144">
        <f>VLOOKUP($A21,'Data shares'!$C:$FA,25)</f>
        <v>-2.8</v>
      </c>
    </row>
    <row r="22" spans="1:7" x14ac:dyDescent="0.25">
      <c r="A22" s="101" t="str">
        <f>'Data shares'!C18</f>
        <v>AUBANK</v>
      </c>
      <c r="B22" s="144">
        <f>VLOOKUP($A22,'Data shares'!$C:$FA,7)</f>
        <v>919.3</v>
      </c>
      <c r="C22" s="144">
        <f>VLOOKUP($A22,'Data shares'!$C:$FA,3)</f>
        <v>920.35</v>
      </c>
      <c r="D22" s="144">
        <f>VLOOKUP($A22,'Data shares'!$C:$FA,23)</f>
        <v>1.05</v>
      </c>
      <c r="E22" s="145">
        <f>VLOOKUP($A22,'Data shares'!$C:$FA,26)*100</f>
        <v>0.11</v>
      </c>
      <c r="F22" s="144">
        <f>VLOOKUP($A22,'Data shares'!$C:$FA,24)</f>
        <v>-0.9</v>
      </c>
      <c r="G22" s="144">
        <f>VLOOKUP($A22,'Data shares'!$C:$FA,25)</f>
        <v>1.95</v>
      </c>
    </row>
    <row r="23" spans="1:7" x14ac:dyDescent="0.25">
      <c r="A23" s="101" t="str">
        <f>'Data shares'!C19</f>
        <v>AUROPHARMA</v>
      </c>
      <c r="B23" s="144">
        <f>VLOOKUP($A23,'Data shares'!$C:$FA,7)</f>
        <v>1207.7</v>
      </c>
      <c r="C23" s="144">
        <f>VLOOKUP($A23,'Data shares'!$C:$FA,3)</f>
        <v>1208.7</v>
      </c>
      <c r="D23" s="144">
        <f>VLOOKUP($A23,'Data shares'!$C:$FA,23)</f>
        <v>1</v>
      </c>
      <c r="E23" s="145">
        <f>VLOOKUP($A23,'Data shares'!$C:$FA,26)*100</f>
        <v>0.08</v>
      </c>
      <c r="F23" s="144">
        <f>VLOOKUP($A23,'Data shares'!$C:$FA,24)</f>
        <v>-0.6</v>
      </c>
      <c r="G23" s="144">
        <f>VLOOKUP($A23,'Data shares'!$C:$FA,25)</f>
        <v>1.6</v>
      </c>
    </row>
    <row r="24" spans="1:7" x14ac:dyDescent="0.25">
      <c r="A24" s="101" t="str">
        <f>'Data shares'!C20</f>
        <v>AXISBANK</v>
      </c>
      <c r="B24" s="144">
        <f>VLOOKUP($A24,'Data shares'!$C:$FA,7)</f>
        <v>1285.2</v>
      </c>
      <c r="C24" s="144">
        <f>VLOOKUP($A24,'Data shares'!$C:$FA,3)</f>
        <v>1283.7</v>
      </c>
      <c r="D24" s="144">
        <f>VLOOKUP($A24,'Data shares'!$C:$FA,23)</f>
        <v>-1.5</v>
      </c>
      <c r="E24" s="145">
        <f>VLOOKUP($A24,'Data shares'!$C:$FA,26)*100</f>
        <v>-0.12</v>
      </c>
      <c r="F24" s="144">
        <f>VLOOKUP($A24,'Data shares'!$C:$FA,24)</f>
        <v>-0.8</v>
      </c>
      <c r="G24" s="144">
        <f>VLOOKUP($A24,'Data shares'!$C:$FA,25)</f>
        <v>-0.7</v>
      </c>
    </row>
    <row r="25" spans="1:7" x14ac:dyDescent="0.25">
      <c r="A25" s="101" t="str">
        <f>'Data shares'!C21</f>
        <v>BAJAJ-AUTO</v>
      </c>
      <c r="B25" s="144">
        <f>VLOOKUP($A25,'Data shares'!$C:$FA,7)</f>
        <v>8979.5</v>
      </c>
      <c r="C25" s="144">
        <f>VLOOKUP($A25,'Data shares'!$C:$FA,3)</f>
        <v>8982</v>
      </c>
      <c r="D25" s="144">
        <f>VLOOKUP($A25,'Data shares'!$C:$FA,23)</f>
        <v>2.5</v>
      </c>
      <c r="E25" s="145">
        <f>VLOOKUP($A25,'Data shares'!$C:$FA,26)*100</f>
        <v>0.03</v>
      </c>
      <c r="F25" s="144">
        <f>VLOOKUP($A25,'Data shares'!$C:$FA,24)</f>
        <v>0.5</v>
      </c>
      <c r="G25" s="144">
        <f>VLOOKUP($A25,'Data shares'!$C:$FA,25)</f>
        <v>2</v>
      </c>
    </row>
    <row r="26" spans="1:7" x14ac:dyDescent="0.25">
      <c r="A26" s="101" t="str">
        <f>'Data shares'!C22</f>
        <v>BAJAJFINSV</v>
      </c>
      <c r="B26" s="144">
        <f>VLOOKUP($A26,'Data shares'!$C:$FA,7)</f>
        <v>2095.6</v>
      </c>
      <c r="C26" s="144">
        <f>VLOOKUP($A26,'Data shares'!$C:$FA,3)</f>
        <v>2099.3000000000002</v>
      </c>
      <c r="D26" s="144">
        <f>VLOOKUP($A26,'Data shares'!$C:$FA,23)</f>
        <v>3.7</v>
      </c>
      <c r="E26" s="145">
        <f>VLOOKUP($A26,'Data shares'!$C:$FA,26)*100</f>
        <v>0.18</v>
      </c>
      <c r="F26" s="144">
        <f>VLOOKUP($A26,'Data shares'!$C:$FA,24)</f>
        <v>0.8</v>
      </c>
      <c r="G26" s="144">
        <f>VLOOKUP($A26,'Data shares'!$C:$FA,25)</f>
        <v>2.9</v>
      </c>
    </row>
    <row r="27" spans="1:7" x14ac:dyDescent="0.25">
      <c r="A27" s="101" t="str">
        <f>'Data shares'!C23</f>
        <v>BAJFINANCE</v>
      </c>
      <c r="B27" s="144">
        <f>VLOOKUP($A27,'Data shares'!$C:$FA,7)</f>
        <v>1028.5999999999999</v>
      </c>
      <c r="C27" s="144">
        <f>VLOOKUP($A27,'Data shares'!$C:$FA,3)</f>
        <v>1030.0999999999999</v>
      </c>
      <c r="D27" s="144">
        <f>VLOOKUP($A27,'Data shares'!$C:$FA,23)</f>
        <v>1.5</v>
      </c>
      <c r="E27" s="145">
        <f>VLOOKUP($A27,'Data shares'!$C:$FA,26)*100</f>
        <v>0.15</v>
      </c>
      <c r="F27" s="144">
        <f>VLOOKUP($A27,'Data shares'!$C:$FA,24)</f>
        <v>2.1</v>
      </c>
      <c r="G27" s="144">
        <f>VLOOKUP($A27,'Data shares'!$C:$FA,25)</f>
        <v>-0.6</v>
      </c>
    </row>
    <row r="28" spans="1:7" x14ac:dyDescent="0.25">
      <c r="A28" s="101" t="str">
        <f>'Data shares'!C24</f>
        <v>BANDHANBNK</v>
      </c>
      <c r="B28" s="144">
        <f>VLOOKUP($A28,'Data shares'!$C:$FA,7)</f>
        <v>151.22</v>
      </c>
      <c r="C28" s="144">
        <f>VLOOKUP($A28,'Data shares'!$C:$FA,3)</f>
        <v>151.4</v>
      </c>
      <c r="D28" s="144">
        <f>VLOOKUP($A28,'Data shares'!$C:$FA,23)</f>
        <v>0.18</v>
      </c>
      <c r="E28" s="145">
        <f>VLOOKUP($A28,'Data shares'!$C:$FA,26)*100</f>
        <v>0.12</v>
      </c>
      <c r="F28" s="144">
        <f>VLOOKUP($A28,'Data shares'!$C:$FA,24)</f>
        <v>0.28999999999999998</v>
      </c>
      <c r="G28" s="144">
        <f>VLOOKUP($A28,'Data shares'!$C:$FA,25)</f>
        <v>-0.11</v>
      </c>
    </row>
    <row r="29" spans="1:7" x14ac:dyDescent="0.25">
      <c r="A29" s="101" t="str">
        <f>'Data shares'!C25</f>
        <v>BANKBARODA</v>
      </c>
      <c r="B29" s="144">
        <f>VLOOKUP($A29,'Data shares'!$C:$FA,7)</f>
        <v>288.25</v>
      </c>
      <c r="C29" s="144">
        <f>VLOOKUP($A29,'Data shares'!$C:$FA,3)</f>
        <v>288.60000000000002</v>
      </c>
      <c r="D29" s="144">
        <f>VLOOKUP($A29,'Data shares'!$C:$FA,23)</f>
        <v>0.35</v>
      </c>
      <c r="E29" s="145">
        <f>VLOOKUP($A29,'Data shares'!$C:$FA,26)*100</f>
        <v>0.12</v>
      </c>
      <c r="F29" s="144">
        <f>VLOOKUP($A29,'Data shares'!$C:$FA,24)</f>
        <v>0.05</v>
      </c>
      <c r="G29" s="144">
        <f>VLOOKUP($A29,'Data shares'!$C:$FA,25)</f>
        <v>0.3</v>
      </c>
    </row>
    <row r="30" spans="1:7" x14ac:dyDescent="0.25">
      <c r="A30" s="101" t="str">
        <f>'Data shares'!C26</f>
        <v>BANKINDIA</v>
      </c>
      <c r="B30" s="144">
        <f>VLOOKUP($A30,'Data shares'!$C:$FA,7)</f>
        <v>147.72</v>
      </c>
      <c r="C30" s="144">
        <f>VLOOKUP($A30,'Data shares'!$C:$FA,3)</f>
        <v>147.54</v>
      </c>
      <c r="D30" s="144">
        <f>VLOOKUP($A30,'Data shares'!$C:$FA,23)</f>
        <v>-0.18</v>
      </c>
      <c r="E30" s="145">
        <f>VLOOKUP($A30,'Data shares'!$C:$FA,26)*100</f>
        <v>-0.12</v>
      </c>
      <c r="F30" s="144">
        <f>VLOOKUP($A30,'Data shares'!$C:$FA,24)</f>
        <v>-0.03</v>
      </c>
      <c r="G30" s="144">
        <f>VLOOKUP($A30,'Data shares'!$C:$FA,25)</f>
        <v>-0.15</v>
      </c>
    </row>
    <row r="31" spans="1:7" x14ac:dyDescent="0.25">
      <c r="A31" s="101" t="str">
        <f>'Data shares'!C27</f>
        <v>BANKNIFTY</v>
      </c>
      <c r="B31" s="144">
        <f>VLOOKUP($A31,'Data shares'!$C:$FA,7)</f>
        <v>59347.7</v>
      </c>
      <c r="C31" s="144">
        <f>VLOOKUP($A31,'Data shares'!$C:$FA,3)</f>
        <v>59399</v>
      </c>
      <c r="D31" s="144">
        <f>VLOOKUP($A31,'Data shares'!$C:$FA,23)</f>
        <v>51.3</v>
      </c>
      <c r="E31" s="145">
        <f>VLOOKUP($A31,'Data shares'!$C:$FA,26)*100</f>
        <v>0.09</v>
      </c>
      <c r="F31" s="144">
        <f>VLOOKUP($A31,'Data shares'!$C:$FA,24)</f>
        <v>11.35</v>
      </c>
      <c r="G31" s="144">
        <f>VLOOKUP($A31,'Data shares'!$C:$FA,25)</f>
        <v>39.950000000000003</v>
      </c>
    </row>
    <row r="32" spans="1:7" x14ac:dyDescent="0.25">
      <c r="A32" s="101" t="str">
        <f>'Data shares'!C28</f>
        <v>BDL</v>
      </c>
      <c r="B32" s="144">
        <f>VLOOKUP($A32,'Data shares'!$C:$FA,7)</f>
        <v>1557</v>
      </c>
      <c r="C32" s="144">
        <f>VLOOKUP($A32,'Data shares'!$C:$FA,3)</f>
        <v>1557.2</v>
      </c>
      <c r="D32" s="144">
        <f>VLOOKUP($A32,'Data shares'!$C:$FA,23)</f>
        <v>0.2</v>
      </c>
      <c r="E32" s="145">
        <f>VLOOKUP($A32,'Data shares'!$C:$FA,26)*100</f>
        <v>0.01</v>
      </c>
      <c r="F32" s="144">
        <f>VLOOKUP($A32,'Data shares'!$C:$FA,24)</f>
        <v>4</v>
      </c>
      <c r="G32" s="144">
        <f>VLOOKUP($A32,'Data shares'!$C:$FA,25)</f>
        <v>-3.8</v>
      </c>
    </row>
    <row r="33" spans="1:7" x14ac:dyDescent="0.25">
      <c r="A33" s="101" t="str">
        <f>'Data shares'!C29</f>
        <v>BEL</v>
      </c>
      <c r="B33" s="144">
        <f>VLOOKUP($A33,'Data shares'!$C:$FA,7)</f>
        <v>423</v>
      </c>
      <c r="C33" s="144">
        <f>VLOOKUP($A33,'Data shares'!$C:$FA,3)</f>
        <v>423.6</v>
      </c>
      <c r="D33" s="144">
        <f>VLOOKUP($A33,'Data shares'!$C:$FA,23)</f>
        <v>0.6</v>
      </c>
      <c r="E33" s="145">
        <f>VLOOKUP($A33,'Data shares'!$C:$FA,26)*100</f>
        <v>0.13999999999999999</v>
      </c>
      <c r="F33" s="144">
        <f>VLOOKUP($A33,'Data shares'!$C:$FA,24)</f>
        <v>-0.1</v>
      </c>
      <c r="G33" s="144">
        <f>VLOOKUP($A33,'Data shares'!$C:$FA,25)</f>
        <v>0.7</v>
      </c>
    </row>
    <row r="34" spans="1:7" x14ac:dyDescent="0.25">
      <c r="A34" s="101" t="str">
        <f>'Data shares'!C30</f>
        <v>BHARATFORG</v>
      </c>
      <c r="B34" s="144">
        <f>VLOOKUP($A34,'Data shares'!$C:$FA,7)</f>
        <v>1435.4</v>
      </c>
      <c r="C34" s="144">
        <f>VLOOKUP($A34,'Data shares'!$C:$FA,3)</f>
        <v>1436</v>
      </c>
      <c r="D34" s="144">
        <f>VLOOKUP($A34,'Data shares'!$C:$FA,23)</f>
        <v>0.6</v>
      </c>
      <c r="E34" s="145">
        <f>VLOOKUP($A34,'Data shares'!$C:$FA,26)*100</f>
        <v>0.04</v>
      </c>
      <c r="F34" s="144">
        <f>VLOOKUP($A34,'Data shares'!$C:$FA,24)</f>
        <v>0.9</v>
      </c>
      <c r="G34" s="144">
        <f>VLOOKUP($A34,'Data shares'!$C:$FA,25)</f>
        <v>-0.3</v>
      </c>
    </row>
    <row r="35" spans="1:7" x14ac:dyDescent="0.25">
      <c r="A35" s="101" t="str">
        <f>'Data shares'!C31</f>
        <v>BHARTIARTL</v>
      </c>
      <c r="B35" s="144">
        <f>VLOOKUP($A35,'Data shares'!$C:$FA,7)</f>
        <v>2158.3000000000002</v>
      </c>
      <c r="C35" s="144">
        <f>VLOOKUP($A35,'Data shares'!$C:$FA,3)</f>
        <v>2158.9</v>
      </c>
      <c r="D35" s="144">
        <f>VLOOKUP($A35,'Data shares'!$C:$FA,23)</f>
        <v>0.6</v>
      </c>
      <c r="E35" s="145">
        <f>VLOOKUP($A35,'Data shares'!$C:$FA,26)*100</f>
        <v>0.03</v>
      </c>
      <c r="F35" s="144">
        <f>VLOOKUP($A35,'Data shares'!$C:$FA,24)</f>
        <v>-1</v>
      </c>
      <c r="G35" s="144">
        <f>VLOOKUP($A35,'Data shares'!$C:$FA,25)</f>
        <v>1.6</v>
      </c>
    </row>
    <row r="36" spans="1:7" x14ac:dyDescent="0.25">
      <c r="A36" s="101" t="str">
        <f>'Data shares'!C32</f>
        <v>BHEL</v>
      </c>
      <c r="B36" s="144">
        <f>VLOOKUP($A36,'Data shares'!$C:$FA,7)</f>
        <v>285.25</v>
      </c>
      <c r="C36" s="144">
        <f>VLOOKUP($A36,'Data shares'!$C:$FA,3)</f>
        <v>285.75</v>
      </c>
      <c r="D36" s="144">
        <f>VLOOKUP($A36,'Data shares'!$C:$FA,23)</f>
        <v>0.5</v>
      </c>
      <c r="E36" s="145">
        <f>VLOOKUP($A36,'Data shares'!$C:$FA,26)*100</f>
        <v>0.18</v>
      </c>
      <c r="F36" s="144">
        <f>VLOOKUP($A36,'Data shares'!$C:$FA,24)</f>
        <v>-0.2</v>
      </c>
      <c r="G36" s="144">
        <f>VLOOKUP($A36,'Data shares'!$C:$FA,25)</f>
        <v>0.7</v>
      </c>
    </row>
    <row r="37" spans="1:7" x14ac:dyDescent="0.25">
      <c r="A37" s="101" t="str">
        <f>'Data shares'!C33</f>
        <v>BIOCON</v>
      </c>
      <c r="B37" s="144">
        <f>VLOOKUP($A37,'Data shares'!$C:$FA,7)</f>
        <v>395.15</v>
      </c>
      <c r="C37" s="144">
        <f>VLOOKUP($A37,'Data shares'!$C:$FA,3)</f>
        <v>395.3</v>
      </c>
      <c r="D37" s="144">
        <f>VLOOKUP($A37,'Data shares'!$C:$FA,23)</f>
        <v>0.15</v>
      </c>
      <c r="E37" s="145">
        <f>VLOOKUP($A37,'Data shares'!$C:$FA,26)*100</f>
        <v>0.04</v>
      </c>
      <c r="F37" s="144">
        <f>VLOOKUP($A37,'Data shares'!$C:$FA,24)</f>
        <v>0</v>
      </c>
      <c r="G37" s="144">
        <f>VLOOKUP($A37,'Data shares'!$C:$FA,25)</f>
        <v>0.15</v>
      </c>
    </row>
    <row r="38" spans="1:7" x14ac:dyDescent="0.25">
      <c r="A38" s="101" t="str">
        <f>'Data shares'!C34</f>
        <v>BLUESTARCO</v>
      </c>
      <c r="B38" s="144">
        <f>VLOOKUP($A38,'Data shares'!$C:$FA,7)</f>
        <v>1794.6</v>
      </c>
      <c r="C38" s="144">
        <f>VLOOKUP($A38,'Data shares'!$C:$FA,3)</f>
        <v>1795.2</v>
      </c>
      <c r="D38" s="144">
        <f>VLOOKUP($A38,'Data shares'!$C:$FA,23)</f>
        <v>0.6</v>
      </c>
      <c r="E38" s="145">
        <f>VLOOKUP($A38,'Data shares'!$C:$FA,26)*100</f>
        <v>0.03</v>
      </c>
      <c r="F38" s="144">
        <f>VLOOKUP($A38,'Data shares'!$C:$FA,24)</f>
        <v>-1.4</v>
      </c>
      <c r="G38" s="144">
        <f>VLOOKUP($A38,'Data shares'!$C:$FA,25)</f>
        <v>2</v>
      </c>
    </row>
    <row r="39" spans="1:7" x14ac:dyDescent="0.25">
      <c r="A39" s="101" t="str">
        <f>'Data shares'!C35</f>
        <v>BOSCHLTD</v>
      </c>
      <c r="B39" s="144">
        <f>VLOOKUP($A39,'Data shares'!$C:$FA,7)</f>
        <v>37050</v>
      </c>
      <c r="C39" s="144">
        <f>VLOOKUP($A39,'Data shares'!$C:$FA,3)</f>
        <v>37025</v>
      </c>
      <c r="D39" s="144">
        <f>VLOOKUP($A39,'Data shares'!$C:$FA,23)</f>
        <v>-25</v>
      </c>
      <c r="E39" s="145">
        <f>VLOOKUP($A39,'Data shares'!$C:$FA,26)*100</f>
        <v>-6.9999999999999993E-2</v>
      </c>
      <c r="F39" s="144">
        <f>VLOOKUP($A39,'Data shares'!$C:$FA,24)</f>
        <v>-10</v>
      </c>
      <c r="G39" s="144">
        <f>VLOOKUP($A39,'Data shares'!$C:$FA,25)</f>
        <v>-15</v>
      </c>
    </row>
    <row r="40" spans="1:7" x14ac:dyDescent="0.25">
      <c r="A40" s="101" t="str">
        <f>'Data shares'!C36</f>
        <v>BPCL</v>
      </c>
      <c r="B40" s="144">
        <f>VLOOKUP($A40,'Data shares'!$C:$FA,7)</f>
        <v>365.05</v>
      </c>
      <c r="C40" s="144">
        <f>VLOOKUP($A40,'Data shares'!$C:$FA,3)</f>
        <v>365.9</v>
      </c>
      <c r="D40" s="144">
        <f>VLOOKUP($A40,'Data shares'!$C:$FA,23)</f>
        <v>0.85</v>
      </c>
      <c r="E40" s="145">
        <f>VLOOKUP($A40,'Data shares'!$C:$FA,26)*100</f>
        <v>0.22999999999999998</v>
      </c>
      <c r="F40" s="144">
        <f>VLOOKUP($A40,'Data shares'!$C:$FA,24)</f>
        <v>1.1000000000000001</v>
      </c>
      <c r="G40" s="144">
        <f>VLOOKUP($A40,'Data shares'!$C:$FA,25)</f>
        <v>-0.25</v>
      </c>
    </row>
    <row r="41" spans="1:7" x14ac:dyDescent="0.25">
      <c r="A41" s="101" t="str">
        <f>'Data shares'!C37</f>
        <v>BRITANNIA</v>
      </c>
      <c r="B41" s="144">
        <f>VLOOKUP($A41,'Data shares'!$C:$FA,7)</f>
        <v>5819</v>
      </c>
      <c r="C41" s="144">
        <f>VLOOKUP($A41,'Data shares'!$C:$FA,3)</f>
        <v>5817</v>
      </c>
      <c r="D41" s="144">
        <f>VLOOKUP($A41,'Data shares'!$C:$FA,23)</f>
        <v>-2</v>
      </c>
      <c r="E41" s="145">
        <f>VLOOKUP($A41,'Data shares'!$C:$FA,26)*100</f>
        <v>-0.03</v>
      </c>
      <c r="F41" s="144">
        <f>VLOOKUP($A41,'Data shares'!$C:$FA,24)</f>
        <v>-3</v>
      </c>
      <c r="G41" s="144">
        <f>VLOOKUP($A41,'Data shares'!$C:$FA,25)</f>
        <v>1</v>
      </c>
    </row>
    <row r="42" spans="1:7" x14ac:dyDescent="0.25">
      <c r="A42" s="101" t="str">
        <f>'Data shares'!C38</f>
        <v>BSE</v>
      </c>
      <c r="B42" s="144">
        <f>VLOOKUP($A42,'Data shares'!$C:$FA,7)</f>
        <v>2895.5</v>
      </c>
      <c r="C42" s="144">
        <f>VLOOKUP($A42,'Data shares'!$C:$FA,3)</f>
        <v>2894.1</v>
      </c>
      <c r="D42" s="144">
        <f>VLOOKUP($A42,'Data shares'!$C:$FA,23)</f>
        <v>-1.4</v>
      </c>
      <c r="E42" s="145">
        <f>VLOOKUP($A42,'Data shares'!$C:$FA,26)*100</f>
        <v>-0.05</v>
      </c>
      <c r="F42" s="144">
        <f>VLOOKUP($A42,'Data shares'!$C:$FA,24)</f>
        <v>0.1</v>
      </c>
      <c r="G42" s="144">
        <f>VLOOKUP($A42,'Data shares'!$C:$FA,25)</f>
        <v>-1.5</v>
      </c>
    </row>
    <row r="43" spans="1:7" x14ac:dyDescent="0.25">
      <c r="A43" s="101" t="str">
        <f>'Data shares'!C39</f>
        <v>CAMS</v>
      </c>
      <c r="B43" s="144">
        <f>VLOOKUP($A43,'Data shares'!$C:$FA,7)</f>
        <v>4014.5</v>
      </c>
      <c r="C43" s="144">
        <f>VLOOKUP($A43,'Data shares'!$C:$FA,3)</f>
        <v>4012.4</v>
      </c>
      <c r="D43" s="144">
        <f>VLOOKUP($A43,'Data shares'!$C:$FA,23)</f>
        <v>-2.1</v>
      </c>
      <c r="E43" s="145">
        <f>VLOOKUP($A43,'Data shares'!$C:$FA,26)*100</f>
        <v>-0.05</v>
      </c>
      <c r="F43" s="144">
        <f>VLOOKUP($A43,'Data shares'!$C:$FA,24)</f>
        <v>-2.1</v>
      </c>
      <c r="G43" s="144">
        <f>VLOOKUP($A43,'Data shares'!$C:$FA,25)</f>
        <v>0</v>
      </c>
    </row>
    <row r="44" spans="1:7" x14ac:dyDescent="0.25">
      <c r="A44" s="101" t="str">
        <f>'Data shares'!C40</f>
        <v>CANBK</v>
      </c>
      <c r="B44" s="144">
        <f>VLOOKUP($A44,'Data shares'!$C:$FA,7)</f>
        <v>147.94</v>
      </c>
      <c r="C44" s="144">
        <f>VLOOKUP($A44,'Data shares'!$C:$FA,3)</f>
        <v>147.97999999999999</v>
      </c>
      <c r="D44" s="144">
        <f>VLOOKUP($A44,'Data shares'!$C:$FA,23)</f>
        <v>0.04</v>
      </c>
      <c r="E44" s="145">
        <f>VLOOKUP($A44,'Data shares'!$C:$FA,26)*100</f>
        <v>0.03</v>
      </c>
      <c r="F44" s="144">
        <f>VLOOKUP($A44,'Data shares'!$C:$FA,24)</f>
        <v>-0.05</v>
      </c>
      <c r="G44" s="144">
        <f>VLOOKUP($A44,'Data shares'!$C:$FA,25)</f>
        <v>0.09</v>
      </c>
    </row>
    <row r="45" spans="1:7" x14ac:dyDescent="0.25">
      <c r="A45" s="101" t="str">
        <f>'Data shares'!C41</f>
        <v>CDSL</v>
      </c>
      <c r="B45" s="144">
        <f>VLOOKUP($A45,'Data shares'!$C:$FA,7)</f>
        <v>1640.1</v>
      </c>
      <c r="C45" s="144">
        <f>VLOOKUP($A45,'Data shares'!$C:$FA,3)</f>
        <v>1643.4</v>
      </c>
      <c r="D45" s="144">
        <f>VLOOKUP($A45,'Data shares'!$C:$FA,23)</f>
        <v>3.3</v>
      </c>
      <c r="E45" s="145">
        <f>VLOOKUP($A45,'Data shares'!$C:$FA,26)*100</f>
        <v>0.2</v>
      </c>
      <c r="F45" s="144">
        <f>VLOOKUP($A45,'Data shares'!$C:$FA,24)</f>
        <v>4.3</v>
      </c>
      <c r="G45" s="144">
        <f>VLOOKUP($A45,'Data shares'!$C:$FA,25)</f>
        <v>-1</v>
      </c>
    </row>
    <row r="46" spans="1:7" x14ac:dyDescent="0.25">
      <c r="A46" s="101" t="str">
        <f>'Data shares'!C42</f>
        <v>CGPOWER</v>
      </c>
      <c r="B46" s="144">
        <f>VLOOKUP($A46,'Data shares'!$C:$FA,7)</f>
        <v>721.25</v>
      </c>
      <c r="C46" s="144">
        <f>VLOOKUP($A46,'Data shares'!$C:$FA,3)</f>
        <v>722.8</v>
      </c>
      <c r="D46" s="144">
        <f>VLOOKUP($A46,'Data shares'!$C:$FA,23)</f>
        <v>1.55</v>
      </c>
      <c r="E46" s="145">
        <f>VLOOKUP($A46,'Data shares'!$C:$FA,26)*100</f>
        <v>0.21</v>
      </c>
      <c r="F46" s="144">
        <f>VLOOKUP($A46,'Data shares'!$C:$FA,24)</f>
        <v>0.2</v>
      </c>
      <c r="G46" s="144">
        <f>VLOOKUP($A46,'Data shares'!$C:$FA,25)</f>
        <v>1.35</v>
      </c>
    </row>
    <row r="47" spans="1:7" x14ac:dyDescent="0.25">
      <c r="A47" s="101" t="str">
        <f>'Data shares'!C43</f>
        <v>CHOLAFIN</v>
      </c>
      <c r="B47" s="144">
        <f>VLOOKUP($A47,'Data shares'!$C:$FA,7)</f>
        <v>1703.2</v>
      </c>
      <c r="C47" s="144">
        <f>VLOOKUP($A47,'Data shares'!$C:$FA,3)</f>
        <v>1707.2</v>
      </c>
      <c r="D47" s="144">
        <f>VLOOKUP($A47,'Data shares'!$C:$FA,23)</f>
        <v>4</v>
      </c>
      <c r="E47" s="145">
        <f>VLOOKUP($A47,'Data shares'!$C:$FA,26)*100</f>
        <v>0.22999999999999998</v>
      </c>
      <c r="F47" s="144">
        <f>VLOOKUP($A47,'Data shares'!$C:$FA,24)</f>
        <v>2.2999999999999998</v>
      </c>
      <c r="G47" s="144">
        <f>VLOOKUP($A47,'Data shares'!$C:$FA,25)</f>
        <v>1.7</v>
      </c>
    </row>
    <row r="48" spans="1:7" x14ac:dyDescent="0.25">
      <c r="A48" s="101" t="str">
        <f>'Data shares'!C44</f>
        <v>CIPLA</v>
      </c>
      <c r="B48" s="144">
        <f>VLOOKUP($A48,'Data shares'!$C:$FA,7)</f>
        <v>1529.2</v>
      </c>
      <c r="C48" s="144">
        <f>VLOOKUP($A48,'Data shares'!$C:$FA,3)</f>
        <v>1530.1</v>
      </c>
      <c r="D48" s="144">
        <f>VLOOKUP($A48,'Data shares'!$C:$FA,23)</f>
        <v>0.9</v>
      </c>
      <c r="E48" s="145">
        <f>VLOOKUP($A48,'Data shares'!$C:$FA,26)*100</f>
        <v>0.06</v>
      </c>
      <c r="F48" s="144">
        <f>VLOOKUP($A48,'Data shares'!$C:$FA,24)</f>
        <v>2</v>
      </c>
      <c r="G48" s="144">
        <f>VLOOKUP($A48,'Data shares'!$C:$FA,25)</f>
        <v>-1.1000000000000001</v>
      </c>
    </row>
    <row r="49" spans="1:7" x14ac:dyDescent="0.25">
      <c r="A49" s="101" t="str">
        <f>'Data shares'!C45</f>
        <v>COALINDIA</v>
      </c>
      <c r="B49" s="144">
        <f>VLOOKUP($A49,'Data shares'!$C:$FA,7)</f>
        <v>379.65</v>
      </c>
      <c r="C49" s="144">
        <f>VLOOKUP($A49,'Data shares'!$C:$FA,3)</f>
        <v>380.5</v>
      </c>
      <c r="D49" s="144">
        <f>VLOOKUP($A49,'Data shares'!$C:$FA,23)</f>
        <v>0.85</v>
      </c>
      <c r="E49" s="145">
        <f>VLOOKUP($A49,'Data shares'!$C:$FA,26)*100</f>
        <v>0.22</v>
      </c>
      <c r="F49" s="144">
        <f>VLOOKUP($A49,'Data shares'!$C:$FA,24)</f>
        <v>0.9</v>
      </c>
      <c r="G49" s="144">
        <f>VLOOKUP($A49,'Data shares'!$C:$FA,25)</f>
        <v>-0.05</v>
      </c>
    </row>
    <row r="50" spans="1:7" x14ac:dyDescent="0.25">
      <c r="A50" s="101" t="str">
        <f>'Data shares'!C46</f>
        <v>COFORGE</v>
      </c>
      <c r="B50" s="144">
        <f>VLOOKUP($A50,'Data shares'!$C:$FA,7)</f>
        <v>1846.1</v>
      </c>
      <c r="C50" s="144">
        <f>VLOOKUP($A50,'Data shares'!$C:$FA,3)</f>
        <v>1849.6</v>
      </c>
      <c r="D50" s="144">
        <f>VLOOKUP($A50,'Data shares'!$C:$FA,23)</f>
        <v>3.5</v>
      </c>
      <c r="E50" s="145">
        <f>VLOOKUP($A50,'Data shares'!$C:$FA,26)*100</f>
        <v>0.19</v>
      </c>
      <c r="F50" s="144">
        <f>VLOOKUP($A50,'Data shares'!$C:$FA,24)</f>
        <v>2.9</v>
      </c>
      <c r="G50" s="144">
        <f>VLOOKUP($A50,'Data shares'!$C:$FA,25)</f>
        <v>0.6</v>
      </c>
    </row>
    <row r="51" spans="1:7" x14ac:dyDescent="0.25">
      <c r="A51" s="101" t="str">
        <f>'Data shares'!C47</f>
        <v>COLPAL</v>
      </c>
      <c r="B51" s="144">
        <f>VLOOKUP($A51,'Data shares'!$C:$FA,7)</f>
        <v>2179.6999999999998</v>
      </c>
      <c r="C51" s="144">
        <f>VLOOKUP($A51,'Data shares'!$C:$FA,3)</f>
        <v>2185.1</v>
      </c>
      <c r="D51" s="144">
        <f>VLOOKUP($A51,'Data shares'!$C:$FA,23)</f>
        <v>5.4</v>
      </c>
      <c r="E51" s="145">
        <f>VLOOKUP($A51,'Data shares'!$C:$FA,26)*100</f>
        <v>0.25</v>
      </c>
      <c r="F51" s="144">
        <f>VLOOKUP($A51,'Data shares'!$C:$FA,24)</f>
        <v>-0.7</v>
      </c>
      <c r="G51" s="144">
        <f>VLOOKUP($A51,'Data shares'!$C:$FA,25)</f>
        <v>6.1</v>
      </c>
    </row>
    <row r="52" spans="1:7" x14ac:dyDescent="0.25">
      <c r="A52" s="101" t="str">
        <f>'Data shares'!C48</f>
        <v>CONCOR</v>
      </c>
      <c r="B52" s="144">
        <f>VLOOKUP($A52,'Data shares'!$C:$FA,7)</f>
        <v>515.4</v>
      </c>
      <c r="C52" s="144">
        <f>VLOOKUP($A52,'Data shares'!$C:$FA,3)</f>
        <v>516</v>
      </c>
      <c r="D52" s="144">
        <f>VLOOKUP($A52,'Data shares'!$C:$FA,23)</f>
        <v>0.6</v>
      </c>
      <c r="E52" s="145">
        <f>VLOOKUP($A52,'Data shares'!$C:$FA,26)*100</f>
        <v>0.12</v>
      </c>
      <c r="F52" s="144">
        <f>VLOOKUP($A52,'Data shares'!$C:$FA,24)</f>
        <v>-1.65</v>
      </c>
      <c r="G52" s="144">
        <f>VLOOKUP($A52,'Data shares'!$C:$FA,25)</f>
        <v>2.25</v>
      </c>
    </row>
    <row r="53" spans="1:7" x14ac:dyDescent="0.25">
      <c r="A53" s="101" t="str">
        <f>'Data shares'!C49</f>
        <v>CROMPTON</v>
      </c>
      <c r="B53" s="144">
        <f>VLOOKUP($A53,'Data shares'!$C:$FA,7)</f>
        <v>270</v>
      </c>
      <c r="C53" s="144">
        <f>VLOOKUP($A53,'Data shares'!$C:$FA,3)</f>
        <v>269.95</v>
      </c>
      <c r="D53" s="144">
        <f>VLOOKUP($A53,'Data shares'!$C:$FA,23)</f>
        <v>-0.05</v>
      </c>
      <c r="E53" s="145">
        <f>VLOOKUP($A53,'Data shares'!$C:$FA,26)*100</f>
        <v>-0.02</v>
      </c>
      <c r="F53" s="144">
        <f>VLOOKUP($A53,'Data shares'!$C:$FA,24)</f>
        <v>-0.1</v>
      </c>
      <c r="G53" s="144">
        <f>VLOOKUP($A53,'Data shares'!$C:$FA,25)</f>
        <v>0.05</v>
      </c>
    </row>
    <row r="54" spans="1:7" x14ac:dyDescent="0.25">
      <c r="A54" s="101" t="str">
        <f>'Data shares'!C50</f>
        <v>CUMMINSIND</v>
      </c>
      <c r="B54" s="144">
        <f>VLOOKUP($A54,'Data shares'!$C:$FA,7)</f>
        <v>4375.7</v>
      </c>
      <c r="C54" s="144">
        <f>VLOOKUP($A54,'Data shares'!$C:$FA,3)</f>
        <v>4380.6000000000004</v>
      </c>
      <c r="D54" s="144">
        <f>VLOOKUP($A54,'Data shares'!$C:$FA,23)</f>
        <v>4.9000000000000004</v>
      </c>
      <c r="E54" s="145">
        <f>VLOOKUP($A54,'Data shares'!$C:$FA,26)*100</f>
        <v>0.11</v>
      </c>
      <c r="F54" s="144">
        <f>VLOOKUP($A54,'Data shares'!$C:$FA,24)</f>
        <v>3.5</v>
      </c>
      <c r="G54" s="144">
        <f>VLOOKUP($A54,'Data shares'!$C:$FA,25)</f>
        <v>1.4</v>
      </c>
    </row>
    <row r="55" spans="1:7" x14ac:dyDescent="0.25">
      <c r="A55" s="101" t="str">
        <f>'Data shares'!C51</f>
        <v>CYIENT</v>
      </c>
      <c r="B55" s="144">
        <f>VLOOKUP($A55,'Data shares'!$C:$FA,7)</f>
        <v>1148.9000000000001</v>
      </c>
      <c r="C55" s="144">
        <f>VLOOKUP($A55,'Data shares'!$C:$FA,3)</f>
        <v>1148</v>
      </c>
      <c r="D55" s="144">
        <f>VLOOKUP($A55,'Data shares'!$C:$FA,23)</f>
        <v>-0.9</v>
      </c>
      <c r="E55" s="145">
        <f>VLOOKUP($A55,'Data shares'!$C:$FA,26)*100</f>
        <v>-0.08</v>
      </c>
      <c r="F55" s="144">
        <f>VLOOKUP($A55,'Data shares'!$C:$FA,24)</f>
        <v>2.4</v>
      </c>
      <c r="G55" s="144">
        <f>VLOOKUP($A55,'Data shares'!$C:$FA,25)</f>
        <v>-3.3</v>
      </c>
    </row>
    <row r="56" spans="1:7" x14ac:dyDescent="0.25">
      <c r="A56" s="101" t="str">
        <f>'Data shares'!C52</f>
        <v>DABUR</v>
      </c>
      <c r="B56" s="144">
        <f>VLOOKUP($A56,'Data shares'!$C:$FA,7)</f>
        <v>525.04999999999995</v>
      </c>
      <c r="C56" s="144">
        <f>VLOOKUP($A56,'Data shares'!$C:$FA,3)</f>
        <v>524.6</v>
      </c>
      <c r="D56" s="144">
        <f>VLOOKUP($A56,'Data shares'!$C:$FA,23)</f>
        <v>-0.45</v>
      </c>
      <c r="E56" s="145">
        <f>VLOOKUP($A56,'Data shares'!$C:$FA,26)*100</f>
        <v>-0.09</v>
      </c>
      <c r="F56" s="144">
        <f>VLOOKUP($A56,'Data shares'!$C:$FA,24)</f>
        <v>0.7</v>
      </c>
      <c r="G56" s="144">
        <f>VLOOKUP($A56,'Data shares'!$C:$FA,25)</f>
        <v>-1.1499999999999999</v>
      </c>
    </row>
    <row r="57" spans="1:7" x14ac:dyDescent="0.25">
      <c r="A57" s="101" t="str">
        <f>'Data shares'!C53</f>
        <v>DALBHARAT</v>
      </c>
      <c r="B57" s="144">
        <f>VLOOKUP($A57,'Data shares'!$C:$FA,7)</f>
        <v>2012.1</v>
      </c>
      <c r="C57" s="144">
        <f>VLOOKUP($A57,'Data shares'!$C:$FA,3)</f>
        <v>2016.3</v>
      </c>
      <c r="D57" s="144">
        <f>VLOOKUP($A57,'Data shares'!$C:$FA,23)</f>
        <v>4.2</v>
      </c>
      <c r="E57" s="145">
        <f>VLOOKUP($A57,'Data shares'!$C:$FA,26)*100</f>
        <v>0.21</v>
      </c>
      <c r="F57" s="144">
        <f>VLOOKUP($A57,'Data shares'!$C:$FA,24)</f>
        <v>1.3</v>
      </c>
      <c r="G57" s="144">
        <f>VLOOKUP($A57,'Data shares'!$C:$FA,25)</f>
        <v>2.9</v>
      </c>
    </row>
    <row r="58" spans="1:7" x14ac:dyDescent="0.25">
      <c r="A58" s="101" t="str">
        <f>'Data shares'!C54</f>
        <v>DELHIVERY</v>
      </c>
      <c r="B58" s="144">
        <f>VLOOKUP($A58,'Data shares'!$C:$FA,7)</f>
        <v>426</v>
      </c>
      <c r="C58" s="144">
        <f>VLOOKUP($A58,'Data shares'!$C:$FA,3)</f>
        <v>426.7</v>
      </c>
      <c r="D58" s="144">
        <f>VLOOKUP($A58,'Data shares'!$C:$FA,23)</f>
        <v>0.7</v>
      </c>
      <c r="E58" s="145">
        <f>VLOOKUP($A58,'Data shares'!$C:$FA,26)*100</f>
        <v>0.16</v>
      </c>
      <c r="F58" s="144">
        <f>VLOOKUP($A58,'Data shares'!$C:$FA,24)</f>
        <v>-0.15</v>
      </c>
      <c r="G58" s="144">
        <f>VLOOKUP($A58,'Data shares'!$C:$FA,25)</f>
        <v>0.85</v>
      </c>
    </row>
    <row r="59" spans="1:7" x14ac:dyDescent="0.25">
      <c r="A59" s="101" t="str">
        <f>'Data shares'!C55</f>
        <v>DIVISLAB</v>
      </c>
      <c r="B59" s="144">
        <f>VLOOKUP($A59,'Data shares'!$C:$FA,7)</f>
        <v>6462.5</v>
      </c>
      <c r="C59" s="144">
        <f>VLOOKUP($A59,'Data shares'!$C:$FA,3)</f>
        <v>6458.5</v>
      </c>
      <c r="D59" s="144">
        <f>VLOOKUP($A59,'Data shares'!$C:$FA,23)</f>
        <v>-4</v>
      </c>
      <c r="E59" s="145">
        <f>VLOOKUP($A59,'Data shares'!$C:$FA,26)*100</f>
        <v>-0.06</v>
      </c>
      <c r="F59" s="144">
        <f>VLOOKUP($A59,'Data shares'!$C:$FA,24)</f>
        <v>8</v>
      </c>
      <c r="G59" s="144">
        <f>VLOOKUP($A59,'Data shares'!$C:$FA,25)</f>
        <v>-12</v>
      </c>
    </row>
    <row r="60" spans="1:7" x14ac:dyDescent="0.25">
      <c r="A60" s="101" t="str">
        <f>'Data shares'!C56</f>
        <v>DIXON</v>
      </c>
      <c r="B60" s="144">
        <f>VLOOKUP($A60,'Data shares'!$C:$FA,7)</f>
        <v>15313</v>
      </c>
      <c r="C60" s="144">
        <f>VLOOKUP($A60,'Data shares'!$C:$FA,3)</f>
        <v>15307</v>
      </c>
      <c r="D60" s="144">
        <f>VLOOKUP($A60,'Data shares'!$C:$FA,23)</f>
        <v>-6</v>
      </c>
      <c r="E60" s="145">
        <f>VLOOKUP($A60,'Data shares'!$C:$FA,26)*100</f>
        <v>-0.04</v>
      </c>
      <c r="F60" s="144">
        <f>VLOOKUP($A60,'Data shares'!$C:$FA,24)</f>
        <v>-45</v>
      </c>
      <c r="G60" s="144">
        <f>VLOOKUP($A60,'Data shares'!$C:$FA,25)</f>
        <v>39</v>
      </c>
    </row>
    <row r="61" spans="1:7" x14ac:dyDescent="0.25">
      <c r="A61" s="101" t="str">
        <f>'Data shares'!C57</f>
        <v>DLF</v>
      </c>
      <c r="B61" s="144">
        <f>VLOOKUP($A61,'Data shares'!$C:$FA,7)</f>
        <v>741.1</v>
      </c>
      <c r="C61" s="144">
        <f>VLOOKUP($A61,'Data shares'!$C:$FA,3)</f>
        <v>742.65</v>
      </c>
      <c r="D61" s="144">
        <f>VLOOKUP($A61,'Data shares'!$C:$FA,23)</f>
        <v>1.55</v>
      </c>
      <c r="E61" s="145">
        <f>VLOOKUP($A61,'Data shares'!$C:$FA,26)*100</f>
        <v>0.21</v>
      </c>
      <c r="F61" s="144">
        <f>VLOOKUP($A61,'Data shares'!$C:$FA,24)</f>
        <v>1.6</v>
      </c>
      <c r="G61" s="144">
        <f>VLOOKUP($A61,'Data shares'!$C:$FA,25)</f>
        <v>-0.05</v>
      </c>
    </row>
    <row r="62" spans="1:7" x14ac:dyDescent="0.25">
      <c r="A62" s="101" t="str">
        <f>'Data shares'!C58</f>
        <v>DMART</v>
      </c>
      <c r="B62" s="144">
        <f>VLOOKUP($A62,'Data shares'!$C:$FA,7)</f>
        <v>4085</v>
      </c>
      <c r="C62" s="144">
        <f>VLOOKUP($A62,'Data shares'!$C:$FA,3)</f>
        <v>4097.7</v>
      </c>
      <c r="D62" s="144">
        <f>VLOOKUP($A62,'Data shares'!$C:$FA,23)</f>
        <v>12.7</v>
      </c>
      <c r="E62" s="145">
        <f>VLOOKUP($A62,'Data shares'!$C:$FA,26)*100</f>
        <v>0.31</v>
      </c>
      <c r="F62" s="144">
        <f>VLOOKUP($A62,'Data shares'!$C:$FA,24)</f>
        <v>15.7</v>
      </c>
      <c r="G62" s="144">
        <f>VLOOKUP($A62,'Data shares'!$C:$FA,25)</f>
        <v>-3</v>
      </c>
    </row>
    <row r="63" spans="1:7" x14ac:dyDescent="0.25">
      <c r="A63" s="101" t="str">
        <f>'Data shares'!C59</f>
        <v>DRREDDY</v>
      </c>
      <c r="B63" s="144">
        <f>VLOOKUP($A63,'Data shares'!$C:$FA,7)</f>
        <v>1248.5999999999999</v>
      </c>
      <c r="C63" s="144">
        <f>VLOOKUP($A63,'Data shares'!$C:$FA,3)</f>
        <v>1247.5999999999999</v>
      </c>
      <c r="D63" s="144">
        <f>VLOOKUP($A63,'Data shares'!$C:$FA,23)</f>
        <v>-1</v>
      </c>
      <c r="E63" s="145">
        <f>VLOOKUP($A63,'Data shares'!$C:$FA,26)*100</f>
        <v>-0.08</v>
      </c>
      <c r="F63" s="144">
        <f>VLOOKUP($A63,'Data shares'!$C:$FA,24)</f>
        <v>-3.2</v>
      </c>
      <c r="G63" s="144">
        <f>VLOOKUP($A63,'Data shares'!$C:$FA,25)</f>
        <v>2.2000000000000002</v>
      </c>
    </row>
    <row r="64" spans="1:7" x14ac:dyDescent="0.25">
      <c r="A64" s="101" t="str">
        <f>'Data shares'!C60</f>
        <v>EICHERMOT</v>
      </c>
      <c r="B64" s="144">
        <f>VLOOKUP($A64,'Data shares'!$C:$FA,7)</f>
        <v>7125.5</v>
      </c>
      <c r="C64" s="144">
        <f>VLOOKUP($A64,'Data shares'!$C:$FA,3)</f>
        <v>7113.5</v>
      </c>
      <c r="D64" s="144">
        <f>VLOOKUP($A64,'Data shares'!$C:$FA,23)</f>
        <v>-12</v>
      </c>
      <c r="E64" s="145">
        <f>VLOOKUP($A64,'Data shares'!$C:$FA,26)*100</f>
        <v>-0.16999999999999998</v>
      </c>
      <c r="F64" s="144">
        <f>VLOOKUP($A64,'Data shares'!$C:$FA,24)</f>
        <v>-7.5</v>
      </c>
      <c r="G64" s="144">
        <f>VLOOKUP($A64,'Data shares'!$C:$FA,25)</f>
        <v>-4.5</v>
      </c>
    </row>
    <row r="65" spans="1:7" x14ac:dyDescent="0.25">
      <c r="A65" s="101" t="str">
        <f>'Data shares'!C61</f>
        <v>ETERNAL</v>
      </c>
      <c r="B65" s="144">
        <f>VLOOKUP($A65,'Data shares'!$C:$FA,7)</f>
        <v>306.89999999999998</v>
      </c>
      <c r="C65" s="144">
        <f>VLOOKUP($A65,'Data shares'!$C:$FA,3)</f>
        <v>306.75</v>
      </c>
      <c r="D65" s="144">
        <f>VLOOKUP($A65,'Data shares'!$C:$FA,23)</f>
        <v>-0.15</v>
      </c>
      <c r="E65" s="145">
        <f>VLOOKUP($A65,'Data shares'!$C:$FA,26)*100</f>
        <v>-0.05</v>
      </c>
      <c r="F65" s="144">
        <f>VLOOKUP($A65,'Data shares'!$C:$FA,24)</f>
        <v>0.2</v>
      </c>
      <c r="G65" s="144">
        <f>VLOOKUP($A65,'Data shares'!$C:$FA,25)</f>
        <v>-0.35</v>
      </c>
    </row>
    <row r="66" spans="1:7" x14ac:dyDescent="0.25">
      <c r="A66" s="101" t="str">
        <f>'Data shares'!C62</f>
        <v>EXIDEIND</v>
      </c>
      <c r="B66" s="144">
        <f>VLOOKUP($A66,'Data shares'!$C:$FA,7)</f>
        <v>380.8</v>
      </c>
      <c r="C66" s="144">
        <f>VLOOKUP($A66,'Data shares'!$C:$FA,3)</f>
        <v>381.4</v>
      </c>
      <c r="D66" s="144">
        <f>VLOOKUP($A66,'Data shares'!$C:$FA,23)</f>
        <v>0.6</v>
      </c>
      <c r="E66" s="145">
        <f>VLOOKUP($A66,'Data shares'!$C:$FA,26)*100</f>
        <v>0.16</v>
      </c>
      <c r="F66" s="144">
        <f>VLOOKUP($A66,'Data shares'!$C:$FA,24)</f>
        <v>-0.15</v>
      </c>
      <c r="G66" s="144">
        <f>VLOOKUP($A66,'Data shares'!$C:$FA,25)</f>
        <v>0.75</v>
      </c>
    </row>
    <row r="67" spans="1:7" x14ac:dyDescent="0.25">
      <c r="A67" s="101" t="str">
        <f>'Data shares'!C63</f>
        <v>FEDERALBNK</v>
      </c>
      <c r="B67" s="144">
        <f>VLOOKUP($A67,'Data shares'!$C:$FA,7)</f>
        <v>244.93</v>
      </c>
      <c r="C67" s="144">
        <f>VLOOKUP($A67,'Data shares'!$C:$FA,3)</f>
        <v>244.79</v>
      </c>
      <c r="D67" s="144">
        <f>VLOOKUP($A67,'Data shares'!$C:$FA,23)</f>
        <v>-0.14000000000000001</v>
      </c>
      <c r="E67" s="145">
        <f>VLOOKUP($A67,'Data shares'!$C:$FA,26)*100</f>
        <v>-0.06</v>
      </c>
      <c r="F67" s="144">
        <f>VLOOKUP($A67,'Data shares'!$C:$FA,24)</f>
        <v>-0.63</v>
      </c>
      <c r="G67" s="144">
        <f>VLOOKUP($A67,'Data shares'!$C:$FA,25)</f>
        <v>0.49</v>
      </c>
    </row>
    <row r="68" spans="1:7" x14ac:dyDescent="0.25">
      <c r="A68" s="101" t="str">
        <f>'Data shares'!C64</f>
        <v>FINNIFTY</v>
      </c>
      <c r="B68" s="144">
        <f>VLOOKUP($A68,'Data shares'!$C:$FA,7)</f>
        <v>27861.35</v>
      </c>
      <c r="C68" s="144">
        <f>VLOOKUP($A68,'Data shares'!$C:$FA,3)</f>
        <v>27885.599999999999</v>
      </c>
      <c r="D68" s="144">
        <f>VLOOKUP($A68,'Data shares'!$C:$FA,23)</f>
        <v>24.25</v>
      </c>
      <c r="E68" s="145">
        <f>VLOOKUP($A68,'Data shares'!$C:$FA,26)*100</f>
        <v>0.09</v>
      </c>
      <c r="F68" s="144">
        <f>VLOOKUP($A68,'Data shares'!$C:$FA,24)</f>
        <v>18.7</v>
      </c>
      <c r="G68" s="144">
        <f>VLOOKUP($A68,'Data shares'!$C:$FA,25)</f>
        <v>5.55</v>
      </c>
    </row>
    <row r="69" spans="1:7" x14ac:dyDescent="0.25">
      <c r="A69" s="101" t="str">
        <f>'Data shares'!C65</f>
        <v>FORTIS</v>
      </c>
      <c r="B69" s="144">
        <f>VLOOKUP($A69,'Data shares'!$C:$FA,7)</f>
        <v>935.4</v>
      </c>
      <c r="C69" s="144">
        <f>VLOOKUP($A69,'Data shares'!$C:$FA,3)</f>
        <v>932.4</v>
      </c>
      <c r="D69" s="144">
        <f>VLOOKUP($A69,'Data shares'!$C:$FA,23)</f>
        <v>-3</v>
      </c>
      <c r="E69" s="145">
        <f>VLOOKUP($A69,'Data shares'!$C:$FA,26)*100</f>
        <v>-0.32</v>
      </c>
      <c r="F69" s="144">
        <f>VLOOKUP($A69,'Data shares'!$C:$FA,24)</f>
        <v>0.2</v>
      </c>
      <c r="G69" s="144">
        <f>VLOOKUP($A69,'Data shares'!$C:$FA,25)</f>
        <v>-3.2</v>
      </c>
    </row>
    <row r="70" spans="1:7" x14ac:dyDescent="0.25">
      <c r="A70" s="101" t="str">
        <f>'Data shares'!C66</f>
        <v>GAIL</v>
      </c>
      <c r="B70" s="144">
        <f>VLOOKUP($A70,'Data shares'!$C:$FA,7)</f>
        <v>184.31</v>
      </c>
      <c r="C70" s="144">
        <f>VLOOKUP($A70,'Data shares'!$C:$FA,3)</f>
        <v>184.19</v>
      </c>
      <c r="D70" s="144">
        <f>VLOOKUP($A70,'Data shares'!$C:$FA,23)</f>
        <v>-0.12</v>
      </c>
      <c r="E70" s="145">
        <f>VLOOKUP($A70,'Data shares'!$C:$FA,26)*100</f>
        <v>-6.9999999999999993E-2</v>
      </c>
      <c r="F70" s="144">
        <f>VLOOKUP($A70,'Data shares'!$C:$FA,24)</f>
        <v>-0.09</v>
      </c>
      <c r="G70" s="144">
        <f>VLOOKUP($A70,'Data shares'!$C:$FA,25)</f>
        <v>-0.03</v>
      </c>
    </row>
    <row r="71" spans="1:7" x14ac:dyDescent="0.25">
      <c r="A71" s="101" t="str">
        <f>'Data shares'!C67</f>
        <v>GLENMARK</v>
      </c>
      <c r="B71" s="144">
        <f>VLOOKUP($A71,'Data shares'!$C:$FA,7)</f>
        <v>1878</v>
      </c>
      <c r="C71" s="144">
        <f>VLOOKUP($A71,'Data shares'!$C:$FA,3)</f>
        <v>1883.9</v>
      </c>
      <c r="D71" s="144">
        <f>VLOOKUP($A71,'Data shares'!$C:$FA,23)</f>
        <v>5.9</v>
      </c>
      <c r="E71" s="145">
        <f>VLOOKUP($A71,'Data shares'!$C:$FA,26)*100</f>
        <v>0.31</v>
      </c>
      <c r="F71" s="144">
        <f>VLOOKUP($A71,'Data shares'!$C:$FA,24)</f>
        <v>1.3</v>
      </c>
      <c r="G71" s="144">
        <f>VLOOKUP($A71,'Data shares'!$C:$FA,25)</f>
        <v>4.5999999999999996</v>
      </c>
    </row>
    <row r="72" spans="1:7" x14ac:dyDescent="0.25">
      <c r="A72" s="101" t="str">
        <f>'Data shares'!C68</f>
        <v>GMRAIRPORT</v>
      </c>
      <c r="B72" s="144">
        <f>VLOOKUP($A72,'Data shares'!$C:$FA,7)</f>
        <v>103.27</v>
      </c>
      <c r="C72" s="144">
        <f>VLOOKUP($A72,'Data shares'!$C:$FA,3)</f>
        <v>103.2</v>
      </c>
      <c r="D72" s="144">
        <f>VLOOKUP($A72,'Data shares'!$C:$FA,23)</f>
        <v>-7.0000000000000007E-2</v>
      </c>
      <c r="E72" s="145">
        <f>VLOOKUP($A72,'Data shares'!$C:$FA,26)*100</f>
        <v>-6.9999999999999993E-2</v>
      </c>
      <c r="F72" s="144">
        <f>VLOOKUP($A72,'Data shares'!$C:$FA,24)</f>
        <v>-0.05</v>
      </c>
      <c r="G72" s="144">
        <f>VLOOKUP($A72,'Data shares'!$C:$FA,25)</f>
        <v>-0.02</v>
      </c>
    </row>
    <row r="73" spans="1:7" x14ac:dyDescent="0.25">
      <c r="A73" s="101" t="str">
        <f>'Data shares'!C69</f>
        <v>GODREJCP</v>
      </c>
      <c r="B73" s="144">
        <f>VLOOKUP($A73,'Data shares'!$C:$FA,7)</f>
        <v>1127.3</v>
      </c>
      <c r="C73" s="144">
        <f>VLOOKUP($A73,'Data shares'!$C:$FA,3)</f>
        <v>1129.2</v>
      </c>
      <c r="D73" s="144">
        <f>VLOOKUP($A73,'Data shares'!$C:$FA,23)</f>
        <v>1.9</v>
      </c>
      <c r="E73" s="145">
        <f>VLOOKUP($A73,'Data shares'!$C:$FA,26)*100</f>
        <v>0.16999999999999998</v>
      </c>
      <c r="F73" s="144">
        <f>VLOOKUP($A73,'Data shares'!$C:$FA,24)</f>
        <v>3.2</v>
      </c>
      <c r="G73" s="144">
        <f>VLOOKUP($A73,'Data shares'!$C:$FA,25)</f>
        <v>-1.3</v>
      </c>
    </row>
    <row r="74" spans="1:7" x14ac:dyDescent="0.25">
      <c r="A74" s="101" t="str">
        <f>'Data shares'!C70</f>
        <v>GODREJPROP</v>
      </c>
      <c r="B74" s="144">
        <f>VLOOKUP($A74,'Data shares'!$C:$FA,7)</f>
        <v>2123.8000000000002</v>
      </c>
      <c r="C74" s="144">
        <f>VLOOKUP($A74,'Data shares'!$C:$FA,3)</f>
        <v>2125.6999999999998</v>
      </c>
      <c r="D74" s="144">
        <f>VLOOKUP($A74,'Data shares'!$C:$FA,23)</f>
        <v>1.9</v>
      </c>
      <c r="E74" s="145">
        <f>VLOOKUP($A74,'Data shares'!$C:$FA,26)*100</f>
        <v>0.09</v>
      </c>
      <c r="F74" s="144">
        <f>VLOOKUP($A74,'Data shares'!$C:$FA,24)</f>
        <v>1.8</v>
      </c>
      <c r="G74" s="144">
        <f>VLOOKUP($A74,'Data shares'!$C:$FA,25)</f>
        <v>0.1</v>
      </c>
    </row>
    <row r="75" spans="1:7" x14ac:dyDescent="0.25">
      <c r="A75" s="101" t="str">
        <f>'Data shares'!C71</f>
        <v>GRASIM</v>
      </c>
      <c r="B75" s="144">
        <f>VLOOKUP($A75,'Data shares'!$C:$FA,7)</f>
        <v>2748.6</v>
      </c>
      <c r="C75" s="144">
        <f>VLOOKUP($A75,'Data shares'!$C:$FA,3)</f>
        <v>2751.9</v>
      </c>
      <c r="D75" s="144">
        <f>VLOOKUP($A75,'Data shares'!$C:$FA,23)</f>
        <v>3.3</v>
      </c>
      <c r="E75" s="145">
        <f>VLOOKUP($A75,'Data shares'!$C:$FA,26)*100</f>
        <v>0.12</v>
      </c>
      <c r="F75" s="144">
        <f>VLOOKUP($A75,'Data shares'!$C:$FA,24)</f>
        <v>1</v>
      </c>
      <c r="G75" s="144">
        <f>VLOOKUP($A75,'Data shares'!$C:$FA,25)</f>
        <v>2.2999999999999998</v>
      </c>
    </row>
    <row r="76" spans="1:7" x14ac:dyDescent="0.25">
      <c r="A76" s="101" t="str">
        <f>'Data shares'!C72</f>
        <v>HAL</v>
      </c>
      <c r="B76" s="144">
        <f>VLOOKUP($A76,'Data shares'!$C:$FA,7)</f>
        <v>4716.6000000000004</v>
      </c>
      <c r="C76" s="144">
        <f>VLOOKUP($A76,'Data shares'!$C:$FA,3)</f>
        <v>4716.8</v>
      </c>
      <c r="D76" s="144">
        <f>VLOOKUP($A76,'Data shares'!$C:$FA,23)</f>
        <v>0.2</v>
      </c>
      <c r="E76" s="145">
        <f>VLOOKUP($A76,'Data shares'!$C:$FA,26)*100</f>
        <v>0</v>
      </c>
      <c r="F76" s="144">
        <f>VLOOKUP($A76,'Data shares'!$C:$FA,24)</f>
        <v>-2</v>
      </c>
      <c r="G76" s="144">
        <f>VLOOKUP($A76,'Data shares'!$C:$FA,25)</f>
        <v>2.2000000000000002</v>
      </c>
    </row>
    <row r="77" spans="1:7" x14ac:dyDescent="0.25">
      <c r="A77" s="101" t="str">
        <f>'Data shares'!C73</f>
        <v>HAVELLS</v>
      </c>
      <c r="B77" s="144">
        <f>VLOOKUP($A77,'Data shares'!$C:$FA,7)</f>
        <v>1448.5</v>
      </c>
      <c r="C77" s="144">
        <f>VLOOKUP($A77,'Data shares'!$C:$FA,3)</f>
        <v>1447.9</v>
      </c>
      <c r="D77" s="144">
        <f>VLOOKUP($A77,'Data shares'!$C:$FA,23)</f>
        <v>-0.6</v>
      </c>
      <c r="E77" s="145">
        <f>VLOOKUP($A77,'Data shares'!$C:$FA,26)*100</f>
        <v>-0.04</v>
      </c>
      <c r="F77" s="144">
        <f>VLOOKUP($A77,'Data shares'!$C:$FA,24)</f>
        <v>2.6</v>
      </c>
      <c r="G77" s="144">
        <f>VLOOKUP($A77,'Data shares'!$C:$FA,25)</f>
        <v>-3.2</v>
      </c>
    </row>
    <row r="78" spans="1:7" x14ac:dyDescent="0.25">
      <c r="A78" s="101" t="str">
        <f>'Data shares'!C74</f>
        <v>HCLTECH</v>
      </c>
      <c r="B78" s="144">
        <f>VLOOKUP($A78,'Data shares'!$C:$FA,7)</f>
        <v>1645.4</v>
      </c>
      <c r="C78" s="144">
        <f>VLOOKUP($A78,'Data shares'!$C:$FA,3)</f>
        <v>1647.6</v>
      </c>
      <c r="D78" s="144">
        <f>VLOOKUP($A78,'Data shares'!$C:$FA,23)</f>
        <v>2.2000000000000002</v>
      </c>
      <c r="E78" s="145">
        <f>VLOOKUP($A78,'Data shares'!$C:$FA,26)*100</f>
        <v>0.13</v>
      </c>
      <c r="F78" s="144">
        <f>VLOOKUP($A78,'Data shares'!$C:$FA,24)</f>
        <v>-2.6</v>
      </c>
      <c r="G78" s="144">
        <f>VLOOKUP($A78,'Data shares'!$C:$FA,25)</f>
        <v>4.8</v>
      </c>
    </row>
    <row r="79" spans="1:7" x14ac:dyDescent="0.25">
      <c r="A79" s="101" t="str">
        <f>'Data shares'!C75</f>
        <v>HDFCAMC</v>
      </c>
      <c r="B79" s="144">
        <f>VLOOKUP($A79,'Data shares'!$C:$FA,7)</f>
        <v>5399</v>
      </c>
      <c r="C79" s="144">
        <f>VLOOKUP($A79,'Data shares'!$C:$FA,3)</f>
        <v>5406</v>
      </c>
      <c r="D79" s="144">
        <f>VLOOKUP($A79,'Data shares'!$C:$FA,23)</f>
        <v>7</v>
      </c>
      <c r="E79" s="145">
        <f>VLOOKUP($A79,'Data shares'!$C:$FA,26)*100</f>
        <v>0.13</v>
      </c>
      <c r="F79" s="144">
        <f>VLOOKUP($A79,'Data shares'!$C:$FA,24)</f>
        <v>7.5</v>
      </c>
      <c r="G79" s="144">
        <f>VLOOKUP($A79,'Data shares'!$C:$FA,25)</f>
        <v>-0.5</v>
      </c>
    </row>
    <row r="80" spans="1:7" x14ac:dyDescent="0.25">
      <c r="A80" s="101" t="str">
        <f>'Data shares'!C76</f>
        <v>HDFCBANK</v>
      </c>
      <c r="B80" s="144">
        <f>VLOOKUP($A80,'Data shares'!$C:$FA,7)</f>
        <v>1008.85</v>
      </c>
      <c r="C80" s="144">
        <f>VLOOKUP($A80,'Data shares'!$C:$FA,3)</f>
        <v>1010.05</v>
      </c>
      <c r="D80" s="144">
        <f>VLOOKUP($A80,'Data shares'!$C:$FA,23)</f>
        <v>1.2</v>
      </c>
      <c r="E80" s="145">
        <f>VLOOKUP($A80,'Data shares'!$C:$FA,26)*100</f>
        <v>0.12</v>
      </c>
      <c r="F80" s="144">
        <f>VLOOKUP($A80,'Data shares'!$C:$FA,24)</f>
        <v>0.6</v>
      </c>
      <c r="G80" s="144">
        <f>VLOOKUP($A80,'Data shares'!$C:$FA,25)</f>
        <v>0.6</v>
      </c>
    </row>
    <row r="81" spans="1:7" x14ac:dyDescent="0.25">
      <c r="A81" s="101" t="str">
        <f>'Data shares'!C77</f>
        <v>HDFCLIFE</v>
      </c>
      <c r="B81" s="144">
        <f>VLOOKUP($A81,'Data shares'!$C:$FA,7)</f>
        <v>762.2</v>
      </c>
      <c r="C81" s="144">
        <f>VLOOKUP($A81,'Data shares'!$C:$FA,3)</f>
        <v>762.6</v>
      </c>
      <c r="D81" s="144">
        <f>VLOOKUP($A81,'Data shares'!$C:$FA,23)</f>
        <v>0.4</v>
      </c>
      <c r="E81" s="145">
        <f>VLOOKUP($A81,'Data shares'!$C:$FA,26)*100</f>
        <v>0.05</v>
      </c>
      <c r="F81" s="144">
        <f>VLOOKUP($A81,'Data shares'!$C:$FA,24)</f>
        <v>-0.65</v>
      </c>
      <c r="G81" s="144">
        <f>VLOOKUP($A81,'Data shares'!$C:$FA,25)</f>
        <v>1.05</v>
      </c>
    </row>
    <row r="82" spans="1:7" x14ac:dyDescent="0.25">
      <c r="A82" s="101" t="str">
        <f>'Data shares'!C78</f>
        <v>HEROMOTOCO</v>
      </c>
      <c r="B82" s="144">
        <f>VLOOKUP($A82,'Data shares'!$C:$FA,7)</f>
        <v>5999.5</v>
      </c>
      <c r="C82" s="144">
        <f>VLOOKUP($A82,'Data shares'!$C:$FA,3)</f>
        <v>6005</v>
      </c>
      <c r="D82" s="144">
        <f>VLOOKUP($A82,'Data shares'!$C:$FA,23)</f>
        <v>5.5</v>
      </c>
      <c r="E82" s="145">
        <f>VLOOKUP($A82,'Data shares'!$C:$FA,26)*100</f>
        <v>0.09</v>
      </c>
      <c r="F82" s="144">
        <f>VLOOKUP($A82,'Data shares'!$C:$FA,24)</f>
        <v>14.5</v>
      </c>
      <c r="G82" s="144">
        <f>VLOOKUP($A82,'Data shares'!$C:$FA,25)</f>
        <v>-9</v>
      </c>
    </row>
    <row r="83" spans="1:7" x14ac:dyDescent="0.25">
      <c r="A83" s="101" t="str">
        <f>'Data shares'!C79</f>
        <v>HFCL</v>
      </c>
      <c r="B83" s="144">
        <f>VLOOKUP($A83,'Data shares'!$C:$FA,7)</f>
        <v>73.400000000000006</v>
      </c>
      <c r="C83" s="144">
        <f>VLOOKUP($A83,'Data shares'!$C:$FA,3)</f>
        <v>73.38</v>
      </c>
      <c r="D83" s="144">
        <f>VLOOKUP($A83,'Data shares'!$C:$FA,23)</f>
        <v>-0.02</v>
      </c>
      <c r="E83" s="145">
        <f>VLOOKUP($A83,'Data shares'!$C:$FA,26)*100</f>
        <v>-0.03</v>
      </c>
      <c r="F83" s="144">
        <f>VLOOKUP($A83,'Data shares'!$C:$FA,24)</f>
        <v>-0.05</v>
      </c>
      <c r="G83" s="144">
        <f>VLOOKUP($A83,'Data shares'!$C:$FA,25)</f>
        <v>0.03</v>
      </c>
    </row>
    <row r="84" spans="1:7" x14ac:dyDescent="0.25">
      <c r="A84" s="101" t="str">
        <f>'Data shares'!C80</f>
        <v>HINDALCO</v>
      </c>
      <c r="B84" s="144">
        <f>VLOOKUP($A84,'Data shares'!$C:$FA,7)</f>
        <v>799.8</v>
      </c>
      <c r="C84" s="144">
        <f>VLOOKUP($A84,'Data shares'!$C:$FA,3)</f>
        <v>800.45</v>
      </c>
      <c r="D84" s="144">
        <f>VLOOKUP($A84,'Data shares'!$C:$FA,23)</f>
        <v>0.65</v>
      </c>
      <c r="E84" s="145">
        <f>VLOOKUP($A84,'Data shares'!$C:$FA,26)*100</f>
        <v>0.08</v>
      </c>
      <c r="F84" s="144">
        <f>VLOOKUP($A84,'Data shares'!$C:$FA,24)</f>
        <v>1.1499999999999999</v>
      </c>
      <c r="G84" s="144">
        <f>VLOOKUP($A84,'Data shares'!$C:$FA,25)</f>
        <v>-0.5</v>
      </c>
    </row>
    <row r="85" spans="1:7" x14ac:dyDescent="0.25">
      <c r="A85" s="101" t="str">
        <f>'Data shares'!C81</f>
        <v>HINDPETRO</v>
      </c>
      <c r="B85" s="144">
        <f>VLOOKUP($A85,'Data shares'!$C:$FA,7)</f>
        <v>477.9</v>
      </c>
      <c r="C85" s="144">
        <f>VLOOKUP($A85,'Data shares'!$C:$FA,3)</f>
        <v>478.6</v>
      </c>
      <c r="D85" s="144">
        <f>VLOOKUP($A85,'Data shares'!$C:$FA,23)</f>
        <v>0.7</v>
      </c>
      <c r="E85" s="145">
        <f>VLOOKUP($A85,'Data shares'!$C:$FA,26)*100</f>
        <v>0.15</v>
      </c>
      <c r="F85" s="144">
        <f>VLOOKUP($A85,'Data shares'!$C:$FA,24)</f>
        <v>1.1000000000000001</v>
      </c>
      <c r="G85" s="144">
        <f>VLOOKUP($A85,'Data shares'!$C:$FA,25)</f>
        <v>-0.4</v>
      </c>
    </row>
    <row r="86" spans="1:7" x14ac:dyDescent="0.25">
      <c r="A86" s="101" t="str">
        <f>'Data shares'!C82</f>
        <v>HINDUNILVR</v>
      </c>
      <c r="B86" s="144">
        <f>VLOOKUP($A86,'Data shares'!$C:$FA,7)</f>
        <v>2428.4</v>
      </c>
      <c r="C86" s="144">
        <f>VLOOKUP($A86,'Data shares'!$C:$FA,3)</f>
        <v>2432.8000000000002</v>
      </c>
      <c r="D86" s="144">
        <f>VLOOKUP($A86,'Data shares'!$C:$FA,23)</f>
        <v>4.4000000000000004</v>
      </c>
      <c r="E86" s="145">
        <f>VLOOKUP($A86,'Data shares'!$C:$FA,26)*100</f>
        <v>0.18</v>
      </c>
      <c r="F86" s="144">
        <f>VLOOKUP($A86,'Data shares'!$C:$FA,24)</f>
        <v>0.5</v>
      </c>
      <c r="G86" s="144">
        <f>VLOOKUP($A86,'Data shares'!$C:$FA,25)</f>
        <v>3.9</v>
      </c>
    </row>
    <row r="87" spans="1:7" x14ac:dyDescent="0.25">
      <c r="A87" s="101" t="str">
        <f>'Data shares'!C83</f>
        <v>HINDZINC</v>
      </c>
      <c r="B87" s="144">
        <f>VLOOKUP($A87,'Data shares'!$C:$FA,7)</f>
        <v>472.15</v>
      </c>
      <c r="C87" s="144">
        <f>VLOOKUP($A87,'Data shares'!$C:$FA,3)</f>
        <v>472.05</v>
      </c>
      <c r="D87" s="144">
        <f>VLOOKUP($A87,'Data shares'!$C:$FA,23)</f>
        <v>-0.1</v>
      </c>
      <c r="E87" s="145">
        <f>VLOOKUP($A87,'Data shares'!$C:$FA,26)*100</f>
        <v>-0.02</v>
      </c>
      <c r="F87" s="144">
        <f>VLOOKUP($A87,'Data shares'!$C:$FA,24)</f>
        <v>0.9</v>
      </c>
      <c r="G87" s="144">
        <f>VLOOKUP($A87,'Data shares'!$C:$FA,25)</f>
        <v>-1</v>
      </c>
    </row>
    <row r="88" spans="1:7" x14ac:dyDescent="0.25">
      <c r="A88" s="101" t="str">
        <f>'Data shares'!C84</f>
        <v>HUDCO</v>
      </c>
      <c r="B88" s="144">
        <f>VLOOKUP($A88,'Data shares'!$C:$FA,7)</f>
        <v>237.1</v>
      </c>
      <c r="C88" s="144">
        <f>VLOOKUP($A88,'Data shares'!$C:$FA,3)</f>
        <v>237.78</v>
      </c>
      <c r="D88" s="144">
        <f>VLOOKUP($A88,'Data shares'!$C:$FA,23)</f>
        <v>0.68</v>
      </c>
      <c r="E88" s="145">
        <f>VLOOKUP($A88,'Data shares'!$C:$FA,26)*100</f>
        <v>0.28999999999999998</v>
      </c>
      <c r="F88" s="144">
        <f>VLOOKUP($A88,'Data shares'!$C:$FA,24)</f>
        <v>0.01</v>
      </c>
      <c r="G88" s="144">
        <f>VLOOKUP($A88,'Data shares'!$C:$FA,25)</f>
        <v>0.67</v>
      </c>
    </row>
    <row r="89" spans="1:7" x14ac:dyDescent="0.25">
      <c r="A89" s="101" t="str">
        <f>'Data shares'!C85</f>
        <v>ICICIBANK</v>
      </c>
      <c r="B89" s="144">
        <f>VLOOKUP($A89,'Data shares'!$C:$FA,7)</f>
        <v>1383</v>
      </c>
      <c r="C89" s="144">
        <f>VLOOKUP($A89,'Data shares'!$C:$FA,3)</f>
        <v>1384.8</v>
      </c>
      <c r="D89" s="144">
        <f>VLOOKUP($A89,'Data shares'!$C:$FA,23)</f>
        <v>1.8</v>
      </c>
      <c r="E89" s="145">
        <f>VLOOKUP($A89,'Data shares'!$C:$FA,26)*100</f>
        <v>0.13</v>
      </c>
      <c r="F89" s="144">
        <f>VLOOKUP($A89,'Data shares'!$C:$FA,24)</f>
        <v>-0.4</v>
      </c>
      <c r="G89" s="144">
        <f>VLOOKUP($A89,'Data shares'!$C:$FA,25)</f>
        <v>2.2000000000000002</v>
      </c>
    </row>
    <row r="90" spans="1:7" x14ac:dyDescent="0.25">
      <c r="A90" s="101" t="str">
        <f>'Data shares'!C86</f>
        <v>ICICIGI</v>
      </c>
      <c r="B90" s="144">
        <f>VLOOKUP($A90,'Data shares'!$C:$FA,7)</f>
        <v>2037.6</v>
      </c>
      <c r="C90" s="144">
        <f>VLOOKUP($A90,'Data shares'!$C:$FA,3)</f>
        <v>2035.8</v>
      </c>
      <c r="D90" s="144">
        <f>VLOOKUP($A90,'Data shares'!$C:$FA,23)</f>
        <v>-1.8</v>
      </c>
      <c r="E90" s="145">
        <f>VLOOKUP($A90,'Data shares'!$C:$FA,26)*100</f>
        <v>-0.09</v>
      </c>
      <c r="F90" s="144">
        <f>VLOOKUP($A90,'Data shares'!$C:$FA,24)</f>
        <v>0</v>
      </c>
      <c r="G90" s="144">
        <f>VLOOKUP($A90,'Data shares'!$C:$FA,25)</f>
        <v>-1.8</v>
      </c>
    </row>
    <row r="91" spans="1:7" x14ac:dyDescent="0.25">
      <c r="A91" s="101" t="str">
        <f>'Data shares'!C87</f>
        <v>ICICIPRULI</v>
      </c>
      <c r="B91" s="144">
        <f>VLOOKUP($A91,'Data shares'!$C:$FA,7)</f>
        <v>618.4</v>
      </c>
      <c r="C91" s="144">
        <f>VLOOKUP($A91,'Data shares'!$C:$FA,3)</f>
        <v>619.1</v>
      </c>
      <c r="D91" s="144">
        <f>VLOOKUP($A91,'Data shares'!$C:$FA,23)</f>
        <v>0.7</v>
      </c>
      <c r="E91" s="145">
        <f>VLOOKUP($A91,'Data shares'!$C:$FA,26)*100</f>
        <v>0.11</v>
      </c>
      <c r="F91" s="144">
        <f>VLOOKUP($A91,'Data shares'!$C:$FA,24)</f>
        <v>1.3</v>
      </c>
      <c r="G91" s="144">
        <f>VLOOKUP($A91,'Data shares'!$C:$FA,25)</f>
        <v>-0.6</v>
      </c>
    </row>
    <row r="92" spans="1:7" x14ac:dyDescent="0.25">
      <c r="A92" s="101" t="str">
        <f>'Data shares'!C88</f>
        <v>IDEA</v>
      </c>
      <c r="B92" s="144">
        <f>VLOOKUP($A92,'Data shares'!$C:$FA,7)</f>
        <v>10.17</v>
      </c>
      <c r="C92" s="144">
        <f>VLOOKUP($A92,'Data shares'!$C:$FA,3)</f>
        <v>10.17</v>
      </c>
      <c r="D92" s="144">
        <f>VLOOKUP($A92,'Data shares'!$C:$FA,23)</f>
        <v>0</v>
      </c>
      <c r="E92" s="145">
        <f>VLOOKUP($A92,'Data shares'!$C:$FA,26)*100</f>
        <v>0</v>
      </c>
      <c r="F92" s="144">
        <f>VLOOKUP($A92,'Data shares'!$C:$FA,24)</f>
        <v>0.02</v>
      </c>
      <c r="G92" s="144">
        <f>VLOOKUP($A92,'Data shares'!$C:$FA,25)</f>
        <v>-0.02</v>
      </c>
    </row>
    <row r="93" spans="1:7" x14ac:dyDescent="0.25">
      <c r="A93" s="101" t="str">
        <f>'Data shares'!C89</f>
        <v>IDFCFIRSTB</v>
      </c>
      <c r="B93" s="144">
        <f>VLOOKUP($A93,'Data shares'!$C:$FA,7)</f>
        <v>78.930000000000007</v>
      </c>
      <c r="C93" s="144">
        <f>VLOOKUP($A93,'Data shares'!$C:$FA,3)</f>
        <v>79.02</v>
      </c>
      <c r="D93" s="144">
        <f>VLOOKUP($A93,'Data shares'!$C:$FA,23)</f>
        <v>0.09</v>
      </c>
      <c r="E93" s="145">
        <f>VLOOKUP($A93,'Data shares'!$C:$FA,26)*100</f>
        <v>0.11</v>
      </c>
      <c r="F93" s="144">
        <f>VLOOKUP($A93,'Data shares'!$C:$FA,24)</f>
        <v>-0.03</v>
      </c>
      <c r="G93" s="144">
        <f>VLOOKUP($A93,'Data shares'!$C:$FA,25)</f>
        <v>0.12</v>
      </c>
    </row>
    <row r="94" spans="1:7" x14ac:dyDescent="0.25">
      <c r="A94" s="101" t="str">
        <f>'Data shares'!C90</f>
        <v>IEX</v>
      </c>
      <c r="B94" s="144">
        <f>VLOOKUP($A94,'Data shares'!$C:$FA,7)</f>
        <v>143.13</v>
      </c>
      <c r="C94" s="144">
        <f>VLOOKUP($A94,'Data shares'!$C:$FA,3)</f>
        <v>143.04</v>
      </c>
      <c r="D94" s="144">
        <f>VLOOKUP($A94,'Data shares'!$C:$FA,23)</f>
        <v>-0.09</v>
      </c>
      <c r="E94" s="145">
        <f>VLOOKUP($A94,'Data shares'!$C:$FA,26)*100</f>
        <v>-0.06</v>
      </c>
      <c r="F94" s="144">
        <f>VLOOKUP($A94,'Data shares'!$C:$FA,24)</f>
        <v>0</v>
      </c>
      <c r="G94" s="144">
        <f>VLOOKUP($A94,'Data shares'!$C:$FA,25)</f>
        <v>-0.09</v>
      </c>
    </row>
    <row r="95" spans="1:7" x14ac:dyDescent="0.25">
      <c r="A95" s="101" t="str">
        <f>'Data shares'!C91</f>
        <v>IGL</v>
      </c>
      <c r="B95" s="144">
        <f>VLOOKUP($A95,'Data shares'!$C:$FA,7)</f>
        <v>204.06</v>
      </c>
      <c r="C95" s="144">
        <f>VLOOKUP($A95,'Data shares'!$C:$FA,3)</f>
        <v>204.61</v>
      </c>
      <c r="D95" s="144">
        <f>VLOOKUP($A95,'Data shares'!$C:$FA,23)</f>
        <v>0.55000000000000004</v>
      </c>
      <c r="E95" s="145">
        <f>VLOOKUP($A95,'Data shares'!$C:$FA,26)*100</f>
        <v>0.27</v>
      </c>
      <c r="F95" s="144">
        <f>VLOOKUP($A95,'Data shares'!$C:$FA,24)</f>
        <v>0.22</v>
      </c>
      <c r="G95" s="144">
        <f>VLOOKUP($A95,'Data shares'!$C:$FA,25)</f>
        <v>0.33</v>
      </c>
    </row>
    <row r="96" spans="1:7" x14ac:dyDescent="0.25">
      <c r="A96" s="101" t="str">
        <f>'Data shares'!C92</f>
        <v>IIFL</v>
      </c>
      <c r="B96" s="144">
        <f>VLOOKUP($A96,'Data shares'!$C:$FA,7)</f>
        <v>544.75</v>
      </c>
      <c r="C96" s="144">
        <f>VLOOKUP($A96,'Data shares'!$C:$FA,3)</f>
        <v>545.4</v>
      </c>
      <c r="D96" s="144">
        <f>VLOOKUP($A96,'Data shares'!$C:$FA,23)</f>
        <v>0.65</v>
      </c>
      <c r="E96" s="145">
        <f>VLOOKUP($A96,'Data shares'!$C:$FA,26)*100</f>
        <v>0.12</v>
      </c>
      <c r="F96" s="144">
        <f>VLOOKUP($A96,'Data shares'!$C:$FA,24)</f>
        <v>0.7</v>
      </c>
      <c r="G96" s="144">
        <f>VLOOKUP($A96,'Data shares'!$C:$FA,25)</f>
        <v>-0.05</v>
      </c>
    </row>
    <row r="97" spans="1:7" x14ac:dyDescent="0.25">
      <c r="A97" s="101" t="str">
        <f>'Data shares'!C93</f>
        <v>INDHOTEL</v>
      </c>
      <c r="B97" s="144">
        <f>VLOOKUP($A97,'Data shares'!$C:$FA,7)</f>
        <v>733.35</v>
      </c>
      <c r="C97" s="144">
        <f>VLOOKUP($A97,'Data shares'!$C:$FA,3)</f>
        <v>734</v>
      </c>
      <c r="D97" s="144">
        <f>VLOOKUP($A97,'Data shares'!$C:$FA,23)</f>
        <v>0.65</v>
      </c>
      <c r="E97" s="145">
        <f>VLOOKUP($A97,'Data shares'!$C:$FA,26)*100</f>
        <v>0.09</v>
      </c>
      <c r="F97" s="144">
        <f>VLOOKUP($A97,'Data shares'!$C:$FA,24)</f>
        <v>-0.25</v>
      </c>
      <c r="G97" s="144">
        <f>VLOOKUP($A97,'Data shares'!$C:$FA,25)</f>
        <v>0.9</v>
      </c>
    </row>
    <row r="98" spans="1:7" x14ac:dyDescent="0.25">
      <c r="A98" s="101" t="str">
        <f>'Data shares'!C94</f>
        <v>INDIANB</v>
      </c>
      <c r="B98" s="144">
        <f>VLOOKUP($A98,'Data shares'!$C:$FA,7)</f>
        <v>882.35</v>
      </c>
      <c r="C98" s="144">
        <f>VLOOKUP($A98,'Data shares'!$C:$FA,3)</f>
        <v>880.65</v>
      </c>
      <c r="D98" s="144">
        <f>VLOOKUP($A98,'Data shares'!$C:$FA,23)</f>
        <v>-1.7</v>
      </c>
      <c r="E98" s="145">
        <f>VLOOKUP($A98,'Data shares'!$C:$FA,26)*100</f>
        <v>-0.19</v>
      </c>
      <c r="F98" s="144">
        <f>VLOOKUP($A98,'Data shares'!$C:$FA,24)</f>
        <v>-0.05</v>
      </c>
      <c r="G98" s="144">
        <f>VLOOKUP($A98,'Data shares'!$C:$FA,25)</f>
        <v>-1.65</v>
      </c>
    </row>
    <row r="99" spans="1:7" x14ac:dyDescent="0.25">
      <c r="A99" s="101" t="str">
        <f>'Data shares'!C95</f>
        <v>INDIAVIX</v>
      </c>
      <c r="B99" s="144">
        <f>VLOOKUP($A99,'Data shares'!$C:$FA,7)</f>
        <v>12.13</v>
      </c>
      <c r="C99" s="144">
        <f>VLOOKUP($A99,'Data shares'!$C:$FA,3)</f>
        <v>12.13</v>
      </c>
      <c r="D99" s="144">
        <f>VLOOKUP($A99,'Data shares'!$C:$FA,23)</f>
        <v>0</v>
      </c>
      <c r="E99" s="145">
        <f>VLOOKUP($A99,'Data shares'!$C:$FA,26)*100</f>
        <v>0</v>
      </c>
      <c r="F99" s="144">
        <f>VLOOKUP($A99,'Data shares'!$C:$FA,24)</f>
        <v>0</v>
      </c>
      <c r="G99" s="144">
        <f>VLOOKUP($A99,'Data shares'!$C:$FA,25)</f>
        <v>0</v>
      </c>
    </row>
    <row r="100" spans="1:7" x14ac:dyDescent="0.25">
      <c r="A100" s="101" t="str">
        <f>'Data shares'!C96</f>
        <v>INDIGO</v>
      </c>
      <c r="B100" s="144">
        <f>VLOOKUP($A100,'Data shares'!$C:$FA,7)</f>
        <v>5785.5</v>
      </c>
      <c r="C100" s="144">
        <f>VLOOKUP($A100,'Data shares'!$C:$FA,3)</f>
        <v>5788</v>
      </c>
      <c r="D100" s="144">
        <f>VLOOKUP($A100,'Data shares'!$C:$FA,23)</f>
        <v>2.5</v>
      </c>
      <c r="E100" s="145">
        <f>VLOOKUP($A100,'Data shares'!$C:$FA,26)*100</f>
        <v>0.04</v>
      </c>
      <c r="F100" s="144">
        <f>VLOOKUP($A100,'Data shares'!$C:$FA,24)</f>
        <v>9.5</v>
      </c>
      <c r="G100" s="144">
        <f>VLOOKUP($A100,'Data shares'!$C:$FA,25)</f>
        <v>-7</v>
      </c>
    </row>
    <row r="101" spans="1:7" x14ac:dyDescent="0.25">
      <c r="A101" s="101" t="str">
        <f>'Data shares'!C97</f>
        <v>INDUSINDBK</v>
      </c>
      <c r="B101" s="144">
        <f>VLOOKUP($A101,'Data shares'!$C:$FA,7)</f>
        <v>829.4</v>
      </c>
      <c r="C101" s="144">
        <f>VLOOKUP($A101,'Data shares'!$C:$FA,3)</f>
        <v>830.05</v>
      </c>
      <c r="D101" s="144">
        <f>VLOOKUP($A101,'Data shares'!$C:$FA,23)</f>
        <v>0.65</v>
      </c>
      <c r="E101" s="145">
        <f>VLOOKUP($A101,'Data shares'!$C:$FA,26)*100</f>
        <v>0.08</v>
      </c>
      <c r="F101" s="144">
        <f>VLOOKUP($A101,'Data shares'!$C:$FA,24)</f>
        <v>1.1000000000000001</v>
      </c>
      <c r="G101" s="144">
        <f>VLOOKUP($A101,'Data shares'!$C:$FA,25)</f>
        <v>-0.45</v>
      </c>
    </row>
    <row r="102" spans="1:7" x14ac:dyDescent="0.25">
      <c r="A102" s="101" t="str">
        <f>'Data shares'!C98</f>
        <v>INDUSTOWER</v>
      </c>
      <c r="B102" s="144">
        <f>VLOOKUP($A102,'Data shares'!$C:$FA,7)</f>
        <v>400.5</v>
      </c>
      <c r="C102" s="144">
        <f>VLOOKUP($A102,'Data shares'!$C:$FA,3)</f>
        <v>400.7</v>
      </c>
      <c r="D102" s="144">
        <f>VLOOKUP($A102,'Data shares'!$C:$FA,23)</f>
        <v>0.2</v>
      </c>
      <c r="E102" s="145">
        <f>VLOOKUP($A102,'Data shares'!$C:$FA,26)*100</f>
        <v>0.05</v>
      </c>
      <c r="F102" s="144">
        <f>VLOOKUP($A102,'Data shares'!$C:$FA,24)</f>
        <v>0.9</v>
      </c>
      <c r="G102" s="144">
        <f>VLOOKUP($A102,'Data shares'!$C:$FA,25)</f>
        <v>-0.7</v>
      </c>
    </row>
    <row r="103" spans="1:7" x14ac:dyDescent="0.25">
      <c r="A103" s="101" t="str">
        <f>'Data shares'!C99</f>
        <v>INFY</v>
      </c>
      <c r="B103" s="144">
        <f>VLOOKUP($A103,'Data shares'!$C:$FA,7)</f>
        <v>1536.5</v>
      </c>
      <c r="C103" s="144">
        <f>VLOOKUP($A103,'Data shares'!$C:$FA,3)</f>
        <v>1539.2</v>
      </c>
      <c r="D103" s="144">
        <f>VLOOKUP($A103,'Data shares'!$C:$FA,23)</f>
        <v>2.7</v>
      </c>
      <c r="E103" s="145">
        <f>VLOOKUP($A103,'Data shares'!$C:$FA,26)*100</f>
        <v>0.18</v>
      </c>
      <c r="F103" s="144">
        <f>VLOOKUP($A103,'Data shares'!$C:$FA,24)</f>
        <v>1</v>
      </c>
      <c r="G103" s="144">
        <f>VLOOKUP($A103,'Data shares'!$C:$FA,25)</f>
        <v>1.7</v>
      </c>
    </row>
    <row r="104" spans="1:7" x14ac:dyDescent="0.25">
      <c r="A104" s="101" t="str">
        <f>'Data shares'!C100</f>
        <v>INOXWIND</v>
      </c>
      <c r="B104" s="144">
        <f>VLOOKUP($A104,'Data shares'!$C:$FA,7)</f>
        <v>138.08000000000001</v>
      </c>
      <c r="C104" s="144">
        <f>VLOOKUP($A104,'Data shares'!$C:$FA,3)</f>
        <v>138.38999999999999</v>
      </c>
      <c r="D104" s="144">
        <f>VLOOKUP($A104,'Data shares'!$C:$FA,23)</f>
        <v>0.31</v>
      </c>
      <c r="E104" s="145">
        <f>VLOOKUP($A104,'Data shares'!$C:$FA,26)*100</f>
        <v>0.22</v>
      </c>
      <c r="F104" s="144">
        <f>VLOOKUP($A104,'Data shares'!$C:$FA,24)</f>
        <v>0.11</v>
      </c>
      <c r="G104" s="144">
        <f>VLOOKUP($A104,'Data shares'!$C:$FA,25)</f>
        <v>0.2</v>
      </c>
    </row>
    <row r="105" spans="1:7" x14ac:dyDescent="0.25">
      <c r="A105" s="101" t="str">
        <f>'Data shares'!C101</f>
        <v>IOC</v>
      </c>
      <c r="B105" s="144">
        <f>VLOOKUP($A105,'Data shares'!$C:$FA,7)</f>
        <v>168.7</v>
      </c>
      <c r="C105" s="144">
        <f>VLOOKUP($A105,'Data shares'!$C:$FA,3)</f>
        <v>168.58</v>
      </c>
      <c r="D105" s="144">
        <f>VLOOKUP($A105,'Data shares'!$C:$FA,23)</f>
        <v>-0.12</v>
      </c>
      <c r="E105" s="145">
        <f>VLOOKUP($A105,'Data shares'!$C:$FA,26)*100</f>
        <v>-6.9999999999999993E-2</v>
      </c>
      <c r="F105" s="144">
        <f>VLOOKUP($A105,'Data shares'!$C:$FA,24)</f>
        <v>0.22</v>
      </c>
      <c r="G105" s="144">
        <f>VLOOKUP($A105,'Data shares'!$C:$FA,25)</f>
        <v>-0.34</v>
      </c>
    </row>
    <row r="106" spans="1:7" x14ac:dyDescent="0.25">
      <c r="A106" s="101" t="str">
        <f>'Data shares'!C102</f>
        <v>IRCTC</v>
      </c>
      <c r="B106" s="144">
        <f>VLOOKUP($A106,'Data shares'!$C:$FA,7)</f>
        <v>703</v>
      </c>
      <c r="C106" s="144">
        <f>VLOOKUP($A106,'Data shares'!$C:$FA,3)</f>
        <v>698.95</v>
      </c>
      <c r="D106" s="144">
        <f>VLOOKUP($A106,'Data shares'!$C:$FA,23)</f>
        <v>-4.05</v>
      </c>
      <c r="E106" s="145">
        <f>VLOOKUP($A106,'Data shares'!$C:$FA,26)*100</f>
        <v>-0.57999999999999996</v>
      </c>
      <c r="F106" s="144">
        <f>VLOOKUP($A106,'Data shares'!$C:$FA,24)</f>
        <v>-5.65</v>
      </c>
      <c r="G106" s="144">
        <f>VLOOKUP($A106,'Data shares'!$C:$FA,25)</f>
        <v>1.6</v>
      </c>
    </row>
    <row r="107" spans="1:7" x14ac:dyDescent="0.25">
      <c r="A107" s="101" t="str">
        <f>'Data shares'!C103</f>
        <v>IREDA</v>
      </c>
      <c r="B107" s="144">
        <f>VLOOKUP($A107,'Data shares'!$C:$FA,7)</f>
        <v>146.63999999999999</v>
      </c>
      <c r="C107" s="144">
        <f>VLOOKUP($A107,'Data shares'!$C:$FA,3)</f>
        <v>146.76</v>
      </c>
      <c r="D107" s="144">
        <f>VLOOKUP($A107,'Data shares'!$C:$FA,23)</f>
        <v>0.12</v>
      </c>
      <c r="E107" s="145">
        <f>VLOOKUP($A107,'Data shares'!$C:$FA,26)*100</f>
        <v>0.08</v>
      </c>
      <c r="F107" s="144">
        <f>VLOOKUP($A107,'Data shares'!$C:$FA,24)</f>
        <v>0.26</v>
      </c>
      <c r="G107" s="144">
        <f>VLOOKUP($A107,'Data shares'!$C:$FA,25)</f>
        <v>-0.14000000000000001</v>
      </c>
    </row>
    <row r="108" spans="1:7" x14ac:dyDescent="0.25">
      <c r="A108" s="101" t="str">
        <f>'Data shares'!C104</f>
        <v>IRFC</v>
      </c>
      <c r="B108" s="144">
        <f>VLOOKUP($A108,'Data shares'!$C:$FA,7)</f>
        <v>120.08</v>
      </c>
      <c r="C108" s="144">
        <f>VLOOKUP($A108,'Data shares'!$C:$FA,3)</f>
        <v>120.02</v>
      </c>
      <c r="D108" s="144">
        <f>VLOOKUP($A108,'Data shares'!$C:$FA,23)</f>
        <v>-0.06</v>
      </c>
      <c r="E108" s="145">
        <f>VLOOKUP($A108,'Data shares'!$C:$FA,26)*100</f>
        <v>-0.05</v>
      </c>
      <c r="F108" s="144">
        <f>VLOOKUP($A108,'Data shares'!$C:$FA,24)</f>
        <v>0.23</v>
      </c>
      <c r="G108" s="144">
        <f>VLOOKUP($A108,'Data shares'!$C:$FA,25)</f>
        <v>-0.28999999999999998</v>
      </c>
    </row>
    <row r="109" spans="1:7" x14ac:dyDescent="0.25">
      <c r="A109" s="101" t="str">
        <f>'Data shares'!C105</f>
        <v>ITC</v>
      </c>
      <c r="B109" s="144">
        <f>VLOOKUP($A109,'Data shares'!$C:$FA,7)</f>
        <v>405.45</v>
      </c>
      <c r="C109" s="144">
        <f>VLOOKUP($A109,'Data shares'!$C:$FA,3)</f>
        <v>405.85</v>
      </c>
      <c r="D109" s="144">
        <f>VLOOKUP($A109,'Data shares'!$C:$FA,23)</f>
        <v>0.4</v>
      </c>
      <c r="E109" s="145">
        <f>VLOOKUP($A109,'Data shares'!$C:$FA,26)*100</f>
        <v>0.1</v>
      </c>
      <c r="F109" s="144">
        <f>VLOOKUP($A109,'Data shares'!$C:$FA,24)</f>
        <v>0.7</v>
      </c>
      <c r="G109" s="144">
        <f>VLOOKUP($A109,'Data shares'!$C:$FA,25)</f>
        <v>-0.3</v>
      </c>
    </row>
    <row r="110" spans="1:7" x14ac:dyDescent="0.25">
      <c r="A110" s="101" t="str">
        <f>'Data shares'!C106</f>
        <v>JINDALSTEL</v>
      </c>
      <c r="B110" s="144">
        <f>VLOOKUP($A110,'Data shares'!$C:$FA,7)</f>
        <v>1069.4000000000001</v>
      </c>
      <c r="C110" s="144">
        <f>VLOOKUP($A110,'Data shares'!$C:$FA,3)</f>
        <v>1070.4000000000001</v>
      </c>
      <c r="D110" s="144">
        <f>VLOOKUP($A110,'Data shares'!$C:$FA,23)</f>
        <v>1</v>
      </c>
      <c r="E110" s="145">
        <f>VLOOKUP($A110,'Data shares'!$C:$FA,26)*100</f>
        <v>0.09</v>
      </c>
      <c r="F110" s="144">
        <f>VLOOKUP($A110,'Data shares'!$C:$FA,24)</f>
        <v>-1.1000000000000001</v>
      </c>
      <c r="G110" s="144">
        <f>VLOOKUP($A110,'Data shares'!$C:$FA,25)</f>
        <v>2.1</v>
      </c>
    </row>
    <row r="111" spans="1:7" x14ac:dyDescent="0.25">
      <c r="A111" s="101" t="str">
        <f>'Data shares'!C107</f>
        <v>JIOFIN</v>
      </c>
      <c r="B111" s="144">
        <f>VLOOKUP($A111,'Data shares'!$C:$FA,7)</f>
        <v>308.35000000000002</v>
      </c>
      <c r="C111" s="144">
        <f>VLOOKUP($A111,'Data shares'!$C:$FA,3)</f>
        <v>308.8</v>
      </c>
      <c r="D111" s="144">
        <f>VLOOKUP($A111,'Data shares'!$C:$FA,23)</f>
        <v>0.45</v>
      </c>
      <c r="E111" s="145">
        <f>VLOOKUP($A111,'Data shares'!$C:$FA,26)*100</f>
        <v>0.15</v>
      </c>
      <c r="F111" s="144">
        <f>VLOOKUP($A111,'Data shares'!$C:$FA,24)</f>
        <v>0.25</v>
      </c>
      <c r="G111" s="144">
        <f>VLOOKUP($A111,'Data shares'!$C:$FA,25)</f>
        <v>0.2</v>
      </c>
    </row>
    <row r="112" spans="1:7" x14ac:dyDescent="0.25">
      <c r="A112" s="101" t="str">
        <f>'Data shares'!C108</f>
        <v>JSWENERGY</v>
      </c>
      <c r="B112" s="144">
        <f>VLOOKUP($A112,'Data shares'!$C:$FA,7)</f>
        <v>504.85</v>
      </c>
      <c r="C112" s="144">
        <f>VLOOKUP($A112,'Data shares'!$C:$FA,3)</f>
        <v>504.8</v>
      </c>
      <c r="D112" s="144">
        <f>VLOOKUP($A112,'Data shares'!$C:$FA,23)</f>
        <v>-0.05</v>
      </c>
      <c r="E112" s="145">
        <f>VLOOKUP($A112,'Data shares'!$C:$FA,26)*100</f>
        <v>-0.01</v>
      </c>
      <c r="F112" s="144">
        <f>VLOOKUP($A112,'Data shares'!$C:$FA,24)</f>
        <v>-0.15</v>
      </c>
      <c r="G112" s="144">
        <f>VLOOKUP($A112,'Data shares'!$C:$FA,25)</f>
        <v>0.1</v>
      </c>
    </row>
    <row r="113" spans="1:7" x14ac:dyDescent="0.25">
      <c r="A113" s="101" t="str">
        <f>'Data shares'!C109</f>
        <v>JSWSTEEL</v>
      </c>
      <c r="B113" s="144">
        <f>VLOOKUP($A113,'Data shares'!$C:$FA,7)</f>
        <v>1170</v>
      </c>
      <c r="C113" s="144">
        <f>VLOOKUP($A113,'Data shares'!$C:$FA,3)</f>
        <v>1172</v>
      </c>
      <c r="D113" s="144">
        <f>VLOOKUP($A113,'Data shares'!$C:$FA,23)</f>
        <v>2</v>
      </c>
      <c r="E113" s="145">
        <f>VLOOKUP($A113,'Data shares'!$C:$FA,26)*100</f>
        <v>0.16999999999999998</v>
      </c>
      <c r="F113" s="144">
        <f>VLOOKUP($A113,'Data shares'!$C:$FA,24)</f>
        <v>0.2</v>
      </c>
      <c r="G113" s="144">
        <f>VLOOKUP($A113,'Data shares'!$C:$FA,25)</f>
        <v>1.8</v>
      </c>
    </row>
    <row r="114" spans="1:7" x14ac:dyDescent="0.25">
      <c r="A114" s="101" t="str">
        <f>'Data shares'!C110</f>
        <v>JUBLFOOD</v>
      </c>
      <c r="B114" s="144">
        <f>VLOOKUP($A114,'Data shares'!$C:$FA,7)</f>
        <v>591.15</v>
      </c>
      <c r="C114" s="144">
        <f>VLOOKUP($A114,'Data shares'!$C:$FA,3)</f>
        <v>592.1</v>
      </c>
      <c r="D114" s="144">
        <f>VLOOKUP($A114,'Data shares'!$C:$FA,23)</f>
        <v>0.95</v>
      </c>
      <c r="E114" s="145">
        <f>VLOOKUP($A114,'Data shares'!$C:$FA,26)*100</f>
        <v>0.16</v>
      </c>
      <c r="F114" s="144">
        <f>VLOOKUP($A114,'Data shares'!$C:$FA,24)</f>
        <v>0.3</v>
      </c>
      <c r="G114" s="144">
        <f>VLOOKUP($A114,'Data shares'!$C:$FA,25)</f>
        <v>0.65</v>
      </c>
    </row>
    <row r="115" spans="1:7" x14ac:dyDescent="0.25">
      <c r="A115" s="101" t="str">
        <f>'Data shares'!C111</f>
        <v>KALYANKJIL</v>
      </c>
      <c r="B115" s="144">
        <f>VLOOKUP($A115,'Data shares'!$C:$FA,7)</f>
        <v>504.1</v>
      </c>
      <c r="C115" s="144">
        <f>VLOOKUP($A115,'Data shares'!$C:$FA,3)</f>
        <v>504.85</v>
      </c>
      <c r="D115" s="144">
        <f>VLOOKUP($A115,'Data shares'!$C:$FA,23)</f>
        <v>0.75</v>
      </c>
      <c r="E115" s="145">
        <f>VLOOKUP($A115,'Data shares'!$C:$FA,26)*100</f>
        <v>0.15</v>
      </c>
      <c r="F115" s="144">
        <f>VLOOKUP($A115,'Data shares'!$C:$FA,24)</f>
        <v>1.2</v>
      </c>
      <c r="G115" s="144">
        <f>VLOOKUP($A115,'Data shares'!$C:$FA,25)</f>
        <v>-0.45</v>
      </c>
    </row>
    <row r="116" spans="1:7" x14ac:dyDescent="0.25">
      <c r="A116" s="101" t="str">
        <f>'Data shares'!C112</f>
        <v>KAYNES</v>
      </c>
      <c r="B116" s="144">
        <f>VLOOKUP($A116,'Data shares'!$C:$FA,7)</f>
        <v>5967.5</v>
      </c>
      <c r="C116" s="144">
        <f>VLOOKUP($A116,'Data shares'!$C:$FA,3)</f>
        <v>5978.5</v>
      </c>
      <c r="D116" s="144">
        <f>VLOOKUP($A116,'Data shares'!$C:$FA,23)</f>
        <v>11</v>
      </c>
      <c r="E116" s="145">
        <f>VLOOKUP($A116,'Data shares'!$C:$FA,26)*100</f>
        <v>0.18</v>
      </c>
      <c r="F116" s="144">
        <f>VLOOKUP($A116,'Data shares'!$C:$FA,24)</f>
        <v>8.5</v>
      </c>
      <c r="G116" s="144">
        <f>VLOOKUP($A116,'Data shares'!$C:$FA,25)</f>
        <v>2.5</v>
      </c>
    </row>
    <row r="117" spans="1:7" x14ac:dyDescent="0.25">
      <c r="A117" s="101" t="str">
        <f>'Data shares'!C113</f>
        <v>KEI</v>
      </c>
      <c r="B117" s="144">
        <f>VLOOKUP($A117,'Data shares'!$C:$FA,7)</f>
        <v>4167.3</v>
      </c>
      <c r="C117" s="144">
        <f>VLOOKUP($A117,'Data shares'!$C:$FA,3)</f>
        <v>4165.8999999999996</v>
      </c>
      <c r="D117" s="144">
        <f>VLOOKUP($A117,'Data shares'!$C:$FA,23)</f>
        <v>-1.4</v>
      </c>
      <c r="E117" s="145">
        <f>VLOOKUP($A117,'Data shares'!$C:$FA,26)*100</f>
        <v>-0.03</v>
      </c>
      <c r="F117" s="144">
        <f>VLOOKUP($A117,'Data shares'!$C:$FA,24)</f>
        <v>3.6</v>
      </c>
      <c r="G117" s="144">
        <f>VLOOKUP($A117,'Data shares'!$C:$FA,25)</f>
        <v>-5</v>
      </c>
    </row>
    <row r="118" spans="1:7" x14ac:dyDescent="0.25">
      <c r="A118" s="101" t="str">
        <f>'Data shares'!C114</f>
        <v>KFINTECH</v>
      </c>
      <c r="B118" s="144">
        <f>VLOOKUP($A118,'Data shares'!$C:$FA,7)</f>
        <v>1080.4000000000001</v>
      </c>
      <c r="C118" s="144">
        <f>VLOOKUP($A118,'Data shares'!$C:$FA,3)</f>
        <v>1081.8</v>
      </c>
      <c r="D118" s="144">
        <f>VLOOKUP($A118,'Data shares'!$C:$FA,23)</f>
        <v>1.4</v>
      </c>
      <c r="E118" s="145">
        <f>VLOOKUP($A118,'Data shares'!$C:$FA,26)*100</f>
        <v>0.13</v>
      </c>
      <c r="F118" s="144">
        <f>VLOOKUP($A118,'Data shares'!$C:$FA,24)</f>
        <v>3.9</v>
      </c>
      <c r="G118" s="144">
        <f>VLOOKUP($A118,'Data shares'!$C:$FA,25)</f>
        <v>-2.5</v>
      </c>
    </row>
    <row r="119" spans="1:7" x14ac:dyDescent="0.25">
      <c r="A119" s="101" t="str">
        <f>'Data shares'!C115</f>
        <v>KOTAKBANK</v>
      </c>
      <c r="B119" s="144">
        <f>VLOOKUP($A119,'Data shares'!$C:$FA,7)</f>
        <v>2098.6999999999998</v>
      </c>
      <c r="C119" s="144">
        <f>VLOOKUP($A119,'Data shares'!$C:$FA,3)</f>
        <v>2097.1</v>
      </c>
      <c r="D119" s="144">
        <f>VLOOKUP($A119,'Data shares'!$C:$FA,23)</f>
        <v>-1.6</v>
      </c>
      <c r="E119" s="145">
        <f>VLOOKUP($A119,'Data shares'!$C:$FA,26)*100</f>
        <v>-0.08</v>
      </c>
      <c r="F119" s="144">
        <f>VLOOKUP($A119,'Data shares'!$C:$FA,24)</f>
        <v>-0.8</v>
      </c>
      <c r="G119" s="144">
        <f>VLOOKUP($A119,'Data shares'!$C:$FA,25)</f>
        <v>-0.8</v>
      </c>
    </row>
    <row r="120" spans="1:7" x14ac:dyDescent="0.25">
      <c r="A120" s="101" t="str">
        <f>'Data shares'!C116</f>
        <v>KPITTECH</v>
      </c>
      <c r="B120" s="144">
        <f>VLOOKUP($A120,'Data shares'!$C:$FA,7)</f>
        <v>1196.5999999999999</v>
      </c>
      <c r="C120" s="144">
        <f>VLOOKUP($A120,'Data shares'!$C:$FA,3)</f>
        <v>1200.5</v>
      </c>
      <c r="D120" s="144">
        <f>VLOOKUP($A120,'Data shares'!$C:$FA,23)</f>
        <v>3.9</v>
      </c>
      <c r="E120" s="145">
        <f>VLOOKUP($A120,'Data shares'!$C:$FA,26)*100</f>
        <v>0.33</v>
      </c>
      <c r="F120" s="144">
        <f>VLOOKUP($A120,'Data shares'!$C:$FA,24)</f>
        <v>4.2</v>
      </c>
      <c r="G120" s="144">
        <f>VLOOKUP($A120,'Data shares'!$C:$FA,25)</f>
        <v>-0.3</v>
      </c>
    </row>
    <row r="121" spans="1:7" x14ac:dyDescent="0.25">
      <c r="A121" s="101" t="str">
        <f>'Data shares'!C117</f>
        <v>LAURUSLABS</v>
      </c>
      <c r="B121" s="144">
        <f>VLOOKUP($A121,'Data shares'!$C:$FA,7)</f>
        <v>987.1</v>
      </c>
      <c r="C121" s="144">
        <f>VLOOKUP($A121,'Data shares'!$C:$FA,3)</f>
        <v>987.2</v>
      </c>
      <c r="D121" s="144">
        <f>VLOOKUP($A121,'Data shares'!$C:$FA,23)</f>
        <v>0.1</v>
      </c>
      <c r="E121" s="145">
        <f>VLOOKUP($A121,'Data shares'!$C:$FA,26)*100</f>
        <v>0.01</v>
      </c>
      <c r="F121" s="144">
        <f>VLOOKUP($A121,'Data shares'!$C:$FA,24)</f>
        <v>-0.85</v>
      </c>
      <c r="G121" s="144">
        <f>VLOOKUP($A121,'Data shares'!$C:$FA,25)</f>
        <v>0.95</v>
      </c>
    </row>
    <row r="122" spans="1:7" x14ac:dyDescent="0.25">
      <c r="A122" s="101" t="str">
        <f>'Data shares'!C118</f>
        <v>LICHSGFIN</v>
      </c>
      <c r="B122" s="144">
        <f>VLOOKUP($A122,'Data shares'!$C:$FA,7)</f>
        <v>554.79999999999995</v>
      </c>
      <c r="C122" s="144">
        <f>VLOOKUP($A122,'Data shares'!$C:$FA,3)</f>
        <v>555.4</v>
      </c>
      <c r="D122" s="144">
        <f>VLOOKUP($A122,'Data shares'!$C:$FA,23)</f>
        <v>0.6</v>
      </c>
      <c r="E122" s="145">
        <f>VLOOKUP($A122,'Data shares'!$C:$FA,26)*100</f>
        <v>0.11</v>
      </c>
      <c r="F122" s="144">
        <f>VLOOKUP($A122,'Data shares'!$C:$FA,24)</f>
        <v>0.1</v>
      </c>
      <c r="G122" s="144">
        <f>VLOOKUP($A122,'Data shares'!$C:$FA,25)</f>
        <v>0.5</v>
      </c>
    </row>
    <row r="123" spans="1:7" x14ac:dyDescent="0.25">
      <c r="A123" s="101" t="str">
        <f>'Data shares'!C119</f>
        <v>LICI</v>
      </c>
      <c r="B123" s="144">
        <f>VLOOKUP($A123,'Data shares'!$C:$FA,7)</f>
        <v>908.3</v>
      </c>
      <c r="C123" s="144">
        <f>VLOOKUP($A123,'Data shares'!$C:$FA,3)</f>
        <v>908.05</v>
      </c>
      <c r="D123" s="144">
        <f>VLOOKUP($A123,'Data shares'!$C:$FA,23)</f>
        <v>-0.25</v>
      </c>
      <c r="E123" s="145">
        <f>VLOOKUP($A123,'Data shares'!$C:$FA,26)*100</f>
        <v>-0.03</v>
      </c>
      <c r="F123" s="144">
        <f>VLOOKUP($A123,'Data shares'!$C:$FA,24)</f>
        <v>-0.1</v>
      </c>
      <c r="G123" s="144">
        <f>VLOOKUP($A123,'Data shares'!$C:$FA,25)</f>
        <v>-0.15</v>
      </c>
    </row>
    <row r="124" spans="1:7" x14ac:dyDescent="0.25">
      <c r="A124" s="101" t="str">
        <f>'Data shares'!C120</f>
        <v>LODHA</v>
      </c>
      <c r="B124" s="144">
        <f>VLOOKUP($A124,'Data shares'!$C:$FA,7)</f>
        <v>1200.8</v>
      </c>
      <c r="C124" s="144">
        <f>VLOOKUP($A124,'Data shares'!$C:$FA,3)</f>
        <v>1203.4000000000001</v>
      </c>
      <c r="D124" s="144">
        <f>VLOOKUP($A124,'Data shares'!$C:$FA,23)</f>
        <v>2.6</v>
      </c>
      <c r="E124" s="145">
        <f>VLOOKUP($A124,'Data shares'!$C:$FA,26)*100</f>
        <v>0.22</v>
      </c>
      <c r="F124" s="144">
        <f>VLOOKUP($A124,'Data shares'!$C:$FA,24)</f>
        <v>-0.6</v>
      </c>
      <c r="G124" s="144">
        <f>VLOOKUP($A124,'Data shares'!$C:$FA,25)</f>
        <v>3.2</v>
      </c>
    </row>
    <row r="125" spans="1:7" x14ac:dyDescent="0.25">
      <c r="A125" s="101" t="str">
        <f>'Data shares'!C121</f>
        <v>LT</v>
      </c>
      <c r="B125" s="144">
        <f>VLOOKUP($A125,'Data shares'!$C:$FA,7)</f>
        <v>4037.4</v>
      </c>
      <c r="C125" s="144">
        <f>VLOOKUP($A125,'Data shares'!$C:$FA,3)</f>
        <v>4040</v>
      </c>
      <c r="D125" s="144">
        <f>VLOOKUP($A125,'Data shares'!$C:$FA,23)</f>
        <v>2.6</v>
      </c>
      <c r="E125" s="145">
        <f>VLOOKUP($A125,'Data shares'!$C:$FA,26)*100</f>
        <v>0.06</v>
      </c>
      <c r="F125" s="144">
        <f>VLOOKUP($A125,'Data shares'!$C:$FA,24)</f>
        <v>-2.1</v>
      </c>
      <c r="G125" s="144">
        <f>VLOOKUP($A125,'Data shares'!$C:$FA,25)</f>
        <v>4.7</v>
      </c>
    </row>
    <row r="126" spans="1:7" x14ac:dyDescent="0.25">
      <c r="A126" s="101" t="str">
        <f>'Data shares'!C122</f>
        <v>LTF</v>
      </c>
      <c r="B126" s="144">
        <f>VLOOKUP($A126,'Data shares'!$C:$FA,7)</f>
        <v>292.3</v>
      </c>
      <c r="C126" s="144">
        <f>VLOOKUP($A126,'Data shares'!$C:$FA,3)</f>
        <v>292.89999999999998</v>
      </c>
      <c r="D126" s="144">
        <f>VLOOKUP($A126,'Data shares'!$C:$FA,23)</f>
        <v>0.6</v>
      </c>
      <c r="E126" s="145">
        <f>VLOOKUP($A126,'Data shares'!$C:$FA,26)*100</f>
        <v>0.21</v>
      </c>
      <c r="F126" s="144">
        <f>VLOOKUP($A126,'Data shares'!$C:$FA,24)</f>
        <v>0.2</v>
      </c>
      <c r="G126" s="144">
        <f>VLOOKUP($A126,'Data shares'!$C:$FA,25)</f>
        <v>0.4</v>
      </c>
    </row>
    <row r="127" spans="1:7" x14ac:dyDescent="0.25">
      <c r="A127" s="101" t="str">
        <f>'Data shares'!C123</f>
        <v>LTIM</v>
      </c>
      <c r="B127" s="144">
        <f>VLOOKUP($A127,'Data shares'!$C:$FA,7)</f>
        <v>6027</v>
      </c>
      <c r="C127" s="144">
        <f>VLOOKUP($A127,'Data shares'!$C:$FA,3)</f>
        <v>6036</v>
      </c>
      <c r="D127" s="144">
        <f>VLOOKUP($A127,'Data shares'!$C:$FA,23)</f>
        <v>9</v>
      </c>
      <c r="E127" s="145">
        <f>VLOOKUP($A127,'Data shares'!$C:$FA,26)*100</f>
        <v>0.15</v>
      </c>
      <c r="F127" s="144">
        <f>VLOOKUP($A127,'Data shares'!$C:$FA,24)</f>
        <v>11.5</v>
      </c>
      <c r="G127" s="144">
        <f>VLOOKUP($A127,'Data shares'!$C:$FA,25)</f>
        <v>-2.5</v>
      </c>
    </row>
    <row r="128" spans="1:7" x14ac:dyDescent="0.25">
      <c r="A128" s="101" t="str">
        <f>'Data shares'!C124</f>
        <v>LUPIN</v>
      </c>
      <c r="B128" s="144">
        <f>VLOOKUP($A128,'Data shares'!$C:$FA,7)</f>
        <v>2030.8</v>
      </c>
      <c r="C128" s="144">
        <f>VLOOKUP($A128,'Data shares'!$C:$FA,3)</f>
        <v>2028.8</v>
      </c>
      <c r="D128" s="144">
        <f>VLOOKUP($A128,'Data shares'!$C:$FA,23)</f>
        <v>-2</v>
      </c>
      <c r="E128" s="145">
        <f>VLOOKUP($A128,'Data shares'!$C:$FA,26)*100</f>
        <v>-0.1</v>
      </c>
      <c r="F128" s="144">
        <f>VLOOKUP($A128,'Data shares'!$C:$FA,24)</f>
        <v>3.7</v>
      </c>
      <c r="G128" s="144">
        <f>VLOOKUP($A128,'Data shares'!$C:$FA,25)</f>
        <v>-5.7</v>
      </c>
    </row>
    <row r="129" spans="1:7" x14ac:dyDescent="0.25">
      <c r="A129" s="101" t="str">
        <f>'Data shares'!C125</f>
        <v>M&amp;M</v>
      </c>
      <c r="B129" s="144">
        <f>VLOOKUP($A129,'Data shares'!$C:$FA,7)</f>
        <v>3716.7</v>
      </c>
      <c r="C129" s="144">
        <f>VLOOKUP($A129,'Data shares'!$C:$FA,3)</f>
        <v>3721.7</v>
      </c>
      <c r="D129" s="144">
        <f>VLOOKUP($A129,'Data shares'!$C:$FA,23)</f>
        <v>5</v>
      </c>
      <c r="E129" s="145">
        <f>VLOOKUP($A129,'Data shares'!$C:$FA,26)*100</f>
        <v>0.13</v>
      </c>
      <c r="F129" s="144">
        <f>VLOOKUP($A129,'Data shares'!$C:$FA,24)</f>
        <v>1.8</v>
      </c>
      <c r="G129" s="144">
        <f>VLOOKUP($A129,'Data shares'!$C:$FA,25)</f>
        <v>3.2</v>
      </c>
    </row>
    <row r="130" spans="1:7" x14ac:dyDescent="0.25">
      <c r="A130" s="101" t="str">
        <f>'Data shares'!C126</f>
        <v>MANAPPURAM</v>
      </c>
      <c r="B130" s="144">
        <f>VLOOKUP($A130,'Data shares'!$C:$FA,7)</f>
        <v>282.05</v>
      </c>
      <c r="C130" s="144">
        <f>VLOOKUP($A130,'Data shares'!$C:$FA,3)</f>
        <v>282.10000000000002</v>
      </c>
      <c r="D130" s="144">
        <f>VLOOKUP($A130,'Data shares'!$C:$FA,23)</f>
        <v>0.05</v>
      </c>
      <c r="E130" s="145">
        <f>VLOOKUP($A130,'Data shares'!$C:$FA,26)*100</f>
        <v>0.02</v>
      </c>
      <c r="F130" s="144">
        <f>VLOOKUP($A130,'Data shares'!$C:$FA,24)</f>
        <v>0.4</v>
      </c>
      <c r="G130" s="144">
        <f>VLOOKUP($A130,'Data shares'!$C:$FA,25)</f>
        <v>-0.35</v>
      </c>
    </row>
    <row r="131" spans="1:7" x14ac:dyDescent="0.25">
      <c r="A131" s="101" t="str">
        <f>'Data shares'!C127</f>
        <v>MANKIND</v>
      </c>
      <c r="B131" s="144">
        <f>VLOOKUP($A131,'Data shares'!$C:$FA,7)</f>
        <v>2239.5</v>
      </c>
      <c r="C131" s="144">
        <f>VLOOKUP($A131,'Data shares'!$C:$FA,3)</f>
        <v>2241.6999999999998</v>
      </c>
      <c r="D131" s="144">
        <f>VLOOKUP($A131,'Data shares'!$C:$FA,23)</f>
        <v>2.2000000000000002</v>
      </c>
      <c r="E131" s="145">
        <f>VLOOKUP($A131,'Data shares'!$C:$FA,26)*100</f>
        <v>0.1</v>
      </c>
      <c r="F131" s="144">
        <f>VLOOKUP($A131,'Data shares'!$C:$FA,24)</f>
        <v>5</v>
      </c>
      <c r="G131" s="144">
        <f>VLOOKUP($A131,'Data shares'!$C:$FA,25)</f>
        <v>-2.8</v>
      </c>
    </row>
    <row r="132" spans="1:7" x14ac:dyDescent="0.25">
      <c r="A132" s="101" t="str">
        <f>'Data shares'!C128</f>
        <v>MARICO</v>
      </c>
      <c r="B132" s="144">
        <f>VLOOKUP($A132,'Data shares'!$C:$FA,7)</f>
        <v>736.15</v>
      </c>
      <c r="C132" s="144">
        <f>VLOOKUP($A132,'Data shares'!$C:$FA,3)</f>
        <v>736.75</v>
      </c>
      <c r="D132" s="144">
        <f>VLOOKUP($A132,'Data shares'!$C:$FA,23)</f>
        <v>0.6</v>
      </c>
      <c r="E132" s="145">
        <f>VLOOKUP($A132,'Data shares'!$C:$FA,26)*100</f>
        <v>0.08</v>
      </c>
      <c r="F132" s="144">
        <f>VLOOKUP($A132,'Data shares'!$C:$FA,24)</f>
        <v>0.75</v>
      </c>
      <c r="G132" s="144">
        <f>VLOOKUP($A132,'Data shares'!$C:$FA,25)</f>
        <v>-0.15</v>
      </c>
    </row>
    <row r="133" spans="1:7" x14ac:dyDescent="0.25">
      <c r="A133" s="101" t="str">
        <f>'Data shares'!C129</f>
        <v>MARUTI</v>
      </c>
      <c r="B133" s="144">
        <f>VLOOKUP($A133,'Data shares'!$C:$FA,7)</f>
        <v>15801</v>
      </c>
      <c r="C133" s="144">
        <f>VLOOKUP($A133,'Data shares'!$C:$FA,3)</f>
        <v>15813</v>
      </c>
      <c r="D133" s="144">
        <f>VLOOKUP($A133,'Data shares'!$C:$FA,23)</f>
        <v>12</v>
      </c>
      <c r="E133" s="145">
        <f>VLOOKUP($A133,'Data shares'!$C:$FA,26)*100</f>
        <v>0.08</v>
      </c>
      <c r="F133" s="144">
        <f>VLOOKUP($A133,'Data shares'!$C:$FA,24)</f>
        <v>-15</v>
      </c>
      <c r="G133" s="144">
        <f>VLOOKUP($A133,'Data shares'!$C:$FA,25)</f>
        <v>27</v>
      </c>
    </row>
    <row r="134" spans="1:7" x14ac:dyDescent="0.25">
      <c r="A134" s="101" t="str">
        <f>'Data shares'!C130</f>
        <v>MAXHEALTH</v>
      </c>
      <c r="B134" s="144">
        <f>VLOOKUP($A134,'Data shares'!$C:$FA,7)</f>
        <v>1168.9000000000001</v>
      </c>
      <c r="C134" s="144">
        <f>VLOOKUP($A134,'Data shares'!$C:$FA,3)</f>
        <v>1168.3</v>
      </c>
      <c r="D134" s="144">
        <f>VLOOKUP($A134,'Data shares'!$C:$FA,23)</f>
        <v>-0.6</v>
      </c>
      <c r="E134" s="145">
        <f>VLOOKUP($A134,'Data shares'!$C:$FA,26)*100</f>
        <v>-0.05</v>
      </c>
      <c r="F134" s="144">
        <f>VLOOKUP($A134,'Data shares'!$C:$FA,24)</f>
        <v>-0.8</v>
      </c>
      <c r="G134" s="144">
        <f>VLOOKUP($A134,'Data shares'!$C:$FA,25)</f>
        <v>0.2</v>
      </c>
    </row>
    <row r="135" spans="1:7" x14ac:dyDescent="0.25">
      <c r="A135" s="101" t="str">
        <f>'Data shares'!C131</f>
        <v>MAZDOCK</v>
      </c>
      <c r="B135" s="144">
        <f>VLOOKUP($A135,'Data shares'!$C:$FA,7)</f>
        <v>2829.5</v>
      </c>
      <c r="C135" s="144">
        <f>VLOOKUP($A135,'Data shares'!$C:$FA,3)</f>
        <v>2835.5</v>
      </c>
      <c r="D135" s="144">
        <f>VLOOKUP($A135,'Data shares'!$C:$FA,23)</f>
        <v>6</v>
      </c>
      <c r="E135" s="145">
        <f>VLOOKUP($A135,'Data shares'!$C:$FA,26)*100</f>
        <v>0.21</v>
      </c>
      <c r="F135" s="144">
        <f>VLOOKUP($A135,'Data shares'!$C:$FA,24)</f>
        <v>5.3</v>
      </c>
      <c r="G135" s="144">
        <f>VLOOKUP($A135,'Data shares'!$C:$FA,25)</f>
        <v>0.7</v>
      </c>
    </row>
    <row r="136" spans="1:7" x14ac:dyDescent="0.25">
      <c r="A136" s="101" t="str">
        <f>'Data shares'!C132</f>
        <v>MCX</v>
      </c>
      <c r="B136" s="144">
        <f>VLOOKUP($A136,'Data shares'!$C:$FA,7)</f>
        <v>9858.5</v>
      </c>
      <c r="C136" s="144">
        <f>VLOOKUP($A136,'Data shares'!$C:$FA,3)</f>
        <v>9849.5</v>
      </c>
      <c r="D136" s="144">
        <f>VLOOKUP($A136,'Data shares'!$C:$FA,23)</f>
        <v>-9</v>
      </c>
      <c r="E136" s="145">
        <f>VLOOKUP($A136,'Data shares'!$C:$FA,26)*100</f>
        <v>-0.09</v>
      </c>
      <c r="F136" s="144">
        <f>VLOOKUP($A136,'Data shares'!$C:$FA,24)</f>
        <v>-6</v>
      </c>
      <c r="G136" s="144">
        <f>VLOOKUP($A136,'Data shares'!$C:$FA,25)</f>
        <v>-3</v>
      </c>
    </row>
    <row r="137" spans="1:7" x14ac:dyDescent="0.25">
      <c r="A137" s="101" t="str">
        <f>'Data shares'!C133</f>
        <v>MFSL</v>
      </c>
      <c r="B137" s="144">
        <f>VLOOKUP($A137,'Data shares'!$C:$FA,7)</f>
        <v>1692.6</v>
      </c>
      <c r="C137" s="144">
        <f>VLOOKUP($A137,'Data shares'!$C:$FA,3)</f>
        <v>1692.4</v>
      </c>
      <c r="D137" s="144">
        <f>VLOOKUP($A137,'Data shares'!$C:$FA,23)</f>
        <v>-0.2</v>
      </c>
      <c r="E137" s="145">
        <f>VLOOKUP($A137,'Data shares'!$C:$FA,26)*100</f>
        <v>-0.01</v>
      </c>
      <c r="F137" s="144">
        <f>VLOOKUP($A137,'Data shares'!$C:$FA,24)</f>
        <v>4.2</v>
      </c>
      <c r="G137" s="144">
        <f>VLOOKUP($A137,'Data shares'!$C:$FA,25)</f>
        <v>-4.4000000000000004</v>
      </c>
    </row>
    <row r="138" spans="1:7" x14ac:dyDescent="0.25">
      <c r="A138" s="101" t="str">
        <f>'Data shares'!C134</f>
        <v>MIDCPNIFTY</v>
      </c>
      <c r="B138" s="144">
        <f>VLOOKUP($A138,'Data shares'!$C:$FA,7)</f>
        <v>13992.2</v>
      </c>
      <c r="C138" s="144">
        <f>VLOOKUP($A138,'Data shares'!$C:$FA,3)</f>
        <v>14007.25</v>
      </c>
      <c r="D138" s="144">
        <f>VLOOKUP($A138,'Data shares'!$C:$FA,23)</f>
        <v>15.05</v>
      </c>
      <c r="E138" s="145">
        <f>VLOOKUP($A138,'Data shares'!$C:$FA,26)*100</f>
        <v>0.11</v>
      </c>
      <c r="F138" s="144">
        <f>VLOOKUP($A138,'Data shares'!$C:$FA,24)</f>
        <v>25.05</v>
      </c>
      <c r="G138" s="144">
        <f>VLOOKUP($A138,'Data shares'!$C:$FA,25)</f>
        <v>-10</v>
      </c>
    </row>
    <row r="139" spans="1:7" x14ac:dyDescent="0.25">
      <c r="A139" s="101" t="str">
        <f>'Data shares'!C135</f>
        <v>MOTHERSON</v>
      </c>
      <c r="B139" s="144">
        <f>VLOOKUP($A139,'Data shares'!$C:$FA,7)</f>
        <v>112</v>
      </c>
      <c r="C139" s="144">
        <f>VLOOKUP($A139,'Data shares'!$C:$FA,3)</f>
        <v>111.95</v>
      </c>
      <c r="D139" s="144">
        <f>VLOOKUP($A139,'Data shares'!$C:$FA,23)</f>
        <v>-0.05</v>
      </c>
      <c r="E139" s="145">
        <f>VLOOKUP($A139,'Data shares'!$C:$FA,26)*100</f>
        <v>-0.04</v>
      </c>
      <c r="F139" s="144">
        <f>VLOOKUP($A139,'Data shares'!$C:$FA,24)</f>
        <v>0</v>
      </c>
      <c r="G139" s="144">
        <f>VLOOKUP($A139,'Data shares'!$C:$FA,25)</f>
        <v>-0.05</v>
      </c>
    </row>
    <row r="140" spans="1:7" x14ac:dyDescent="0.25">
      <c r="A140" s="101" t="str">
        <f>'Data shares'!C136</f>
        <v>MPHASIS</v>
      </c>
      <c r="B140" s="144">
        <f>VLOOKUP($A140,'Data shares'!$C:$FA,7)</f>
        <v>2740.4</v>
      </c>
      <c r="C140" s="144">
        <f>VLOOKUP($A140,'Data shares'!$C:$FA,3)</f>
        <v>2744.2</v>
      </c>
      <c r="D140" s="144">
        <f>VLOOKUP($A140,'Data shares'!$C:$FA,23)</f>
        <v>3.8</v>
      </c>
      <c r="E140" s="145">
        <f>VLOOKUP($A140,'Data shares'!$C:$FA,26)*100</f>
        <v>0.13999999999999999</v>
      </c>
      <c r="F140" s="144">
        <f>VLOOKUP($A140,'Data shares'!$C:$FA,24)</f>
        <v>1.3</v>
      </c>
      <c r="G140" s="144">
        <f>VLOOKUP($A140,'Data shares'!$C:$FA,25)</f>
        <v>2.5</v>
      </c>
    </row>
    <row r="141" spans="1:7" x14ac:dyDescent="0.25">
      <c r="A141" s="101" t="str">
        <f>'Data shares'!C137</f>
        <v>MUTHOOTFIN</v>
      </c>
      <c r="B141" s="144">
        <f>VLOOKUP($A141,'Data shares'!$C:$FA,7)</f>
        <v>3697.5</v>
      </c>
      <c r="C141" s="144">
        <f>VLOOKUP($A141,'Data shares'!$C:$FA,3)</f>
        <v>3708.1</v>
      </c>
      <c r="D141" s="144">
        <f>VLOOKUP($A141,'Data shares'!$C:$FA,23)</f>
        <v>10.6</v>
      </c>
      <c r="E141" s="145">
        <f>VLOOKUP($A141,'Data shares'!$C:$FA,26)*100</f>
        <v>0.28999999999999998</v>
      </c>
      <c r="F141" s="144">
        <f>VLOOKUP($A141,'Data shares'!$C:$FA,24)</f>
        <v>12.7</v>
      </c>
      <c r="G141" s="144">
        <f>VLOOKUP($A141,'Data shares'!$C:$FA,25)</f>
        <v>-2.1</v>
      </c>
    </row>
    <row r="142" spans="1:7" x14ac:dyDescent="0.25">
      <c r="A142" s="101" t="str">
        <f>'Data shares'!C138</f>
        <v>NATIONALUM</v>
      </c>
      <c r="B142" s="144">
        <f>VLOOKUP($A142,'Data shares'!$C:$FA,7)</f>
        <v>257.62</v>
      </c>
      <c r="C142" s="144">
        <f>VLOOKUP($A142,'Data shares'!$C:$FA,3)</f>
        <v>258.22000000000003</v>
      </c>
      <c r="D142" s="144">
        <f>VLOOKUP($A142,'Data shares'!$C:$FA,23)</f>
        <v>0.6</v>
      </c>
      <c r="E142" s="145">
        <f>VLOOKUP($A142,'Data shares'!$C:$FA,26)*100</f>
        <v>0.22999999999999998</v>
      </c>
      <c r="F142" s="144">
        <f>VLOOKUP($A142,'Data shares'!$C:$FA,24)</f>
        <v>0.34</v>
      </c>
      <c r="G142" s="144">
        <f>VLOOKUP($A142,'Data shares'!$C:$FA,25)</f>
        <v>0.26</v>
      </c>
    </row>
    <row r="143" spans="1:7" x14ac:dyDescent="0.25">
      <c r="A143" s="101" t="str">
        <f>'Data shares'!C139</f>
        <v>NAUKRI</v>
      </c>
      <c r="B143" s="144">
        <f>VLOOKUP($A143,'Data shares'!$C:$FA,7)</f>
        <v>1365.4</v>
      </c>
      <c r="C143" s="144">
        <f>VLOOKUP($A143,'Data shares'!$C:$FA,3)</f>
        <v>1361.7</v>
      </c>
      <c r="D143" s="144">
        <f>VLOOKUP($A143,'Data shares'!$C:$FA,23)</f>
        <v>-3.7</v>
      </c>
      <c r="E143" s="145">
        <f>VLOOKUP($A143,'Data shares'!$C:$FA,26)*100</f>
        <v>-0.27</v>
      </c>
      <c r="F143" s="144">
        <f>VLOOKUP($A143,'Data shares'!$C:$FA,24)</f>
        <v>-2.7</v>
      </c>
      <c r="G143" s="144">
        <f>VLOOKUP($A143,'Data shares'!$C:$FA,25)</f>
        <v>-1</v>
      </c>
    </row>
    <row r="144" spans="1:7" x14ac:dyDescent="0.25">
      <c r="A144" s="101" t="str">
        <f>'Data shares'!C140</f>
        <v>NBCC</v>
      </c>
      <c r="B144" s="144">
        <f>VLOOKUP($A144,'Data shares'!$C:$FA,7)</f>
        <v>115.99</v>
      </c>
      <c r="C144" s="144">
        <f>VLOOKUP($A144,'Data shares'!$C:$FA,3)</f>
        <v>116.14</v>
      </c>
      <c r="D144" s="144">
        <f>VLOOKUP($A144,'Data shares'!$C:$FA,23)</f>
        <v>0.15</v>
      </c>
      <c r="E144" s="145">
        <f>VLOOKUP($A144,'Data shares'!$C:$FA,26)*100</f>
        <v>0.13</v>
      </c>
      <c r="F144" s="144">
        <f>VLOOKUP($A144,'Data shares'!$C:$FA,24)</f>
        <v>0.03</v>
      </c>
      <c r="G144" s="144">
        <f>VLOOKUP($A144,'Data shares'!$C:$FA,25)</f>
        <v>0.12</v>
      </c>
    </row>
    <row r="145" spans="1:7" x14ac:dyDescent="0.25">
      <c r="A145" s="101" t="str">
        <f>'Data shares'!C141</f>
        <v>NCC</v>
      </c>
      <c r="B145" s="144">
        <f>VLOOKUP($A145,'Data shares'!$C:$FA,7)</f>
        <v>179.03</v>
      </c>
      <c r="C145" s="144">
        <f>VLOOKUP($A145,'Data shares'!$C:$FA,3)</f>
        <v>179.26</v>
      </c>
      <c r="D145" s="144">
        <f>VLOOKUP($A145,'Data shares'!$C:$FA,23)</f>
        <v>0.23</v>
      </c>
      <c r="E145" s="145">
        <f>VLOOKUP($A145,'Data shares'!$C:$FA,26)*100</f>
        <v>0.13</v>
      </c>
      <c r="F145" s="144">
        <f>VLOOKUP($A145,'Data shares'!$C:$FA,24)</f>
        <v>0.37</v>
      </c>
      <c r="G145" s="144">
        <f>VLOOKUP($A145,'Data shares'!$C:$FA,25)</f>
        <v>-0.14000000000000001</v>
      </c>
    </row>
    <row r="146" spans="1:7" x14ac:dyDescent="0.25">
      <c r="A146" s="101" t="str">
        <f>'Data shares'!C142</f>
        <v>NESTLEIND</v>
      </c>
      <c r="B146" s="144">
        <f>VLOOKUP($A146,'Data shares'!$C:$FA,7)</f>
        <v>1279.2</v>
      </c>
      <c r="C146" s="144">
        <f>VLOOKUP($A146,'Data shares'!$C:$FA,3)</f>
        <v>1280.7</v>
      </c>
      <c r="D146" s="144">
        <f>VLOOKUP($A146,'Data shares'!$C:$FA,23)</f>
        <v>1.5</v>
      </c>
      <c r="E146" s="145">
        <f>VLOOKUP($A146,'Data shares'!$C:$FA,26)*100</f>
        <v>0.12</v>
      </c>
      <c r="F146" s="144">
        <f>VLOOKUP($A146,'Data shares'!$C:$FA,24)</f>
        <v>2.1</v>
      </c>
      <c r="G146" s="144">
        <f>VLOOKUP($A146,'Data shares'!$C:$FA,25)</f>
        <v>-0.6</v>
      </c>
    </row>
    <row r="147" spans="1:7" x14ac:dyDescent="0.25">
      <c r="A147" s="101" t="str">
        <f>'Data shares'!C143</f>
        <v>NHPC</v>
      </c>
      <c r="B147" s="144">
        <f>VLOOKUP($A147,'Data shares'!$C:$FA,7)</f>
        <v>80.12</v>
      </c>
      <c r="C147" s="144">
        <f>VLOOKUP($A147,'Data shares'!$C:$FA,3)</f>
        <v>80.17</v>
      </c>
      <c r="D147" s="144">
        <f>VLOOKUP($A147,'Data shares'!$C:$FA,23)</f>
        <v>0.05</v>
      </c>
      <c r="E147" s="145">
        <f>VLOOKUP($A147,'Data shares'!$C:$FA,26)*100</f>
        <v>0.06</v>
      </c>
      <c r="F147" s="144">
        <f>VLOOKUP($A147,'Data shares'!$C:$FA,24)</f>
        <v>0.11</v>
      </c>
      <c r="G147" s="144">
        <f>VLOOKUP($A147,'Data shares'!$C:$FA,25)</f>
        <v>-0.06</v>
      </c>
    </row>
    <row r="148" spans="1:7" x14ac:dyDescent="0.25">
      <c r="A148" s="101" t="str">
        <f>'Data shares'!C144</f>
        <v>NIFTY</v>
      </c>
      <c r="B148" s="144">
        <f>VLOOKUP($A148,'Data shares'!$C:$FA,7)</f>
        <v>26192.15</v>
      </c>
      <c r="C148" s="144">
        <f>VLOOKUP($A148,'Data shares'!$C:$FA,3)</f>
        <v>26220.799999999999</v>
      </c>
      <c r="D148" s="144">
        <f>VLOOKUP($A148,'Data shares'!$C:$FA,23)</f>
        <v>28.65</v>
      </c>
      <c r="E148" s="145">
        <f>VLOOKUP($A148,'Data shares'!$C:$FA,26)*100</f>
        <v>0.11</v>
      </c>
      <c r="F148" s="144">
        <f>VLOOKUP($A148,'Data shares'!$C:$FA,24)</f>
        <v>18.350000000000001</v>
      </c>
      <c r="G148" s="144">
        <f>VLOOKUP($A148,'Data shares'!$C:$FA,25)</f>
        <v>10.3</v>
      </c>
    </row>
    <row r="149" spans="1:7" x14ac:dyDescent="0.25">
      <c r="A149" s="101" t="str">
        <f>'Data shares'!C145</f>
        <v>NIFTYNXT50</v>
      </c>
      <c r="B149" s="144">
        <f>VLOOKUP($A149,'Data shares'!$C:$FA,7)</f>
        <v>69567.75</v>
      </c>
      <c r="C149" s="144">
        <f>VLOOKUP($A149,'Data shares'!$C:$FA,3)</f>
        <v>69623.399999999994</v>
      </c>
      <c r="D149" s="144">
        <f>VLOOKUP($A149,'Data shares'!$C:$FA,23)</f>
        <v>55.65</v>
      </c>
      <c r="E149" s="145">
        <f>VLOOKUP($A149,'Data shares'!$C:$FA,26)*100</f>
        <v>0.08</v>
      </c>
      <c r="F149" s="144">
        <f>VLOOKUP($A149,'Data shares'!$C:$FA,24)</f>
        <v>22.95</v>
      </c>
      <c r="G149" s="144">
        <f>VLOOKUP($A149,'Data shares'!$C:$FA,25)</f>
        <v>32.700000000000003</v>
      </c>
    </row>
    <row r="150" spans="1:7" x14ac:dyDescent="0.25">
      <c r="A150" s="101" t="str">
        <f>'Data shares'!C146</f>
        <v>NMDC</v>
      </c>
      <c r="B150" s="144">
        <f>VLOOKUP($A150,'Data shares'!$C:$FA,7)</f>
        <v>74.459999999999994</v>
      </c>
      <c r="C150" s="144">
        <f>VLOOKUP($A150,'Data shares'!$C:$FA,3)</f>
        <v>74.489999999999995</v>
      </c>
      <c r="D150" s="144">
        <f>VLOOKUP($A150,'Data shares'!$C:$FA,23)</f>
        <v>0.03</v>
      </c>
      <c r="E150" s="145">
        <f>VLOOKUP($A150,'Data shares'!$C:$FA,26)*100</f>
        <v>0.04</v>
      </c>
      <c r="F150" s="144">
        <f>VLOOKUP($A150,'Data shares'!$C:$FA,24)</f>
        <v>-0.06</v>
      </c>
      <c r="G150" s="144">
        <f>VLOOKUP($A150,'Data shares'!$C:$FA,25)</f>
        <v>0.09</v>
      </c>
    </row>
    <row r="151" spans="1:7" x14ac:dyDescent="0.25">
      <c r="A151" s="101" t="str">
        <f>'Data shares'!C147</f>
        <v>NTPC</v>
      </c>
      <c r="B151" s="144">
        <f>VLOOKUP($A151,'Data shares'!$C:$FA,7)</f>
        <v>326.60000000000002</v>
      </c>
      <c r="C151" s="144">
        <f>VLOOKUP($A151,'Data shares'!$C:$FA,3)</f>
        <v>327</v>
      </c>
      <c r="D151" s="144">
        <f>VLOOKUP($A151,'Data shares'!$C:$FA,23)</f>
        <v>0.4</v>
      </c>
      <c r="E151" s="145">
        <f>VLOOKUP($A151,'Data shares'!$C:$FA,26)*100</f>
        <v>0.12</v>
      </c>
      <c r="F151" s="144">
        <f>VLOOKUP($A151,'Data shares'!$C:$FA,24)</f>
        <v>-0.3</v>
      </c>
      <c r="G151" s="144">
        <f>VLOOKUP($A151,'Data shares'!$C:$FA,25)</f>
        <v>0.7</v>
      </c>
    </row>
    <row r="152" spans="1:7" x14ac:dyDescent="0.25">
      <c r="A152" s="101" t="str">
        <f>'Data shares'!C148</f>
        <v>NUVAMA</v>
      </c>
      <c r="B152" s="144">
        <f>VLOOKUP($A152,'Data shares'!$C:$FA,7)</f>
        <v>7336</v>
      </c>
      <c r="C152" s="144">
        <f>VLOOKUP($A152,'Data shares'!$C:$FA,3)</f>
        <v>7342</v>
      </c>
      <c r="D152" s="144">
        <f>VLOOKUP($A152,'Data shares'!$C:$FA,23)</f>
        <v>6</v>
      </c>
      <c r="E152" s="145">
        <f>VLOOKUP($A152,'Data shares'!$C:$FA,26)*100</f>
        <v>0.08</v>
      </c>
      <c r="F152" s="144">
        <f>VLOOKUP($A152,'Data shares'!$C:$FA,24)</f>
        <v>21.5</v>
      </c>
      <c r="G152" s="144">
        <f>VLOOKUP($A152,'Data shares'!$C:$FA,25)</f>
        <v>-15.5</v>
      </c>
    </row>
    <row r="153" spans="1:7" x14ac:dyDescent="0.25">
      <c r="A153" s="101" t="str">
        <f>'Data shares'!C149</f>
        <v>NYKAA</v>
      </c>
      <c r="B153" s="144">
        <f>VLOOKUP($A153,'Data shares'!$C:$FA,7)</f>
        <v>268.74</v>
      </c>
      <c r="C153" s="144">
        <f>VLOOKUP($A153,'Data shares'!$C:$FA,3)</f>
        <v>269.16000000000003</v>
      </c>
      <c r="D153" s="144">
        <f>VLOOKUP($A153,'Data shares'!$C:$FA,23)</f>
        <v>0.42</v>
      </c>
      <c r="E153" s="145">
        <f>VLOOKUP($A153,'Data shares'!$C:$FA,26)*100</f>
        <v>0.16</v>
      </c>
      <c r="F153" s="144">
        <f>VLOOKUP($A153,'Data shares'!$C:$FA,24)</f>
        <v>-0.32</v>
      </c>
      <c r="G153" s="144">
        <f>VLOOKUP($A153,'Data shares'!$C:$FA,25)</f>
        <v>0.74</v>
      </c>
    </row>
    <row r="154" spans="1:7" x14ac:dyDescent="0.25">
      <c r="A154" s="101" t="str">
        <f>'Data shares'!C150</f>
        <v>OBEROIRLTY</v>
      </c>
      <c r="B154" s="144">
        <f>VLOOKUP($A154,'Data shares'!$C:$FA,7)</f>
        <v>1708.5</v>
      </c>
      <c r="C154" s="144">
        <f>VLOOKUP($A154,'Data shares'!$C:$FA,3)</f>
        <v>1709.5</v>
      </c>
      <c r="D154" s="144">
        <f>VLOOKUP($A154,'Data shares'!$C:$FA,23)</f>
        <v>1</v>
      </c>
      <c r="E154" s="145">
        <f>VLOOKUP($A154,'Data shares'!$C:$FA,26)*100</f>
        <v>0.06</v>
      </c>
      <c r="F154" s="144">
        <f>VLOOKUP($A154,'Data shares'!$C:$FA,24)</f>
        <v>5.5</v>
      </c>
      <c r="G154" s="144">
        <f>VLOOKUP($A154,'Data shares'!$C:$FA,25)</f>
        <v>-4.5</v>
      </c>
    </row>
    <row r="155" spans="1:7" x14ac:dyDescent="0.25">
      <c r="A155" s="101" t="str">
        <f>'Data shares'!C151</f>
        <v>OFSS</v>
      </c>
      <c r="B155" s="144">
        <f>VLOOKUP($A155,'Data shares'!$C:$FA,7)</f>
        <v>8372.5</v>
      </c>
      <c r="C155" s="144">
        <f>VLOOKUP($A155,'Data shares'!$C:$FA,3)</f>
        <v>8398</v>
      </c>
      <c r="D155" s="144">
        <f>VLOOKUP($A155,'Data shares'!$C:$FA,23)</f>
        <v>25.5</v>
      </c>
      <c r="E155" s="145">
        <f>VLOOKUP($A155,'Data shares'!$C:$FA,26)*100</f>
        <v>0.3</v>
      </c>
      <c r="F155" s="144">
        <f>VLOOKUP($A155,'Data shares'!$C:$FA,24)</f>
        <v>23</v>
      </c>
      <c r="G155" s="144">
        <f>VLOOKUP($A155,'Data shares'!$C:$FA,25)</f>
        <v>2.5</v>
      </c>
    </row>
    <row r="156" spans="1:7" x14ac:dyDescent="0.25">
      <c r="A156" s="101" t="str">
        <f>'Data shares'!C152</f>
        <v>OIL</v>
      </c>
      <c r="B156" s="144">
        <f>VLOOKUP($A156,'Data shares'!$C:$FA,7)</f>
        <v>436.2</v>
      </c>
      <c r="C156" s="144">
        <f>VLOOKUP($A156,'Data shares'!$C:$FA,3)</f>
        <v>433.05</v>
      </c>
      <c r="D156" s="144">
        <f>VLOOKUP($A156,'Data shares'!$C:$FA,23)</f>
        <v>-3.15</v>
      </c>
      <c r="E156" s="145">
        <f>VLOOKUP($A156,'Data shares'!$C:$FA,26)*100</f>
        <v>-0.72</v>
      </c>
      <c r="F156" s="144">
        <f>VLOOKUP($A156,'Data shares'!$C:$FA,24)</f>
        <v>-3.35</v>
      </c>
      <c r="G156" s="144">
        <f>VLOOKUP($A156,'Data shares'!$C:$FA,25)</f>
        <v>0.2</v>
      </c>
    </row>
    <row r="157" spans="1:7" x14ac:dyDescent="0.25">
      <c r="A157" s="101" t="str">
        <f>'Data shares'!C153</f>
        <v>ONGC</v>
      </c>
      <c r="B157" s="144">
        <f>VLOOKUP($A157,'Data shares'!$C:$FA,7)</f>
        <v>248.05</v>
      </c>
      <c r="C157" s="144">
        <f>VLOOKUP($A157,'Data shares'!$C:$FA,3)</f>
        <v>248.1</v>
      </c>
      <c r="D157" s="144">
        <f>VLOOKUP($A157,'Data shares'!$C:$FA,23)</f>
        <v>0.05</v>
      </c>
      <c r="E157" s="145">
        <f>VLOOKUP($A157,'Data shares'!$C:$FA,26)*100</f>
        <v>0.02</v>
      </c>
      <c r="F157" s="144">
        <f>VLOOKUP($A157,'Data shares'!$C:$FA,24)</f>
        <v>0.05</v>
      </c>
      <c r="G157" s="144">
        <f>VLOOKUP($A157,'Data shares'!$C:$FA,25)</f>
        <v>0</v>
      </c>
    </row>
    <row r="158" spans="1:7" x14ac:dyDescent="0.25">
      <c r="A158" s="101" t="str">
        <f>'Data shares'!C154</f>
        <v>PAGEIND</v>
      </c>
      <c r="B158" s="144">
        <f>VLOOKUP($A158,'Data shares'!$C:$FA,7)</f>
        <v>38565</v>
      </c>
      <c r="C158" s="144">
        <f>VLOOKUP($A158,'Data shares'!$C:$FA,3)</f>
        <v>38670</v>
      </c>
      <c r="D158" s="144">
        <f>VLOOKUP($A158,'Data shares'!$C:$FA,23)</f>
        <v>105</v>
      </c>
      <c r="E158" s="145">
        <f>VLOOKUP($A158,'Data shares'!$C:$FA,26)*100</f>
        <v>0.27</v>
      </c>
      <c r="F158" s="144">
        <f>VLOOKUP($A158,'Data shares'!$C:$FA,24)</f>
        <v>135</v>
      </c>
      <c r="G158" s="144">
        <f>VLOOKUP($A158,'Data shares'!$C:$FA,25)</f>
        <v>-30</v>
      </c>
    </row>
    <row r="159" spans="1:7" x14ac:dyDescent="0.25">
      <c r="A159" s="101" t="str">
        <f>'Data shares'!C155</f>
        <v>PATANJALI</v>
      </c>
      <c r="B159" s="144">
        <f>VLOOKUP($A159,'Data shares'!$C:$FA,7)</f>
        <v>584.25</v>
      </c>
      <c r="C159" s="144">
        <f>VLOOKUP($A159,'Data shares'!$C:$FA,3)</f>
        <v>582.9</v>
      </c>
      <c r="D159" s="144">
        <f>VLOOKUP($A159,'Data shares'!$C:$FA,23)</f>
        <v>-1.35</v>
      </c>
      <c r="E159" s="145">
        <f>VLOOKUP($A159,'Data shares'!$C:$FA,26)*100</f>
        <v>-0.22999999999999998</v>
      </c>
      <c r="F159" s="144">
        <f>VLOOKUP($A159,'Data shares'!$C:$FA,24)</f>
        <v>-0.85</v>
      </c>
      <c r="G159" s="144">
        <f>VLOOKUP($A159,'Data shares'!$C:$FA,25)</f>
        <v>-0.5</v>
      </c>
    </row>
    <row r="160" spans="1:7" x14ac:dyDescent="0.25">
      <c r="A160" s="101" t="str">
        <f>'Data shares'!C156</f>
        <v>PAYTM</v>
      </c>
      <c r="B160" s="144">
        <f>VLOOKUP($A160,'Data shares'!$C:$FA,7)</f>
        <v>1283.9000000000001</v>
      </c>
      <c r="C160" s="144">
        <f>VLOOKUP($A160,'Data shares'!$C:$FA,3)</f>
        <v>1283.8</v>
      </c>
      <c r="D160" s="144">
        <f>VLOOKUP($A160,'Data shares'!$C:$FA,23)</f>
        <v>-0.1</v>
      </c>
      <c r="E160" s="145">
        <f>VLOOKUP($A160,'Data shares'!$C:$FA,26)*100</f>
        <v>-0.01</v>
      </c>
      <c r="F160" s="144">
        <f>VLOOKUP($A160,'Data shares'!$C:$FA,24)</f>
        <v>2</v>
      </c>
      <c r="G160" s="144">
        <f>VLOOKUP($A160,'Data shares'!$C:$FA,25)</f>
        <v>-2.1</v>
      </c>
    </row>
    <row r="161" spans="1:7" x14ac:dyDescent="0.25">
      <c r="A161" s="101" t="str">
        <f>'Data shares'!C157</f>
        <v>PERSISTENT</v>
      </c>
      <c r="B161" s="144">
        <f>VLOOKUP($A161,'Data shares'!$C:$FA,7)</f>
        <v>6350.5</v>
      </c>
      <c r="C161" s="144">
        <f>VLOOKUP($A161,'Data shares'!$C:$FA,3)</f>
        <v>6350</v>
      </c>
      <c r="D161" s="144">
        <f>VLOOKUP($A161,'Data shares'!$C:$FA,23)</f>
        <v>-0.5</v>
      </c>
      <c r="E161" s="145">
        <f>VLOOKUP($A161,'Data shares'!$C:$FA,26)*100</f>
        <v>-0.01</v>
      </c>
      <c r="F161" s="144">
        <f>VLOOKUP($A161,'Data shares'!$C:$FA,24)</f>
        <v>5</v>
      </c>
      <c r="G161" s="144">
        <f>VLOOKUP($A161,'Data shares'!$C:$FA,25)</f>
        <v>-5.5</v>
      </c>
    </row>
    <row r="162" spans="1:7" x14ac:dyDescent="0.25">
      <c r="A162" s="101" t="str">
        <f>'Data shares'!C158</f>
        <v>PETRONET</v>
      </c>
      <c r="B162" s="144">
        <f>VLOOKUP($A162,'Data shares'!$C:$FA,7)</f>
        <v>274.35000000000002</v>
      </c>
      <c r="C162" s="144">
        <f>VLOOKUP($A162,'Data shares'!$C:$FA,3)</f>
        <v>274.14999999999998</v>
      </c>
      <c r="D162" s="144">
        <f>VLOOKUP($A162,'Data shares'!$C:$FA,23)</f>
        <v>-0.2</v>
      </c>
      <c r="E162" s="145">
        <f>VLOOKUP($A162,'Data shares'!$C:$FA,26)*100</f>
        <v>-6.9999999999999993E-2</v>
      </c>
      <c r="F162" s="144">
        <f>VLOOKUP($A162,'Data shares'!$C:$FA,24)</f>
        <v>0.1</v>
      </c>
      <c r="G162" s="144">
        <f>VLOOKUP($A162,'Data shares'!$C:$FA,25)</f>
        <v>-0.3</v>
      </c>
    </row>
    <row r="163" spans="1:7" x14ac:dyDescent="0.25">
      <c r="A163" s="101" t="str">
        <f>'Data shares'!C159</f>
        <v>PFC</v>
      </c>
      <c r="B163" s="144">
        <f>VLOOKUP($A163,'Data shares'!$C:$FA,7)</f>
        <v>372.75</v>
      </c>
      <c r="C163" s="144">
        <f>VLOOKUP($A163,'Data shares'!$C:$FA,3)</f>
        <v>373.4</v>
      </c>
      <c r="D163" s="144">
        <f>VLOOKUP($A163,'Data shares'!$C:$FA,23)</f>
        <v>0.65</v>
      </c>
      <c r="E163" s="145">
        <f>VLOOKUP($A163,'Data shares'!$C:$FA,26)*100</f>
        <v>0.16999999999999998</v>
      </c>
      <c r="F163" s="144">
        <f>VLOOKUP($A163,'Data shares'!$C:$FA,24)</f>
        <v>0.5</v>
      </c>
      <c r="G163" s="144">
        <f>VLOOKUP($A163,'Data shares'!$C:$FA,25)</f>
        <v>0.15</v>
      </c>
    </row>
    <row r="164" spans="1:7" x14ac:dyDescent="0.25">
      <c r="A164" s="101" t="str">
        <f>'Data shares'!C160</f>
        <v>PGEL</v>
      </c>
      <c r="B164" s="144">
        <f>VLOOKUP($A164,'Data shares'!$C:$FA,7)</f>
        <v>590.54999999999995</v>
      </c>
      <c r="C164" s="144">
        <f>VLOOKUP($A164,'Data shares'!$C:$FA,3)</f>
        <v>593.15</v>
      </c>
      <c r="D164" s="144">
        <f>VLOOKUP($A164,'Data shares'!$C:$FA,23)</f>
        <v>2.6</v>
      </c>
      <c r="E164" s="145">
        <f>VLOOKUP($A164,'Data shares'!$C:$FA,26)*100</f>
        <v>0.44</v>
      </c>
      <c r="F164" s="144">
        <f>VLOOKUP($A164,'Data shares'!$C:$FA,24)</f>
        <v>1.55</v>
      </c>
      <c r="G164" s="144">
        <f>VLOOKUP($A164,'Data shares'!$C:$FA,25)</f>
        <v>1.05</v>
      </c>
    </row>
    <row r="165" spans="1:7" x14ac:dyDescent="0.25">
      <c r="A165" s="101" t="str">
        <f>'Data shares'!C161</f>
        <v>PHOENIXLTD</v>
      </c>
      <c r="B165" s="144">
        <f>VLOOKUP($A165,'Data shares'!$C:$FA,7)</f>
        <v>1715.7</v>
      </c>
      <c r="C165" s="144">
        <f>VLOOKUP($A165,'Data shares'!$C:$FA,3)</f>
        <v>1718.8</v>
      </c>
      <c r="D165" s="144">
        <f>VLOOKUP($A165,'Data shares'!$C:$FA,23)</f>
        <v>3.1</v>
      </c>
      <c r="E165" s="145">
        <f>VLOOKUP($A165,'Data shares'!$C:$FA,26)*100</f>
        <v>0.18</v>
      </c>
      <c r="F165" s="144">
        <f>VLOOKUP($A165,'Data shares'!$C:$FA,24)</f>
        <v>2.1</v>
      </c>
      <c r="G165" s="144">
        <f>VLOOKUP($A165,'Data shares'!$C:$FA,25)</f>
        <v>1</v>
      </c>
    </row>
    <row r="166" spans="1:7" x14ac:dyDescent="0.25">
      <c r="A166" s="101" t="str">
        <f>'Data shares'!C162</f>
        <v>PIDILITIND</v>
      </c>
      <c r="B166" s="144">
        <f>VLOOKUP($A166,'Data shares'!$C:$FA,7)</f>
        <v>1489</v>
      </c>
      <c r="C166" s="144">
        <f>VLOOKUP($A166,'Data shares'!$C:$FA,3)</f>
        <v>1488.3</v>
      </c>
      <c r="D166" s="144">
        <f>VLOOKUP($A166,'Data shares'!$C:$FA,23)</f>
        <v>-0.7</v>
      </c>
      <c r="E166" s="145">
        <f>VLOOKUP($A166,'Data shares'!$C:$FA,26)*100</f>
        <v>-0.05</v>
      </c>
      <c r="F166" s="144">
        <f>VLOOKUP($A166,'Data shares'!$C:$FA,24)</f>
        <v>-0.9</v>
      </c>
      <c r="G166" s="144">
        <f>VLOOKUP($A166,'Data shares'!$C:$FA,25)</f>
        <v>0.2</v>
      </c>
    </row>
    <row r="167" spans="1:7" x14ac:dyDescent="0.25">
      <c r="A167" s="101" t="str">
        <f>'Data shares'!C163</f>
        <v>PIIND</v>
      </c>
      <c r="B167" s="144">
        <f>VLOOKUP($A167,'Data shares'!$C:$FA,7)</f>
        <v>3441.1</v>
      </c>
      <c r="C167" s="144">
        <f>VLOOKUP($A167,'Data shares'!$C:$FA,3)</f>
        <v>3452.4</v>
      </c>
      <c r="D167" s="144">
        <f>VLOOKUP($A167,'Data shares'!$C:$FA,23)</f>
        <v>11.3</v>
      </c>
      <c r="E167" s="145">
        <f>VLOOKUP($A167,'Data shares'!$C:$FA,26)*100</f>
        <v>0.33</v>
      </c>
      <c r="F167" s="144">
        <f>VLOOKUP($A167,'Data shares'!$C:$FA,24)</f>
        <v>11</v>
      </c>
      <c r="G167" s="144">
        <f>VLOOKUP($A167,'Data shares'!$C:$FA,25)</f>
        <v>0.3</v>
      </c>
    </row>
    <row r="168" spans="1:7" s="175" customFormat="1" x14ac:dyDescent="0.25">
      <c r="A168" s="101" t="str">
        <f>'Data shares'!C164</f>
        <v>PNB</v>
      </c>
      <c r="B168" s="144">
        <f>VLOOKUP($A168,'Data shares'!$C:$FA,7)</f>
        <v>123.86</v>
      </c>
      <c r="C168" s="144">
        <f>VLOOKUP($A168,'Data shares'!$C:$FA,3)</f>
        <v>123.83</v>
      </c>
      <c r="D168" s="144">
        <f>VLOOKUP($A168,'Data shares'!$C:$FA,23)</f>
        <v>-0.03</v>
      </c>
      <c r="E168" s="145">
        <f>VLOOKUP($A168,'Data shares'!$C:$FA,26)*100</f>
        <v>-0.02</v>
      </c>
      <c r="F168" s="144">
        <f>VLOOKUP($A168,'Data shares'!$C:$FA,24)</f>
        <v>0.18</v>
      </c>
      <c r="G168" s="144">
        <f>VLOOKUP($A168,'Data shares'!$C:$FA,25)</f>
        <v>-0.21</v>
      </c>
    </row>
    <row r="169" spans="1:7" x14ac:dyDescent="0.25">
      <c r="A169" s="101" t="str">
        <f>'Data shares'!C165</f>
        <v>PNBHOUSING</v>
      </c>
      <c r="B169" s="144">
        <f>VLOOKUP($A169,'Data shares'!$C:$FA,7)</f>
        <v>905.25</v>
      </c>
      <c r="C169" s="144">
        <f>VLOOKUP($A169,'Data shares'!$C:$FA,3)</f>
        <v>904.8</v>
      </c>
      <c r="D169" s="144">
        <f>VLOOKUP($A169,'Data shares'!$C:$FA,23)</f>
        <v>-0.45</v>
      </c>
      <c r="E169" s="145">
        <f>VLOOKUP($A169,'Data shares'!$C:$FA,26)*100</f>
        <v>-0.05</v>
      </c>
      <c r="F169" s="144">
        <f>VLOOKUP($A169,'Data shares'!$C:$FA,24)</f>
        <v>0.05</v>
      </c>
      <c r="G169" s="144">
        <f>VLOOKUP($A169,'Data shares'!$C:$FA,25)</f>
        <v>-0.5</v>
      </c>
    </row>
    <row r="170" spans="1:7" x14ac:dyDescent="0.25">
      <c r="A170" s="101" t="str">
        <f>'Data shares'!C166</f>
        <v>POLICYBZR</v>
      </c>
      <c r="B170" s="144">
        <f>VLOOKUP($A170,'Data shares'!$C:$FA,7)</f>
        <v>1843.9</v>
      </c>
      <c r="C170" s="144">
        <f>VLOOKUP($A170,'Data shares'!$C:$FA,3)</f>
        <v>1842.6</v>
      </c>
      <c r="D170" s="144">
        <f>VLOOKUP($A170,'Data shares'!$C:$FA,23)</f>
        <v>-1.3</v>
      </c>
      <c r="E170" s="145">
        <f>VLOOKUP($A170,'Data shares'!$C:$FA,26)*100</f>
        <v>-6.9999999999999993E-2</v>
      </c>
      <c r="F170" s="144">
        <f>VLOOKUP($A170,'Data shares'!$C:$FA,24)</f>
        <v>2.2999999999999998</v>
      </c>
      <c r="G170" s="144">
        <f>VLOOKUP($A170,'Data shares'!$C:$FA,25)</f>
        <v>-3.6</v>
      </c>
    </row>
    <row r="171" spans="1:7" x14ac:dyDescent="0.25">
      <c r="A171" s="101" t="str">
        <f>'Data shares'!C167</f>
        <v>POLYCAB</v>
      </c>
      <c r="B171" s="144">
        <f>VLOOKUP($A171,'Data shares'!$C:$FA,7)</f>
        <v>7648.5</v>
      </c>
      <c r="C171" s="144">
        <f>VLOOKUP($A171,'Data shares'!$C:$FA,3)</f>
        <v>7658.5</v>
      </c>
      <c r="D171" s="144">
        <f>VLOOKUP($A171,'Data shares'!$C:$FA,23)</f>
        <v>10</v>
      </c>
      <c r="E171" s="145">
        <f>VLOOKUP($A171,'Data shares'!$C:$FA,26)*100</f>
        <v>0.13</v>
      </c>
      <c r="F171" s="144">
        <f>VLOOKUP($A171,'Data shares'!$C:$FA,24)</f>
        <v>5.5</v>
      </c>
      <c r="G171" s="144">
        <f>VLOOKUP($A171,'Data shares'!$C:$FA,25)</f>
        <v>4.5</v>
      </c>
    </row>
    <row r="172" spans="1:7" x14ac:dyDescent="0.25">
      <c r="A172" s="101" t="str">
        <f>'Data shares'!C168</f>
        <v>POWERGRID</v>
      </c>
      <c r="B172" s="144">
        <f>VLOOKUP($A172,'Data shares'!$C:$FA,7)</f>
        <v>277.2</v>
      </c>
      <c r="C172" s="144">
        <f>VLOOKUP($A172,'Data shares'!$C:$FA,3)</f>
        <v>276.95</v>
      </c>
      <c r="D172" s="144">
        <f>VLOOKUP($A172,'Data shares'!$C:$FA,23)</f>
        <v>-0.25</v>
      </c>
      <c r="E172" s="145">
        <f>VLOOKUP($A172,'Data shares'!$C:$FA,26)*100</f>
        <v>-0.09</v>
      </c>
      <c r="F172" s="144">
        <f>VLOOKUP($A172,'Data shares'!$C:$FA,24)</f>
        <v>-0.15</v>
      </c>
      <c r="G172" s="144">
        <f>VLOOKUP($A172,'Data shares'!$C:$FA,25)</f>
        <v>-0.1</v>
      </c>
    </row>
    <row r="173" spans="1:7" x14ac:dyDescent="0.25">
      <c r="A173" s="101" t="str">
        <f>'Data shares'!C169</f>
        <v>POWERINDIA</v>
      </c>
      <c r="B173" s="144">
        <f>VLOOKUP($A173,'Data shares'!$C:$FA,7)</f>
        <v>22397</v>
      </c>
      <c r="C173" s="144">
        <f>VLOOKUP($A173,'Data shares'!$C:$FA,3)</f>
        <v>22389</v>
      </c>
      <c r="D173" s="144">
        <f>VLOOKUP($A173,'Data shares'!$C:$FA,23)</f>
        <v>-8</v>
      </c>
      <c r="E173" s="145">
        <f>VLOOKUP($A173,'Data shares'!$C:$FA,26)*100</f>
        <v>-0.04</v>
      </c>
      <c r="F173" s="144">
        <f>VLOOKUP($A173,'Data shares'!$C:$FA,24)</f>
        <v>41</v>
      </c>
      <c r="G173" s="144">
        <f>VLOOKUP($A173,'Data shares'!$C:$FA,25)</f>
        <v>-49</v>
      </c>
    </row>
    <row r="174" spans="1:7" x14ac:dyDescent="0.25">
      <c r="A174" s="101" t="str">
        <f>'Data shares'!C170</f>
        <v>PPLPHARMA</v>
      </c>
      <c r="B174" s="144">
        <f>VLOOKUP($A174,'Data shares'!$C:$FA,7)</f>
        <v>189.64</v>
      </c>
      <c r="C174" s="144">
        <f>VLOOKUP($A174,'Data shares'!$C:$FA,3)</f>
        <v>189.63</v>
      </c>
      <c r="D174" s="144">
        <f>VLOOKUP($A174,'Data shares'!$C:$FA,23)</f>
        <v>-0.01</v>
      </c>
      <c r="E174" s="145">
        <f>VLOOKUP($A174,'Data shares'!$C:$FA,26)*100</f>
        <v>-0.01</v>
      </c>
      <c r="F174" s="144">
        <f>VLOOKUP($A174,'Data shares'!$C:$FA,24)</f>
        <v>0.54</v>
      </c>
      <c r="G174" s="144">
        <f>VLOOKUP($A174,'Data shares'!$C:$FA,25)</f>
        <v>-0.55000000000000004</v>
      </c>
    </row>
    <row r="175" spans="1:7" x14ac:dyDescent="0.25">
      <c r="A175" s="101" t="str">
        <f>'Data shares'!C171</f>
        <v>PRESTIGE</v>
      </c>
      <c r="B175" s="144">
        <f>VLOOKUP($A175,'Data shares'!$C:$FA,7)</f>
        <v>1717.2</v>
      </c>
      <c r="C175" s="144">
        <f>VLOOKUP($A175,'Data shares'!$C:$FA,3)</f>
        <v>1716.8</v>
      </c>
      <c r="D175" s="144">
        <f>VLOOKUP($A175,'Data shares'!$C:$FA,23)</f>
        <v>-0.4</v>
      </c>
      <c r="E175" s="145">
        <f>VLOOKUP($A175,'Data shares'!$C:$FA,26)*100</f>
        <v>-0.02</v>
      </c>
      <c r="F175" s="144">
        <f>VLOOKUP($A175,'Data shares'!$C:$FA,24)</f>
        <v>5</v>
      </c>
      <c r="G175" s="144">
        <f>VLOOKUP($A175,'Data shares'!$C:$FA,25)</f>
        <v>-5.4</v>
      </c>
    </row>
    <row r="176" spans="1:7" x14ac:dyDescent="0.25">
      <c r="A176" s="101" t="str">
        <f>'Data shares'!C172</f>
        <v>RBLBANK</v>
      </c>
      <c r="B176" s="144">
        <f>VLOOKUP($A176,'Data shares'!$C:$FA,7)</f>
        <v>313.64999999999998</v>
      </c>
      <c r="C176" s="144">
        <f>VLOOKUP($A176,'Data shares'!$C:$FA,3)</f>
        <v>313.5</v>
      </c>
      <c r="D176" s="144">
        <f>VLOOKUP($A176,'Data shares'!$C:$FA,23)</f>
        <v>-0.15</v>
      </c>
      <c r="E176" s="145">
        <f>VLOOKUP($A176,'Data shares'!$C:$FA,26)*100</f>
        <v>-0.05</v>
      </c>
      <c r="F176" s="144">
        <f>VLOOKUP($A176,'Data shares'!$C:$FA,24)</f>
        <v>0.9</v>
      </c>
      <c r="G176" s="144">
        <f>VLOOKUP($A176,'Data shares'!$C:$FA,25)</f>
        <v>-1.05</v>
      </c>
    </row>
    <row r="177" spans="1:7" x14ac:dyDescent="0.25">
      <c r="A177" s="101" t="str">
        <f>'Data shares'!C173</f>
        <v>RECLTD</v>
      </c>
      <c r="B177" s="144">
        <f>VLOOKUP($A177,'Data shares'!$C:$FA,7)</f>
        <v>361.4</v>
      </c>
      <c r="C177" s="144">
        <f>VLOOKUP($A177,'Data shares'!$C:$FA,3)</f>
        <v>361.1</v>
      </c>
      <c r="D177" s="144">
        <f>VLOOKUP($A177,'Data shares'!$C:$FA,23)</f>
        <v>-0.3</v>
      </c>
      <c r="E177" s="145">
        <f>VLOOKUP($A177,'Data shares'!$C:$FA,26)*100</f>
        <v>-0.08</v>
      </c>
      <c r="F177" s="144">
        <f>VLOOKUP($A177,'Data shares'!$C:$FA,24)</f>
        <v>-0.25</v>
      </c>
      <c r="G177" s="144">
        <f>VLOOKUP($A177,'Data shares'!$C:$FA,25)</f>
        <v>-0.05</v>
      </c>
    </row>
    <row r="178" spans="1:7" x14ac:dyDescent="0.25">
      <c r="A178" s="101" t="str">
        <f>'Data shares'!C174</f>
        <v>RELIANCE</v>
      </c>
      <c r="B178" s="144">
        <f>VLOOKUP($A178,'Data shares'!$C:$FA,7)</f>
        <v>1549.1</v>
      </c>
      <c r="C178" s="144">
        <f>VLOOKUP($A178,'Data shares'!$C:$FA,3)</f>
        <v>1548</v>
      </c>
      <c r="D178" s="144">
        <f>VLOOKUP($A178,'Data shares'!$C:$FA,23)</f>
        <v>-1.1000000000000001</v>
      </c>
      <c r="E178" s="145">
        <f>VLOOKUP($A178,'Data shares'!$C:$FA,26)*100</f>
        <v>-6.9999999999999993E-2</v>
      </c>
      <c r="F178" s="144">
        <f>VLOOKUP($A178,'Data shares'!$C:$FA,24)</f>
        <v>-0.8</v>
      </c>
      <c r="G178" s="144">
        <f>VLOOKUP($A178,'Data shares'!$C:$FA,25)</f>
        <v>-0.3</v>
      </c>
    </row>
    <row r="179" spans="1:7" x14ac:dyDescent="0.25">
      <c r="A179" s="101" t="str">
        <f>'Data shares'!C175</f>
        <v>RVNL</v>
      </c>
      <c r="B179" s="144">
        <f>VLOOKUP($A179,'Data shares'!$C:$FA,7)</f>
        <v>319.10000000000002</v>
      </c>
      <c r="C179" s="144">
        <f>VLOOKUP($A179,'Data shares'!$C:$FA,3)</f>
        <v>319.60000000000002</v>
      </c>
      <c r="D179" s="144">
        <f>VLOOKUP($A179,'Data shares'!$C:$FA,23)</f>
        <v>0.5</v>
      </c>
      <c r="E179" s="145">
        <f>VLOOKUP($A179,'Data shares'!$C:$FA,26)*100</f>
        <v>0.16</v>
      </c>
      <c r="F179" s="144">
        <f>VLOOKUP($A179,'Data shares'!$C:$FA,24)</f>
        <v>-1.05</v>
      </c>
      <c r="G179" s="144">
        <f>VLOOKUP($A179,'Data shares'!$C:$FA,25)</f>
        <v>1.55</v>
      </c>
    </row>
    <row r="180" spans="1:7" x14ac:dyDescent="0.25">
      <c r="A180" s="101" t="str">
        <f>'Data shares'!C176</f>
        <v>SAIL</v>
      </c>
      <c r="B180" s="144">
        <f>VLOOKUP($A180,'Data shares'!$C:$FA,7)</f>
        <v>138.19</v>
      </c>
      <c r="C180" s="144">
        <f>VLOOKUP($A180,'Data shares'!$C:$FA,3)</f>
        <v>138.38</v>
      </c>
      <c r="D180" s="144">
        <f>VLOOKUP($A180,'Data shares'!$C:$FA,23)</f>
        <v>0.19</v>
      </c>
      <c r="E180" s="145">
        <f>VLOOKUP($A180,'Data shares'!$C:$FA,26)*100</f>
        <v>0.13999999999999999</v>
      </c>
      <c r="F180" s="144">
        <f>VLOOKUP($A180,'Data shares'!$C:$FA,24)</f>
        <v>-0.06</v>
      </c>
      <c r="G180" s="144">
        <f>VLOOKUP($A180,'Data shares'!$C:$FA,25)</f>
        <v>0.25</v>
      </c>
    </row>
    <row r="181" spans="1:7" x14ac:dyDescent="0.25">
      <c r="A181" s="101" t="str">
        <f>'Data shares'!C177</f>
        <v>SAMMAANCAP</v>
      </c>
      <c r="B181" s="144">
        <f>VLOOKUP($A181,'Data shares'!$C:$FA,7)</f>
        <v>157.02000000000001</v>
      </c>
      <c r="C181" s="144">
        <f>VLOOKUP($A181,'Data shares'!$C:$FA,3)</f>
        <v>157.49</v>
      </c>
      <c r="D181" s="144">
        <f>VLOOKUP($A181,'Data shares'!$C:$FA,23)</f>
        <v>0.47</v>
      </c>
      <c r="E181" s="145">
        <f>VLOOKUP($A181,'Data shares'!$C:$FA,26)*100</f>
        <v>0.3</v>
      </c>
      <c r="F181" s="144">
        <f>VLOOKUP($A181,'Data shares'!$C:$FA,24)</f>
        <v>0.57999999999999996</v>
      </c>
      <c r="G181" s="144">
        <f>VLOOKUP($A181,'Data shares'!$C:$FA,25)</f>
        <v>-0.11</v>
      </c>
    </row>
    <row r="182" spans="1:7" x14ac:dyDescent="0.25">
      <c r="A182" s="101" t="str">
        <f>'Data shares'!C178</f>
        <v>SBICARD</v>
      </c>
      <c r="B182" s="144">
        <f>VLOOKUP($A182,'Data shares'!$C:$FA,7)</f>
        <v>874.1</v>
      </c>
      <c r="C182" s="144">
        <f>VLOOKUP($A182,'Data shares'!$C:$FA,3)</f>
        <v>875.35</v>
      </c>
      <c r="D182" s="144">
        <f>VLOOKUP($A182,'Data shares'!$C:$FA,23)</f>
        <v>1.25</v>
      </c>
      <c r="E182" s="145">
        <f>VLOOKUP($A182,'Data shares'!$C:$FA,26)*100</f>
        <v>0.13999999999999999</v>
      </c>
      <c r="F182" s="144">
        <f>VLOOKUP($A182,'Data shares'!$C:$FA,24)</f>
        <v>2.9</v>
      </c>
      <c r="G182" s="144">
        <f>VLOOKUP($A182,'Data shares'!$C:$FA,25)</f>
        <v>-1.65</v>
      </c>
    </row>
    <row r="183" spans="1:7" x14ac:dyDescent="0.25">
      <c r="A183" s="101" t="str">
        <f>'Data shares'!C179</f>
        <v>SBILIFE</v>
      </c>
      <c r="B183" s="144">
        <f>VLOOKUP($A183,'Data shares'!$C:$FA,7)</f>
        <v>2027.1</v>
      </c>
      <c r="C183" s="144">
        <f>VLOOKUP($A183,'Data shares'!$C:$FA,3)</f>
        <v>2021.1</v>
      </c>
      <c r="D183" s="144">
        <f>VLOOKUP($A183,'Data shares'!$C:$FA,23)</f>
        <v>-6</v>
      </c>
      <c r="E183" s="145">
        <f>VLOOKUP($A183,'Data shares'!$C:$FA,26)*100</f>
        <v>-0.3</v>
      </c>
      <c r="F183" s="144">
        <f>VLOOKUP($A183,'Data shares'!$C:$FA,24)</f>
        <v>-2.4</v>
      </c>
      <c r="G183" s="144">
        <f>VLOOKUP($A183,'Data shares'!$C:$FA,25)</f>
        <v>-3.6</v>
      </c>
    </row>
    <row r="184" spans="1:7" x14ac:dyDescent="0.25">
      <c r="A184" s="101" t="str">
        <f>'Data shares'!C180</f>
        <v>SBIN</v>
      </c>
      <c r="B184" s="144">
        <f>VLOOKUP($A184,'Data shares'!$C:$FA,7)</f>
        <v>981.55</v>
      </c>
      <c r="C184" s="144">
        <f>VLOOKUP($A184,'Data shares'!$C:$FA,3)</f>
        <v>980.5</v>
      </c>
      <c r="D184" s="144">
        <f>VLOOKUP($A184,'Data shares'!$C:$FA,23)</f>
        <v>-1.05</v>
      </c>
      <c r="E184" s="145">
        <f>VLOOKUP($A184,'Data shares'!$C:$FA,26)*100</f>
        <v>-0.11</v>
      </c>
      <c r="F184" s="144">
        <f>VLOOKUP($A184,'Data shares'!$C:$FA,24)</f>
        <v>-0.6</v>
      </c>
      <c r="G184" s="144">
        <f>VLOOKUP($A184,'Data shares'!$C:$FA,25)</f>
        <v>-0.45</v>
      </c>
    </row>
    <row r="185" spans="1:7" x14ac:dyDescent="0.25">
      <c r="A185" s="101" t="str">
        <f>'Data shares'!C181</f>
        <v>SHREECEM</v>
      </c>
      <c r="B185" s="144">
        <f>VLOOKUP($A185,'Data shares'!$C:$FA,7)</f>
        <v>26480</v>
      </c>
      <c r="C185" s="144">
        <f>VLOOKUP($A185,'Data shares'!$C:$FA,3)</f>
        <v>26565</v>
      </c>
      <c r="D185" s="144">
        <f>VLOOKUP($A185,'Data shares'!$C:$FA,23)</f>
        <v>85</v>
      </c>
      <c r="E185" s="145">
        <f>VLOOKUP($A185,'Data shares'!$C:$FA,26)*100</f>
        <v>0.32</v>
      </c>
      <c r="F185" s="144">
        <f>VLOOKUP($A185,'Data shares'!$C:$FA,24)</f>
        <v>40</v>
      </c>
      <c r="G185" s="144">
        <f>VLOOKUP($A185,'Data shares'!$C:$FA,25)</f>
        <v>45</v>
      </c>
    </row>
    <row r="186" spans="1:7" x14ac:dyDescent="0.25">
      <c r="A186" s="101" t="str">
        <f>'Data shares'!C182</f>
        <v>SHRIRAMFIN</v>
      </c>
      <c r="B186" s="144">
        <f>VLOOKUP($A186,'Data shares'!$C:$FA,7)</f>
        <v>826.6</v>
      </c>
      <c r="C186" s="144">
        <f>VLOOKUP($A186,'Data shares'!$C:$FA,3)</f>
        <v>826.6</v>
      </c>
      <c r="D186" s="144">
        <f>VLOOKUP($A186,'Data shares'!$C:$FA,23)</f>
        <v>0</v>
      </c>
      <c r="E186" s="145">
        <f>VLOOKUP($A186,'Data shares'!$C:$FA,26)*100</f>
        <v>0</v>
      </c>
      <c r="F186" s="144">
        <f>VLOOKUP($A186,'Data shares'!$C:$FA,24)</f>
        <v>1.25</v>
      </c>
      <c r="G186" s="144">
        <f>VLOOKUP($A186,'Data shares'!$C:$FA,25)</f>
        <v>-1.25</v>
      </c>
    </row>
    <row r="187" spans="1:7" x14ac:dyDescent="0.25">
      <c r="A187" s="101" t="str">
        <f>'Data shares'!C183</f>
        <v>SIEMENS</v>
      </c>
      <c r="B187" s="144">
        <f>VLOOKUP($A187,'Data shares'!$C:$FA,7)</f>
        <v>3216.3</v>
      </c>
      <c r="C187" s="144">
        <f>VLOOKUP($A187,'Data shares'!$C:$FA,3)</f>
        <v>3222.8</v>
      </c>
      <c r="D187" s="144">
        <f>VLOOKUP($A187,'Data shares'!$C:$FA,23)</f>
        <v>6.5</v>
      </c>
      <c r="E187" s="145">
        <f>VLOOKUP($A187,'Data shares'!$C:$FA,26)*100</f>
        <v>0.2</v>
      </c>
      <c r="F187" s="144">
        <f>VLOOKUP($A187,'Data shares'!$C:$FA,24)</f>
        <v>1.2</v>
      </c>
      <c r="G187" s="144">
        <f>VLOOKUP($A187,'Data shares'!$C:$FA,25)</f>
        <v>5.3</v>
      </c>
    </row>
    <row r="188" spans="1:7" x14ac:dyDescent="0.25">
      <c r="A188" s="101" t="str">
        <f>'Data shares'!C184</f>
        <v>SOLARINDS</v>
      </c>
      <c r="B188" s="144">
        <f>VLOOKUP($A188,'Data shares'!$C:$FA,7)</f>
        <v>13951</v>
      </c>
      <c r="C188" s="144">
        <f>VLOOKUP($A188,'Data shares'!$C:$FA,3)</f>
        <v>13968</v>
      </c>
      <c r="D188" s="144">
        <f>VLOOKUP($A188,'Data shares'!$C:$FA,23)</f>
        <v>17</v>
      </c>
      <c r="E188" s="145">
        <f>VLOOKUP($A188,'Data shares'!$C:$FA,26)*100</f>
        <v>0.12</v>
      </c>
      <c r="F188" s="144">
        <f>VLOOKUP($A188,'Data shares'!$C:$FA,24)</f>
        <v>-5</v>
      </c>
      <c r="G188" s="144">
        <f>VLOOKUP($A188,'Data shares'!$C:$FA,25)</f>
        <v>22</v>
      </c>
    </row>
    <row r="189" spans="1:7" x14ac:dyDescent="0.25">
      <c r="A189" s="101"/>
      <c r="B189" s="144"/>
      <c r="C189" s="144"/>
      <c r="D189" s="144"/>
      <c r="E189" s="145"/>
      <c r="F189" s="144"/>
      <c r="G189" s="144"/>
    </row>
    <row r="190" spans="1:7" x14ac:dyDescent="0.25">
      <c r="A190" s="101"/>
      <c r="B190" s="144"/>
      <c r="C190" s="144"/>
      <c r="D190" s="144"/>
      <c r="E190" s="145"/>
      <c r="F190" s="144"/>
      <c r="G190" s="144"/>
    </row>
    <row r="191" spans="1:7" x14ac:dyDescent="0.25">
      <c r="A191" s="101"/>
      <c r="B191" s="144"/>
      <c r="C191" s="144"/>
      <c r="D191" s="144"/>
      <c r="E191" s="145"/>
      <c r="F191" s="144"/>
      <c r="G191" s="144"/>
    </row>
    <row r="192" spans="1:7" x14ac:dyDescent="0.25">
      <c r="A192" s="101"/>
      <c r="B192" s="144"/>
      <c r="C192" s="144"/>
      <c r="D192" s="144"/>
      <c r="E192" s="145"/>
      <c r="F192" s="144"/>
      <c r="G192" s="144"/>
    </row>
    <row r="193" spans="1:7" x14ac:dyDescent="0.25">
      <c r="A193" s="101"/>
      <c r="B193" s="144"/>
      <c r="C193" s="144"/>
      <c r="D193" s="144"/>
      <c r="E193" s="145"/>
      <c r="F193" s="144"/>
      <c r="G193" s="144"/>
    </row>
    <row r="194" spans="1:7" x14ac:dyDescent="0.25">
      <c r="A194" s="101"/>
      <c r="B194" s="144"/>
      <c r="C194" s="144"/>
      <c r="D194" s="144"/>
      <c r="E194" s="145"/>
      <c r="F194" s="144"/>
      <c r="G194" s="144"/>
    </row>
    <row r="195" spans="1:7" x14ac:dyDescent="0.25">
      <c r="A195" s="101"/>
      <c r="B195" s="144"/>
      <c r="C195" s="144"/>
      <c r="D195" s="144"/>
      <c r="E195" s="145"/>
      <c r="F195" s="144"/>
      <c r="G195" s="144"/>
    </row>
    <row r="196" spans="1:7" x14ac:dyDescent="0.25">
      <c r="A196" s="101"/>
      <c r="B196" s="144"/>
      <c r="C196" s="144"/>
      <c r="D196" s="144"/>
      <c r="E196" s="145"/>
      <c r="F196" s="144"/>
      <c r="G196" s="144"/>
    </row>
    <row r="197" spans="1:7" x14ac:dyDescent="0.25">
      <c r="A197" s="101"/>
      <c r="B197" s="144"/>
      <c r="C197" s="144"/>
      <c r="D197" s="144"/>
      <c r="E197" s="145"/>
      <c r="F197" s="144"/>
      <c r="G197" s="144"/>
    </row>
    <row r="198" spans="1:7" x14ac:dyDescent="0.25">
      <c r="A198" s="101"/>
      <c r="B198" s="144"/>
      <c r="C198" s="144"/>
      <c r="D198" s="144"/>
      <c r="E198" s="145"/>
      <c r="F198" s="144"/>
      <c r="G198" s="144"/>
    </row>
    <row r="199" spans="1:7" x14ac:dyDescent="0.25">
      <c r="A199" s="101"/>
      <c r="B199" s="144"/>
      <c r="C199" s="144"/>
      <c r="D199" s="144"/>
      <c r="E199" s="145"/>
      <c r="F199" s="144"/>
      <c r="G199" s="144"/>
    </row>
    <row r="200" spans="1:7" x14ac:dyDescent="0.25">
      <c r="A200" s="101"/>
      <c r="B200" s="144"/>
      <c r="C200" s="144"/>
      <c r="D200" s="144"/>
      <c r="E200" s="145"/>
      <c r="F200" s="144"/>
      <c r="G200" s="144"/>
    </row>
    <row r="201" spans="1:7" x14ac:dyDescent="0.25">
      <c r="A201" s="101"/>
      <c r="B201" s="144"/>
      <c r="C201" s="144"/>
      <c r="D201" s="144"/>
      <c r="E201" s="145"/>
      <c r="F201" s="144"/>
      <c r="G201" s="144"/>
    </row>
    <row r="202" spans="1:7" x14ac:dyDescent="0.25">
      <c r="A202" s="101"/>
      <c r="B202" s="144"/>
      <c r="C202" s="144"/>
      <c r="D202" s="144"/>
      <c r="E202" s="145"/>
      <c r="F202" s="144"/>
      <c r="G202" s="144"/>
    </row>
    <row r="203" spans="1:7" x14ac:dyDescent="0.25">
      <c r="A203" s="101"/>
      <c r="B203" s="144"/>
      <c r="C203" s="144"/>
      <c r="D203" s="144"/>
      <c r="E203" s="145"/>
      <c r="F203" s="144"/>
      <c r="G203" s="144"/>
    </row>
    <row r="204" spans="1:7" x14ac:dyDescent="0.25">
      <c r="A204" s="101"/>
      <c r="B204" s="144"/>
      <c r="C204" s="144"/>
      <c r="D204" s="144"/>
      <c r="E204" s="145"/>
      <c r="F204" s="144"/>
      <c r="G204" s="144"/>
    </row>
    <row r="205" spans="1:7" x14ac:dyDescent="0.25">
      <c r="A205" s="101"/>
      <c r="B205" s="144"/>
      <c r="C205" s="144"/>
      <c r="D205" s="144"/>
      <c r="E205" s="145"/>
      <c r="F205" s="144"/>
      <c r="G205" s="144"/>
    </row>
    <row r="206" spans="1:7" x14ac:dyDescent="0.25">
      <c r="A206" s="101">
        <f>'Data shares'!C217</f>
        <v>0</v>
      </c>
    </row>
  </sheetData>
  <mergeCells count="3">
    <mergeCell ref="A4:A5"/>
    <mergeCell ref="D4:G4"/>
    <mergeCell ref="A3:G3"/>
  </mergeCells>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08"/>
  <sheetViews>
    <sheetView workbookViewId="0">
      <pane ySplit="6" topLeftCell="A25" activePane="bottomLeft" state="frozen"/>
      <selection pane="bottomLeft" activeCell="A32" sqref="A32"/>
    </sheetView>
  </sheetViews>
  <sheetFormatPr defaultRowHeight="15" x14ac:dyDescent="0.25"/>
  <cols>
    <col min="1" max="1" width="21.42578125" customWidth="1"/>
    <col min="2" max="2" width="12.7109375" customWidth="1"/>
    <col min="3" max="7" width="10.42578125" customWidth="1"/>
  </cols>
  <sheetData>
    <row r="2" spans="1:7" ht="22.5" customHeight="1" thickBot="1" x14ac:dyDescent="0.3"/>
    <row r="3" spans="1:7" ht="19.5" customHeight="1" thickBot="1" x14ac:dyDescent="0.3">
      <c r="A3" s="312" t="s">
        <v>370</v>
      </c>
      <c r="B3" s="313"/>
      <c r="C3" s="313"/>
      <c r="D3" s="313"/>
      <c r="E3" s="313"/>
      <c r="F3" s="313"/>
      <c r="G3" s="314"/>
    </row>
    <row r="4" spans="1:7" x14ac:dyDescent="0.25">
      <c r="A4" s="316" t="s">
        <v>318</v>
      </c>
      <c r="B4" s="250" t="s">
        <v>371</v>
      </c>
      <c r="C4" s="250"/>
      <c r="D4" s="250"/>
      <c r="E4" s="250"/>
      <c r="F4" s="250"/>
      <c r="G4" s="250"/>
    </row>
    <row r="5" spans="1:7" x14ac:dyDescent="0.25">
      <c r="A5" s="317"/>
      <c r="B5" s="315" t="s">
        <v>372</v>
      </c>
      <c r="C5" s="315"/>
      <c r="D5" s="315"/>
      <c r="E5" s="315" t="s">
        <v>373</v>
      </c>
      <c r="F5" s="315"/>
      <c r="G5" s="315"/>
    </row>
    <row r="6" spans="1:7" x14ac:dyDescent="0.25">
      <c r="A6" s="250"/>
      <c r="B6" s="2" t="s">
        <v>374</v>
      </c>
      <c r="C6" s="2" t="s">
        <v>375</v>
      </c>
      <c r="D6" s="2" t="s">
        <v>376</v>
      </c>
      <c r="E6" s="2" t="s">
        <v>377</v>
      </c>
      <c r="F6" s="2" t="s">
        <v>378</v>
      </c>
      <c r="G6" s="2" t="s">
        <v>379</v>
      </c>
    </row>
    <row r="7" spans="1:7" x14ac:dyDescent="0.25">
      <c r="A7" s="49" t="str">
        <f>'Data shares'!C2</f>
        <v>360ONE</v>
      </c>
      <c r="B7" s="50">
        <f>VLOOKUP($A7,'Data shares'!$C:$FM,102)</f>
        <v>27.01</v>
      </c>
      <c r="C7" s="50">
        <f>VLOOKUP($A7,'Data shares'!$C:$FM,110)</f>
        <v>26.62</v>
      </c>
      <c r="D7" s="50">
        <f>VLOOKUP($A7,'Data shares'!$C:$FM,114)</f>
        <v>27.95</v>
      </c>
      <c r="E7" s="50">
        <f>VLOOKUP($A7,'Data shares'!$C:$FM,106)</f>
        <v>44.66</v>
      </c>
      <c r="F7" s="50">
        <f>VLOOKUP($A7,'Data shares'!$C:$FM,108)</f>
        <v>-17.649999999999999</v>
      </c>
      <c r="G7" s="50">
        <f t="shared" ref="G7:G38" si="0">B7/E7</f>
        <v>0.60479175996417389</v>
      </c>
    </row>
    <row r="8" spans="1:7" x14ac:dyDescent="0.25">
      <c r="A8" s="49" t="str">
        <f>'Data shares'!C3</f>
        <v>ABB</v>
      </c>
      <c r="B8" s="50">
        <f>VLOOKUP($A8,'Data shares'!$C:$FM,102)</f>
        <v>22.02</v>
      </c>
      <c r="C8" s="50">
        <f>VLOOKUP($A8,'Data shares'!$C:$FM,110)</f>
        <v>21.8</v>
      </c>
      <c r="D8" s="50">
        <f>VLOOKUP($A8,'Data shares'!$C:$FM,114)</f>
        <v>22.42</v>
      </c>
      <c r="E8" s="50">
        <f>VLOOKUP($A8,'Data shares'!$C:$FM,106)</f>
        <v>35.4</v>
      </c>
      <c r="F8" s="50">
        <f>VLOOKUP($A8,'Data shares'!$C:$FM,108)</f>
        <v>-13.38</v>
      </c>
      <c r="G8" s="50">
        <f t="shared" si="0"/>
        <v>0.62203389830508471</v>
      </c>
    </row>
    <row r="9" spans="1:7" x14ac:dyDescent="0.25">
      <c r="A9" s="49" t="str">
        <f>'Data shares'!C4</f>
        <v>ABCAPITAL</v>
      </c>
      <c r="B9" s="50">
        <f>VLOOKUP($A9,'Data shares'!$C:$FM,102)</f>
        <v>26.08</v>
      </c>
      <c r="C9" s="50">
        <f>VLOOKUP($A9,'Data shares'!$C:$FM,110)</f>
        <v>26.13</v>
      </c>
      <c r="D9" s="50">
        <f>VLOOKUP($A9,'Data shares'!$C:$FM,114)</f>
        <v>26.01</v>
      </c>
      <c r="E9" s="50">
        <f>VLOOKUP($A9,'Data shares'!$C:$FM,106)</f>
        <v>39.43</v>
      </c>
      <c r="F9" s="50">
        <f>VLOOKUP($A9,'Data shares'!$C:$FM,108)</f>
        <v>-13.35</v>
      </c>
      <c r="G9" s="50">
        <f t="shared" si="0"/>
        <v>0.66142531067714938</v>
      </c>
    </row>
    <row r="10" spans="1:7" x14ac:dyDescent="0.25">
      <c r="A10" s="49" t="str">
        <f>'Data shares'!C5</f>
        <v>ADANIENSOL</v>
      </c>
      <c r="B10" s="50">
        <f>VLOOKUP($A10,'Data shares'!$C:$FM,102)</f>
        <v>34.47</v>
      </c>
      <c r="C10" s="50">
        <f>VLOOKUP($A10,'Data shares'!$C:$FM,110)</f>
        <v>34.67</v>
      </c>
      <c r="D10" s="50">
        <f>VLOOKUP($A10,'Data shares'!$C:$FM,114)</f>
        <v>34.03</v>
      </c>
      <c r="E10" s="50">
        <f>VLOOKUP($A10,'Data shares'!$C:$FM,106)</f>
        <v>53.79</v>
      </c>
      <c r="F10" s="50">
        <f>VLOOKUP($A10,'Data shares'!$C:$FM,108)</f>
        <v>-19.32</v>
      </c>
      <c r="G10" s="50">
        <f t="shared" si="0"/>
        <v>0.64082543223647515</v>
      </c>
    </row>
    <row r="11" spans="1:7" x14ac:dyDescent="0.25">
      <c r="A11" s="49" t="str">
        <f>'Data shares'!C6</f>
        <v>ADANIENT</v>
      </c>
      <c r="B11" s="50">
        <f>VLOOKUP($A11,'Data shares'!$C:$FM,102)</f>
        <v>28.32</v>
      </c>
      <c r="C11" s="50">
        <f>VLOOKUP($A11,'Data shares'!$C:$FM,110)</f>
        <v>27.98</v>
      </c>
      <c r="D11" s="50">
        <f>VLOOKUP($A11,'Data shares'!$C:$FM,114)</f>
        <v>28.89</v>
      </c>
      <c r="E11" s="50">
        <f>VLOOKUP($A11,'Data shares'!$C:$FM,106)</f>
        <v>47.88</v>
      </c>
      <c r="F11" s="50">
        <f>VLOOKUP($A11,'Data shares'!$C:$FM,108)</f>
        <v>-19.559999999999999</v>
      </c>
      <c r="G11" s="50">
        <f t="shared" si="0"/>
        <v>0.5914786967418546</v>
      </c>
    </row>
    <row r="12" spans="1:7" x14ac:dyDescent="0.25">
      <c r="A12" s="49" t="str">
        <f>'Data shares'!C7</f>
        <v>ADANIGREEN</v>
      </c>
      <c r="B12" s="50">
        <f>VLOOKUP($A12,'Data shares'!$C:$FM,102)</f>
        <v>38.64</v>
      </c>
      <c r="C12" s="50">
        <f>VLOOKUP($A12,'Data shares'!$C:$FM,110)</f>
        <v>38.9</v>
      </c>
      <c r="D12" s="50">
        <f>VLOOKUP($A12,'Data shares'!$C:$FM,114)</f>
        <v>37.909999999999997</v>
      </c>
      <c r="E12" s="50">
        <f>VLOOKUP($A12,'Data shares'!$C:$FM,106)</f>
        <v>57.58</v>
      </c>
      <c r="F12" s="50">
        <f>VLOOKUP($A12,'Data shares'!$C:$FM,108)</f>
        <v>-18.940000000000001</v>
      </c>
      <c r="G12" s="50">
        <f t="shared" si="0"/>
        <v>0.67106634248002783</v>
      </c>
    </row>
    <row r="13" spans="1:7" x14ac:dyDescent="0.25">
      <c r="A13" s="49" t="str">
        <f>'Data shares'!C8</f>
        <v>ADANIPORTS</v>
      </c>
      <c r="B13" s="50">
        <f>VLOOKUP($A13,'Data shares'!$C:$FM,102)</f>
        <v>23.01</v>
      </c>
      <c r="C13" s="50">
        <f>VLOOKUP($A13,'Data shares'!$C:$FM,110)</f>
        <v>22.91</v>
      </c>
      <c r="D13" s="50">
        <f>VLOOKUP($A13,'Data shares'!$C:$FM,114)</f>
        <v>23.31</v>
      </c>
      <c r="E13" s="50">
        <f>VLOOKUP($A13,'Data shares'!$C:$FM,106)</f>
        <v>37.47</v>
      </c>
      <c r="F13" s="50">
        <f>VLOOKUP($A13,'Data shares'!$C:$FM,108)</f>
        <v>-14.46</v>
      </c>
      <c r="G13" s="50">
        <f t="shared" si="0"/>
        <v>0.61409127301841482</v>
      </c>
    </row>
    <row r="14" spans="1:7" x14ac:dyDescent="0.25">
      <c r="A14" s="49" t="str">
        <f>'Data shares'!C9</f>
        <v>ALKEM</v>
      </c>
      <c r="B14" s="50">
        <f>VLOOKUP($A14,'Data shares'!$C:$FM,102)</f>
        <v>22.89</v>
      </c>
      <c r="C14" s="50">
        <f>VLOOKUP($A14,'Data shares'!$C:$FM,110)</f>
        <v>23.14</v>
      </c>
      <c r="D14" s="50">
        <f>VLOOKUP($A14,'Data shares'!$C:$FM,114)</f>
        <v>22.36</v>
      </c>
      <c r="E14" s="50">
        <f>VLOOKUP($A14,'Data shares'!$C:$FM,106)</f>
        <v>26.79</v>
      </c>
      <c r="F14" s="50">
        <f>VLOOKUP($A14,'Data shares'!$C:$FM,108)</f>
        <v>-3.9</v>
      </c>
      <c r="G14" s="50">
        <f t="shared" si="0"/>
        <v>0.85442329227323632</v>
      </c>
    </row>
    <row r="15" spans="1:7" x14ac:dyDescent="0.25">
      <c r="A15" s="49" t="str">
        <f>'Data shares'!C10</f>
        <v>AMBER</v>
      </c>
      <c r="B15" s="50">
        <f>VLOOKUP($A15,'Data shares'!$C:$FM,102)</f>
        <v>28.46</v>
      </c>
      <c r="C15" s="50">
        <f>VLOOKUP($A15,'Data shares'!$C:$FM,110)</f>
        <v>28.65</v>
      </c>
      <c r="D15" s="50">
        <f>VLOOKUP($A15,'Data shares'!$C:$FM,114)</f>
        <v>27.96</v>
      </c>
      <c r="E15" s="50">
        <f>VLOOKUP($A15,'Data shares'!$C:$FM,106)</f>
        <v>54.33</v>
      </c>
      <c r="F15" s="50">
        <f>VLOOKUP($A15,'Data shares'!$C:$FM,108)</f>
        <v>-25.87</v>
      </c>
      <c r="G15" s="50">
        <f t="shared" si="0"/>
        <v>0.52383581814835267</v>
      </c>
    </row>
    <row r="16" spans="1:7" x14ac:dyDescent="0.25">
      <c r="A16" s="49" t="str">
        <f>'Data shares'!C11</f>
        <v>AMBUJACEM</v>
      </c>
      <c r="B16" s="50">
        <f>VLOOKUP($A16,'Data shares'!$C:$FM,102)</f>
        <v>20.41</v>
      </c>
      <c r="C16" s="50">
        <f>VLOOKUP($A16,'Data shares'!$C:$FM,110)</f>
        <v>20.75</v>
      </c>
      <c r="D16" s="50">
        <f>VLOOKUP($A16,'Data shares'!$C:$FM,114)</f>
        <v>19.78</v>
      </c>
      <c r="E16" s="50">
        <f>VLOOKUP($A16,'Data shares'!$C:$FM,106)</f>
        <v>32.770000000000003</v>
      </c>
      <c r="F16" s="50">
        <f>VLOOKUP($A16,'Data shares'!$C:$FM,108)</f>
        <v>-12.36</v>
      </c>
      <c r="G16" s="50">
        <f t="shared" si="0"/>
        <v>0.62282575526396089</v>
      </c>
    </row>
    <row r="17" spans="1:7" x14ac:dyDescent="0.25">
      <c r="A17" s="49" t="str">
        <f>'Data shares'!C12</f>
        <v>ANGELONE</v>
      </c>
      <c r="B17" s="50">
        <f>VLOOKUP($A17,'Data shares'!$C:$FM,102)</f>
        <v>35.090000000000003</v>
      </c>
      <c r="C17" s="50">
        <f>VLOOKUP($A17,'Data shares'!$C:$FM,110)</f>
        <v>35.020000000000003</v>
      </c>
      <c r="D17" s="50">
        <f>VLOOKUP($A17,'Data shares'!$C:$FM,114)</f>
        <v>35.44</v>
      </c>
      <c r="E17" s="50">
        <f>VLOOKUP($A17,'Data shares'!$C:$FM,106)</f>
        <v>53.76</v>
      </c>
      <c r="F17" s="50">
        <f>VLOOKUP($A17,'Data shares'!$C:$FM,108)</f>
        <v>-18.670000000000002</v>
      </c>
      <c r="G17" s="50">
        <f t="shared" si="0"/>
        <v>0.65271577380952395</v>
      </c>
    </row>
    <row r="18" spans="1:7" x14ac:dyDescent="0.25">
      <c r="A18" s="49" t="str">
        <f>'Data shares'!C13</f>
        <v>APLAPOLLO</v>
      </c>
      <c r="B18" s="50">
        <f>VLOOKUP($A18,'Data shares'!$C:$FM,102)</f>
        <v>24.28</v>
      </c>
      <c r="C18" s="50">
        <f>VLOOKUP($A18,'Data shares'!$C:$FM,110)</f>
        <v>24.1</v>
      </c>
      <c r="D18" s="50">
        <f>VLOOKUP($A18,'Data shares'!$C:$FM,114)</f>
        <v>24.55</v>
      </c>
      <c r="E18" s="50">
        <f>VLOOKUP($A18,'Data shares'!$C:$FM,106)</f>
        <v>33.29</v>
      </c>
      <c r="F18" s="50">
        <f>VLOOKUP($A18,'Data shares'!$C:$FM,108)</f>
        <v>-9.01</v>
      </c>
      <c r="G18" s="50">
        <f t="shared" si="0"/>
        <v>0.72934815259837793</v>
      </c>
    </row>
    <row r="19" spans="1:7" x14ac:dyDescent="0.25">
      <c r="A19" s="49" t="str">
        <f>'Data shares'!C14</f>
        <v>APOLLOHOSP</v>
      </c>
      <c r="B19" s="50">
        <f>VLOOKUP($A19,'Data shares'!$C:$FM,102)</f>
        <v>18.53</v>
      </c>
      <c r="C19" s="50">
        <f>VLOOKUP($A19,'Data shares'!$C:$FM,110)</f>
        <v>18.37</v>
      </c>
      <c r="D19" s="50">
        <f>VLOOKUP($A19,'Data shares'!$C:$FM,114)</f>
        <v>19.07</v>
      </c>
      <c r="E19" s="50">
        <f>VLOOKUP($A19,'Data shares'!$C:$FM,106)</f>
        <v>25.73</v>
      </c>
      <c r="F19" s="50">
        <f>VLOOKUP($A19,'Data shares'!$C:$FM,108)</f>
        <v>-7.2</v>
      </c>
      <c r="G19" s="50">
        <f t="shared" si="0"/>
        <v>0.72017100660707345</v>
      </c>
    </row>
    <row r="20" spans="1:7" x14ac:dyDescent="0.25">
      <c r="A20" s="49" t="str">
        <f>'Data shares'!C15</f>
        <v>ASHOKLEY</v>
      </c>
      <c r="B20" s="50">
        <f>VLOOKUP($A20,'Data shares'!$C:$FM,102)</f>
        <v>25.19</v>
      </c>
      <c r="C20" s="50">
        <f>VLOOKUP($A20,'Data shares'!$C:$FM,110)</f>
        <v>25.31</v>
      </c>
      <c r="D20" s="50">
        <f>VLOOKUP($A20,'Data shares'!$C:$FM,114)</f>
        <v>24.84</v>
      </c>
      <c r="E20" s="50">
        <f>VLOOKUP($A20,'Data shares'!$C:$FM,106)</f>
        <v>34.78</v>
      </c>
      <c r="F20" s="50">
        <f>VLOOKUP($A20,'Data shares'!$C:$FM,108)</f>
        <v>-9.59</v>
      </c>
      <c r="G20" s="50">
        <f t="shared" si="0"/>
        <v>0.72426682001150089</v>
      </c>
    </row>
    <row r="21" spans="1:7" x14ac:dyDescent="0.25">
      <c r="A21" s="49" t="str">
        <f>'Data shares'!C16</f>
        <v>ASIANPAINT</v>
      </c>
      <c r="B21" s="50">
        <f>VLOOKUP($A21,'Data shares'!$C:$FM,102)</f>
        <v>19.18</v>
      </c>
      <c r="C21" s="50">
        <f>VLOOKUP($A21,'Data shares'!$C:$FM,110)</f>
        <v>19.25</v>
      </c>
      <c r="D21" s="50">
        <f>VLOOKUP($A21,'Data shares'!$C:$FM,114)</f>
        <v>19.079999999999998</v>
      </c>
      <c r="E21" s="50">
        <f>VLOOKUP($A21,'Data shares'!$C:$FM,106)</f>
        <v>25.13</v>
      </c>
      <c r="F21" s="50">
        <f>VLOOKUP($A21,'Data shares'!$C:$FM,108)</f>
        <v>-5.95</v>
      </c>
      <c r="G21" s="50">
        <f t="shared" si="0"/>
        <v>0.76323119777158777</v>
      </c>
    </row>
    <row r="22" spans="1:7" x14ac:dyDescent="0.25">
      <c r="A22" s="49" t="str">
        <f>'Data shares'!C17</f>
        <v>ASTRAL</v>
      </c>
      <c r="B22" s="50">
        <f>VLOOKUP($A22,'Data shares'!$C:$FM,102)</f>
        <v>24.4</v>
      </c>
      <c r="C22" s="50">
        <f>VLOOKUP($A22,'Data shares'!$C:$FM,110)</f>
        <v>24.61</v>
      </c>
      <c r="D22" s="50">
        <f>VLOOKUP($A22,'Data shares'!$C:$FM,114)</f>
        <v>23.91</v>
      </c>
      <c r="E22" s="50">
        <f>VLOOKUP($A22,'Data shares'!$C:$FM,106)</f>
        <v>34.18</v>
      </c>
      <c r="F22" s="50">
        <f>VLOOKUP($A22,'Data shares'!$C:$FM,108)</f>
        <v>-9.7799999999999994</v>
      </c>
      <c r="G22" s="50">
        <f t="shared" si="0"/>
        <v>0.71386775892334697</v>
      </c>
    </row>
    <row r="23" spans="1:7" x14ac:dyDescent="0.25">
      <c r="A23" s="49" t="str">
        <f>'Data shares'!C18</f>
        <v>AUBANK</v>
      </c>
      <c r="B23" s="50">
        <f>VLOOKUP($A23,'Data shares'!$C:$FM,102)</f>
        <v>24.22</v>
      </c>
      <c r="C23" s="50">
        <f>VLOOKUP($A23,'Data shares'!$C:$FM,110)</f>
        <v>24.16</v>
      </c>
      <c r="D23" s="50">
        <f>VLOOKUP($A23,'Data shares'!$C:$FM,114)</f>
        <v>24.3</v>
      </c>
      <c r="E23" s="50">
        <f>VLOOKUP($A23,'Data shares'!$C:$FM,106)</f>
        <v>36.74</v>
      </c>
      <c r="F23" s="50">
        <f>VLOOKUP($A23,'Data shares'!$C:$FM,108)</f>
        <v>-12.52</v>
      </c>
      <c r="G23" s="50">
        <f t="shared" si="0"/>
        <v>0.65922700054436578</v>
      </c>
    </row>
    <row r="24" spans="1:7" x14ac:dyDescent="0.25">
      <c r="A24" s="49" t="str">
        <f>'Data shares'!C19</f>
        <v>AUROPHARMA</v>
      </c>
      <c r="B24" s="50">
        <f>VLOOKUP($A24,'Data shares'!$C:$FM,102)</f>
        <v>24.52</v>
      </c>
      <c r="C24" s="50">
        <f>VLOOKUP($A24,'Data shares'!$C:$FM,110)</f>
        <v>24.88</v>
      </c>
      <c r="D24" s="50">
        <f>VLOOKUP($A24,'Data shares'!$C:$FM,114)</f>
        <v>23.95</v>
      </c>
      <c r="E24" s="50">
        <f>VLOOKUP($A24,'Data shares'!$C:$FM,106)</f>
        <v>34.04</v>
      </c>
      <c r="F24" s="50">
        <f>VLOOKUP($A24,'Data shares'!$C:$FM,108)</f>
        <v>-9.52</v>
      </c>
      <c r="G24" s="50">
        <f t="shared" si="0"/>
        <v>0.72032902467685078</v>
      </c>
    </row>
    <row r="25" spans="1:7" x14ac:dyDescent="0.25">
      <c r="A25" s="49" t="str">
        <f>'Data shares'!C20</f>
        <v>AXISBANK</v>
      </c>
      <c r="B25" s="50">
        <f>VLOOKUP($A25,'Data shares'!$C:$FM,102)</f>
        <v>18.12</v>
      </c>
      <c r="C25" s="50">
        <f>VLOOKUP($A25,'Data shares'!$C:$FM,110)</f>
        <v>17.78</v>
      </c>
      <c r="D25" s="50">
        <f>VLOOKUP($A25,'Data shares'!$C:$FM,114)</f>
        <v>18.79</v>
      </c>
      <c r="E25" s="50">
        <f>VLOOKUP($A25,'Data shares'!$C:$FM,106)</f>
        <v>26.1</v>
      </c>
      <c r="F25" s="50">
        <f>VLOOKUP($A25,'Data shares'!$C:$FM,108)</f>
        <v>-7.98</v>
      </c>
      <c r="G25" s="50">
        <f t="shared" si="0"/>
        <v>0.69425287356321841</v>
      </c>
    </row>
    <row r="26" spans="1:7" x14ac:dyDescent="0.25">
      <c r="A26" s="49" t="str">
        <f>'Data shares'!C21</f>
        <v>BAJAJ-AUTO</v>
      </c>
      <c r="B26" s="50">
        <f>VLOOKUP($A26,'Data shares'!$C:$FM,102)</f>
        <v>22.06</v>
      </c>
      <c r="C26" s="50">
        <f>VLOOKUP($A26,'Data shares'!$C:$FM,110)</f>
        <v>21.46</v>
      </c>
      <c r="D26" s="50">
        <f>VLOOKUP($A26,'Data shares'!$C:$FM,114)</f>
        <v>22.87</v>
      </c>
      <c r="E26" s="50">
        <f>VLOOKUP($A26,'Data shares'!$C:$FM,106)</f>
        <v>29.17</v>
      </c>
      <c r="F26" s="50">
        <f>VLOOKUP($A26,'Data shares'!$C:$FM,108)</f>
        <v>-7.11</v>
      </c>
      <c r="G26" s="50">
        <f t="shared" si="0"/>
        <v>0.75625642783681857</v>
      </c>
    </row>
    <row r="27" spans="1:7" x14ac:dyDescent="0.25">
      <c r="A27" s="49" t="str">
        <f>'Data shares'!C22</f>
        <v>BAJAJFINSV</v>
      </c>
      <c r="B27" s="50">
        <f>VLOOKUP($A27,'Data shares'!$C:$FM,102)</f>
        <v>20.25</v>
      </c>
      <c r="C27" s="50">
        <f>VLOOKUP($A27,'Data shares'!$C:$FM,110)</f>
        <v>19.940000000000001</v>
      </c>
      <c r="D27" s="50">
        <f>VLOOKUP($A27,'Data shares'!$C:$FM,114)</f>
        <v>20.89</v>
      </c>
      <c r="E27" s="50">
        <f>VLOOKUP($A27,'Data shares'!$C:$FM,106)</f>
        <v>29.05</v>
      </c>
      <c r="F27" s="50">
        <f>VLOOKUP($A27,'Data shares'!$C:$FM,108)</f>
        <v>-8.8000000000000007</v>
      </c>
      <c r="G27" s="50">
        <f t="shared" si="0"/>
        <v>0.69707401032702232</v>
      </c>
    </row>
    <row r="28" spans="1:7" x14ac:dyDescent="0.25">
      <c r="A28" s="49" t="str">
        <f>'Data shares'!C23</f>
        <v>BAJFINANCE</v>
      </c>
      <c r="B28" s="50">
        <f>VLOOKUP($A28,'Data shares'!$C:$FM,102)</f>
        <v>20.41</v>
      </c>
      <c r="C28" s="50">
        <f>VLOOKUP($A28,'Data shares'!$C:$FM,110)</f>
        <v>20.21</v>
      </c>
      <c r="D28" s="50">
        <f>VLOOKUP($A28,'Data shares'!$C:$FM,114)</f>
        <v>20.85</v>
      </c>
      <c r="E28" s="50">
        <f>VLOOKUP($A28,'Data shares'!$C:$FM,106)</f>
        <v>32.130000000000003</v>
      </c>
      <c r="F28" s="50">
        <f>VLOOKUP($A28,'Data shares'!$C:$FM,108)</f>
        <v>-11.72</v>
      </c>
      <c r="G28" s="50">
        <f t="shared" si="0"/>
        <v>0.63523187052598817</v>
      </c>
    </row>
    <row r="29" spans="1:7" x14ac:dyDescent="0.25">
      <c r="A29" s="49" t="str">
        <f>'Data shares'!C24</f>
        <v>BANDHANBNK</v>
      </c>
      <c r="B29" s="50">
        <f>VLOOKUP($A29,'Data shares'!$C:$FM,102)</f>
        <v>29.8</v>
      </c>
      <c r="C29" s="50">
        <f>VLOOKUP($A29,'Data shares'!$C:$FM,110)</f>
        <v>30.18</v>
      </c>
      <c r="D29" s="50">
        <f>VLOOKUP($A29,'Data shares'!$C:$FM,114)</f>
        <v>29.14</v>
      </c>
      <c r="E29" s="50">
        <f>VLOOKUP($A29,'Data shares'!$C:$FM,106)</f>
        <v>42.41</v>
      </c>
      <c r="F29" s="50">
        <f>VLOOKUP($A29,'Data shares'!$C:$FM,108)</f>
        <v>-12.61</v>
      </c>
      <c r="G29" s="50">
        <f t="shared" si="0"/>
        <v>0.70266446592784726</v>
      </c>
    </row>
    <row r="30" spans="1:7" x14ac:dyDescent="0.25">
      <c r="A30" s="49" t="str">
        <f>'Data shares'!C25</f>
        <v>BANKBARODA</v>
      </c>
      <c r="B30" s="50">
        <f>VLOOKUP($A30,'Data shares'!$C:$FM,102)</f>
        <v>21.36</v>
      </c>
      <c r="C30" s="50">
        <f>VLOOKUP($A30,'Data shares'!$C:$FM,110)</f>
        <v>21.59</v>
      </c>
      <c r="D30" s="50">
        <f>VLOOKUP($A30,'Data shares'!$C:$FM,114)</f>
        <v>20.88</v>
      </c>
      <c r="E30" s="50">
        <f>VLOOKUP($A30,'Data shares'!$C:$FM,106)</f>
        <v>34.67</v>
      </c>
      <c r="F30" s="50">
        <f>VLOOKUP($A30,'Data shares'!$C:$FM,108)</f>
        <v>-13.31</v>
      </c>
      <c r="G30" s="50">
        <f t="shared" si="0"/>
        <v>0.61609460628785684</v>
      </c>
    </row>
    <row r="31" spans="1:7" x14ac:dyDescent="0.25">
      <c r="A31" s="49" t="str">
        <f>'Data shares'!C26</f>
        <v>BANKINDIA</v>
      </c>
      <c r="B31" s="50">
        <f>VLOOKUP($A31,'Data shares'!$C:$FM,102)</f>
        <v>26.52</v>
      </c>
      <c r="C31" s="50">
        <f>VLOOKUP($A31,'Data shares'!$C:$FM,110)</f>
        <v>26.33</v>
      </c>
      <c r="D31" s="50">
        <f>VLOOKUP($A31,'Data shares'!$C:$FM,114)</f>
        <v>26.71</v>
      </c>
      <c r="E31" s="50">
        <f>VLOOKUP($A31,'Data shares'!$C:$FM,106)</f>
        <v>39.22</v>
      </c>
      <c r="F31" s="50">
        <f>VLOOKUP($A31,'Data shares'!$C:$FM,108)</f>
        <v>-12.7</v>
      </c>
      <c r="G31" s="50">
        <f t="shared" si="0"/>
        <v>0.67618561958184598</v>
      </c>
    </row>
    <row r="32" spans="1:7" x14ac:dyDescent="0.25">
      <c r="A32" s="49" t="str">
        <f>'Data shares'!C27</f>
        <v>BANKNIFTY</v>
      </c>
      <c r="B32" s="50">
        <f>VLOOKUP($A32,'Data shares'!$C:$FM,102)</f>
        <v>11.34</v>
      </c>
      <c r="C32" s="50">
        <f>VLOOKUP($A32,'Data shares'!$C:$FM,110)</f>
        <v>10.63</v>
      </c>
      <c r="D32" s="50">
        <f>VLOOKUP($A32,'Data shares'!$C:$FM,114)</f>
        <v>11.93</v>
      </c>
      <c r="E32" s="50">
        <f>VLOOKUP($A32,'Data shares'!$C:$FM,106)</f>
        <v>16.5</v>
      </c>
      <c r="F32" s="50">
        <f>VLOOKUP($A32,'Data shares'!$C:$FM,108)</f>
        <v>-5.16</v>
      </c>
      <c r="G32" s="50">
        <f t="shared" si="0"/>
        <v>0.68727272727272726</v>
      </c>
    </row>
    <row r="33" spans="1:7" x14ac:dyDescent="0.25">
      <c r="A33" s="49" t="str">
        <f>'Data shares'!C28</f>
        <v>BDL</v>
      </c>
      <c r="B33" s="50">
        <f>VLOOKUP($A33,'Data shares'!$C:$FM,102)</f>
        <v>31.12</v>
      </c>
      <c r="C33" s="50">
        <f>VLOOKUP($A33,'Data shares'!$C:$FM,110)</f>
        <v>30.99</v>
      </c>
      <c r="D33" s="50">
        <f>VLOOKUP($A33,'Data shares'!$C:$FM,114)</f>
        <v>31.52</v>
      </c>
      <c r="E33" s="50">
        <f>VLOOKUP($A33,'Data shares'!$C:$FM,106)</f>
        <v>51.89</v>
      </c>
      <c r="F33" s="50">
        <f>VLOOKUP($A33,'Data shares'!$C:$FM,108)</f>
        <v>-20.77</v>
      </c>
      <c r="G33" s="50">
        <f t="shared" si="0"/>
        <v>0.59973019849682019</v>
      </c>
    </row>
    <row r="34" spans="1:7" x14ac:dyDescent="0.25">
      <c r="A34" s="49" t="str">
        <f>'Data shares'!C29</f>
        <v>BEL</v>
      </c>
      <c r="B34" s="50">
        <f>VLOOKUP($A34,'Data shares'!$C:$FM,102)</f>
        <v>23.86</v>
      </c>
      <c r="C34" s="50">
        <f>VLOOKUP($A34,'Data shares'!$C:$FM,110)</f>
        <v>24.09</v>
      </c>
      <c r="D34" s="50">
        <f>VLOOKUP($A34,'Data shares'!$C:$FM,114)</f>
        <v>23.4</v>
      </c>
      <c r="E34" s="50">
        <f>VLOOKUP($A34,'Data shares'!$C:$FM,106)</f>
        <v>36.56</v>
      </c>
      <c r="F34" s="50">
        <f>VLOOKUP($A34,'Data shares'!$C:$FM,108)</f>
        <v>-12.7</v>
      </c>
      <c r="G34" s="50">
        <f t="shared" si="0"/>
        <v>0.65262582056892771</v>
      </c>
    </row>
    <row r="35" spans="1:7" x14ac:dyDescent="0.25">
      <c r="A35" s="49" t="str">
        <f>'Data shares'!C30</f>
        <v>BHARATFORG</v>
      </c>
      <c r="B35" s="50">
        <f>VLOOKUP($A35,'Data shares'!$C:$FM,102)</f>
        <v>26.4</v>
      </c>
      <c r="C35" s="50">
        <f>VLOOKUP($A35,'Data shares'!$C:$FM,110)</f>
        <v>26.33</v>
      </c>
      <c r="D35" s="50">
        <f>VLOOKUP($A35,'Data shares'!$C:$FM,114)</f>
        <v>26.59</v>
      </c>
      <c r="E35" s="50">
        <f>VLOOKUP($A35,'Data shares'!$C:$FM,106)</f>
        <v>38.46</v>
      </c>
      <c r="F35" s="50">
        <f>VLOOKUP($A35,'Data shares'!$C:$FM,108)</f>
        <v>-12.06</v>
      </c>
      <c r="G35" s="50">
        <f t="shared" si="0"/>
        <v>0.6864274570982839</v>
      </c>
    </row>
    <row r="36" spans="1:7" x14ac:dyDescent="0.25">
      <c r="A36" s="49" t="str">
        <f>'Data shares'!C31</f>
        <v>BHARTIARTL</v>
      </c>
      <c r="B36" s="50">
        <f>VLOOKUP($A36,'Data shares'!$C:$FM,102)</f>
        <v>17.329999999999998</v>
      </c>
      <c r="C36" s="50">
        <f>VLOOKUP($A36,'Data shares'!$C:$FM,110)</f>
        <v>16.89</v>
      </c>
      <c r="D36" s="50">
        <f>VLOOKUP($A36,'Data shares'!$C:$FM,114)</f>
        <v>17.88</v>
      </c>
      <c r="E36" s="50">
        <f>VLOOKUP($A36,'Data shares'!$C:$FM,106)</f>
        <v>25.26</v>
      </c>
      <c r="F36" s="50">
        <f>VLOOKUP($A36,'Data shares'!$C:$FM,108)</f>
        <v>-7.93</v>
      </c>
      <c r="G36" s="50">
        <f t="shared" si="0"/>
        <v>0.68606492478226433</v>
      </c>
    </row>
    <row r="37" spans="1:7" x14ac:dyDescent="0.25">
      <c r="A37" s="49" t="str">
        <f>'Data shares'!C32</f>
        <v>BHEL</v>
      </c>
      <c r="B37" s="50">
        <f>VLOOKUP($A37,'Data shares'!$C:$FM,102)</f>
        <v>28.6</v>
      </c>
      <c r="C37" s="50">
        <f>VLOOKUP($A37,'Data shares'!$C:$FM,110)</f>
        <v>28.71</v>
      </c>
      <c r="D37" s="50">
        <f>VLOOKUP($A37,'Data shares'!$C:$FM,114)</f>
        <v>28.33</v>
      </c>
      <c r="E37" s="50">
        <f>VLOOKUP($A37,'Data shares'!$C:$FM,106)</f>
        <v>45.37</v>
      </c>
      <c r="F37" s="50">
        <f>VLOOKUP($A37,'Data shares'!$C:$FM,108)</f>
        <v>-16.77</v>
      </c>
      <c r="G37" s="50">
        <f t="shared" si="0"/>
        <v>0.63037249283667629</v>
      </c>
    </row>
    <row r="38" spans="1:7" x14ac:dyDescent="0.25">
      <c r="A38" s="49" t="str">
        <f>'Data shares'!C33</f>
        <v>BIOCON</v>
      </c>
      <c r="B38" s="50">
        <f>VLOOKUP($A38,'Data shares'!$C:$FM,102)</f>
        <v>27.68</v>
      </c>
      <c r="C38" s="50">
        <f>VLOOKUP($A38,'Data shares'!$C:$FM,110)</f>
        <v>27.63</v>
      </c>
      <c r="D38" s="50">
        <f>VLOOKUP($A38,'Data shares'!$C:$FM,114)</f>
        <v>27.77</v>
      </c>
      <c r="E38" s="50">
        <f>VLOOKUP($A38,'Data shares'!$C:$FM,106)</f>
        <v>39.049999999999997</v>
      </c>
      <c r="F38" s="50">
        <f>VLOOKUP($A38,'Data shares'!$C:$FM,108)</f>
        <v>-11.37</v>
      </c>
      <c r="G38" s="50">
        <f t="shared" si="0"/>
        <v>0.70883482714468637</v>
      </c>
    </row>
    <row r="39" spans="1:7" x14ac:dyDescent="0.25">
      <c r="A39" s="49" t="str">
        <f>'Data shares'!C34</f>
        <v>BLUESTARCO</v>
      </c>
      <c r="B39" s="50">
        <f>VLOOKUP($A39,'Data shares'!$C:$FM,102)</f>
        <v>27.78</v>
      </c>
      <c r="C39" s="50">
        <f>VLOOKUP($A39,'Data shares'!$C:$FM,110)</f>
        <v>28.81</v>
      </c>
      <c r="D39" s="50">
        <f>VLOOKUP($A39,'Data shares'!$C:$FM,114)</f>
        <v>24.04</v>
      </c>
      <c r="E39" s="50">
        <f>VLOOKUP($A39,'Data shares'!$C:$FM,106)</f>
        <v>41.24</v>
      </c>
      <c r="F39" s="50">
        <f>VLOOKUP($A39,'Data shares'!$C:$FM,108)</f>
        <v>-13.46</v>
      </c>
      <c r="G39" s="50">
        <f t="shared" ref="G39:G70" si="1">B39/E39</f>
        <v>0.67361784675072744</v>
      </c>
    </row>
    <row r="40" spans="1:7" x14ac:dyDescent="0.25">
      <c r="A40" s="49" t="str">
        <f>'Data shares'!C35</f>
        <v>BOSCHLTD</v>
      </c>
      <c r="B40" s="50">
        <f>VLOOKUP($A40,'Data shares'!$C:$FM,102)</f>
        <v>22.68</v>
      </c>
      <c r="C40" s="50">
        <f>VLOOKUP($A40,'Data shares'!$C:$FM,110)</f>
        <v>22.99</v>
      </c>
      <c r="D40" s="50">
        <f>VLOOKUP($A40,'Data shares'!$C:$FM,114)</f>
        <v>22.41</v>
      </c>
      <c r="E40" s="50">
        <f>VLOOKUP($A40,'Data shares'!$C:$FM,106)</f>
        <v>28.36</v>
      </c>
      <c r="F40" s="50">
        <f>VLOOKUP($A40,'Data shares'!$C:$FM,108)</f>
        <v>-5.68</v>
      </c>
      <c r="G40" s="50">
        <f t="shared" si="1"/>
        <v>0.79971791255289137</v>
      </c>
    </row>
    <row r="41" spans="1:7" x14ac:dyDescent="0.25">
      <c r="A41" s="49" t="str">
        <f>'Data shares'!C36</f>
        <v>BPCL</v>
      </c>
      <c r="B41" s="50">
        <f>VLOOKUP($A41,'Data shares'!$C:$FM,102)</f>
        <v>24.52</v>
      </c>
      <c r="C41" s="50">
        <f>VLOOKUP($A41,'Data shares'!$C:$FM,110)</f>
        <v>24.86</v>
      </c>
      <c r="D41" s="50">
        <f>VLOOKUP($A41,'Data shares'!$C:$FM,114)</f>
        <v>23.7</v>
      </c>
      <c r="E41" s="50">
        <f>VLOOKUP($A41,'Data shares'!$C:$FM,106)</f>
        <v>33.04</v>
      </c>
      <c r="F41" s="50">
        <f>VLOOKUP($A41,'Data shares'!$C:$FM,108)</f>
        <v>-8.52</v>
      </c>
      <c r="G41" s="50">
        <f t="shared" si="1"/>
        <v>0.74213075060532685</v>
      </c>
    </row>
    <row r="42" spans="1:7" x14ac:dyDescent="0.25">
      <c r="A42" s="49" t="str">
        <f>'Data shares'!C37</f>
        <v>BRITANNIA</v>
      </c>
      <c r="B42" s="50">
        <f>VLOOKUP($A42,'Data shares'!$C:$FM,102)</f>
        <v>19.86</v>
      </c>
      <c r="C42" s="50">
        <f>VLOOKUP($A42,'Data shares'!$C:$FM,110)</f>
        <v>19.8</v>
      </c>
      <c r="D42" s="50">
        <f>VLOOKUP($A42,'Data shares'!$C:$FM,114)</f>
        <v>19.989999999999998</v>
      </c>
      <c r="E42" s="50">
        <f>VLOOKUP($A42,'Data shares'!$C:$FM,106)</f>
        <v>24.65</v>
      </c>
      <c r="F42" s="50">
        <f>VLOOKUP($A42,'Data shares'!$C:$FM,108)</f>
        <v>-4.79</v>
      </c>
      <c r="G42" s="50">
        <f t="shared" si="1"/>
        <v>0.8056795131845842</v>
      </c>
    </row>
    <row r="43" spans="1:7" x14ac:dyDescent="0.25">
      <c r="A43" s="49" t="str">
        <f>'Data shares'!C38</f>
        <v>BSE</v>
      </c>
      <c r="B43" s="50">
        <f>VLOOKUP($A43,'Data shares'!$C:$FM,102)</f>
        <v>36.799999999999997</v>
      </c>
      <c r="C43" s="50">
        <f>VLOOKUP($A43,'Data shares'!$C:$FM,110)</f>
        <v>36.17</v>
      </c>
      <c r="D43" s="50">
        <f>VLOOKUP($A43,'Data shares'!$C:$FM,114)</f>
        <v>37.82</v>
      </c>
      <c r="E43" s="50">
        <f>VLOOKUP($A43,'Data shares'!$C:$FM,106)</f>
        <v>62.03</v>
      </c>
      <c r="F43" s="50">
        <f>VLOOKUP($A43,'Data shares'!$C:$FM,108)</f>
        <v>-25.23</v>
      </c>
      <c r="G43" s="50">
        <f t="shared" si="1"/>
        <v>0.59326132516524255</v>
      </c>
    </row>
    <row r="44" spans="1:7" x14ac:dyDescent="0.25">
      <c r="A44" s="49" t="str">
        <f>'Data shares'!C39</f>
        <v>CAMS</v>
      </c>
      <c r="B44" s="50">
        <f>VLOOKUP($A44,'Data shares'!$C:$FM,102)</f>
        <v>28.85</v>
      </c>
      <c r="C44" s="50">
        <f>VLOOKUP($A44,'Data shares'!$C:$FM,110)</f>
        <v>28.88</v>
      </c>
      <c r="D44" s="50">
        <f>VLOOKUP($A44,'Data shares'!$C:$FM,114)</f>
        <v>28.72</v>
      </c>
      <c r="E44" s="50">
        <f>VLOOKUP($A44,'Data shares'!$C:$FM,106)</f>
        <v>41.42</v>
      </c>
      <c r="F44" s="50">
        <f>VLOOKUP($A44,'Data shares'!$C:$FM,108)</f>
        <v>-12.57</v>
      </c>
      <c r="G44" s="50">
        <f t="shared" si="1"/>
        <v>0.696523418638339</v>
      </c>
    </row>
    <row r="45" spans="1:7" x14ac:dyDescent="0.25">
      <c r="A45" s="49" t="str">
        <f>'Data shares'!C40</f>
        <v>CANBK</v>
      </c>
      <c r="B45" s="50">
        <f>VLOOKUP($A45,'Data shares'!$C:$FM,102)</f>
        <v>24.65</v>
      </c>
      <c r="C45" s="50">
        <f>VLOOKUP($A45,'Data shares'!$C:$FM,110)</f>
        <v>24.66</v>
      </c>
      <c r="D45" s="50">
        <f>VLOOKUP($A45,'Data shares'!$C:$FM,114)</f>
        <v>24.64</v>
      </c>
      <c r="E45" s="50">
        <f>VLOOKUP($A45,'Data shares'!$C:$FM,106)</f>
        <v>36.68</v>
      </c>
      <c r="F45" s="50">
        <f>VLOOKUP($A45,'Data shares'!$C:$FM,108)</f>
        <v>-12.03</v>
      </c>
      <c r="G45" s="50">
        <f t="shared" si="1"/>
        <v>0.67202835332606325</v>
      </c>
    </row>
    <row r="46" spans="1:7" x14ac:dyDescent="0.25">
      <c r="A46" s="49" t="str">
        <f>'Data shares'!C41</f>
        <v>CDSL</v>
      </c>
      <c r="B46" s="50">
        <f>VLOOKUP($A46,'Data shares'!$C:$FM,102)</f>
        <v>28.94</v>
      </c>
      <c r="C46" s="50">
        <f>VLOOKUP($A46,'Data shares'!$C:$FM,110)</f>
        <v>28.99</v>
      </c>
      <c r="D46" s="50">
        <f>VLOOKUP($A46,'Data shares'!$C:$FM,114)</f>
        <v>28.79</v>
      </c>
      <c r="E46" s="50">
        <f>VLOOKUP($A46,'Data shares'!$C:$FM,106)</f>
        <v>46.14</v>
      </c>
      <c r="F46" s="50">
        <f>VLOOKUP($A46,'Data shares'!$C:$FM,108)</f>
        <v>-17.2</v>
      </c>
      <c r="G46" s="50">
        <f t="shared" si="1"/>
        <v>0.62722149978326835</v>
      </c>
    </row>
    <row r="47" spans="1:7" x14ac:dyDescent="0.25">
      <c r="A47" s="49" t="str">
        <f>'Data shares'!C42</f>
        <v>CGPOWER</v>
      </c>
      <c r="B47" s="50">
        <f>VLOOKUP($A47,'Data shares'!$C:$FM,102)</f>
        <v>26.2</v>
      </c>
      <c r="C47" s="50">
        <f>VLOOKUP($A47,'Data shares'!$C:$FM,110)</f>
        <v>26.39</v>
      </c>
      <c r="D47" s="50">
        <f>VLOOKUP($A47,'Data shares'!$C:$FM,114)</f>
        <v>25.79</v>
      </c>
      <c r="E47" s="50">
        <f>VLOOKUP($A47,'Data shares'!$C:$FM,106)</f>
        <v>40.24</v>
      </c>
      <c r="F47" s="50">
        <f>VLOOKUP($A47,'Data shares'!$C:$FM,108)</f>
        <v>-14.04</v>
      </c>
      <c r="G47" s="50">
        <f t="shared" si="1"/>
        <v>0.65109343936381703</v>
      </c>
    </row>
    <row r="48" spans="1:7" x14ac:dyDescent="0.25">
      <c r="A48" s="49" t="str">
        <f>'Data shares'!C43</f>
        <v>CHOLAFIN</v>
      </c>
      <c r="B48" s="50">
        <f>VLOOKUP($A48,'Data shares'!$C:$FM,102)</f>
        <v>23.73</v>
      </c>
      <c r="C48" s="50">
        <f>VLOOKUP($A48,'Data shares'!$C:$FM,110)</f>
        <v>23.95</v>
      </c>
      <c r="D48" s="50">
        <f>VLOOKUP($A48,'Data shares'!$C:$FM,114)</f>
        <v>23.24</v>
      </c>
      <c r="E48" s="50">
        <f>VLOOKUP($A48,'Data shares'!$C:$FM,106)</f>
        <v>37.71</v>
      </c>
      <c r="F48" s="50">
        <f>VLOOKUP($A48,'Data shares'!$C:$FM,108)</f>
        <v>-13.98</v>
      </c>
      <c r="G48" s="50">
        <f t="shared" si="1"/>
        <v>0.62927605409705645</v>
      </c>
    </row>
    <row r="49" spans="1:7" x14ac:dyDescent="0.25">
      <c r="A49" s="49" t="str">
        <f>'Data shares'!C44</f>
        <v>CIPLA</v>
      </c>
      <c r="B49" s="50">
        <f>VLOOKUP($A49,'Data shares'!$C:$FM,102)</f>
        <v>19.18</v>
      </c>
      <c r="C49" s="50">
        <f>VLOOKUP($A49,'Data shares'!$C:$FM,110)</f>
        <v>19.27</v>
      </c>
      <c r="D49" s="50">
        <f>VLOOKUP($A49,'Data shares'!$C:$FM,114)</f>
        <v>19.04</v>
      </c>
      <c r="E49" s="50">
        <f>VLOOKUP($A49,'Data shares'!$C:$FM,106)</f>
        <v>26.5</v>
      </c>
      <c r="F49" s="50">
        <f>VLOOKUP($A49,'Data shares'!$C:$FM,108)</f>
        <v>-7.32</v>
      </c>
      <c r="G49" s="50">
        <f t="shared" si="1"/>
        <v>0.72377358490566035</v>
      </c>
    </row>
    <row r="50" spans="1:7" x14ac:dyDescent="0.25">
      <c r="A50" s="49" t="str">
        <f>'Data shares'!C45</f>
        <v>COALINDIA</v>
      </c>
      <c r="B50" s="50">
        <f>VLOOKUP($A50,'Data shares'!$C:$FM,102)</f>
        <v>16.22</v>
      </c>
      <c r="C50" s="50">
        <f>VLOOKUP($A50,'Data shares'!$C:$FM,110)</f>
        <v>15.88</v>
      </c>
      <c r="D50" s="50">
        <f>VLOOKUP($A50,'Data shares'!$C:$FM,114)</f>
        <v>16.66</v>
      </c>
      <c r="E50" s="50">
        <f>VLOOKUP($A50,'Data shares'!$C:$FM,106)</f>
        <v>27.72</v>
      </c>
      <c r="F50" s="50">
        <f>VLOOKUP($A50,'Data shares'!$C:$FM,108)</f>
        <v>-11.5</v>
      </c>
      <c r="G50" s="50">
        <f t="shared" si="1"/>
        <v>0.58513708513708507</v>
      </c>
    </row>
    <row r="51" spans="1:7" x14ac:dyDescent="0.25">
      <c r="A51" s="49" t="str">
        <f>'Data shares'!C46</f>
        <v>COFORGE</v>
      </c>
      <c r="B51" s="50">
        <f>VLOOKUP($A51,'Data shares'!$C:$FM,102)</f>
        <v>27.61</v>
      </c>
      <c r="C51" s="50">
        <f>VLOOKUP($A51,'Data shares'!$C:$FM,110)</f>
        <v>27.45</v>
      </c>
      <c r="D51" s="50">
        <f>VLOOKUP($A51,'Data shares'!$C:$FM,114)</f>
        <v>28.05</v>
      </c>
      <c r="E51" s="50">
        <f>VLOOKUP($A51,'Data shares'!$C:$FM,106)</f>
        <v>41.83</v>
      </c>
      <c r="F51" s="50">
        <f>VLOOKUP($A51,'Data shares'!$C:$FM,108)</f>
        <v>-14.22</v>
      </c>
      <c r="G51" s="50">
        <f t="shared" si="1"/>
        <v>0.66005259383217785</v>
      </c>
    </row>
    <row r="52" spans="1:7" x14ac:dyDescent="0.25">
      <c r="A52" s="49" t="str">
        <f>'Data shares'!C47</f>
        <v>COLPAL</v>
      </c>
      <c r="B52" s="50">
        <f>VLOOKUP($A52,'Data shares'!$C:$FM,102)</f>
        <v>18.84</v>
      </c>
      <c r="C52" s="50">
        <f>VLOOKUP($A52,'Data shares'!$C:$FM,110)</f>
        <v>19.07</v>
      </c>
      <c r="D52" s="50">
        <f>VLOOKUP($A52,'Data shares'!$C:$FM,114)</f>
        <v>17.97</v>
      </c>
      <c r="E52" s="50">
        <f>VLOOKUP($A52,'Data shares'!$C:$FM,106)</f>
        <v>27.35</v>
      </c>
      <c r="F52" s="50">
        <f>VLOOKUP($A52,'Data shares'!$C:$FM,108)</f>
        <v>-8.51</v>
      </c>
      <c r="G52" s="50">
        <f t="shared" si="1"/>
        <v>0.6888482632541133</v>
      </c>
    </row>
    <row r="53" spans="1:7" x14ac:dyDescent="0.25">
      <c r="A53" s="49" t="str">
        <f>'Data shares'!C48</f>
        <v>CONCOR</v>
      </c>
      <c r="B53" s="50">
        <f>VLOOKUP($A53,'Data shares'!$C:$FM,102)</f>
        <v>22.12</v>
      </c>
      <c r="C53" s="50">
        <f>VLOOKUP($A53,'Data shares'!$C:$FM,110)</f>
        <v>22.42</v>
      </c>
      <c r="D53" s="50">
        <f>VLOOKUP($A53,'Data shares'!$C:$FM,114)</f>
        <v>21.74</v>
      </c>
      <c r="E53" s="50">
        <f>VLOOKUP($A53,'Data shares'!$C:$FM,106)</f>
        <v>35.299999999999997</v>
      </c>
      <c r="F53" s="50">
        <f>VLOOKUP($A53,'Data shares'!$C:$FM,108)</f>
        <v>-13.18</v>
      </c>
      <c r="G53" s="50">
        <f t="shared" si="1"/>
        <v>0.626628895184136</v>
      </c>
    </row>
    <row r="54" spans="1:7" x14ac:dyDescent="0.25">
      <c r="A54" s="49" t="str">
        <f>'Data shares'!C49</f>
        <v>CROMPTON</v>
      </c>
      <c r="B54" s="50">
        <f>VLOOKUP($A54,'Data shares'!$C:$FM,102)</f>
        <v>25.8</v>
      </c>
      <c r="C54" s="50">
        <f>VLOOKUP($A54,'Data shares'!$C:$FM,110)</f>
        <v>26.13</v>
      </c>
      <c r="D54" s="50">
        <f>VLOOKUP($A54,'Data shares'!$C:$FM,114)</f>
        <v>25.32</v>
      </c>
      <c r="E54" s="50">
        <f>VLOOKUP($A54,'Data shares'!$C:$FM,106)</f>
        <v>31.47</v>
      </c>
      <c r="F54" s="50">
        <f>VLOOKUP($A54,'Data shares'!$C:$FM,108)</f>
        <v>-5.67</v>
      </c>
      <c r="G54" s="50">
        <f t="shared" si="1"/>
        <v>0.81982840800762635</v>
      </c>
    </row>
    <row r="55" spans="1:7" x14ac:dyDescent="0.25">
      <c r="A55" s="49" t="str">
        <f>'Data shares'!C50</f>
        <v>CUMMINSIND</v>
      </c>
      <c r="B55" s="50">
        <f>VLOOKUP($A55,'Data shares'!$C:$FM,102)</f>
        <v>25.56</v>
      </c>
      <c r="C55" s="50">
        <f>VLOOKUP($A55,'Data shares'!$C:$FM,110)</f>
        <v>25.51</v>
      </c>
      <c r="D55" s="50">
        <f>VLOOKUP($A55,'Data shares'!$C:$FM,114)</f>
        <v>25.78</v>
      </c>
      <c r="E55" s="50">
        <f>VLOOKUP($A55,'Data shares'!$C:$FM,106)</f>
        <v>34.590000000000003</v>
      </c>
      <c r="F55" s="50">
        <f>VLOOKUP($A55,'Data shares'!$C:$FM,108)</f>
        <v>-9.0299999999999994</v>
      </c>
      <c r="G55" s="50">
        <f t="shared" si="1"/>
        <v>0.73894189071986116</v>
      </c>
    </row>
    <row r="56" spans="1:7" x14ac:dyDescent="0.25">
      <c r="A56" s="49" t="str">
        <f>'Data shares'!C51</f>
        <v>CYIENT</v>
      </c>
      <c r="B56" s="50">
        <f>VLOOKUP($A56,'Data shares'!$C:$FM,102)</f>
        <v>28.49</v>
      </c>
      <c r="C56" s="50">
        <f>VLOOKUP($A56,'Data shares'!$C:$FM,110)</f>
        <v>28.53</v>
      </c>
      <c r="D56" s="50">
        <f>VLOOKUP($A56,'Data shares'!$C:$FM,114)</f>
        <v>28.41</v>
      </c>
      <c r="E56" s="50">
        <f>VLOOKUP($A56,'Data shares'!$C:$FM,106)</f>
        <v>43.07</v>
      </c>
      <c r="F56" s="50">
        <f>VLOOKUP($A56,'Data shares'!$C:$FM,108)</f>
        <v>-14.58</v>
      </c>
      <c r="G56" s="50">
        <f t="shared" si="1"/>
        <v>0.66148130949616901</v>
      </c>
    </row>
    <row r="57" spans="1:7" x14ac:dyDescent="0.25">
      <c r="A57" s="49" t="str">
        <f>'Data shares'!C52</f>
        <v>DABUR</v>
      </c>
      <c r="B57" s="50">
        <f>VLOOKUP($A57,'Data shares'!$C:$FM,102)</f>
        <v>20.89</v>
      </c>
      <c r="C57" s="50">
        <f>VLOOKUP($A57,'Data shares'!$C:$FM,110)</f>
        <v>20.73</v>
      </c>
      <c r="D57" s="50">
        <f>VLOOKUP($A57,'Data shares'!$C:$FM,114)</f>
        <v>21.19</v>
      </c>
      <c r="E57" s="50">
        <f>VLOOKUP($A57,'Data shares'!$C:$FM,106)</f>
        <v>25.44</v>
      </c>
      <c r="F57" s="50">
        <f>VLOOKUP($A57,'Data shares'!$C:$FM,108)</f>
        <v>-4.55</v>
      </c>
      <c r="G57" s="50">
        <f t="shared" si="1"/>
        <v>0.82114779874213839</v>
      </c>
    </row>
    <row r="58" spans="1:7" x14ac:dyDescent="0.25">
      <c r="A58" s="49" t="str">
        <f>'Data shares'!C53</f>
        <v>DALBHARAT</v>
      </c>
      <c r="B58" s="50">
        <f>VLOOKUP($A58,'Data shares'!$C:$FM,102)</f>
        <v>22.07</v>
      </c>
      <c r="C58" s="50">
        <f>VLOOKUP($A58,'Data shares'!$C:$FM,110)</f>
        <v>22.25</v>
      </c>
      <c r="D58" s="50">
        <f>VLOOKUP($A58,'Data shares'!$C:$FM,114)</f>
        <v>21.8</v>
      </c>
      <c r="E58" s="50">
        <f>VLOOKUP($A58,'Data shares'!$C:$FM,106)</f>
        <v>29.33</v>
      </c>
      <c r="F58" s="50">
        <f>VLOOKUP($A58,'Data shares'!$C:$FM,108)</f>
        <v>-7.26</v>
      </c>
      <c r="G58" s="50">
        <f t="shared" si="1"/>
        <v>0.75247187180361408</v>
      </c>
    </row>
    <row r="59" spans="1:7" x14ac:dyDescent="0.25">
      <c r="A59" s="49" t="str">
        <f>'Data shares'!C54</f>
        <v>DELHIVERY</v>
      </c>
      <c r="B59" s="50">
        <f>VLOOKUP($A59,'Data shares'!$C:$FM,102)</f>
        <v>28.8</v>
      </c>
      <c r="C59" s="50">
        <f>VLOOKUP($A59,'Data shares'!$C:$FM,110)</f>
        <v>28.96</v>
      </c>
      <c r="D59" s="50">
        <f>VLOOKUP($A59,'Data shares'!$C:$FM,114)</f>
        <v>28.54</v>
      </c>
      <c r="E59" s="50">
        <f>VLOOKUP($A59,'Data shares'!$C:$FM,106)</f>
        <v>41.5</v>
      </c>
      <c r="F59" s="50">
        <f>VLOOKUP($A59,'Data shares'!$C:$FM,108)</f>
        <v>-12.7</v>
      </c>
      <c r="G59" s="50">
        <f t="shared" si="1"/>
        <v>0.69397590361445782</v>
      </c>
    </row>
    <row r="60" spans="1:7" x14ac:dyDescent="0.25">
      <c r="A60" s="49" t="str">
        <f>'Data shares'!C55</f>
        <v>DIVISLAB</v>
      </c>
      <c r="B60" s="50">
        <f>VLOOKUP($A60,'Data shares'!$C:$FM,102)</f>
        <v>22.69</v>
      </c>
      <c r="C60" s="50">
        <f>VLOOKUP($A60,'Data shares'!$C:$FM,110)</f>
        <v>22.81</v>
      </c>
      <c r="D60" s="50">
        <f>VLOOKUP($A60,'Data shares'!$C:$FM,114)</f>
        <v>22.45</v>
      </c>
      <c r="E60" s="50">
        <f>VLOOKUP($A60,'Data shares'!$C:$FM,106)</f>
        <v>31.32</v>
      </c>
      <c r="F60" s="50">
        <f>VLOOKUP($A60,'Data shares'!$C:$FM,108)</f>
        <v>-8.6300000000000008</v>
      </c>
      <c r="G60" s="50">
        <f t="shared" si="1"/>
        <v>0.72445721583652622</v>
      </c>
    </row>
    <row r="61" spans="1:7" x14ac:dyDescent="0.25">
      <c r="A61" s="49" t="str">
        <f>'Data shares'!C56</f>
        <v>DIXON</v>
      </c>
      <c r="B61" s="50">
        <f>VLOOKUP($A61,'Data shares'!$C:$FM,102)</f>
        <v>28.95</v>
      </c>
      <c r="C61" s="50">
        <f>VLOOKUP($A61,'Data shares'!$C:$FM,110)</f>
        <v>29.13</v>
      </c>
      <c r="D61" s="50">
        <f>VLOOKUP($A61,'Data shares'!$C:$FM,114)</f>
        <v>28.58</v>
      </c>
      <c r="E61" s="50">
        <f>VLOOKUP($A61,'Data shares'!$C:$FM,106)</f>
        <v>43.47</v>
      </c>
      <c r="F61" s="50">
        <f>VLOOKUP($A61,'Data shares'!$C:$FM,108)</f>
        <v>-14.52</v>
      </c>
      <c r="G61" s="50">
        <f t="shared" si="1"/>
        <v>0.66597653554175296</v>
      </c>
    </row>
    <row r="62" spans="1:7" x14ac:dyDescent="0.25">
      <c r="A62" s="49" t="str">
        <f>'Data shares'!C57</f>
        <v>DLF</v>
      </c>
      <c r="B62" s="50">
        <f>VLOOKUP($A62,'Data shares'!$C:$FM,102)</f>
        <v>24.09</v>
      </c>
      <c r="C62" s="50">
        <f>VLOOKUP($A62,'Data shares'!$C:$FM,110)</f>
        <v>24.05</v>
      </c>
      <c r="D62" s="50">
        <f>VLOOKUP($A62,'Data shares'!$C:$FM,114)</f>
        <v>24.16</v>
      </c>
      <c r="E62" s="50">
        <f>VLOOKUP($A62,'Data shares'!$C:$FM,106)</f>
        <v>35.65</v>
      </c>
      <c r="F62" s="50">
        <f>VLOOKUP($A62,'Data shares'!$C:$FM,108)</f>
        <v>-11.56</v>
      </c>
      <c r="G62" s="50">
        <f t="shared" si="1"/>
        <v>0.67573632538569428</v>
      </c>
    </row>
    <row r="63" spans="1:7" x14ac:dyDescent="0.25">
      <c r="A63" s="49" t="str">
        <f>'Data shares'!C58</f>
        <v>DMART</v>
      </c>
      <c r="B63" s="50">
        <f>VLOOKUP($A63,'Data shares'!$C:$FM,102)</f>
        <v>23.31</v>
      </c>
      <c r="C63" s="50">
        <f>VLOOKUP($A63,'Data shares'!$C:$FM,110)</f>
        <v>23.41</v>
      </c>
      <c r="D63" s="50">
        <f>VLOOKUP($A63,'Data shares'!$C:$FM,114)</f>
        <v>23.01</v>
      </c>
      <c r="E63" s="50">
        <f>VLOOKUP($A63,'Data shares'!$C:$FM,106)</f>
        <v>31.61</v>
      </c>
      <c r="F63" s="50">
        <f>VLOOKUP($A63,'Data shares'!$C:$FM,108)</f>
        <v>-8.3000000000000007</v>
      </c>
      <c r="G63" s="50">
        <f t="shared" si="1"/>
        <v>0.73742486554887687</v>
      </c>
    </row>
    <row r="64" spans="1:7" x14ac:dyDescent="0.25">
      <c r="A64" s="49" t="str">
        <f>'Data shares'!C59</f>
        <v>DRREDDY</v>
      </c>
      <c r="B64" s="50">
        <f>VLOOKUP($A64,'Data shares'!$C:$FM,102)</f>
        <v>19.84</v>
      </c>
      <c r="C64" s="50">
        <f>VLOOKUP($A64,'Data shares'!$C:$FM,110)</f>
        <v>19.73</v>
      </c>
      <c r="D64" s="50">
        <f>VLOOKUP($A64,'Data shares'!$C:$FM,114)</f>
        <v>20.02</v>
      </c>
      <c r="E64" s="50">
        <f>VLOOKUP($A64,'Data shares'!$C:$FM,106)</f>
        <v>24.72</v>
      </c>
      <c r="F64" s="50">
        <f>VLOOKUP($A64,'Data shares'!$C:$FM,108)</f>
        <v>-4.88</v>
      </c>
      <c r="G64" s="50">
        <f t="shared" si="1"/>
        <v>0.80258899676375406</v>
      </c>
    </row>
    <row r="65" spans="1:7" x14ac:dyDescent="0.25">
      <c r="A65" s="49" t="str">
        <f>'Data shares'!C60</f>
        <v>EICHERMOT</v>
      </c>
      <c r="B65" s="50">
        <f>VLOOKUP($A65,'Data shares'!$C:$FM,102)</f>
        <v>20.57</v>
      </c>
      <c r="C65" s="50">
        <f>VLOOKUP($A65,'Data shares'!$C:$FM,110)</f>
        <v>20.190000000000001</v>
      </c>
      <c r="D65" s="50">
        <f>VLOOKUP($A65,'Data shares'!$C:$FM,114)</f>
        <v>21.38</v>
      </c>
      <c r="E65" s="50">
        <f>VLOOKUP($A65,'Data shares'!$C:$FM,106)</f>
        <v>27.7</v>
      </c>
      <c r="F65" s="50">
        <f>VLOOKUP($A65,'Data shares'!$C:$FM,108)</f>
        <v>-7.13</v>
      </c>
      <c r="G65" s="50">
        <f t="shared" si="1"/>
        <v>0.74259927797833936</v>
      </c>
    </row>
    <row r="66" spans="1:7" x14ac:dyDescent="0.25">
      <c r="A66" s="49" t="str">
        <f>'Data shares'!C61</f>
        <v>ETERNAL</v>
      </c>
      <c r="B66" s="50">
        <f>VLOOKUP($A66,'Data shares'!$C:$FM,102)</f>
        <v>28.17</v>
      </c>
      <c r="C66" s="50">
        <f>VLOOKUP($A66,'Data shares'!$C:$FM,110)</f>
        <v>27.99</v>
      </c>
      <c r="D66" s="50">
        <f>VLOOKUP($A66,'Data shares'!$C:$FM,114)</f>
        <v>28.63</v>
      </c>
      <c r="E66" s="50">
        <f>VLOOKUP($A66,'Data shares'!$C:$FM,106)</f>
        <v>44.65</v>
      </c>
      <c r="F66" s="50">
        <f>VLOOKUP($A66,'Data shares'!$C:$FM,108)</f>
        <v>-16.48</v>
      </c>
      <c r="G66" s="50">
        <f t="shared" si="1"/>
        <v>0.63090705487122067</v>
      </c>
    </row>
    <row r="67" spans="1:7" x14ac:dyDescent="0.25">
      <c r="A67" s="49" t="str">
        <f>'Data shares'!C62</f>
        <v>EXIDEIND</v>
      </c>
      <c r="B67" s="50">
        <f>VLOOKUP($A67,'Data shares'!$C:$FM,102)</f>
        <v>22.55</v>
      </c>
      <c r="C67" s="50">
        <f>VLOOKUP($A67,'Data shares'!$C:$FM,110)</f>
        <v>22.48</v>
      </c>
      <c r="D67" s="50">
        <f>VLOOKUP($A67,'Data shares'!$C:$FM,114)</f>
        <v>22.66</v>
      </c>
      <c r="E67" s="50">
        <f>VLOOKUP($A67,'Data shares'!$C:$FM,106)</f>
        <v>34.08</v>
      </c>
      <c r="F67" s="50">
        <f>VLOOKUP($A67,'Data shares'!$C:$FM,108)</f>
        <v>-11.53</v>
      </c>
      <c r="G67" s="50">
        <f t="shared" si="1"/>
        <v>0.66167840375586862</v>
      </c>
    </row>
    <row r="68" spans="1:7" x14ac:dyDescent="0.25">
      <c r="A68" s="49" t="str">
        <f>'Data shares'!C63</f>
        <v>FEDERALBNK</v>
      </c>
      <c r="B68" s="50">
        <f>VLOOKUP($A68,'Data shares'!$C:$FM,102)</f>
        <v>19.05</v>
      </c>
      <c r="C68" s="50">
        <f>VLOOKUP($A68,'Data shares'!$C:$FM,110)</f>
        <v>18.79</v>
      </c>
      <c r="D68" s="50">
        <f>VLOOKUP($A68,'Data shares'!$C:$FM,114)</f>
        <v>19.41</v>
      </c>
      <c r="E68" s="50">
        <f>VLOOKUP($A68,'Data shares'!$C:$FM,106)</f>
        <v>29.09</v>
      </c>
      <c r="F68" s="50">
        <f>VLOOKUP($A68,'Data shares'!$C:$FM,108)</f>
        <v>-10.039999999999999</v>
      </c>
      <c r="G68" s="50">
        <f t="shared" si="1"/>
        <v>0.6548642145067034</v>
      </c>
    </row>
    <row r="69" spans="1:7" x14ac:dyDescent="0.25">
      <c r="A69" s="49" t="str">
        <f>'Data shares'!C64</f>
        <v>FINNIFTY</v>
      </c>
      <c r="B69" s="50">
        <f>VLOOKUP($A69,'Data shares'!$C:$FM,102)</f>
        <v>11.25</v>
      </c>
      <c r="C69" s="50">
        <f>VLOOKUP($A69,'Data shares'!$C:$FM,110)</f>
        <v>10.050000000000001</v>
      </c>
      <c r="D69" s="50">
        <f>VLOOKUP($A69,'Data shares'!$C:$FM,114)</f>
        <v>11.57</v>
      </c>
      <c r="E69" s="50">
        <f>VLOOKUP($A69,'Data shares'!$C:$FM,106)</f>
        <v>17</v>
      </c>
      <c r="F69" s="50">
        <f>VLOOKUP($A69,'Data shares'!$C:$FM,108)</f>
        <v>-5.75</v>
      </c>
      <c r="G69" s="50">
        <f t="shared" si="1"/>
        <v>0.66176470588235292</v>
      </c>
    </row>
    <row r="70" spans="1:7" x14ac:dyDescent="0.25">
      <c r="A70" s="49" t="str">
        <f>'Data shares'!C65</f>
        <v>FORTIS</v>
      </c>
      <c r="B70" s="50">
        <f>VLOOKUP($A70,'Data shares'!$C:$FM,102)</f>
        <v>26.36</v>
      </c>
      <c r="C70" s="50">
        <f>VLOOKUP($A70,'Data shares'!$C:$FM,110)</f>
        <v>26.67</v>
      </c>
      <c r="D70" s="50">
        <f>VLOOKUP($A70,'Data shares'!$C:$FM,114)</f>
        <v>25.16</v>
      </c>
      <c r="E70" s="50">
        <f>VLOOKUP($A70,'Data shares'!$C:$FM,106)</f>
        <v>36.159999999999997</v>
      </c>
      <c r="F70" s="50">
        <f>VLOOKUP($A70,'Data shares'!$C:$FM,108)</f>
        <v>-9.8000000000000007</v>
      </c>
      <c r="G70" s="50">
        <f t="shared" si="1"/>
        <v>0.72898230088495586</v>
      </c>
    </row>
    <row r="71" spans="1:7" x14ac:dyDescent="0.25">
      <c r="A71" s="49" t="str">
        <f>'Data shares'!C66</f>
        <v>GAIL</v>
      </c>
      <c r="B71" s="50">
        <f>VLOOKUP($A71,'Data shares'!$C:$FM,102)</f>
        <v>21.4</v>
      </c>
      <c r="C71" s="50">
        <f>VLOOKUP($A71,'Data shares'!$C:$FM,110)</f>
        <v>21</v>
      </c>
      <c r="D71" s="50">
        <f>VLOOKUP($A71,'Data shares'!$C:$FM,114)</f>
        <v>21.97</v>
      </c>
      <c r="E71" s="50">
        <f>VLOOKUP($A71,'Data shares'!$C:$FM,106)</f>
        <v>35.01</v>
      </c>
      <c r="F71" s="50">
        <f>VLOOKUP($A71,'Data shares'!$C:$FM,108)</f>
        <v>-13.61</v>
      </c>
      <c r="G71" s="50">
        <f t="shared" ref="G71:G102" si="2">B71/E71</f>
        <v>0.61125392744930018</v>
      </c>
    </row>
    <row r="72" spans="1:7" x14ac:dyDescent="0.25">
      <c r="A72" s="49" t="str">
        <f>'Data shares'!C67</f>
        <v>GLENMARK</v>
      </c>
      <c r="B72" s="50">
        <f>VLOOKUP($A72,'Data shares'!$C:$FM,102)</f>
        <v>27.95</v>
      </c>
      <c r="C72" s="50">
        <f>VLOOKUP($A72,'Data shares'!$C:$FM,110)</f>
        <v>28.54</v>
      </c>
      <c r="D72" s="50">
        <f>VLOOKUP($A72,'Data shares'!$C:$FM,114)</f>
        <v>26.56</v>
      </c>
      <c r="E72" s="50">
        <f>VLOOKUP($A72,'Data shares'!$C:$FM,106)</f>
        <v>37</v>
      </c>
      <c r="F72" s="50">
        <f>VLOOKUP($A72,'Data shares'!$C:$FM,108)</f>
        <v>-9.0500000000000007</v>
      </c>
      <c r="G72" s="50">
        <f t="shared" si="2"/>
        <v>0.75540540540540535</v>
      </c>
    </row>
    <row r="73" spans="1:7" x14ac:dyDescent="0.25">
      <c r="A73" s="49" t="str">
        <f>'Data shares'!C68</f>
        <v>GMRAIRPORT</v>
      </c>
      <c r="B73" s="50">
        <f>VLOOKUP($A73,'Data shares'!$C:$FM,102)</f>
        <v>25.85</v>
      </c>
      <c r="C73" s="50">
        <f>VLOOKUP($A73,'Data shares'!$C:$FM,110)</f>
        <v>26.08</v>
      </c>
      <c r="D73" s="50">
        <f>VLOOKUP($A73,'Data shares'!$C:$FM,114)</f>
        <v>24.94</v>
      </c>
      <c r="E73" s="50">
        <f>VLOOKUP($A73,'Data shares'!$C:$FM,106)</f>
        <v>36.520000000000003</v>
      </c>
      <c r="F73" s="50">
        <f>VLOOKUP($A73,'Data shares'!$C:$FM,108)</f>
        <v>-10.67</v>
      </c>
      <c r="G73" s="50">
        <f t="shared" si="2"/>
        <v>0.70783132530120485</v>
      </c>
    </row>
    <row r="74" spans="1:7" x14ac:dyDescent="0.25">
      <c r="A74" s="49" t="str">
        <f>'Data shares'!C69</f>
        <v>GODREJCP</v>
      </c>
      <c r="B74" s="50">
        <f>VLOOKUP($A74,'Data shares'!$C:$FM,102)</f>
        <v>22.53</v>
      </c>
      <c r="C74" s="50">
        <f>VLOOKUP($A74,'Data shares'!$C:$FM,110)</f>
        <v>23.21</v>
      </c>
      <c r="D74" s="50">
        <f>VLOOKUP($A74,'Data shares'!$C:$FM,114)</f>
        <v>21.65</v>
      </c>
      <c r="E74" s="50">
        <f>VLOOKUP($A74,'Data shares'!$C:$FM,106)</f>
        <v>29.52</v>
      </c>
      <c r="F74" s="50">
        <f>VLOOKUP($A74,'Data shares'!$C:$FM,108)</f>
        <v>-6.99</v>
      </c>
      <c r="G74" s="50">
        <f t="shared" si="2"/>
        <v>0.76321138211382122</v>
      </c>
    </row>
    <row r="75" spans="1:7" x14ac:dyDescent="0.25">
      <c r="A75" s="49" t="str">
        <f>'Data shares'!C70</f>
        <v>GODREJPROP</v>
      </c>
      <c r="B75" s="50">
        <f>VLOOKUP($A75,'Data shares'!$C:$FM,102)</f>
        <v>29.02</v>
      </c>
      <c r="C75" s="50">
        <f>VLOOKUP($A75,'Data shares'!$C:$FM,110)</f>
        <v>29.31</v>
      </c>
      <c r="D75" s="50">
        <f>VLOOKUP($A75,'Data shares'!$C:$FM,114)</f>
        <v>28.24</v>
      </c>
      <c r="E75" s="50">
        <f>VLOOKUP($A75,'Data shares'!$C:$FM,106)</f>
        <v>42.88</v>
      </c>
      <c r="F75" s="50">
        <f>VLOOKUP($A75,'Data shares'!$C:$FM,108)</f>
        <v>-13.86</v>
      </c>
      <c r="G75" s="50">
        <f t="shared" si="2"/>
        <v>0.67677238805970141</v>
      </c>
    </row>
    <row r="76" spans="1:7" x14ac:dyDescent="0.25">
      <c r="A76" s="49" t="str">
        <f>'Data shares'!C71</f>
        <v>GRASIM</v>
      </c>
      <c r="B76" s="50">
        <f>VLOOKUP($A76,'Data shares'!$C:$FM,102)</f>
        <v>17.260000000000002</v>
      </c>
      <c r="C76" s="50">
        <f>VLOOKUP($A76,'Data shares'!$C:$FM,110)</f>
        <v>17.8</v>
      </c>
      <c r="D76" s="50">
        <f>VLOOKUP($A76,'Data shares'!$C:$FM,114)</f>
        <v>16.670000000000002</v>
      </c>
      <c r="E76" s="50">
        <f>VLOOKUP($A76,'Data shares'!$C:$FM,106)</f>
        <v>26.27</v>
      </c>
      <c r="F76" s="50">
        <f>VLOOKUP($A76,'Data shares'!$C:$FM,108)</f>
        <v>-9.01</v>
      </c>
      <c r="G76" s="50">
        <f t="shared" si="2"/>
        <v>0.65702322040350214</v>
      </c>
    </row>
    <row r="77" spans="1:7" x14ac:dyDescent="0.25">
      <c r="A77" s="49" t="str">
        <f>'Data shares'!C72</f>
        <v>HAL</v>
      </c>
      <c r="B77" s="50">
        <f>VLOOKUP($A77,'Data shares'!$C:$FM,102)</f>
        <v>24.36</v>
      </c>
      <c r="C77" s="50">
        <f>VLOOKUP($A77,'Data shares'!$C:$FM,110)</f>
        <v>24.27</v>
      </c>
      <c r="D77" s="50">
        <f>VLOOKUP($A77,'Data shares'!$C:$FM,114)</f>
        <v>24.55</v>
      </c>
      <c r="E77" s="50">
        <f>VLOOKUP($A77,'Data shares'!$C:$FM,106)</f>
        <v>38.39</v>
      </c>
      <c r="F77" s="50">
        <f>VLOOKUP($A77,'Data shares'!$C:$FM,108)</f>
        <v>-14.03</v>
      </c>
      <c r="G77" s="50">
        <f t="shared" si="2"/>
        <v>0.63454024485543103</v>
      </c>
    </row>
    <row r="78" spans="1:7" x14ac:dyDescent="0.25">
      <c r="A78" s="49" t="str">
        <f>'Data shares'!C73</f>
        <v>HAVELLS</v>
      </c>
      <c r="B78" s="50">
        <f>VLOOKUP($A78,'Data shares'!$C:$FM,102)</f>
        <v>19.43</v>
      </c>
      <c r="C78" s="50">
        <f>VLOOKUP($A78,'Data shares'!$C:$FM,110)</f>
        <v>19.32</v>
      </c>
      <c r="D78" s="50">
        <f>VLOOKUP($A78,'Data shares'!$C:$FM,114)</f>
        <v>19.55</v>
      </c>
      <c r="E78" s="50">
        <f>VLOOKUP($A78,'Data shares'!$C:$FM,106)</f>
        <v>27.72</v>
      </c>
      <c r="F78" s="50">
        <f>VLOOKUP($A78,'Data shares'!$C:$FM,108)</f>
        <v>-8.2899999999999991</v>
      </c>
      <c r="G78" s="50">
        <f t="shared" si="2"/>
        <v>0.70093795093795097</v>
      </c>
    </row>
    <row r="79" spans="1:7" x14ac:dyDescent="0.25">
      <c r="A79" s="49" t="str">
        <f>'Data shares'!C74</f>
        <v>HCLTECH</v>
      </c>
      <c r="B79" s="50">
        <f>VLOOKUP($A79,'Data shares'!$C:$FM,102)</f>
        <v>21.25</v>
      </c>
      <c r="C79" s="50">
        <f>VLOOKUP($A79,'Data shares'!$C:$FM,110)</f>
        <v>21.19</v>
      </c>
      <c r="D79" s="50">
        <f>VLOOKUP($A79,'Data shares'!$C:$FM,114)</f>
        <v>21.35</v>
      </c>
      <c r="E79" s="50">
        <f>VLOOKUP($A79,'Data shares'!$C:$FM,106)</f>
        <v>28.73</v>
      </c>
      <c r="F79" s="50">
        <f>VLOOKUP($A79,'Data shares'!$C:$FM,108)</f>
        <v>-7.48</v>
      </c>
      <c r="G79" s="50">
        <f t="shared" si="2"/>
        <v>0.73964497041420119</v>
      </c>
    </row>
    <row r="80" spans="1:7" x14ac:dyDescent="0.25">
      <c r="A80" s="49" t="str">
        <f>'Data shares'!C75</f>
        <v>HDFCAMC</v>
      </c>
      <c r="B80" s="50">
        <f>VLOOKUP($A80,'Data shares'!$C:$FM,102)</f>
        <v>21.65</v>
      </c>
      <c r="C80" s="50">
        <f>VLOOKUP($A80,'Data shares'!$C:$FM,110)</f>
        <v>21.64</v>
      </c>
      <c r="D80" s="50">
        <f>VLOOKUP($A80,'Data shares'!$C:$FM,114)</f>
        <v>21.66</v>
      </c>
      <c r="E80" s="50">
        <f>VLOOKUP($A80,'Data shares'!$C:$FM,106)</f>
        <v>33.979999999999997</v>
      </c>
      <c r="F80" s="50">
        <f>VLOOKUP($A80,'Data shares'!$C:$FM,108)</f>
        <v>-12.33</v>
      </c>
      <c r="G80" s="50">
        <f t="shared" si="2"/>
        <v>0.6371394938198941</v>
      </c>
    </row>
    <row r="81" spans="1:7" x14ac:dyDescent="0.25">
      <c r="A81" s="49" t="str">
        <f>'Data shares'!C76</f>
        <v>HDFCBANK</v>
      </c>
      <c r="B81" s="50">
        <f>VLOOKUP($A81,'Data shares'!$C:$FM,102)</f>
        <v>15.76</v>
      </c>
      <c r="C81" s="50">
        <f>VLOOKUP($A81,'Data shares'!$C:$FM,110)</f>
        <v>15.55</v>
      </c>
      <c r="D81" s="50">
        <f>VLOOKUP($A81,'Data shares'!$C:$FM,114)</f>
        <v>16.23</v>
      </c>
      <c r="E81" s="50">
        <f>VLOOKUP($A81,'Data shares'!$C:$FM,106)</f>
        <v>20.46</v>
      </c>
      <c r="F81" s="50">
        <f>VLOOKUP($A81,'Data shares'!$C:$FM,108)</f>
        <v>-4.7</v>
      </c>
      <c r="G81" s="50">
        <f t="shared" si="2"/>
        <v>0.7702834799608993</v>
      </c>
    </row>
    <row r="82" spans="1:7" x14ac:dyDescent="0.25">
      <c r="A82" s="49" t="str">
        <f>'Data shares'!C77</f>
        <v>HDFCLIFE</v>
      </c>
      <c r="B82" s="50">
        <f>VLOOKUP($A82,'Data shares'!$C:$FM,102)</f>
        <v>19.39</v>
      </c>
      <c r="C82" s="50">
        <f>VLOOKUP($A82,'Data shares'!$C:$FM,110)</f>
        <v>19.649999999999999</v>
      </c>
      <c r="D82" s="50">
        <f>VLOOKUP($A82,'Data shares'!$C:$FM,114)</f>
        <v>18.86</v>
      </c>
      <c r="E82" s="50">
        <f>VLOOKUP($A82,'Data shares'!$C:$FM,106)</f>
        <v>25.75</v>
      </c>
      <c r="F82" s="50">
        <f>VLOOKUP($A82,'Data shares'!$C:$FM,108)</f>
        <v>-6.36</v>
      </c>
      <c r="G82" s="50">
        <f t="shared" si="2"/>
        <v>0.7530097087378641</v>
      </c>
    </row>
    <row r="83" spans="1:7" x14ac:dyDescent="0.25">
      <c r="A83" s="49" t="str">
        <f>'Data shares'!C78</f>
        <v>HEROMOTOCO</v>
      </c>
      <c r="B83" s="50">
        <f>VLOOKUP($A83,'Data shares'!$C:$FM,102)</f>
        <v>23.64</v>
      </c>
      <c r="C83" s="50">
        <f>VLOOKUP($A83,'Data shares'!$C:$FM,110)</f>
        <v>23.22</v>
      </c>
      <c r="D83" s="50">
        <f>VLOOKUP($A83,'Data shares'!$C:$FM,114)</f>
        <v>24.41</v>
      </c>
      <c r="E83" s="50">
        <f>VLOOKUP($A83,'Data shares'!$C:$FM,106)</f>
        <v>30.8</v>
      </c>
      <c r="F83" s="50">
        <f>VLOOKUP($A83,'Data shares'!$C:$FM,108)</f>
        <v>-7.16</v>
      </c>
      <c r="G83" s="50">
        <f t="shared" si="2"/>
        <v>0.76753246753246751</v>
      </c>
    </row>
    <row r="84" spans="1:7" x14ac:dyDescent="0.25">
      <c r="A84" s="49" t="str">
        <f>'Data shares'!C79</f>
        <v>HFCL</v>
      </c>
      <c r="B84" s="50">
        <f>VLOOKUP($A84,'Data shares'!$C:$FM,102)</f>
        <v>37.159999999999997</v>
      </c>
      <c r="C84" s="50">
        <f>VLOOKUP($A84,'Data shares'!$C:$FM,110)</f>
        <v>37.409999999999997</v>
      </c>
      <c r="D84" s="50">
        <f>VLOOKUP($A84,'Data shares'!$C:$FM,114)</f>
        <v>36.630000000000003</v>
      </c>
      <c r="E84" s="50">
        <f>VLOOKUP($A84,'Data shares'!$C:$FM,106)</f>
        <v>53.7</v>
      </c>
      <c r="F84" s="50">
        <f>VLOOKUP($A84,'Data shares'!$C:$FM,108)</f>
        <v>-16.54</v>
      </c>
      <c r="G84" s="50">
        <f t="shared" si="2"/>
        <v>0.69199255121042824</v>
      </c>
    </row>
    <row r="85" spans="1:7" x14ac:dyDescent="0.25">
      <c r="A85" s="49" t="str">
        <f>'Data shares'!C80</f>
        <v>HINDALCO</v>
      </c>
      <c r="B85" s="50">
        <f>VLOOKUP($A85,'Data shares'!$C:$FM,102)</f>
        <v>23.96</v>
      </c>
      <c r="C85" s="50">
        <f>VLOOKUP($A85,'Data shares'!$C:$FM,110)</f>
        <v>24.02</v>
      </c>
      <c r="D85" s="50">
        <f>VLOOKUP($A85,'Data shares'!$C:$FM,114)</f>
        <v>23.89</v>
      </c>
      <c r="E85" s="50">
        <f>VLOOKUP($A85,'Data shares'!$C:$FM,106)</f>
        <v>33.159999999999997</v>
      </c>
      <c r="F85" s="50">
        <f>VLOOKUP($A85,'Data shares'!$C:$FM,108)</f>
        <v>-9.1999999999999993</v>
      </c>
      <c r="G85" s="50">
        <f t="shared" si="2"/>
        <v>0.72255729794933665</v>
      </c>
    </row>
    <row r="86" spans="1:7" x14ac:dyDescent="0.25">
      <c r="A86" s="49" t="str">
        <f>'Data shares'!C81</f>
        <v>HINDPETRO</v>
      </c>
      <c r="B86" s="50">
        <f>VLOOKUP($A86,'Data shares'!$C:$FM,102)</f>
        <v>25.08</v>
      </c>
      <c r="C86" s="50">
        <f>VLOOKUP($A86,'Data shares'!$C:$FM,110)</f>
        <v>25.02</v>
      </c>
      <c r="D86" s="50">
        <f>VLOOKUP($A86,'Data shares'!$C:$FM,114)</f>
        <v>25.18</v>
      </c>
      <c r="E86" s="50">
        <f>VLOOKUP($A86,'Data shares'!$C:$FM,106)</f>
        <v>39.53</v>
      </c>
      <c r="F86" s="50">
        <f>VLOOKUP($A86,'Data shares'!$C:$FM,108)</f>
        <v>-14.45</v>
      </c>
      <c r="G86" s="50">
        <f t="shared" si="2"/>
        <v>0.63445484442195799</v>
      </c>
    </row>
    <row r="87" spans="1:7" x14ac:dyDescent="0.25">
      <c r="A87" s="49" t="str">
        <f>'Data shares'!C82</f>
        <v>HINDUNILVR</v>
      </c>
      <c r="B87" s="50">
        <f>VLOOKUP($A87,'Data shares'!$C:$FM,102)</f>
        <v>12.34</v>
      </c>
      <c r="C87" s="50">
        <f>VLOOKUP($A87,'Data shares'!$C:$FM,110)</f>
        <v>12.71</v>
      </c>
      <c r="D87" s="50">
        <f>VLOOKUP($A87,'Data shares'!$C:$FM,114)</f>
        <v>11.34</v>
      </c>
      <c r="E87" s="50">
        <f>VLOOKUP($A87,'Data shares'!$C:$FM,106)</f>
        <v>22.21</v>
      </c>
      <c r="F87" s="50">
        <f>VLOOKUP($A87,'Data shares'!$C:$FM,108)</f>
        <v>-9.8699999999999992</v>
      </c>
      <c r="G87" s="50">
        <f t="shared" si="2"/>
        <v>0.55560558307068886</v>
      </c>
    </row>
    <row r="88" spans="1:7" x14ac:dyDescent="0.25">
      <c r="A88" s="49" t="str">
        <f>'Data shares'!C83</f>
        <v>HINDZINC</v>
      </c>
      <c r="B88" s="50">
        <f>VLOOKUP($A88,'Data shares'!$C:$FM,102)</f>
        <v>27.81</v>
      </c>
      <c r="C88" s="50">
        <f>VLOOKUP($A88,'Data shares'!$C:$FM,110)</f>
        <v>28.06</v>
      </c>
      <c r="D88" s="50">
        <f>VLOOKUP($A88,'Data shares'!$C:$FM,114)</f>
        <v>26.88</v>
      </c>
      <c r="E88" s="50">
        <f>VLOOKUP($A88,'Data shares'!$C:$FM,106)</f>
        <v>43.24</v>
      </c>
      <c r="F88" s="50">
        <f>VLOOKUP($A88,'Data shares'!$C:$FM,108)</f>
        <v>-15.43</v>
      </c>
      <c r="G88" s="50">
        <f t="shared" si="2"/>
        <v>0.64315448658649388</v>
      </c>
    </row>
    <row r="89" spans="1:7" x14ac:dyDescent="0.25">
      <c r="A89" s="49" t="str">
        <f>'Data shares'!C84</f>
        <v>HUDCO</v>
      </c>
      <c r="B89" s="50">
        <f>VLOOKUP($A89,'Data shares'!$C:$FM,102)</f>
        <v>31.67</v>
      </c>
      <c r="C89" s="50">
        <f>VLOOKUP($A89,'Data shares'!$C:$FM,110)</f>
        <v>31.65</v>
      </c>
      <c r="D89" s="50">
        <f>VLOOKUP($A89,'Data shares'!$C:$FM,114)</f>
        <v>31.72</v>
      </c>
      <c r="E89" s="50">
        <f>VLOOKUP($A89,'Data shares'!$C:$FM,106)</f>
        <v>52.1</v>
      </c>
      <c r="F89" s="50">
        <f>VLOOKUP($A89,'Data shares'!$C:$FM,108)</f>
        <v>-20.43</v>
      </c>
      <c r="G89" s="50">
        <f t="shared" si="2"/>
        <v>0.607869481765835</v>
      </c>
    </row>
    <row r="90" spans="1:7" x14ac:dyDescent="0.25">
      <c r="A90" s="49" t="str">
        <f>'Data shares'!C85</f>
        <v>ICICIBANK</v>
      </c>
      <c r="B90" s="50">
        <f>VLOOKUP($A90,'Data shares'!$C:$FM,102)</f>
        <v>15.21</v>
      </c>
      <c r="C90" s="50">
        <f>VLOOKUP($A90,'Data shares'!$C:$FM,110)</f>
        <v>15.19</v>
      </c>
      <c r="D90" s="50">
        <f>VLOOKUP($A90,'Data shares'!$C:$FM,114)</f>
        <v>15.24</v>
      </c>
      <c r="E90" s="50">
        <f>VLOOKUP($A90,'Data shares'!$C:$FM,106)</f>
        <v>20.98</v>
      </c>
      <c r="F90" s="50">
        <f>VLOOKUP($A90,'Data shares'!$C:$FM,108)</f>
        <v>-5.77</v>
      </c>
      <c r="G90" s="50">
        <f t="shared" si="2"/>
        <v>0.724976167778837</v>
      </c>
    </row>
    <row r="91" spans="1:7" x14ac:dyDescent="0.25">
      <c r="A91" s="49" t="str">
        <f>'Data shares'!C86</f>
        <v>ICICIGI</v>
      </c>
      <c r="B91" s="50">
        <f>VLOOKUP($A91,'Data shares'!$C:$FM,102)</f>
        <v>22.1</v>
      </c>
      <c r="C91" s="50">
        <f>VLOOKUP($A91,'Data shares'!$C:$FM,110)</f>
        <v>22.07</v>
      </c>
      <c r="D91" s="50">
        <f>VLOOKUP($A91,'Data shares'!$C:$FM,114)</f>
        <v>22.17</v>
      </c>
      <c r="E91" s="50">
        <f>VLOOKUP($A91,'Data shares'!$C:$FM,106)</f>
        <v>29.37</v>
      </c>
      <c r="F91" s="50">
        <f>VLOOKUP($A91,'Data shares'!$C:$FM,108)</f>
        <v>-7.27</v>
      </c>
      <c r="G91" s="50">
        <f t="shared" si="2"/>
        <v>0.75246850527749409</v>
      </c>
    </row>
    <row r="92" spans="1:7" x14ac:dyDescent="0.25">
      <c r="A92" s="49" t="str">
        <f>'Data shares'!C87</f>
        <v>ICICIPRULI</v>
      </c>
      <c r="B92" s="50">
        <f>VLOOKUP($A92,'Data shares'!$C:$FM,102)</f>
        <v>21.77</v>
      </c>
      <c r="C92" s="50">
        <f>VLOOKUP($A92,'Data shares'!$C:$FM,110)</f>
        <v>21.93</v>
      </c>
      <c r="D92" s="50">
        <f>VLOOKUP($A92,'Data shares'!$C:$FM,114)</f>
        <v>21.36</v>
      </c>
      <c r="E92" s="50">
        <f>VLOOKUP($A92,'Data shares'!$C:$FM,106)</f>
        <v>27.45</v>
      </c>
      <c r="F92" s="50">
        <f>VLOOKUP($A92,'Data shares'!$C:$FM,108)</f>
        <v>-5.68</v>
      </c>
      <c r="G92" s="50">
        <f t="shared" si="2"/>
        <v>0.79307832422586522</v>
      </c>
    </row>
    <row r="93" spans="1:7" x14ac:dyDescent="0.25">
      <c r="A93" s="49" t="str">
        <f>'Data shares'!C88</f>
        <v>IDEA</v>
      </c>
      <c r="B93" s="50">
        <f>VLOOKUP($A93,'Data shares'!$C:$FM,102)</f>
        <v>56.21</v>
      </c>
      <c r="C93" s="50">
        <f>VLOOKUP($A93,'Data shares'!$C:$FM,110)</f>
        <v>57.35</v>
      </c>
      <c r="D93" s="50">
        <f>VLOOKUP($A93,'Data shares'!$C:$FM,114)</f>
        <v>52.49</v>
      </c>
      <c r="E93" s="50">
        <f>VLOOKUP($A93,'Data shares'!$C:$FM,106)</f>
        <v>69.09</v>
      </c>
      <c r="F93" s="50">
        <f>VLOOKUP($A93,'Data shares'!$C:$FM,108)</f>
        <v>-12.88</v>
      </c>
      <c r="G93" s="50">
        <f t="shared" si="2"/>
        <v>0.81357649442755819</v>
      </c>
    </row>
    <row r="94" spans="1:7" x14ac:dyDescent="0.25">
      <c r="A94" s="49" t="str">
        <f>'Data shares'!C89</f>
        <v>IDFCFIRSTB</v>
      </c>
      <c r="B94" s="50">
        <f>VLOOKUP($A94,'Data shares'!$C:$FM,102)</f>
        <v>25.5</v>
      </c>
      <c r="C94" s="50">
        <f>VLOOKUP($A94,'Data shares'!$C:$FM,110)</f>
        <v>25.86</v>
      </c>
      <c r="D94" s="50">
        <f>VLOOKUP($A94,'Data shares'!$C:$FM,114)</f>
        <v>24.89</v>
      </c>
      <c r="E94" s="50">
        <f>VLOOKUP($A94,'Data shares'!$C:$FM,106)</f>
        <v>33.880000000000003</v>
      </c>
      <c r="F94" s="50">
        <f>VLOOKUP($A94,'Data shares'!$C:$FM,108)</f>
        <v>-8.3800000000000008</v>
      </c>
      <c r="G94" s="50">
        <f t="shared" si="2"/>
        <v>0.75265643447461628</v>
      </c>
    </row>
    <row r="95" spans="1:7" x14ac:dyDescent="0.25">
      <c r="A95" s="49" t="str">
        <f>'Data shares'!C90</f>
        <v>IEX</v>
      </c>
      <c r="B95" s="50">
        <f>VLOOKUP($A95,'Data shares'!$C:$FM,102)</f>
        <v>34.67</v>
      </c>
      <c r="C95" s="50">
        <f>VLOOKUP($A95,'Data shares'!$C:$FM,110)</f>
        <v>34.520000000000003</v>
      </c>
      <c r="D95" s="50">
        <f>VLOOKUP($A95,'Data shares'!$C:$FM,114)</f>
        <v>35.020000000000003</v>
      </c>
      <c r="E95" s="50">
        <f>VLOOKUP($A95,'Data shares'!$C:$FM,106)</f>
        <v>55.12</v>
      </c>
      <c r="F95" s="50">
        <f>VLOOKUP($A95,'Data shares'!$C:$FM,108)</f>
        <v>-20.45</v>
      </c>
      <c r="G95" s="50">
        <f t="shared" si="2"/>
        <v>0.62899129172714086</v>
      </c>
    </row>
    <row r="96" spans="1:7" x14ac:dyDescent="0.25">
      <c r="A96" s="49" t="str">
        <f>'Data shares'!C91</f>
        <v>IGL</v>
      </c>
      <c r="B96" s="50">
        <f>VLOOKUP($A96,'Data shares'!$C:$FM,102)</f>
        <v>40.729999999999997</v>
      </c>
      <c r="C96" s="50">
        <f>VLOOKUP($A96,'Data shares'!$C:$FM,110)</f>
        <v>40.729999999999997</v>
      </c>
      <c r="D96" s="50">
        <f>VLOOKUP($A96,'Data shares'!$C:$FM,114)</f>
        <v>40.729999999999997</v>
      </c>
      <c r="E96" s="50">
        <f>VLOOKUP($A96,'Data shares'!$C:$FM,106)</f>
        <v>40.729999999999997</v>
      </c>
      <c r="F96" s="50">
        <f>VLOOKUP($A96,'Data shares'!$C:$FM,108)</f>
        <v>0</v>
      </c>
      <c r="G96" s="50">
        <f t="shared" si="2"/>
        <v>1</v>
      </c>
    </row>
    <row r="97" spans="1:7" x14ac:dyDescent="0.25">
      <c r="A97" s="49" t="str">
        <f>'Data shares'!C92</f>
        <v>IIFL</v>
      </c>
      <c r="B97" s="50">
        <f>VLOOKUP($A97,'Data shares'!$C:$FM,102)</f>
        <v>31.89</v>
      </c>
      <c r="C97" s="50">
        <f>VLOOKUP($A97,'Data shares'!$C:$FM,110)</f>
        <v>31.71</v>
      </c>
      <c r="D97" s="50">
        <f>VLOOKUP($A97,'Data shares'!$C:$FM,114)</f>
        <v>32.299999999999997</v>
      </c>
      <c r="E97" s="50">
        <f>VLOOKUP($A97,'Data shares'!$C:$FM,106)</f>
        <v>50.8</v>
      </c>
      <c r="F97" s="50">
        <f>VLOOKUP($A97,'Data shares'!$C:$FM,108)</f>
        <v>-18.91</v>
      </c>
      <c r="G97" s="50">
        <f t="shared" si="2"/>
        <v>0.62775590551181104</v>
      </c>
    </row>
    <row r="98" spans="1:7" x14ac:dyDescent="0.25">
      <c r="A98" s="49" t="str">
        <f>'Data shares'!C93</f>
        <v>INDHOTEL</v>
      </c>
      <c r="B98" s="50">
        <f>VLOOKUP($A98,'Data shares'!$C:$FM,102)</f>
        <v>20.260000000000002</v>
      </c>
      <c r="C98" s="50">
        <f>VLOOKUP($A98,'Data shares'!$C:$FM,110)</f>
        <v>20.420000000000002</v>
      </c>
      <c r="D98" s="50">
        <f>VLOOKUP($A98,'Data shares'!$C:$FM,114)</f>
        <v>19.97</v>
      </c>
      <c r="E98" s="50">
        <f>VLOOKUP($A98,'Data shares'!$C:$FM,106)</f>
        <v>35.15</v>
      </c>
      <c r="F98" s="50">
        <f>VLOOKUP($A98,'Data shares'!$C:$FM,108)</f>
        <v>-14.89</v>
      </c>
      <c r="G98" s="50">
        <f t="shared" si="2"/>
        <v>0.57638691322901858</v>
      </c>
    </row>
    <row r="99" spans="1:7" x14ac:dyDescent="0.25">
      <c r="A99" s="49" t="str">
        <f>'Data shares'!C94</f>
        <v>INDIANB</v>
      </c>
      <c r="B99" s="50">
        <f>VLOOKUP($A99,'Data shares'!$C:$FM,102)</f>
        <v>27.37</v>
      </c>
      <c r="C99" s="50">
        <f>VLOOKUP($A99,'Data shares'!$C:$FM,110)</f>
        <v>27.04</v>
      </c>
      <c r="D99" s="50">
        <f>VLOOKUP($A99,'Data shares'!$C:$FM,114)</f>
        <v>27.79</v>
      </c>
      <c r="E99" s="50">
        <f>VLOOKUP($A99,'Data shares'!$C:$FM,106)</f>
        <v>37.19</v>
      </c>
      <c r="F99" s="50">
        <f>VLOOKUP($A99,'Data shares'!$C:$FM,108)</f>
        <v>-9.82</v>
      </c>
      <c r="G99" s="50">
        <f t="shared" si="2"/>
        <v>0.73595052433449859</v>
      </c>
    </row>
    <row r="100" spans="1:7" x14ac:dyDescent="0.25">
      <c r="A100" s="49" t="str">
        <f>'Data shares'!C95</f>
        <v>INDIAVIX</v>
      </c>
      <c r="B100" s="50">
        <f>VLOOKUP($A100,'Data shares'!$C:$FM,102)</f>
        <v>0</v>
      </c>
      <c r="C100" s="50">
        <f>VLOOKUP($A100,'Data shares'!$C:$FM,110)</f>
        <v>0</v>
      </c>
      <c r="D100" s="50">
        <f>VLOOKUP($A100,'Data shares'!$C:$FM,114)</f>
        <v>0</v>
      </c>
      <c r="E100" s="50">
        <f>VLOOKUP($A100,'Data shares'!$C:$FM,106)</f>
        <v>0</v>
      </c>
      <c r="F100" s="50">
        <f>VLOOKUP($A100,'Data shares'!$C:$FM,108)</f>
        <v>0</v>
      </c>
      <c r="G100" s="50" t="e">
        <f t="shared" si="2"/>
        <v>#DIV/0!</v>
      </c>
    </row>
    <row r="101" spans="1:7" x14ac:dyDescent="0.25">
      <c r="A101" s="49" t="str">
        <f>'Data shares'!C96</f>
        <v>INDIGO</v>
      </c>
      <c r="B101" s="50">
        <f>VLOOKUP($A101,'Data shares'!$C:$FM,102)</f>
        <v>20.3</v>
      </c>
      <c r="C101" s="50">
        <f>VLOOKUP($A101,'Data shares'!$C:$FM,110)</f>
        <v>20.16</v>
      </c>
      <c r="D101" s="50">
        <f>VLOOKUP($A101,'Data shares'!$C:$FM,114)</f>
        <v>20.52</v>
      </c>
      <c r="E101" s="50">
        <f>VLOOKUP($A101,'Data shares'!$C:$FM,106)</f>
        <v>32.03</v>
      </c>
      <c r="F101" s="50">
        <f>VLOOKUP($A101,'Data shares'!$C:$FM,108)</f>
        <v>-11.73</v>
      </c>
      <c r="G101" s="50">
        <f t="shared" si="2"/>
        <v>0.63378083047143308</v>
      </c>
    </row>
    <row r="102" spans="1:7" x14ac:dyDescent="0.25">
      <c r="A102" s="49" t="str">
        <f>'Data shares'!C97</f>
        <v>INDUSINDBK</v>
      </c>
      <c r="B102" s="50">
        <f>VLOOKUP($A102,'Data shares'!$C:$FM,102)</f>
        <v>27.4</v>
      </c>
      <c r="C102" s="50">
        <f>VLOOKUP($A102,'Data shares'!$C:$FM,110)</f>
        <v>27.71</v>
      </c>
      <c r="D102" s="50">
        <f>VLOOKUP($A102,'Data shares'!$C:$FM,114)</f>
        <v>26.68</v>
      </c>
      <c r="E102" s="50">
        <f>VLOOKUP($A102,'Data shares'!$C:$FM,106)</f>
        <v>45.82</v>
      </c>
      <c r="F102" s="50">
        <f>VLOOKUP($A102,'Data shares'!$C:$FM,108)</f>
        <v>-18.420000000000002</v>
      </c>
      <c r="G102" s="50">
        <f t="shared" si="2"/>
        <v>0.5979921431689218</v>
      </c>
    </row>
    <row r="103" spans="1:7" x14ac:dyDescent="0.25">
      <c r="A103" s="49" t="str">
        <f>'Data shares'!C98</f>
        <v>INDUSTOWER</v>
      </c>
      <c r="B103" s="50">
        <f>VLOOKUP($A103,'Data shares'!$C:$FM,102)</f>
        <v>25.13</v>
      </c>
      <c r="C103" s="50">
        <f>VLOOKUP($A103,'Data shares'!$C:$FM,110)</f>
        <v>25.17</v>
      </c>
      <c r="D103" s="50">
        <f>VLOOKUP($A103,'Data shares'!$C:$FM,114)</f>
        <v>25.06</v>
      </c>
      <c r="E103" s="50">
        <f>VLOOKUP($A103,'Data shares'!$C:$FM,106)</f>
        <v>39.68</v>
      </c>
      <c r="F103" s="50">
        <f>VLOOKUP($A103,'Data shares'!$C:$FM,108)</f>
        <v>-14.55</v>
      </c>
      <c r="G103" s="50">
        <f t="shared" ref="G103:G134" si="3">B103/E103</f>
        <v>0.6333165322580645</v>
      </c>
    </row>
    <row r="104" spans="1:7" x14ac:dyDescent="0.25">
      <c r="A104" s="49" t="str">
        <f>'Data shares'!C99</f>
        <v>INFY</v>
      </c>
      <c r="B104" s="50">
        <f>VLOOKUP($A104,'Data shares'!$C:$FM,102)</f>
        <v>22.81</v>
      </c>
      <c r="C104" s="50">
        <f>VLOOKUP($A104,'Data shares'!$C:$FM,110)</f>
        <v>22.7</v>
      </c>
      <c r="D104" s="50">
        <f>VLOOKUP($A104,'Data shares'!$C:$FM,114)</f>
        <v>23</v>
      </c>
      <c r="E104" s="50">
        <f>VLOOKUP($A104,'Data shares'!$C:$FM,106)</f>
        <v>29.37</v>
      </c>
      <c r="F104" s="50">
        <f>VLOOKUP($A104,'Data shares'!$C:$FM,108)</f>
        <v>-6.56</v>
      </c>
      <c r="G104" s="50">
        <f t="shared" si="3"/>
        <v>0.77664283282260804</v>
      </c>
    </row>
    <row r="105" spans="1:7" x14ac:dyDescent="0.25">
      <c r="A105" s="49" t="str">
        <f>'Data shares'!C100</f>
        <v>INOXWIND</v>
      </c>
      <c r="B105" s="50">
        <f>VLOOKUP($A105,'Data shares'!$C:$FM,102)</f>
        <v>35.119999999999997</v>
      </c>
      <c r="C105" s="50">
        <f>VLOOKUP($A105,'Data shares'!$C:$FM,110)</f>
        <v>35.28</v>
      </c>
      <c r="D105" s="50">
        <f>VLOOKUP($A105,'Data shares'!$C:$FM,114)</f>
        <v>34.82</v>
      </c>
      <c r="E105" s="50">
        <f>VLOOKUP($A105,'Data shares'!$C:$FM,106)</f>
        <v>54.48</v>
      </c>
      <c r="F105" s="50">
        <f>VLOOKUP($A105,'Data shares'!$C:$FM,108)</f>
        <v>-19.36</v>
      </c>
      <c r="G105" s="50">
        <f t="shared" si="3"/>
        <v>0.64464023494860501</v>
      </c>
    </row>
    <row r="106" spans="1:7" x14ac:dyDescent="0.25">
      <c r="A106" s="49" t="str">
        <f>'Data shares'!C101</f>
        <v>IOC</v>
      </c>
      <c r="B106" s="50">
        <f>VLOOKUP($A106,'Data shares'!$C:$FM,102)</f>
        <v>21.37</v>
      </c>
      <c r="C106" s="50">
        <f>VLOOKUP($A106,'Data shares'!$C:$FM,110)</f>
        <v>21.03</v>
      </c>
      <c r="D106" s="50">
        <f>VLOOKUP($A106,'Data shares'!$C:$FM,114)</f>
        <v>21.92</v>
      </c>
      <c r="E106" s="50">
        <f>VLOOKUP($A106,'Data shares'!$C:$FM,106)</f>
        <v>31.81</v>
      </c>
      <c r="F106" s="50">
        <f>VLOOKUP($A106,'Data shares'!$C:$FM,108)</f>
        <v>-10.44</v>
      </c>
      <c r="G106" s="50">
        <f t="shared" si="3"/>
        <v>0.67180132033951589</v>
      </c>
    </row>
    <row r="107" spans="1:7" x14ac:dyDescent="0.25">
      <c r="A107" s="49" t="str">
        <f>'Data shares'!C102</f>
        <v>IRCTC</v>
      </c>
      <c r="B107" s="50">
        <f>VLOOKUP($A107,'Data shares'!$C:$FM,102)</f>
        <v>20.010000000000002</v>
      </c>
      <c r="C107" s="50">
        <f>VLOOKUP($A107,'Data shares'!$C:$FM,110)</f>
        <v>20.100000000000001</v>
      </c>
      <c r="D107" s="50">
        <f>VLOOKUP($A107,'Data shares'!$C:$FM,114)</f>
        <v>19.87</v>
      </c>
      <c r="E107" s="50">
        <f>VLOOKUP($A107,'Data shares'!$C:$FM,106)</f>
        <v>30.02</v>
      </c>
      <c r="F107" s="50">
        <f>VLOOKUP($A107,'Data shares'!$C:$FM,108)</f>
        <v>-10.01</v>
      </c>
      <c r="G107" s="50">
        <f t="shared" si="3"/>
        <v>0.66655562958027992</v>
      </c>
    </row>
    <row r="108" spans="1:7" x14ac:dyDescent="0.25">
      <c r="A108" s="49" t="str">
        <f>'Data shares'!C103</f>
        <v>IREDA</v>
      </c>
      <c r="B108" s="50">
        <f>VLOOKUP($A108,'Data shares'!$C:$FM,102)</f>
        <v>29.59</v>
      </c>
      <c r="C108" s="50">
        <f>VLOOKUP($A108,'Data shares'!$C:$FM,110)</f>
        <v>29.75</v>
      </c>
      <c r="D108" s="50">
        <f>VLOOKUP($A108,'Data shares'!$C:$FM,114)</f>
        <v>29.19</v>
      </c>
      <c r="E108" s="50">
        <f>VLOOKUP($A108,'Data shares'!$C:$FM,106)</f>
        <v>50.12</v>
      </c>
      <c r="F108" s="50">
        <f>VLOOKUP($A108,'Data shares'!$C:$FM,108)</f>
        <v>-20.53</v>
      </c>
      <c r="G108" s="50">
        <f t="shared" si="3"/>
        <v>0.59038308060654432</v>
      </c>
    </row>
    <row r="109" spans="1:7" x14ac:dyDescent="0.25">
      <c r="A109" s="49" t="str">
        <f>'Data shares'!C104</f>
        <v>IRFC</v>
      </c>
      <c r="B109" s="50">
        <f>VLOOKUP($A109,'Data shares'!$C:$FM,102)</f>
        <v>25.93</v>
      </c>
      <c r="C109" s="50">
        <f>VLOOKUP($A109,'Data shares'!$C:$FM,110)</f>
        <v>26.2</v>
      </c>
      <c r="D109" s="50">
        <f>VLOOKUP($A109,'Data shares'!$C:$FM,114)</f>
        <v>25.4</v>
      </c>
      <c r="E109" s="50">
        <f>VLOOKUP($A109,'Data shares'!$C:$FM,106)</f>
        <v>45.41</v>
      </c>
      <c r="F109" s="50">
        <f>VLOOKUP($A109,'Data shares'!$C:$FM,108)</f>
        <v>-19.48</v>
      </c>
      <c r="G109" s="50">
        <f t="shared" si="3"/>
        <v>0.57101959920722312</v>
      </c>
    </row>
    <row r="110" spans="1:7" x14ac:dyDescent="0.25">
      <c r="A110" s="49" t="str">
        <f>'Data shares'!C105</f>
        <v>ITC</v>
      </c>
      <c r="B110" s="50">
        <f>VLOOKUP($A110,'Data shares'!$C:$FM,102)</f>
        <v>13.88</v>
      </c>
      <c r="C110" s="50">
        <f>VLOOKUP($A110,'Data shares'!$C:$FM,110)</f>
        <v>14.18</v>
      </c>
      <c r="D110" s="50">
        <f>VLOOKUP($A110,'Data shares'!$C:$FM,114)</f>
        <v>13.21</v>
      </c>
      <c r="E110" s="50">
        <f>VLOOKUP($A110,'Data shares'!$C:$FM,106)</f>
        <v>19.11</v>
      </c>
      <c r="F110" s="50">
        <f>VLOOKUP($A110,'Data shares'!$C:$FM,108)</f>
        <v>-5.23</v>
      </c>
      <c r="G110" s="50">
        <f t="shared" si="3"/>
        <v>0.7263212977498692</v>
      </c>
    </row>
    <row r="111" spans="1:7" x14ac:dyDescent="0.25">
      <c r="A111" s="49" t="str">
        <f>'Data shares'!C106</f>
        <v>JINDALSTEL</v>
      </c>
      <c r="B111" s="50">
        <f>VLOOKUP($A111,'Data shares'!$C:$FM,102)</f>
        <v>25.78</v>
      </c>
      <c r="C111" s="50">
        <f>VLOOKUP($A111,'Data shares'!$C:$FM,110)</f>
        <v>25.64</v>
      </c>
      <c r="D111" s="50">
        <f>VLOOKUP($A111,'Data shares'!$C:$FM,114)</f>
        <v>26.11</v>
      </c>
      <c r="E111" s="50">
        <f>VLOOKUP($A111,'Data shares'!$C:$FM,106)</f>
        <v>35.24</v>
      </c>
      <c r="F111" s="50">
        <f>VLOOKUP($A111,'Data shares'!$C:$FM,108)</f>
        <v>-9.4600000000000009</v>
      </c>
      <c r="G111" s="50">
        <f t="shared" si="3"/>
        <v>0.73155505107832008</v>
      </c>
    </row>
    <row r="112" spans="1:7" x14ac:dyDescent="0.25">
      <c r="A112" s="49" t="str">
        <f>'Data shares'!C107</f>
        <v>JIOFIN</v>
      </c>
      <c r="B112" s="50">
        <f>VLOOKUP($A112,'Data shares'!$C:$FM,102)</f>
        <v>23.52</v>
      </c>
      <c r="C112" s="50">
        <f>VLOOKUP($A112,'Data shares'!$C:$FM,110)</f>
        <v>23.56</v>
      </c>
      <c r="D112" s="50">
        <f>VLOOKUP($A112,'Data shares'!$C:$FM,114)</f>
        <v>23.45</v>
      </c>
      <c r="E112" s="50">
        <f>VLOOKUP($A112,'Data shares'!$C:$FM,106)</f>
        <v>34.770000000000003</v>
      </c>
      <c r="F112" s="50">
        <f>VLOOKUP($A112,'Data shares'!$C:$FM,108)</f>
        <v>-11.25</v>
      </c>
      <c r="G112" s="50">
        <f t="shared" si="3"/>
        <v>0.6764452113891285</v>
      </c>
    </row>
    <row r="113" spans="1:7" x14ac:dyDescent="0.25">
      <c r="A113" s="49" t="str">
        <f>'Data shares'!C108</f>
        <v>JSWENERGY</v>
      </c>
      <c r="B113" s="50">
        <f>VLOOKUP($A113,'Data shares'!$C:$FM,102)</f>
        <v>26.13</v>
      </c>
      <c r="C113" s="50">
        <f>VLOOKUP($A113,'Data shares'!$C:$FM,110)</f>
        <v>26.39</v>
      </c>
      <c r="D113" s="50">
        <f>VLOOKUP($A113,'Data shares'!$C:$FM,114)</f>
        <v>25.62</v>
      </c>
      <c r="E113" s="50">
        <f>VLOOKUP($A113,'Data shares'!$C:$FM,106)</f>
        <v>43.49</v>
      </c>
      <c r="F113" s="50">
        <f>VLOOKUP($A113,'Data shares'!$C:$FM,108)</f>
        <v>-17.36</v>
      </c>
      <c r="G113" s="50">
        <f t="shared" si="3"/>
        <v>0.6008277765003448</v>
      </c>
    </row>
    <row r="114" spans="1:7" x14ac:dyDescent="0.25">
      <c r="A114" s="49" t="str">
        <f>'Data shares'!C109</f>
        <v>JSWSTEEL</v>
      </c>
      <c r="B114" s="50">
        <f>VLOOKUP($A114,'Data shares'!$C:$FM,102)</f>
        <v>21.52</v>
      </c>
      <c r="C114" s="50">
        <f>VLOOKUP($A114,'Data shares'!$C:$FM,110)</f>
        <v>21.35</v>
      </c>
      <c r="D114" s="50">
        <f>VLOOKUP($A114,'Data shares'!$C:$FM,114)</f>
        <v>21.84</v>
      </c>
      <c r="E114" s="50">
        <f>VLOOKUP($A114,'Data shares'!$C:$FM,106)</f>
        <v>28.68</v>
      </c>
      <c r="F114" s="50">
        <f>VLOOKUP($A114,'Data shares'!$C:$FM,108)</f>
        <v>-7.16</v>
      </c>
      <c r="G114" s="50">
        <f t="shared" si="3"/>
        <v>0.75034867503486746</v>
      </c>
    </row>
    <row r="115" spans="1:7" x14ac:dyDescent="0.25">
      <c r="A115" s="49" t="str">
        <f>'Data shares'!C110</f>
        <v>JUBLFOOD</v>
      </c>
      <c r="B115" s="50">
        <f>VLOOKUP($A115,'Data shares'!$C:$FM,102)</f>
        <v>24.36</v>
      </c>
      <c r="C115" s="50">
        <f>VLOOKUP($A115,'Data shares'!$C:$FM,110)</f>
        <v>24.77</v>
      </c>
      <c r="D115" s="50">
        <f>VLOOKUP($A115,'Data shares'!$C:$FM,114)</f>
        <v>23.45</v>
      </c>
      <c r="E115" s="50">
        <f>VLOOKUP($A115,'Data shares'!$C:$FM,106)</f>
        <v>34.36</v>
      </c>
      <c r="F115" s="50">
        <f>VLOOKUP($A115,'Data shares'!$C:$FM,108)</f>
        <v>-10</v>
      </c>
      <c r="G115" s="50">
        <f t="shared" si="3"/>
        <v>0.70896391152502913</v>
      </c>
    </row>
    <row r="116" spans="1:7" x14ac:dyDescent="0.25">
      <c r="A116" s="49" t="str">
        <f>'Data shares'!C111</f>
        <v>KALYANKJIL</v>
      </c>
      <c r="B116" s="50">
        <f>VLOOKUP($A116,'Data shares'!$C:$FM,102)</f>
        <v>31.53</v>
      </c>
      <c r="C116" s="50">
        <f>VLOOKUP($A116,'Data shares'!$C:$FM,110)</f>
        <v>31.36</v>
      </c>
      <c r="D116" s="50">
        <f>VLOOKUP($A116,'Data shares'!$C:$FM,114)</f>
        <v>31.92</v>
      </c>
      <c r="E116" s="50">
        <f>VLOOKUP($A116,'Data shares'!$C:$FM,106)</f>
        <v>49.34</v>
      </c>
      <c r="F116" s="50">
        <f>VLOOKUP($A116,'Data shares'!$C:$FM,108)</f>
        <v>-17.809999999999999</v>
      </c>
      <c r="G116" s="50">
        <f t="shared" si="3"/>
        <v>0.6390352655046615</v>
      </c>
    </row>
    <row r="117" spans="1:7" x14ac:dyDescent="0.25">
      <c r="A117" s="49" t="str">
        <f>'Data shares'!C112</f>
        <v>KAYNES</v>
      </c>
      <c r="B117" s="50">
        <f>VLOOKUP($A117,'Data shares'!$C:$FM,102)</f>
        <v>31.91</v>
      </c>
      <c r="C117" s="50">
        <f>VLOOKUP($A117,'Data shares'!$C:$FM,110)</f>
        <v>32.03</v>
      </c>
      <c r="D117" s="50">
        <f>VLOOKUP($A117,'Data shares'!$C:$FM,114)</f>
        <v>31.5</v>
      </c>
      <c r="E117" s="50">
        <f>VLOOKUP($A117,'Data shares'!$C:$FM,106)</f>
        <v>54.26</v>
      </c>
      <c r="F117" s="50">
        <f>VLOOKUP($A117,'Data shares'!$C:$FM,108)</f>
        <v>-22.35</v>
      </c>
      <c r="G117" s="50">
        <f t="shared" si="3"/>
        <v>0.58809436048654629</v>
      </c>
    </row>
    <row r="118" spans="1:7" x14ac:dyDescent="0.25">
      <c r="A118" s="49" t="str">
        <f>'Data shares'!C113</f>
        <v>KEI</v>
      </c>
      <c r="B118" s="50">
        <f>VLOOKUP($A118,'Data shares'!$C:$FM,102)</f>
        <v>27.49</v>
      </c>
      <c r="C118" s="50">
        <f>VLOOKUP($A118,'Data shares'!$C:$FM,110)</f>
        <v>28.02</v>
      </c>
      <c r="D118" s="50">
        <f>VLOOKUP($A118,'Data shares'!$C:$FM,114)</f>
        <v>26.76</v>
      </c>
      <c r="E118" s="50">
        <f>VLOOKUP($A118,'Data shares'!$C:$FM,106)</f>
        <v>46.63</v>
      </c>
      <c r="F118" s="50">
        <f>VLOOKUP($A118,'Data shares'!$C:$FM,108)</f>
        <v>-19.14</v>
      </c>
      <c r="G118" s="50">
        <f t="shared" si="3"/>
        <v>0.58953463435556497</v>
      </c>
    </row>
    <row r="119" spans="1:7" x14ac:dyDescent="0.25">
      <c r="A119" s="49" t="str">
        <f>'Data shares'!C114</f>
        <v>KFINTECH</v>
      </c>
      <c r="B119" s="50">
        <f>VLOOKUP($A119,'Data shares'!$C:$FM,102)</f>
        <v>31.02</v>
      </c>
      <c r="C119" s="50">
        <f>VLOOKUP($A119,'Data shares'!$C:$FM,110)</f>
        <v>31.37</v>
      </c>
      <c r="D119" s="50">
        <f>VLOOKUP($A119,'Data shares'!$C:$FM,114)</f>
        <v>30.39</v>
      </c>
      <c r="E119" s="50">
        <f>VLOOKUP($A119,'Data shares'!$C:$FM,106)</f>
        <v>54.15</v>
      </c>
      <c r="F119" s="50">
        <f>VLOOKUP($A119,'Data shares'!$C:$FM,108)</f>
        <v>-23.13</v>
      </c>
      <c r="G119" s="50">
        <f t="shared" si="3"/>
        <v>0.57285318559556786</v>
      </c>
    </row>
    <row r="120" spans="1:7" x14ac:dyDescent="0.25">
      <c r="A120" s="49" t="str">
        <f>'Data shares'!C115</f>
        <v>KOTAKBANK</v>
      </c>
      <c r="B120" s="50">
        <f>VLOOKUP($A120,'Data shares'!$C:$FM,102)</f>
        <v>17.72</v>
      </c>
      <c r="C120" s="50">
        <f>VLOOKUP($A120,'Data shares'!$C:$FM,110)</f>
        <v>17.920000000000002</v>
      </c>
      <c r="D120" s="50">
        <f>VLOOKUP($A120,'Data shares'!$C:$FM,114)</f>
        <v>17.420000000000002</v>
      </c>
      <c r="E120" s="50">
        <f>VLOOKUP($A120,'Data shares'!$C:$FM,106)</f>
        <v>26.59</v>
      </c>
      <c r="F120" s="50">
        <f>VLOOKUP($A120,'Data shares'!$C:$FM,108)</f>
        <v>-8.8699999999999992</v>
      </c>
      <c r="G120" s="50">
        <f t="shared" si="3"/>
        <v>0.6664159458443023</v>
      </c>
    </row>
    <row r="121" spans="1:7" x14ac:dyDescent="0.25">
      <c r="A121" s="49" t="str">
        <f>'Data shares'!C116</f>
        <v>KPITTECH</v>
      </c>
      <c r="B121" s="50">
        <f>VLOOKUP($A121,'Data shares'!$C:$FM,102)</f>
        <v>29.42</v>
      </c>
      <c r="C121" s="50">
        <f>VLOOKUP($A121,'Data shares'!$C:$FM,110)</f>
        <v>29.47</v>
      </c>
      <c r="D121" s="50">
        <f>VLOOKUP($A121,'Data shares'!$C:$FM,114)</f>
        <v>29.28</v>
      </c>
      <c r="E121" s="50">
        <f>VLOOKUP($A121,'Data shares'!$C:$FM,106)</f>
        <v>43.27</v>
      </c>
      <c r="F121" s="50">
        <f>VLOOKUP($A121,'Data shares'!$C:$FM,108)</f>
        <v>-13.85</v>
      </c>
      <c r="G121" s="50">
        <f t="shared" si="3"/>
        <v>0.67991680147908484</v>
      </c>
    </row>
    <row r="122" spans="1:7" x14ac:dyDescent="0.25">
      <c r="A122" s="49" t="str">
        <f>'Data shares'!C117</f>
        <v>LAURUSLABS</v>
      </c>
      <c r="B122" s="50">
        <f>VLOOKUP($A122,'Data shares'!$C:$FM,102)</f>
        <v>27.98</v>
      </c>
      <c r="C122" s="50">
        <f>VLOOKUP($A122,'Data shares'!$C:$FM,110)</f>
        <v>27.82</v>
      </c>
      <c r="D122" s="50">
        <f>VLOOKUP($A122,'Data shares'!$C:$FM,114)</f>
        <v>28.32</v>
      </c>
      <c r="E122" s="50">
        <f>VLOOKUP($A122,'Data shares'!$C:$FM,106)</f>
        <v>39.630000000000003</v>
      </c>
      <c r="F122" s="50">
        <f>VLOOKUP($A122,'Data shares'!$C:$FM,108)</f>
        <v>-11.65</v>
      </c>
      <c r="G122" s="50">
        <f t="shared" si="3"/>
        <v>0.70603078475902092</v>
      </c>
    </row>
    <row r="123" spans="1:7" x14ac:dyDescent="0.25">
      <c r="A123" s="49" t="str">
        <f>'Data shares'!C118</f>
        <v>LICHSGFIN</v>
      </c>
      <c r="B123" s="50">
        <f>VLOOKUP($A123,'Data shares'!$C:$FM,102)</f>
        <v>18.27</v>
      </c>
      <c r="C123" s="50">
        <f>VLOOKUP($A123,'Data shares'!$C:$FM,110)</f>
        <v>18.600000000000001</v>
      </c>
      <c r="D123" s="50">
        <f>VLOOKUP($A123,'Data shares'!$C:$FM,114)</f>
        <v>17.920000000000002</v>
      </c>
      <c r="E123" s="50">
        <f>VLOOKUP($A123,'Data shares'!$C:$FM,106)</f>
        <v>33.47</v>
      </c>
      <c r="F123" s="50">
        <f>VLOOKUP($A123,'Data shares'!$C:$FM,108)</f>
        <v>-15.2</v>
      </c>
      <c r="G123" s="50">
        <f t="shared" si="3"/>
        <v>0.54586196593964742</v>
      </c>
    </row>
    <row r="124" spans="1:7" x14ac:dyDescent="0.25">
      <c r="A124" s="49" t="str">
        <f>'Data shares'!C119</f>
        <v>LICI</v>
      </c>
      <c r="B124" s="50">
        <f>VLOOKUP($A124,'Data shares'!$C:$FM,102)</f>
        <v>21.31</v>
      </c>
      <c r="C124" s="50">
        <f>VLOOKUP($A124,'Data shares'!$C:$FM,110)</f>
        <v>21.5</v>
      </c>
      <c r="D124" s="50">
        <f>VLOOKUP($A124,'Data shares'!$C:$FM,114)</f>
        <v>20.94</v>
      </c>
      <c r="E124" s="50">
        <f>VLOOKUP($A124,'Data shares'!$C:$FM,106)</f>
        <v>31.58</v>
      </c>
      <c r="F124" s="50">
        <f>VLOOKUP($A124,'Data shares'!$C:$FM,108)</f>
        <v>-10.27</v>
      </c>
      <c r="G124" s="50">
        <f t="shared" si="3"/>
        <v>0.67479417352754911</v>
      </c>
    </row>
    <row r="125" spans="1:7" x14ac:dyDescent="0.25">
      <c r="A125" s="49" t="str">
        <f>'Data shares'!C120</f>
        <v>LODHA</v>
      </c>
      <c r="B125" s="50">
        <f>VLOOKUP($A125,'Data shares'!$C:$FM,102)</f>
        <v>28.59</v>
      </c>
      <c r="C125" s="50">
        <f>VLOOKUP($A125,'Data shares'!$C:$FM,110)</f>
        <v>27.97</v>
      </c>
      <c r="D125" s="50">
        <f>VLOOKUP($A125,'Data shares'!$C:$FM,114)</f>
        <v>29.55</v>
      </c>
      <c r="E125" s="50">
        <f>VLOOKUP($A125,'Data shares'!$C:$FM,106)</f>
        <v>45.51</v>
      </c>
      <c r="F125" s="50">
        <f>VLOOKUP($A125,'Data shares'!$C:$FM,108)</f>
        <v>-16.920000000000002</v>
      </c>
      <c r="G125" s="50">
        <f t="shared" si="3"/>
        <v>0.62821357943309164</v>
      </c>
    </row>
    <row r="126" spans="1:7" x14ac:dyDescent="0.25">
      <c r="A126" s="49" t="str">
        <f>'Data shares'!C121</f>
        <v>LT</v>
      </c>
      <c r="B126" s="50">
        <f>VLOOKUP($A126,'Data shares'!$C:$FM,102)</f>
        <v>16.760000000000002</v>
      </c>
      <c r="C126" s="50">
        <f>VLOOKUP($A126,'Data shares'!$C:$FM,110)</f>
        <v>16.57</v>
      </c>
      <c r="D126" s="50">
        <f>VLOOKUP($A126,'Data shares'!$C:$FM,114)</f>
        <v>17.09</v>
      </c>
      <c r="E126" s="50">
        <f>VLOOKUP($A126,'Data shares'!$C:$FM,106)</f>
        <v>26.92</v>
      </c>
      <c r="F126" s="50">
        <f>VLOOKUP($A126,'Data shares'!$C:$FM,108)</f>
        <v>-10.16</v>
      </c>
      <c r="G126" s="50">
        <f t="shared" si="3"/>
        <v>0.62258543833580982</v>
      </c>
    </row>
    <row r="127" spans="1:7" x14ac:dyDescent="0.25">
      <c r="A127" s="49" t="str">
        <f>'Data shares'!C122</f>
        <v>LTF</v>
      </c>
      <c r="B127" s="50">
        <f>VLOOKUP($A127,'Data shares'!$C:$FM,102)</f>
        <v>25.89</v>
      </c>
      <c r="C127" s="50">
        <f>VLOOKUP($A127,'Data shares'!$C:$FM,110)</f>
        <v>26.06</v>
      </c>
      <c r="D127" s="50">
        <f>VLOOKUP($A127,'Data shares'!$C:$FM,114)</f>
        <v>25.6</v>
      </c>
      <c r="E127" s="50">
        <f>VLOOKUP($A127,'Data shares'!$C:$FM,106)</f>
        <v>39.5</v>
      </c>
      <c r="F127" s="50">
        <f>VLOOKUP($A127,'Data shares'!$C:$FM,108)</f>
        <v>-13.61</v>
      </c>
      <c r="G127" s="50">
        <f t="shared" si="3"/>
        <v>0.65544303797468351</v>
      </c>
    </row>
    <row r="128" spans="1:7" x14ac:dyDescent="0.25">
      <c r="A128" s="49" t="str">
        <f>'Data shares'!C123</f>
        <v>LTIM</v>
      </c>
      <c r="B128" s="50">
        <f>VLOOKUP($A128,'Data shares'!$C:$FM,102)</f>
        <v>23.89</v>
      </c>
      <c r="C128" s="50">
        <f>VLOOKUP($A128,'Data shares'!$C:$FM,110)</f>
        <v>23.55</v>
      </c>
      <c r="D128" s="50">
        <f>VLOOKUP($A128,'Data shares'!$C:$FM,114)</f>
        <v>24.59</v>
      </c>
      <c r="E128" s="50">
        <f>VLOOKUP($A128,'Data shares'!$C:$FM,106)</f>
        <v>33.21</v>
      </c>
      <c r="F128" s="50">
        <f>VLOOKUP($A128,'Data shares'!$C:$FM,108)</f>
        <v>-9.32</v>
      </c>
      <c r="G128" s="50">
        <f t="shared" si="3"/>
        <v>0.71936163806082509</v>
      </c>
    </row>
    <row r="129" spans="1:7" x14ac:dyDescent="0.25">
      <c r="A129" s="49" t="str">
        <f>'Data shares'!C124</f>
        <v>LUPIN</v>
      </c>
      <c r="B129" s="50">
        <f>VLOOKUP($A129,'Data shares'!$C:$FM,102)</f>
        <v>22.55</v>
      </c>
      <c r="C129" s="50">
        <f>VLOOKUP($A129,'Data shares'!$C:$FM,110)</f>
        <v>22.45</v>
      </c>
      <c r="D129" s="50">
        <f>VLOOKUP($A129,'Data shares'!$C:$FM,114)</f>
        <v>22.69</v>
      </c>
      <c r="E129" s="50">
        <f>VLOOKUP($A129,'Data shares'!$C:$FM,106)</f>
        <v>31.27</v>
      </c>
      <c r="F129" s="50">
        <f>VLOOKUP($A129,'Data shares'!$C:$FM,108)</f>
        <v>-8.7200000000000006</v>
      </c>
      <c r="G129" s="50">
        <f t="shared" si="3"/>
        <v>0.72113847137831788</v>
      </c>
    </row>
    <row r="130" spans="1:7" x14ac:dyDescent="0.25">
      <c r="A130" s="49" t="str">
        <f>'Data shares'!C125</f>
        <v>M&amp;M</v>
      </c>
      <c r="B130" s="50">
        <f>VLOOKUP($A130,'Data shares'!$C:$FM,102)</f>
        <v>23.75</v>
      </c>
      <c r="C130" s="50">
        <f>VLOOKUP($A130,'Data shares'!$C:$FM,110)</f>
        <v>23.67</v>
      </c>
      <c r="D130" s="50">
        <f>VLOOKUP($A130,'Data shares'!$C:$FM,114)</f>
        <v>23.87</v>
      </c>
      <c r="E130" s="50">
        <f>VLOOKUP($A130,'Data shares'!$C:$FM,106)</f>
        <v>33.130000000000003</v>
      </c>
      <c r="F130" s="50">
        <f>VLOOKUP($A130,'Data shares'!$C:$FM,108)</f>
        <v>-9.3800000000000008</v>
      </c>
      <c r="G130" s="50">
        <f t="shared" si="3"/>
        <v>0.71687292484153331</v>
      </c>
    </row>
    <row r="131" spans="1:7" x14ac:dyDescent="0.25">
      <c r="A131" s="49" t="str">
        <f>'Data shares'!C126</f>
        <v>MANAPPURAM</v>
      </c>
      <c r="B131" s="50">
        <f>VLOOKUP($A131,'Data shares'!$C:$FM,102)</f>
        <v>27.75</v>
      </c>
      <c r="C131" s="50">
        <f>VLOOKUP($A131,'Data shares'!$C:$FM,110)</f>
        <v>27.36</v>
      </c>
      <c r="D131" s="50">
        <f>VLOOKUP($A131,'Data shares'!$C:$FM,114)</f>
        <v>28.75</v>
      </c>
      <c r="E131" s="50">
        <f>VLOOKUP($A131,'Data shares'!$C:$FM,106)</f>
        <v>41.64</v>
      </c>
      <c r="F131" s="50">
        <f>VLOOKUP($A131,'Data shares'!$C:$FM,108)</f>
        <v>-13.89</v>
      </c>
      <c r="G131" s="50">
        <f t="shared" si="3"/>
        <v>0.66642651296829969</v>
      </c>
    </row>
    <row r="132" spans="1:7" x14ac:dyDescent="0.25">
      <c r="A132" s="49" t="str">
        <f>'Data shares'!C127</f>
        <v>MANKIND</v>
      </c>
      <c r="B132" s="50">
        <f>VLOOKUP($A132,'Data shares'!$C:$FM,102)</f>
        <v>26.02</v>
      </c>
      <c r="C132" s="50">
        <f>VLOOKUP($A132,'Data shares'!$C:$FM,110)</f>
        <v>26.09</v>
      </c>
      <c r="D132" s="50">
        <f>VLOOKUP($A132,'Data shares'!$C:$FM,114)</f>
        <v>25.88</v>
      </c>
      <c r="E132" s="50">
        <f>VLOOKUP($A132,'Data shares'!$C:$FM,106)</f>
        <v>33.520000000000003</v>
      </c>
      <c r="F132" s="50">
        <f>VLOOKUP($A132,'Data shares'!$C:$FM,108)</f>
        <v>-7.5</v>
      </c>
      <c r="G132" s="50">
        <f t="shared" si="3"/>
        <v>0.77625298329355596</v>
      </c>
    </row>
    <row r="133" spans="1:7" x14ac:dyDescent="0.25">
      <c r="A133" s="49" t="str">
        <f>'Data shares'!C128</f>
        <v>MARICO</v>
      </c>
      <c r="B133" s="50">
        <f>VLOOKUP($A133,'Data shares'!$C:$FM,102)</f>
        <v>20.47</v>
      </c>
      <c r="C133" s="50">
        <f>VLOOKUP($A133,'Data shares'!$C:$FM,110)</f>
        <v>20.6</v>
      </c>
      <c r="D133" s="50">
        <f>VLOOKUP($A133,'Data shares'!$C:$FM,114)</f>
        <v>20.170000000000002</v>
      </c>
      <c r="E133" s="50">
        <f>VLOOKUP($A133,'Data shares'!$C:$FM,106)</f>
        <v>25.32</v>
      </c>
      <c r="F133" s="50">
        <f>VLOOKUP($A133,'Data shares'!$C:$FM,108)</f>
        <v>-4.8499999999999996</v>
      </c>
      <c r="G133" s="50">
        <f t="shared" si="3"/>
        <v>0.80845181674565558</v>
      </c>
    </row>
    <row r="134" spans="1:7" x14ac:dyDescent="0.25">
      <c r="A134" s="49" t="str">
        <f>'Data shares'!C129</f>
        <v>MARUTI</v>
      </c>
      <c r="B134" s="50">
        <f>VLOOKUP($A134,'Data shares'!$C:$FM,102)</f>
        <v>17.72</v>
      </c>
      <c r="C134" s="50">
        <f>VLOOKUP($A134,'Data shares'!$C:$FM,110)</f>
        <v>17.38</v>
      </c>
      <c r="D134" s="50">
        <f>VLOOKUP($A134,'Data shares'!$C:$FM,114)</f>
        <v>18.34</v>
      </c>
      <c r="E134" s="50">
        <f>VLOOKUP($A134,'Data shares'!$C:$FM,106)</f>
        <v>25.04</v>
      </c>
      <c r="F134" s="50">
        <f>VLOOKUP($A134,'Data shares'!$C:$FM,108)</f>
        <v>-7.32</v>
      </c>
      <c r="G134" s="50">
        <f t="shared" si="3"/>
        <v>0.707667731629393</v>
      </c>
    </row>
    <row r="135" spans="1:7" x14ac:dyDescent="0.25">
      <c r="A135" s="49" t="str">
        <f>'Data shares'!C130</f>
        <v>MAXHEALTH</v>
      </c>
      <c r="B135" s="50">
        <f>VLOOKUP($A135,'Data shares'!$C:$FM,102)</f>
        <v>27.7</v>
      </c>
      <c r="C135" s="50">
        <f>VLOOKUP($A135,'Data shares'!$C:$FM,110)</f>
        <v>27.58</v>
      </c>
      <c r="D135" s="50">
        <f>VLOOKUP($A135,'Data shares'!$C:$FM,114)</f>
        <v>27.97</v>
      </c>
      <c r="E135" s="50">
        <f>VLOOKUP($A135,'Data shares'!$C:$FM,106)</f>
        <v>40.08</v>
      </c>
      <c r="F135" s="50">
        <f>VLOOKUP($A135,'Data shares'!$C:$FM,108)</f>
        <v>-12.38</v>
      </c>
      <c r="G135" s="50">
        <f t="shared" ref="G135:G166" si="4">B135/E135</f>
        <v>0.69111776447105788</v>
      </c>
    </row>
    <row r="136" spans="1:7" x14ac:dyDescent="0.25">
      <c r="A136" s="49" t="str">
        <f>'Data shares'!C131</f>
        <v>MAZDOCK</v>
      </c>
      <c r="B136" s="50">
        <f>VLOOKUP($A136,'Data shares'!$C:$FM,102)</f>
        <v>31.65</v>
      </c>
      <c r="C136" s="50">
        <f>VLOOKUP($A136,'Data shares'!$C:$FM,110)</f>
        <v>31.42</v>
      </c>
      <c r="D136" s="50">
        <f>VLOOKUP($A136,'Data shares'!$C:$FM,114)</f>
        <v>32.53</v>
      </c>
      <c r="E136" s="50">
        <f>VLOOKUP($A136,'Data shares'!$C:$FM,106)</f>
        <v>56.95</v>
      </c>
      <c r="F136" s="50">
        <f>VLOOKUP($A136,'Data shares'!$C:$FM,108)</f>
        <v>-25.3</v>
      </c>
      <c r="G136" s="50">
        <f t="shared" si="4"/>
        <v>0.55575065847234406</v>
      </c>
    </row>
    <row r="137" spans="1:7" x14ac:dyDescent="0.25">
      <c r="A137" s="49" t="str">
        <f>'Data shares'!C132</f>
        <v>MCX</v>
      </c>
      <c r="B137" s="50">
        <f>VLOOKUP($A137,'Data shares'!$C:$FM,102)</f>
        <v>31.03</v>
      </c>
      <c r="C137" s="50">
        <f>VLOOKUP($A137,'Data shares'!$C:$FM,110)</f>
        <v>31.04</v>
      </c>
      <c r="D137" s="50">
        <f>VLOOKUP($A137,'Data shares'!$C:$FM,114)</f>
        <v>31.01</v>
      </c>
      <c r="E137" s="50">
        <f>VLOOKUP($A137,'Data shares'!$C:$FM,106)</f>
        <v>45.9</v>
      </c>
      <c r="F137" s="50">
        <f>VLOOKUP($A137,'Data shares'!$C:$FM,108)</f>
        <v>-14.87</v>
      </c>
      <c r="G137" s="50">
        <f t="shared" si="4"/>
        <v>0.67603485838779964</v>
      </c>
    </row>
    <row r="138" spans="1:7" x14ac:dyDescent="0.25">
      <c r="A138" s="49" t="str">
        <f>'Data shares'!C133</f>
        <v>MFSL</v>
      </c>
      <c r="B138" s="50">
        <f>VLOOKUP($A138,'Data shares'!$C:$FM,102)</f>
        <v>25.11</v>
      </c>
      <c r="C138" s="50">
        <f>VLOOKUP($A138,'Data shares'!$C:$FM,110)</f>
        <v>24.97</v>
      </c>
      <c r="D138" s="50">
        <f>VLOOKUP($A138,'Data shares'!$C:$FM,114)</f>
        <v>25.77</v>
      </c>
      <c r="E138" s="50">
        <f>VLOOKUP($A138,'Data shares'!$C:$FM,106)</f>
        <v>30.61</v>
      </c>
      <c r="F138" s="50">
        <f>VLOOKUP($A138,'Data shares'!$C:$FM,108)</f>
        <v>-5.5</v>
      </c>
      <c r="G138" s="50">
        <f t="shared" si="4"/>
        <v>0.8203201568114995</v>
      </c>
    </row>
    <row r="139" spans="1:7" x14ac:dyDescent="0.25">
      <c r="A139" s="49" t="str">
        <f>'Data shares'!C134</f>
        <v>MIDCPNIFTY</v>
      </c>
      <c r="B139" s="50">
        <f>VLOOKUP($A139,'Data shares'!$C:$FM,102)</f>
        <v>15.37</v>
      </c>
      <c r="C139" s="50">
        <f>VLOOKUP($A139,'Data shares'!$C:$FM,110)</f>
        <v>14.91</v>
      </c>
      <c r="D139" s="50">
        <f>VLOOKUP($A139,'Data shares'!$C:$FM,114)</f>
        <v>15.94</v>
      </c>
      <c r="E139" s="50">
        <f>VLOOKUP($A139,'Data shares'!$C:$FM,106)</f>
        <v>22.11</v>
      </c>
      <c r="F139" s="50">
        <f>VLOOKUP($A139,'Data shares'!$C:$FM,108)</f>
        <v>-6.74</v>
      </c>
      <c r="G139" s="50">
        <f t="shared" si="4"/>
        <v>0.69516056083220257</v>
      </c>
    </row>
    <row r="140" spans="1:7" x14ac:dyDescent="0.25">
      <c r="A140" s="49" t="str">
        <f>'Data shares'!C135</f>
        <v>MOTHERSON</v>
      </c>
      <c r="B140" s="50">
        <f>VLOOKUP($A140,'Data shares'!$C:$FM,102)</f>
        <v>31.37</v>
      </c>
      <c r="C140" s="50">
        <f>VLOOKUP($A140,'Data shares'!$C:$FM,110)</f>
        <v>31.43</v>
      </c>
      <c r="D140" s="50">
        <f>VLOOKUP($A140,'Data shares'!$C:$FM,114)</f>
        <v>31.21</v>
      </c>
      <c r="E140" s="50">
        <f>VLOOKUP($A140,'Data shares'!$C:$FM,106)</f>
        <v>39.78</v>
      </c>
      <c r="F140" s="50">
        <f>VLOOKUP($A140,'Data shares'!$C:$FM,108)</f>
        <v>-8.41</v>
      </c>
      <c r="G140" s="50">
        <f t="shared" si="4"/>
        <v>0.78858722976370033</v>
      </c>
    </row>
    <row r="141" spans="1:7" x14ac:dyDescent="0.25">
      <c r="A141" s="49" t="str">
        <f>'Data shares'!C136</f>
        <v>MPHASIS</v>
      </c>
      <c r="B141" s="50">
        <f>VLOOKUP($A141,'Data shares'!$C:$FM,102)</f>
        <v>28.33</v>
      </c>
      <c r="C141" s="50">
        <f>VLOOKUP($A141,'Data shares'!$C:$FM,110)</f>
        <v>26.91</v>
      </c>
      <c r="D141" s="50">
        <f>VLOOKUP($A141,'Data shares'!$C:$FM,114)</f>
        <v>30.16</v>
      </c>
      <c r="E141" s="50">
        <f>VLOOKUP($A141,'Data shares'!$C:$FM,106)</f>
        <v>37.31</v>
      </c>
      <c r="F141" s="50">
        <f>VLOOKUP($A141,'Data shares'!$C:$FM,108)</f>
        <v>-8.98</v>
      </c>
      <c r="G141" s="50">
        <f t="shared" si="4"/>
        <v>0.75931385687483244</v>
      </c>
    </row>
    <row r="142" spans="1:7" x14ac:dyDescent="0.25">
      <c r="A142" s="49" t="str">
        <f>'Data shares'!C137</f>
        <v>MUTHOOTFIN</v>
      </c>
      <c r="B142" s="50">
        <f>VLOOKUP($A142,'Data shares'!$C:$FM,102)</f>
        <v>26.85</v>
      </c>
      <c r="C142" s="50">
        <f>VLOOKUP($A142,'Data shares'!$C:$FM,110)</f>
        <v>22.74</v>
      </c>
      <c r="D142" s="50">
        <f>VLOOKUP($A142,'Data shares'!$C:$FM,114)</f>
        <v>29.94</v>
      </c>
      <c r="E142" s="50">
        <f>VLOOKUP($A142,'Data shares'!$C:$FM,106)</f>
        <v>37.22</v>
      </c>
      <c r="F142" s="50">
        <f>VLOOKUP($A142,'Data shares'!$C:$FM,108)</f>
        <v>-10.37</v>
      </c>
      <c r="G142" s="50">
        <f t="shared" si="4"/>
        <v>0.72138635142396568</v>
      </c>
    </row>
    <row r="143" spans="1:7" x14ac:dyDescent="0.25">
      <c r="A143" s="49" t="str">
        <f>'Data shares'!C138</f>
        <v>NATIONALUM</v>
      </c>
      <c r="B143" s="50">
        <f>VLOOKUP($A143,'Data shares'!$C:$FM,102)</f>
        <v>28.8</v>
      </c>
      <c r="C143" s="50">
        <f>VLOOKUP($A143,'Data shares'!$C:$FM,110)</f>
        <v>29.05</v>
      </c>
      <c r="D143" s="50">
        <f>VLOOKUP($A143,'Data shares'!$C:$FM,114)</f>
        <v>28.15</v>
      </c>
      <c r="E143" s="50">
        <f>VLOOKUP($A143,'Data shares'!$C:$FM,106)</f>
        <v>47.38</v>
      </c>
      <c r="F143" s="50">
        <f>VLOOKUP($A143,'Data shares'!$C:$FM,108)</f>
        <v>-18.579999999999998</v>
      </c>
      <c r="G143" s="50">
        <f t="shared" si="4"/>
        <v>0.60785141409877586</v>
      </c>
    </row>
    <row r="144" spans="1:7" x14ac:dyDescent="0.25">
      <c r="A144" s="49" t="str">
        <f>'Data shares'!C139</f>
        <v>NAUKRI</v>
      </c>
      <c r="B144" s="50">
        <f>VLOOKUP($A144,'Data shares'!$C:$FM,102)</f>
        <v>27.51</v>
      </c>
      <c r="C144" s="50">
        <f>VLOOKUP($A144,'Data shares'!$C:$FM,110)</f>
        <v>27.65</v>
      </c>
      <c r="D144" s="50">
        <f>VLOOKUP($A144,'Data shares'!$C:$FM,114)</f>
        <v>27.28</v>
      </c>
      <c r="E144" s="50">
        <f>VLOOKUP($A144,'Data shares'!$C:$FM,106)</f>
        <v>37.36</v>
      </c>
      <c r="F144" s="50">
        <f>VLOOKUP($A144,'Data shares'!$C:$FM,108)</f>
        <v>-9.85</v>
      </c>
      <c r="G144" s="50">
        <f t="shared" si="4"/>
        <v>0.73634903640256966</v>
      </c>
    </row>
    <row r="145" spans="1:7" x14ac:dyDescent="0.25">
      <c r="A145" s="49" t="str">
        <f>'Data shares'!C140</f>
        <v>NBCC</v>
      </c>
      <c r="B145" s="50">
        <f>VLOOKUP($A145,'Data shares'!$C:$FM,102)</f>
        <v>31.27</v>
      </c>
      <c r="C145" s="50">
        <f>VLOOKUP($A145,'Data shares'!$C:$FM,110)</f>
        <v>31.14</v>
      </c>
      <c r="D145" s="50">
        <f>VLOOKUP($A145,'Data shares'!$C:$FM,114)</f>
        <v>31.68</v>
      </c>
      <c r="E145" s="50">
        <f>VLOOKUP($A145,'Data shares'!$C:$FM,106)</f>
        <v>51.71</v>
      </c>
      <c r="F145" s="50">
        <f>VLOOKUP($A145,'Data shares'!$C:$FM,108)</f>
        <v>-20.440000000000001</v>
      </c>
      <c r="G145" s="50">
        <f t="shared" si="4"/>
        <v>0.60471862309031132</v>
      </c>
    </row>
    <row r="146" spans="1:7" x14ac:dyDescent="0.25">
      <c r="A146" s="49" t="str">
        <f>'Data shares'!C141</f>
        <v>NCC</v>
      </c>
      <c r="B146" s="50">
        <f>VLOOKUP($A146,'Data shares'!$C:$FM,102)</f>
        <v>30.38</v>
      </c>
      <c r="C146" s="50">
        <f>VLOOKUP($A146,'Data shares'!$C:$FM,110)</f>
        <v>30.22</v>
      </c>
      <c r="D146" s="50">
        <f>VLOOKUP($A146,'Data shares'!$C:$FM,114)</f>
        <v>30.78</v>
      </c>
      <c r="E146" s="50">
        <f>VLOOKUP($A146,'Data shares'!$C:$FM,106)</f>
        <v>46.33</v>
      </c>
      <c r="F146" s="50">
        <f>VLOOKUP($A146,'Data shares'!$C:$FM,108)</f>
        <v>-15.95</v>
      </c>
      <c r="G146" s="50">
        <f t="shared" si="4"/>
        <v>0.65573062810274119</v>
      </c>
    </row>
    <row r="147" spans="1:7" x14ac:dyDescent="0.25">
      <c r="A147" s="49" t="str">
        <f>'Data shares'!C142</f>
        <v>NESTLEIND</v>
      </c>
      <c r="B147" s="50">
        <f>VLOOKUP($A147,'Data shares'!$C:$FM,102)</f>
        <v>17.34</v>
      </c>
      <c r="C147" s="50">
        <f>VLOOKUP($A147,'Data shares'!$C:$FM,110)</f>
        <v>17.309999999999999</v>
      </c>
      <c r="D147" s="50">
        <f>VLOOKUP($A147,'Data shares'!$C:$FM,114)</f>
        <v>17.43</v>
      </c>
      <c r="E147" s="50">
        <f>VLOOKUP($A147,'Data shares'!$C:$FM,106)</f>
        <v>23.44</v>
      </c>
      <c r="F147" s="50">
        <f>VLOOKUP($A147,'Data shares'!$C:$FM,108)</f>
        <v>-6.1</v>
      </c>
      <c r="G147" s="50">
        <f t="shared" si="4"/>
        <v>0.73976109215017061</v>
      </c>
    </row>
    <row r="148" spans="1:7" x14ac:dyDescent="0.25">
      <c r="A148" s="49" t="str">
        <f>'Data shares'!C143</f>
        <v>NHPC</v>
      </c>
      <c r="B148" s="50">
        <f>VLOOKUP($A148,'Data shares'!$C:$FM,102)</f>
        <v>26.6</v>
      </c>
      <c r="C148" s="50">
        <f>VLOOKUP($A148,'Data shares'!$C:$FM,110)</f>
        <v>27.03</v>
      </c>
      <c r="D148" s="50">
        <f>VLOOKUP($A148,'Data shares'!$C:$FM,114)</f>
        <v>25.78</v>
      </c>
      <c r="E148" s="50">
        <f>VLOOKUP($A148,'Data shares'!$C:$FM,106)</f>
        <v>38.119999999999997</v>
      </c>
      <c r="F148" s="50">
        <f>VLOOKUP($A148,'Data shares'!$C:$FM,108)</f>
        <v>-11.52</v>
      </c>
      <c r="G148" s="50">
        <f t="shared" si="4"/>
        <v>0.69779643231899269</v>
      </c>
    </row>
    <row r="149" spans="1:7" x14ac:dyDescent="0.25">
      <c r="A149" s="49" t="str">
        <f>'Data shares'!C144</f>
        <v>NIFTY</v>
      </c>
      <c r="B149" s="50">
        <f>VLOOKUP($A149,'Data shares'!$C:$FM,102)</f>
        <v>11.2</v>
      </c>
      <c r="C149" s="50">
        <f>VLOOKUP($A149,'Data shares'!$C:$FM,110)</f>
        <v>10.41</v>
      </c>
      <c r="D149" s="50">
        <f>VLOOKUP($A149,'Data shares'!$C:$FM,114)</f>
        <v>12.09</v>
      </c>
      <c r="E149" s="50">
        <f>VLOOKUP($A149,'Data shares'!$C:$FM,106)</f>
        <v>14.51</v>
      </c>
      <c r="F149" s="50">
        <f>VLOOKUP($A149,'Data shares'!$C:$FM,108)</f>
        <v>-3.31</v>
      </c>
      <c r="G149" s="50">
        <f t="shared" si="4"/>
        <v>0.77188146106133693</v>
      </c>
    </row>
    <row r="150" spans="1:7" x14ac:dyDescent="0.25">
      <c r="A150" s="49" t="str">
        <f>'Data shares'!C145</f>
        <v>NIFTYNXT50</v>
      </c>
      <c r="B150" s="50">
        <f>VLOOKUP($A150,'Data shares'!$C:$FM,102)</f>
        <v>20.350000000000001</v>
      </c>
      <c r="C150" s="50">
        <f>VLOOKUP($A150,'Data shares'!$C:$FM,110)</f>
        <v>20.350000000000001</v>
      </c>
      <c r="D150" s="50">
        <f>VLOOKUP($A150,'Data shares'!$C:$FM,114)</f>
        <v>20.350000000000001</v>
      </c>
      <c r="E150" s="50">
        <f>VLOOKUP($A150,'Data shares'!$C:$FM,106)</f>
        <v>20.350000000000001</v>
      </c>
      <c r="F150" s="50">
        <f>VLOOKUP($A150,'Data shares'!$C:$FM,108)</f>
        <v>0</v>
      </c>
      <c r="G150" s="50">
        <f t="shared" si="4"/>
        <v>1</v>
      </c>
    </row>
    <row r="151" spans="1:7" x14ac:dyDescent="0.25">
      <c r="A151" s="49" t="str">
        <f>'Data shares'!C146</f>
        <v>NMDC</v>
      </c>
      <c r="B151" s="50">
        <f>VLOOKUP($A151,'Data shares'!$C:$FM,102)</f>
        <v>24.77</v>
      </c>
      <c r="C151" s="50">
        <f>VLOOKUP($A151,'Data shares'!$C:$FM,110)</f>
        <v>24.7</v>
      </c>
      <c r="D151" s="50">
        <f>VLOOKUP($A151,'Data shares'!$C:$FM,114)</f>
        <v>24.9</v>
      </c>
      <c r="E151" s="50">
        <f>VLOOKUP($A151,'Data shares'!$C:$FM,106)</f>
        <v>38.090000000000003</v>
      </c>
      <c r="F151" s="50">
        <f>VLOOKUP($A151,'Data shares'!$C:$FM,108)</f>
        <v>-13.32</v>
      </c>
      <c r="G151" s="50">
        <f t="shared" si="4"/>
        <v>0.65030191651352054</v>
      </c>
    </row>
    <row r="152" spans="1:7" x14ac:dyDescent="0.25">
      <c r="A152" s="49" t="str">
        <f>'Data shares'!C147</f>
        <v>NTPC</v>
      </c>
      <c r="B152" s="50">
        <f>VLOOKUP($A152,'Data shares'!$C:$FM,102)</f>
        <v>17.93</v>
      </c>
      <c r="C152" s="50">
        <f>VLOOKUP($A152,'Data shares'!$C:$FM,110)</f>
        <v>18.04</v>
      </c>
      <c r="D152" s="50">
        <f>VLOOKUP($A152,'Data shares'!$C:$FM,114)</f>
        <v>17.690000000000001</v>
      </c>
      <c r="E152" s="50">
        <f>VLOOKUP($A152,'Data shares'!$C:$FM,106)</f>
        <v>27.71</v>
      </c>
      <c r="F152" s="50">
        <f>VLOOKUP($A152,'Data shares'!$C:$FM,108)</f>
        <v>-9.7799999999999994</v>
      </c>
      <c r="G152" s="50">
        <f t="shared" si="4"/>
        <v>0.64705882352941169</v>
      </c>
    </row>
    <row r="153" spans="1:7" x14ac:dyDescent="0.25">
      <c r="A153" s="49" t="str">
        <f>'Data shares'!C148</f>
        <v>NUVAMA</v>
      </c>
      <c r="B153" s="50">
        <f>VLOOKUP($A153,'Data shares'!$C:$FM,102)</f>
        <v>31.34</v>
      </c>
      <c r="C153" s="50">
        <f>VLOOKUP($A153,'Data shares'!$C:$FM,110)</f>
        <v>31.02</v>
      </c>
      <c r="D153" s="50">
        <f>VLOOKUP($A153,'Data shares'!$C:$FM,114)</f>
        <v>32.26</v>
      </c>
      <c r="E153" s="50">
        <f>VLOOKUP($A153,'Data shares'!$C:$FM,106)</f>
        <v>50.02</v>
      </c>
      <c r="F153" s="50">
        <f>VLOOKUP($A153,'Data shares'!$C:$FM,108)</f>
        <v>-18.68</v>
      </c>
      <c r="G153" s="50">
        <f t="shared" si="4"/>
        <v>0.62654938024790074</v>
      </c>
    </row>
    <row r="154" spans="1:7" x14ac:dyDescent="0.25">
      <c r="A154" s="49" t="str">
        <f>'Data shares'!C149</f>
        <v>NYKAA</v>
      </c>
      <c r="B154" s="50">
        <f>VLOOKUP($A154,'Data shares'!$C:$FM,102)</f>
        <v>29.99</v>
      </c>
      <c r="C154" s="50">
        <f>VLOOKUP($A154,'Data shares'!$C:$FM,110)</f>
        <v>30.04</v>
      </c>
      <c r="D154" s="50">
        <f>VLOOKUP($A154,'Data shares'!$C:$FM,114)</f>
        <v>29.83</v>
      </c>
      <c r="E154" s="50">
        <f>VLOOKUP($A154,'Data shares'!$C:$FM,106)</f>
        <v>37.229999999999997</v>
      </c>
      <c r="F154" s="50">
        <f>VLOOKUP($A154,'Data shares'!$C:$FM,108)</f>
        <v>-7.24</v>
      </c>
      <c r="G154" s="50">
        <f t="shared" si="4"/>
        <v>0.80553317217297882</v>
      </c>
    </row>
    <row r="155" spans="1:7" x14ac:dyDescent="0.25">
      <c r="A155" s="49" t="str">
        <f>'Data shares'!C150</f>
        <v>OBEROIRLTY</v>
      </c>
      <c r="B155" s="50">
        <f>VLOOKUP($A155,'Data shares'!$C:$FM,102)</f>
        <v>25.83</v>
      </c>
      <c r="C155" s="50">
        <f>VLOOKUP($A155,'Data shares'!$C:$FM,110)</f>
        <v>26</v>
      </c>
      <c r="D155" s="50">
        <f>VLOOKUP($A155,'Data shares'!$C:$FM,114)</f>
        <v>25.64</v>
      </c>
      <c r="E155" s="50">
        <f>VLOOKUP($A155,'Data shares'!$C:$FM,106)</f>
        <v>37.369999999999997</v>
      </c>
      <c r="F155" s="50">
        <f>VLOOKUP($A155,'Data shares'!$C:$FM,108)</f>
        <v>-11.54</v>
      </c>
      <c r="G155" s="50">
        <f t="shared" si="4"/>
        <v>0.69119614664169116</v>
      </c>
    </row>
    <row r="156" spans="1:7" x14ac:dyDescent="0.25">
      <c r="A156" s="49" t="str">
        <f>'Data shares'!C151</f>
        <v>OFSS</v>
      </c>
      <c r="B156" s="50">
        <f>VLOOKUP($A156,'Data shares'!$C:$FM,102)</f>
        <v>26.26</v>
      </c>
      <c r="C156" s="50">
        <f>VLOOKUP($A156,'Data shares'!$C:$FM,110)</f>
        <v>26.21</v>
      </c>
      <c r="D156" s="50">
        <f>VLOOKUP($A156,'Data shares'!$C:$FM,114)</f>
        <v>26.41</v>
      </c>
      <c r="E156" s="50">
        <f>VLOOKUP($A156,'Data shares'!$C:$FM,106)</f>
        <v>40.17</v>
      </c>
      <c r="F156" s="50">
        <f>VLOOKUP($A156,'Data shares'!$C:$FM,108)</f>
        <v>-13.91</v>
      </c>
      <c r="G156" s="50">
        <f t="shared" si="4"/>
        <v>0.65372168284789645</v>
      </c>
    </row>
    <row r="157" spans="1:7" x14ac:dyDescent="0.25">
      <c r="A157" s="49" t="str">
        <f>'Data shares'!C152</f>
        <v>OIL</v>
      </c>
      <c r="B157" s="50">
        <f>VLOOKUP($A157,'Data shares'!$C:$FM,102)</f>
        <v>24.23</v>
      </c>
      <c r="C157" s="50">
        <f>VLOOKUP($A157,'Data shares'!$C:$FM,110)</f>
        <v>24.51</v>
      </c>
      <c r="D157" s="50">
        <f>VLOOKUP($A157,'Data shares'!$C:$FM,114)</f>
        <v>23.85</v>
      </c>
      <c r="E157" s="50">
        <f>VLOOKUP($A157,'Data shares'!$C:$FM,106)</f>
        <v>42.9</v>
      </c>
      <c r="F157" s="50">
        <f>VLOOKUP($A157,'Data shares'!$C:$FM,108)</f>
        <v>-18.670000000000002</v>
      </c>
      <c r="G157" s="50">
        <f t="shared" si="4"/>
        <v>0.56480186480186478</v>
      </c>
    </row>
    <row r="158" spans="1:7" x14ac:dyDescent="0.25">
      <c r="A158" s="49" t="str">
        <f>'Data shares'!C153</f>
        <v>ONGC</v>
      </c>
      <c r="B158" s="50">
        <f>VLOOKUP($A158,'Data shares'!$C:$FM,102)</f>
        <v>18.399999999999999</v>
      </c>
      <c r="C158" s="50">
        <f>VLOOKUP($A158,'Data shares'!$C:$FM,110)</f>
        <v>18.77</v>
      </c>
      <c r="D158" s="50">
        <f>VLOOKUP($A158,'Data shares'!$C:$FM,114)</f>
        <v>17.88</v>
      </c>
      <c r="E158" s="50">
        <f>VLOOKUP($A158,'Data shares'!$C:$FM,106)</f>
        <v>31.07</v>
      </c>
      <c r="F158" s="50">
        <f>VLOOKUP($A158,'Data shares'!$C:$FM,108)</f>
        <v>-12.67</v>
      </c>
      <c r="G158" s="50">
        <f t="shared" si="4"/>
        <v>0.59221113614419052</v>
      </c>
    </row>
    <row r="159" spans="1:7" x14ac:dyDescent="0.25">
      <c r="A159" s="49" t="str">
        <f>'Data shares'!C154</f>
        <v>PAGEIND</v>
      </c>
      <c r="B159" s="50">
        <f>VLOOKUP($A159,'Data shares'!$C:$FM,102)</f>
        <v>23.88</v>
      </c>
      <c r="C159" s="50">
        <f>VLOOKUP($A159,'Data shares'!$C:$FM,110)</f>
        <v>24.16</v>
      </c>
      <c r="D159" s="50">
        <f>VLOOKUP($A159,'Data shares'!$C:$FM,114)</f>
        <v>23.31</v>
      </c>
      <c r="E159" s="50">
        <f>VLOOKUP($A159,'Data shares'!$C:$FM,106)</f>
        <v>28.59</v>
      </c>
      <c r="F159" s="50">
        <f>VLOOKUP($A159,'Data shares'!$C:$FM,108)</f>
        <v>-4.71</v>
      </c>
      <c r="G159" s="50">
        <f t="shared" si="4"/>
        <v>0.83525708289611744</v>
      </c>
    </row>
    <row r="160" spans="1:7" x14ac:dyDescent="0.25">
      <c r="A160" s="49" t="str">
        <f>'Data shares'!C155</f>
        <v>PATANJALI</v>
      </c>
      <c r="B160" s="50">
        <f>VLOOKUP($A160,'Data shares'!$C:$FM,102)</f>
        <v>24.65</v>
      </c>
      <c r="C160" s="50">
        <f>VLOOKUP($A160,'Data shares'!$C:$FM,110)</f>
        <v>24.71</v>
      </c>
      <c r="D160" s="50">
        <f>VLOOKUP($A160,'Data shares'!$C:$FM,114)</f>
        <v>24.45</v>
      </c>
      <c r="E160" s="50">
        <f>VLOOKUP($A160,'Data shares'!$C:$FM,106)</f>
        <v>33.409999999999997</v>
      </c>
      <c r="F160" s="50">
        <f>VLOOKUP($A160,'Data shares'!$C:$FM,108)</f>
        <v>-8.76</v>
      </c>
      <c r="G160" s="50">
        <f t="shared" si="4"/>
        <v>0.7378030529781503</v>
      </c>
    </row>
    <row r="161" spans="1:7" x14ac:dyDescent="0.25">
      <c r="A161" s="49" t="str">
        <f>'Data shares'!C156</f>
        <v>PAYTM</v>
      </c>
      <c r="B161" s="50">
        <f>VLOOKUP($A161,'Data shares'!$C:$FM,102)</f>
        <v>31.82</v>
      </c>
      <c r="C161" s="50">
        <f>VLOOKUP($A161,'Data shares'!$C:$FM,110)</f>
        <v>31.4</v>
      </c>
      <c r="D161" s="50">
        <f>VLOOKUP($A161,'Data shares'!$C:$FM,114)</f>
        <v>33.200000000000003</v>
      </c>
      <c r="E161" s="50">
        <f>VLOOKUP($A161,'Data shares'!$C:$FM,106)</f>
        <v>53.69</v>
      </c>
      <c r="F161" s="50">
        <f>VLOOKUP($A161,'Data shares'!$C:$FM,108)</f>
        <v>-21.87</v>
      </c>
      <c r="G161" s="50">
        <f t="shared" si="4"/>
        <v>0.59266157571242317</v>
      </c>
    </row>
    <row r="162" spans="1:7" x14ac:dyDescent="0.25">
      <c r="A162" s="49" t="str">
        <f>'Data shares'!C157</f>
        <v>PERSISTENT</v>
      </c>
      <c r="B162" s="50">
        <f>VLOOKUP($A162,'Data shares'!$C:$FM,102)</f>
        <v>27.37</v>
      </c>
      <c r="C162" s="50">
        <f>VLOOKUP($A162,'Data shares'!$C:$FM,110)</f>
        <v>27.14</v>
      </c>
      <c r="D162" s="50">
        <f>VLOOKUP($A162,'Data shares'!$C:$FM,114)</f>
        <v>27.82</v>
      </c>
      <c r="E162" s="50">
        <f>VLOOKUP($A162,'Data shares'!$C:$FM,106)</f>
        <v>40.97</v>
      </c>
      <c r="F162" s="50">
        <f>VLOOKUP($A162,'Data shares'!$C:$FM,108)</f>
        <v>-13.6</v>
      </c>
      <c r="G162" s="50">
        <f t="shared" si="4"/>
        <v>0.6680497925311204</v>
      </c>
    </row>
    <row r="163" spans="1:7" x14ac:dyDescent="0.25">
      <c r="A163" s="49" t="str">
        <f>'Data shares'!C158</f>
        <v>PETRONET</v>
      </c>
      <c r="B163" s="50">
        <f>VLOOKUP($A163,'Data shares'!$C:$FM,102)</f>
        <v>19.760000000000002</v>
      </c>
      <c r="C163" s="50">
        <f>VLOOKUP($A163,'Data shares'!$C:$FM,110)</f>
        <v>18.84</v>
      </c>
      <c r="D163" s="50">
        <f>VLOOKUP($A163,'Data shares'!$C:$FM,114)</f>
        <v>20.34</v>
      </c>
      <c r="E163" s="50">
        <f>VLOOKUP($A163,'Data shares'!$C:$FM,106)</f>
        <v>31.61</v>
      </c>
      <c r="F163" s="50">
        <f>VLOOKUP($A163,'Data shares'!$C:$FM,108)</f>
        <v>-11.85</v>
      </c>
      <c r="G163" s="50">
        <f t="shared" si="4"/>
        <v>0.62511863334387863</v>
      </c>
    </row>
    <row r="164" spans="1:7" x14ac:dyDescent="0.25">
      <c r="A164" s="49" t="str">
        <f>'Data shares'!C159</f>
        <v>PFC</v>
      </c>
      <c r="B164" s="50">
        <f>VLOOKUP($A164,'Data shares'!$C:$FM,102)</f>
        <v>23.65</v>
      </c>
      <c r="C164" s="50">
        <f>VLOOKUP($A164,'Data shares'!$C:$FM,110)</f>
        <v>23.59</v>
      </c>
      <c r="D164" s="50">
        <f>VLOOKUP($A164,'Data shares'!$C:$FM,114)</f>
        <v>23.73</v>
      </c>
      <c r="E164" s="50">
        <f>VLOOKUP($A164,'Data shares'!$C:$FM,106)</f>
        <v>42.87</v>
      </c>
      <c r="F164" s="50">
        <f>VLOOKUP($A164,'Data shares'!$C:$FM,108)</f>
        <v>-19.22</v>
      </c>
      <c r="G164" s="50">
        <f t="shared" si="4"/>
        <v>0.55166783298343836</v>
      </c>
    </row>
    <row r="165" spans="1:7" x14ac:dyDescent="0.25">
      <c r="A165" s="49" t="str">
        <f>'Data shares'!C160</f>
        <v>PGEL</v>
      </c>
      <c r="B165" s="50">
        <f>VLOOKUP($A165,'Data shares'!$C:$FM,102)</f>
        <v>39.19</v>
      </c>
      <c r="C165" s="50">
        <f>VLOOKUP($A165,'Data shares'!$C:$FM,110)</f>
        <v>39.08</v>
      </c>
      <c r="D165" s="50">
        <f>VLOOKUP($A165,'Data shares'!$C:$FM,114)</f>
        <v>39.51</v>
      </c>
      <c r="E165" s="50">
        <f>VLOOKUP($A165,'Data shares'!$C:$FM,106)</f>
        <v>67.36</v>
      </c>
      <c r="F165" s="50">
        <f>VLOOKUP($A165,'Data shares'!$C:$FM,108)</f>
        <v>-28.17</v>
      </c>
      <c r="G165" s="50">
        <f t="shared" si="4"/>
        <v>0.58179928741092635</v>
      </c>
    </row>
    <row r="166" spans="1:7" x14ac:dyDescent="0.25">
      <c r="A166" s="49" t="str">
        <f>'Data shares'!C161</f>
        <v>PHOENIXLTD</v>
      </c>
      <c r="B166" s="50">
        <f>VLOOKUP($A166,'Data shares'!$C:$FM,102)</f>
        <v>25.17</v>
      </c>
      <c r="C166" s="50">
        <f>VLOOKUP($A166,'Data shares'!$C:$FM,110)</f>
        <v>25.95</v>
      </c>
      <c r="D166" s="50">
        <f>VLOOKUP($A166,'Data shares'!$C:$FM,114)</f>
        <v>23.31</v>
      </c>
      <c r="E166" s="50">
        <f>VLOOKUP($A166,'Data shares'!$C:$FM,106)</f>
        <v>42.78</v>
      </c>
      <c r="F166" s="50">
        <f>VLOOKUP($A166,'Data shares'!$C:$FM,108)</f>
        <v>-17.61</v>
      </c>
      <c r="G166" s="50">
        <f t="shared" si="4"/>
        <v>0.58835904628330993</v>
      </c>
    </row>
    <row r="167" spans="1:7" x14ac:dyDescent="0.25">
      <c r="A167" s="49" t="str">
        <f>'Data shares'!C162</f>
        <v>PIDILITIND</v>
      </c>
      <c r="B167" s="50">
        <f>VLOOKUP($A167,'Data shares'!$C:$FM,102)</f>
        <v>18.47</v>
      </c>
      <c r="C167" s="50">
        <f>VLOOKUP($A167,'Data shares'!$C:$FM,110)</f>
        <v>18.71</v>
      </c>
      <c r="D167" s="50">
        <f>VLOOKUP($A167,'Data shares'!$C:$FM,114)</f>
        <v>17.93</v>
      </c>
      <c r="E167" s="50">
        <f>VLOOKUP($A167,'Data shares'!$C:$FM,106)</f>
        <v>21.97</v>
      </c>
      <c r="F167" s="50">
        <f>VLOOKUP($A167,'Data shares'!$C:$FM,108)</f>
        <v>-3.5</v>
      </c>
      <c r="G167" s="50">
        <f t="shared" ref="G167:G189" si="5">B167/E167</f>
        <v>0.84069185252617207</v>
      </c>
    </row>
    <row r="168" spans="1:7" x14ac:dyDescent="0.25">
      <c r="A168" s="49" t="str">
        <f>'Data shares'!C163</f>
        <v>PIIND</v>
      </c>
      <c r="B168" s="50">
        <f>VLOOKUP($A168,'Data shares'!$C:$FM,102)</f>
        <v>23.69</v>
      </c>
      <c r="C168" s="50">
        <f>VLOOKUP($A168,'Data shares'!$C:$FM,110)</f>
        <v>23.66</v>
      </c>
      <c r="D168" s="50">
        <f>VLOOKUP($A168,'Data shares'!$C:$FM,114)</f>
        <v>23.77</v>
      </c>
      <c r="E168" s="50">
        <f>VLOOKUP($A168,'Data shares'!$C:$FM,106)</f>
        <v>30.13</v>
      </c>
      <c r="F168" s="50">
        <f>VLOOKUP($A168,'Data shares'!$C:$FM,108)</f>
        <v>-6.44</v>
      </c>
      <c r="G168" s="50">
        <f t="shared" si="5"/>
        <v>0.78625954198473291</v>
      </c>
    </row>
    <row r="169" spans="1:7" x14ac:dyDescent="0.25">
      <c r="A169" s="49" t="str">
        <f>'Data shares'!C164</f>
        <v>PNB</v>
      </c>
      <c r="B169" s="50">
        <f>VLOOKUP($A169,'Data shares'!$C:$FM,102)</f>
        <v>24.56</v>
      </c>
      <c r="C169" s="50">
        <f>VLOOKUP($A169,'Data shares'!$C:$FM,110)</f>
        <v>24.64</v>
      </c>
      <c r="D169" s="50">
        <f>VLOOKUP($A169,'Data shares'!$C:$FM,114)</f>
        <v>24.4</v>
      </c>
      <c r="E169" s="50">
        <f>VLOOKUP($A169,'Data shares'!$C:$FM,106)</f>
        <v>36.08</v>
      </c>
      <c r="F169" s="50">
        <f>VLOOKUP($A169,'Data shares'!$C:$FM,108)</f>
        <v>-11.52</v>
      </c>
      <c r="G169" s="50">
        <f t="shared" si="5"/>
        <v>0.68070953436807091</v>
      </c>
    </row>
    <row r="170" spans="1:7" x14ac:dyDescent="0.25">
      <c r="A170" s="49" t="str">
        <f>'Data shares'!C165</f>
        <v>PNBHOUSING</v>
      </c>
      <c r="B170" s="50">
        <f>VLOOKUP($A170,'Data shares'!$C:$FM,102)</f>
        <v>29.32</v>
      </c>
      <c r="C170" s="50">
        <f>VLOOKUP($A170,'Data shares'!$C:$FM,110)</f>
        <v>29.42</v>
      </c>
      <c r="D170" s="50">
        <f>VLOOKUP($A170,'Data shares'!$C:$FM,114)</f>
        <v>29.15</v>
      </c>
      <c r="E170" s="50">
        <f>VLOOKUP($A170,'Data shares'!$C:$FM,106)</f>
        <v>47.04</v>
      </c>
      <c r="F170" s="50">
        <f>VLOOKUP($A170,'Data shares'!$C:$FM,108)</f>
        <v>-17.72</v>
      </c>
      <c r="G170" s="50">
        <f t="shared" si="5"/>
        <v>0.62329931972789121</v>
      </c>
    </row>
    <row r="171" spans="1:7" x14ac:dyDescent="0.25">
      <c r="A171" s="49" t="str">
        <f>'Data shares'!C166</f>
        <v>POLICYBZR</v>
      </c>
      <c r="B171" s="50">
        <f>VLOOKUP($A171,'Data shares'!$C:$FM,102)</f>
        <v>31.4</v>
      </c>
      <c r="C171" s="50">
        <f>VLOOKUP($A171,'Data shares'!$C:$FM,110)</f>
        <v>31.03</v>
      </c>
      <c r="D171" s="50">
        <f>VLOOKUP($A171,'Data shares'!$C:$FM,114)</f>
        <v>31.78</v>
      </c>
      <c r="E171" s="50">
        <f>VLOOKUP($A171,'Data shares'!$C:$FM,106)</f>
        <v>47.63</v>
      </c>
      <c r="F171" s="50">
        <f>VLOOKUP($A171,'Data shares'!$C:$FM,108)</f>
        <v>-16.23</v>
      </c>
      <c r="G171" s="50">
        <f t="shared" si="5"/>
        <v>0.65924837287423887</v>
      </c>
    </row>
    <row r="172" spans="1:7" x14ac:dyDescent="0.25">
      <c r="A172" s="49" t="str">
        <f>'Data shares'!C167</f>
        <v>POLYCAB</v>
      </c>
      <c r="B172" s="50">
        <f>VLOOKUP($A172,'Data shares'!$C:$FM,102)</f>
        <v>21.58</v>
      </c>
      <c r="C172" s="50">
        <f>VLOOKUP($A172,'Data shares'!$C:$FM,110)</f>
        <v>22.13</v>
      </c>
      <c r="D172" s="50">
        <f>VLOOKUP($A172,'Data shares'!$C:$FM,114)</f>
        <v>20.96</v>
      </c>
      <c r="E172" s="50">
        <f>VLOOKUP($A172,'Data shares'!$C:$FM,106)</f>
        <v>39.46</v>
      </c>
      <c r="F172" s="50">
        <f>VLOOKUP($A172,'Data shares'!$C:$FM,108)</f>
        <v>-17.88</v>
      </c>
      <c r="G172" s="50">
        <f t="shared" si="5"/>
        <v>0.5468829194120628</v>
      </c>
    </row>
    <row r="173" spans="1:7" x14ac:dyDescent="0.25">
      <c r="A173" s="49" t="str">
        <f>'Data shares'!C168</f>
        <v>POWERGRID</v>
      </c>
      <c r="B173" s="50">
        <f>VLOOKUP($A173,'Data shares'!$C:$FM,102)</f>
        <v>18.34</v>
      </c>
      <c r="C173" s="50">
        <f>VLOOKUP($A173,'Data shares'!$C:$FM,110)</f>
        <v>18.72</v>
      </c>
      <c r="D173" s="50">
        <f>VLOOKUP($A173,'Data shares'!$C:$FM,114)</f>
        <v>17.84</v>
      </c>
      <c r="E173" s="50">
        <f>VLOOKUP($A173,'Data shares'!$C:$FM,106)</f>
        <v>28.83</v>
      </c>
      <c r="F173" s="50">
        <f>VLOOKUP($A173,'Data shares'!$C:$FM,108)</f>
        <v>-10.49</v>
      </c>
      <c r="G173" s="50">
        <f t="shared" si="5"/>
        <v>0.63614290669441553</v>
      </c>
    </row>
    <row r="174" spans="1:7" x14ac:dyDescent="0.25">
      <c r="A174" s="49" t="str">
        <f>'Data shares'!C169</f>
        <v>POWERINDIA</v>
      </c>
      <c r="B174" s="50">
        <f>VLOOKUP($A174,'Data shares'!$C:$FM,102)</f>
        <v>33.19</v>
      </c>
      <c r="C174" s="50">
        <f>VLOOKUP($A174,'Data shares'!$C:$FM,110)</f>
        <v>33.08</v>
      </c>
      <c r="D174" s="50">
        <f>VLOOKUP($A174,'Data shares'!$C:$FM,114)</f>
        <v>33.520000000000003</v>
      </c>
      <c r="E174" s="50">
        <f>VLOOKUP($A174,'Data shares'!$C:$FM,106)</f>
        <v>58.57</v>
      </c>
      <c r="F174" s="50">
        <f>VLOOKUP($A174,'Data shares'!$C:$FM,108)</f>
        <v>-25.38</v>
      </c>
      <c r="G174" s="50">
        <f t="shared" si="5"/>
        <v>0.5666723578623869</v>
      </c>
    </row>
    <row r="175" spans="1:7" x14ac:dyDescent="0.25">
      <c r="A175" s="49" t="str">
        <f>'Data shares'!C170</f>
        <v>PPLPHARMA</v>
      </c>
      <c r="B175" s="50">
        <f>VLOOKUP($A175,'Data shares'!$C:$FM,102)</f>
        <v>28.01</v>
      </c>
      <c r="C175" s="50">
        <f>VLOOKUP($A175,'Data shares'!$C:$FM,110)</f>
        <v>28.25</v>
      </c>
      <c r="D175" s="50">
        <f>VLOOKUP($A175,'Data shares'!$C:$FM,114)</f>
        <v>27.54</v>
      </c>
      <c r="E175" s="50">
        <f>VLOOKUP($A175,'Data shares'!$C:$FM,106)</f>
        <v>45.1</v>
      </c>
      <c r="F175" s="50">
        <f>VLOOKUP($A175,'Data shares'!$C:$FM,108)</f>
        <v>-17.09</v>
      </c>
      <c r="G175" s="50">
        <f t="shared" si="5"/>
        <v>0.62106430155210646</v>
      </c>
    </row>
    <row r="176" spans="1:7" x14ac:dyDescent="0.25">
      <c r="A176" s="49" t="str">
        <f>'Data shares'!C171</f>
        <v>PRESTIGE</v>
      </c>
      <c r="B176" s="50">
        <f>VLOOKUP($A176,'Data shares'!$C:$FM,102)</f>
        <v>30.44</v>
      </c>
      <c r="C176" s="50">
        <f>VLOOKUP($A176,'Data shares'!$C:$FM,110)</f>
        <v>31.16</v>
      </c>
      <c r="D176" s="50">
        <f>VLOOKUP($A176,'Data shares'!$C:$FM,114)</f>
        <v>29.47</v>
      </c>
      <c r="E176" s="50">
        <f>VLOOKUP($A176,'Data shares'!$C:$FM,106)</f>
        <v>45.69</v>
      </c>
      <c r="F176" s="50">
        <f>VLOOKUP($A176,'Data shares'!$C:$FM,108)</f>
        <v>-15.25</v>
      </c>
      <c r="G176" s="50">
        <f t="shared" si="5"/>
        <v>0.66622893412125195</v>
      </c>
    </row>
    <row r="177" spans="1:7" x14ac:dyDescent="0.25">
      <c r="A177" s="49" t="str">
        <f>'Data shares'!C172</f>
        <v>RBLBANK</v>
      </c>
      <c r="B177" s="50">
        <f>VLOOKUP($A177,'Data shares'!$C:$FM,102)</f>
        <v>21.58</v>
      </c>
      <c r="C177" s="50">
        <f>VLOOKUP($A177,'Data shares'!$C:$FM,110)</f>
        <v>21.34</v>
      </c>
      <c r="D177" s="50">
        <f>VLOOKUP($A177,'Data shares'!$C:$FM,114)</f>
        <v>22.25</v>
      </c>
      <c r="E177" s="50">
        <f>VLOOKUP($A177,'Data shares'!$C:$FM,106)</f>
        <v>45.89</v>
      </c>
      <c r="F177" s="50">
        <f>VLOOKUP($A177,'Data shares'!$C:$FM,108)</f>
        <v>-24.31</v>
      </c>
      <c r="G177" s="50">
        <f t="shared" si="5"/>
        <v>0.47025495750708213</v>
      </c>
    </row>
    <row r="178" spans="1:7" x14ac:dyDescent="0.25">
      <c r="A178" s="49" t="str">
        <f>'Data shares'!C173</f>
        <v>RECLTD</v>
      </c>
      <c r="B178" s="50">
        <f>VLOOKUP($A178,'Data shares'!$C:$FM,102)</f>
        <v>22.93</v>
      </c>
      <c r="C178" s="50">
        <f>VLOOKUP($A178,'Data shares'!$C:$FM,110)</f>
        <v>23.17</v>
      </c>
      <c r="D178" s="50">
        <f>VLOOKUP($A178,'Data shares'!$C:$FM,114)</f>
        <v>22.51</v>
      </c>
      <c r="E178" s="50">
        <f>VLOOKUP($A178,'Data shares'!$C:$FM,106)</f>
        <v>43.48</v>
      </c>
      <c r="F178" s="50">
        <f>VLOOKUP($A178,'Data shares'!$C:$FM,108)</f>
        <v>-20.55</v>
      </c>
      <c r="G178" s="50">
        <f t="shared" si="5"/>
        <v>0.52736890524379032</v>
      </c>
    </row>
    <row r="179" spans="1:7" x14ac:dyDescent="0.25">
      <c r="A179" s="49" t="str">
        <f>'Data shares'!C174</f>
        <v>RELIANCE</v>
      </c>
      <c r="B179" s="50">
        <f>VLOOKUP($A179,'Data shares'!$C:$FM,102)</f>
        <v>16.97</v>
      </c>
      <c r="C179" s="50">
        <f>VLOOKUP($A179,'Data shares'!$C:$FM,110)</f>
        <v>16.78</v>
      </c>
      <c r="D179" s="50">
        <f>VLOOKUP($A179,'Data shares'!$C:$FM,114)</f>
        <v>17.38</v>
      </c>
      <c r="E179" s="50">
        <f>VLOOKUP($A179,'Data shares'!$C:$FM,106)</f>
        <v>24.11</v>
      </c>
      <c r="F179" s="50">
        <f>VLOOKUP($A179,'Data shares'!$C:$FM,108)</f>
        <v>-7.14</v>
      </c>
      <c r="G179" s="50">
        <f t="shared" si="5"/>
        <v>0.70385732061385309</v>
      </c>
    </row>
    <row r="180" spans="1:7" x14ac:dyDescent="0.25">
      <c r="A180" s="49" t="str">
        <f>'Data shares'!C175</f>
        <v>RVNL</v>
      </c>
      <c r="B180" s="50">
        <f>VLOOKUP($A180,'Data shares'!$C:$FM,102)</f>
        <v>31.18</v>
      </c>
      <c r="C180" s="50">
        <f>VLOOKUP($A180,'Data shares'!$C:$FM,110)</f>
        <v>31.44</v>
      </c>
      <c r="D180" s="50">
        <f>VLOOKUP($A180,'Data shares'!$C:$FM,114)</f>
        <v>30.4</v>
      </c>
      <c r="E180" s="50">
        <f>VLOOKUP($A180,'Data shares'!$C:$FM,106)</f>
        <v>55.35</v>
      </c>
      <c r="F180" s="50">
        <f>VLOOKUP($A180,'Data shares'!$C:$FM,108)</f>
        <v>-24.17</v>
      </c>
      <c r="G180" s="50">
        <f t="shared" si="5"/>
        <v>0.5633242999096657</v>
      </c>
    </row>
    <row r="181" spans="1:7" x14ac:dyDescent="0.25">
      <c r="A181" s="49" t="str">
        <f>'Data shares'!C176</f>
        <v>SAIL</v>
      </c>
      <c r="B181" s="50">
        <f>VLOOKUP($A181,'Data shares'!$C:$FM,102)</f>
        <v>29.73</v>
      </c>
      <c r="C181" s="50">
        <f>VLOOKUP($A181,'Data shares'!$C:$FM,110)</f>
        <v>29.73</v>
      </c>
      <c r="D181" s="50">
        <f>VLOOKUP($A181,'Data shares'!$C:$FM,114)</f>
        <v>29.73</v>
      </c>
      <c r="E181" s="50">
        <f>VLOOKUP($A181,'Data shares'!$C:$FM,106)</f>
        <v>44.45</v>
      </c>
      <c r="F181" s="50">
        <f>VLOOKUP($A181,'Data shares'!$C:$FM,108)</f>
        <v>-14.72</v>
      </c>
      <c r="G181" s="50">
        <f t="shared" si="5"/>
        <v>0.66884139482564675</v>
      </c>
    </row>
    <row r="182" spans="1:7" x14ac:dyDescent="0.25">
      <c r="A182" s="49" t="str">
        <f>'Data shares'!C177</f>
        <v>SAMMAANCAP</v>
      </c>
      <c r="B182" s="50">
        <f>VLOOKUP($A182,'Data shares'!$C:$FM,102)</f>
        <v>39.56</v>
      </c>
      <c r="C182" s="50">
        <f>VLOOKUP($A182,'Data shares'!$C:$FM,110)</f>
        <v>39.61</v>
      </c>
      <c r="D182" s="50">
        <f>VLOOKUP($A182,'Data shares'!$C:$FM,114)</f>
        <v>39.51</v>
      </c>
      <c r="E182" s="50">
        <f>VLOOKUP($A182,'Data shares'!$C:$FM,106)</f>
        <v>58.9</v>
      </c>
      <c r="F182" s="50">
        <f>VLOOKUP($A182,'Data shares'!$C:$FM,108)</f>
        <v>-19.34</v>
      </c>
      <c r="G182" s="50">
        <f t="shared" si="5"/>
        <v>0.67164685908319188</v>
      </c>
    </row>
    <row r="183" spans="1:7" x14ac:dyDescent="0.25">
      <c r="A183" s="49" t="str">
        <f>'Data shares'!C178</f>
        <v>SBICARD</v>
      </c>
      <c r="B183" s="50">
        <f>VLOOKUP($A183,'Data shares'!$C:$FM,102)</f>
        <v>21.97</v>
      </c>
      <c r="C183" s="50">
        <f>VLOOKUP($A183,'Data shares'!$C:$FM,110)</f>
        <v>22.11</v>
      </c>
      <c r="D183" s="50">
        <f>VLOOKUP($A183,'Data shares'!$C:$FM,114)</f>
        <v>21.8</v>
      </c>
      <c r="E183" s="50">
        <f>VLOOKUP($A183,'Data shares'!$C:$FM,106)</f>
        <v>29.69</v>
      </c>
      <c r="F183" s="50">
        <f>VLOOKUP($A183,'Data shares'!$C:$FM,108)</f>
        <v>-7.72</v>
      </c>
      <c r="G183" s="50">
        <f t="shared" si="5"/>
        <v>0.73997979117547985</v>
      </c>
    </row>
    <row r="184" spans="1:7" x14ac:dyDescent="0.25">
      <c r="A184" s="49" t="str">
        <f>'Data shares'!C179</f>
        <v>SBILIFE</v>
      </c>
      <c r="B184" s="50">
        <f>VLOOKUP($A184,'Data shares'!$C:$FM,102)</f>
        <v>19.489999999999998</v>
      </c>
      <c r="C184" s="50">
        <f>VLOOKUP($A184,'Data shares'!$C:$FM,110)</f>
        <v>19.350000000000001</v>
      </c>
      <c r="D184" s="50">
        <f>VLOOKUP($A184,'Data shares'!$C:$FM,114)</f>
        <v>19.93</v>
      </c>
      <c r="E184" s="50">
        <f>VLOOKUP($A184,'Data shares'!$C:$FM,106)</f>
        <v>25.06</v>
      </c>
      <c r="F184" s="50">
        <f>VLOOKUP($A184,'Data shares'!$C:$FM,108)</f>
        <v>-5.57</v>
      </c>
      <c r="G184" s="50">
        <f t="shared" si="5"/>
        <v>0.77773343974461295</v>
      </c>
    </row>
    <row r="185" spans="1:7" x14ac:dyDescent="0.25">
      <c r="A185" s="49" t="str">
        <f>'Data shares'!C180</f>
        <v>SBIN</v>
      </c>
      <c r="B185" s="50">
        <f>VLOOKUP($A185,'Data shares'!$C:$FM,102)</f>
        <v>16.98</v>
      </c>
      <c r="C185" s="50">
        <f>VLOOKUP($A185,'Data shares'!$C:$FM,110)</f>
        <v>16.63</v>
      </c>
      <c r="D185" s="50">
        <f>VLOOKUP($A185,'Data shares'!$C:$FM,114)</f>
        <v>17.600000000000001</v>
      </c>
      <c r="E185" s="50">
        <f>VLOOKUP($A185,'Data shares'!$C:$FM,106)</f>
        <v>25.3</v>
      </c>
      <c r="F185" s="50">
        <f>VLOOKUP($A185,'Data shares'!$C:$FM,108)</f>
        <v>-8.32</v>
      </c>
      <c r="G185" s="50">
        <f t="shared" si="5"/>
        <v>0.67114624505928855</v>
      </c>
    </row>
    <row r="186" spans="1:7" x14ac:dyDescent="0.25">
      <c r="A186" s="49" t="str">
        <f>'Data shares'!C181</f>
        <v>SHREECEM</v>
      </c>
      <c r="B186" s="50">
        <f>VLOOKUP($A186,'Data shares'!$C:$FM,102)</f>
        <v>21.38</v>
      </c>
      <c r="C186" s="50">
        <f>VLOOKUP($A186,'Data shares'!$C:$FM,110)</f>
        <v>21.47</v>
      </c>
      <c r="D186" s="50">
        <f>VLOOKUP($A186,'Data shares'!$C:$FM,114)</f>
        <v>21.17</v>
      </c>
      <c r="E186" s="50">
        <f>VLOOKUP($A186,'Data shares'!$C:$FM,106)</f>
        <v>25.15</v>
      </c>
      <c r="F186" s="50">
        <f>VLOOKUP($A186,'Data shares'!$C:$FM,108)</f>
        <v>-3.77</v>
      </c>
      <c r="G186" s="50">
        <f t="shared" si="5"/>
        <v>0.85009940357852887</v>
      </c>
    </row>
    <row r="187" spans="1:7" x14ac:dyDescent="0.25">
      <c r="A187" s="49" t="str">
        <f>'Data shares'!C182</f>
        <v>SHRIRAMFIN</v>
      </c>
      <c r="B187" s="50">
        <f>VLOOKUP($A187,'Data shares'!$C:$FM,102)</f>
        <v>29.51</v>
      </c>
      <c r="C187" s="50">
        <f>VLOOKUP($A187,'Data shares'!$C:$FM,110)</f>
        <v>29.27</v>
      </c>
      <c r="D187" s="50">
        <f>VLOOKUP($A187,'Data shares'!$C:$FM,114)</f>
        <v>29.89</v>
      </c>
      <c r="E187" s="50">
        <f>VLOOKUP($A187,'Data shares'!$C:$FM,106)</f>
        <v>40.049999999999997</v>
      </c>
      <c r="F187" s="50">
        <f>VLOOKUP($A187,'Data shares'!$C:$FM,108)</f>
        <v>-10.54</v>
      </c>
      <c r="G187" s="50">
        <f t="shared" si="5"/>
        <v>0.73682896379525598</v>
      </c>
    </row>
    <row r="188" spans="1:7" x14ac:dyDescent="0.25">
      <c r="A188" s="49" t="str">
        <f>'Data shares'!C183</f>
        <v>SIEMENS</v>
      </c>
      <c r="B188" s="50">
        <f>VLOOKUP($A188,'Data shares'!$C:$FM,102)</f>
        <v>25.56</v>
      </c>
      <c r="C188" s="50">
        <f>VLOOKUP($A188,'Data shares'!$C:$FM,110)</f>
        <v>25.57</v>
      </c>
      <c r="D188" s="50">
        <f>VLOOKUP($A188,'Data shares'!$C:$FM,114)</f>
        <v>25.53</v>
      </c>
      <c r="E188" s="50">
        <f>VLOOKUP($A188,'Data shares'!$C:$FM,106)</f>
        <v>38.46</v>
      </c>
      <c r="F188" s="50">
        <f>VLOOKUP($A188,'Data shares'!$C:$FM,108)</f>
        <v>-12.9</v>
      </c>
      <c r="G188" s="50">
        <f t="shared" si="5"/>
        <v>0.66458658346333843</v>
      </c>
    </row>
    <row r="189" spans="1:7" x14ac:dyDescent="0.25">
      <c r="A189" s="49" t="str">
        <f>'Data shares'!C216</f>
        <v>ZYDUSLIFE</v>
      </c>
      <c r="B189" s="50">
        <f>VLOOKUP($A189,'Data shares'!$C:$FM,102)</f>
        <v>21.6</v>
      </c>
      <c r="C189" s="50">
        <f>VLOOKUP($A189,'Data shares'!$C:$FM,110)</f>
        <v>22.08</v>
      </c>
      <c r="D189" s="50">
        <f>VLOOKUP($A189,'Data shares'!$C:$FM,114)</f>
        <v>20.93</v>
      </c>
      <c r="E189" s="50">
        <f>VLOOKUP($A189,'Data shares'!$C:$FM,106)</f>
        <v>29.14</v>
      </c>
      <c r="F189" s="50">
        <f>VLOOKUP($A189,'Data shares'!$C:$FM,108)</f>
        <v>-7.54</v>
      </c>
      <c r="G189" s="50">
        <f t="shared" si="5"/>
        <v>0.74124914207275228</v>
      </c>
    </row>
    <row r="190" spans="1:7" x14ac:dyDescent="0.25">
      <c r="A190" s="49"/>
      <c r="B190" s="50"/>
      <c r="C190" s="50"/>
      <c r="D190" s="50"/>
      <c r="E190" s="50"/>
      <c r="F190" s="50"/>
      <c r="G190" s="50"/>
    </row>
    <row r="191" spans="1:7" x14ac:dyDescent="0.25">
      <c r="A191" s="49"/>
      <c r="B191" s="50"/>
      <c r="C191" s="50"/>
      <c r="D191" s="50"/>
      <c r="E191" s="50"/>
      <c r="F191" s="50"/>
      <c r="G191" s="50"/>
    </row>
    <row r="192" spans="1:7" x14ac:dyDescent="0.25">
      <c r="A192" s="49"/>
      <c r="B192" s="50"/>
      <c r="C192" s="50"/>
      <c r="D192" s="50"/>
      <c r="E192" s="50"/>
      <c r="F192" s="50"/>
      <c r="G192" s="50"/>
    </row>
    <row r="193" spans="1:7" x14ac:dyDescent="0.25">
      <c r="A193" s="49"/>
      <c r="B193" s="50"/>
      <c r="C193" s="50"/>
      <c r="D193" s="50"/>
      <c r="E193" s="50"/>
      <c r="F193" s="50"/>
      <c r="G193" s="50"/>
    </row>
    <row r="194" spans="1:7" x14ac:dyDescent="0.25">
      <c r="A194" s="49"/>
      <c r="B194" s="50"/>
      <c r="C194" s="50"/>
      <c r="D194" s="50"/>
      <c r="E194" s="50"/>
      <c r="F194" s="50"/>
      <c r="G194" s="50"/>
    </row>
    <row r="195" spans="1:7" x14ac:dyDescent="0.25">
      <c r="A195" s="49"/>
      <c r="B195" s="50"/>
      <c r="C195" s="50"/>
      <c r="D195" s="50"/>
      <c r="E195" s="50"/>
      <c r="F195" s="50"/>
      <c r="G195" s="50"/>
    </row>
    <row r="196" spans="1:7" x14ac:dyDescent="0.25">
      <c r="A196" s="49"/>
      <c r="B196" s="50"/>
      <c r="C196" s="50"/>
      <c r="D196" s="50"/>
      <c r="E196" s="50"/>
      <c r="F196" s="50"/>
      <c r="G196" s="50"/>
    </row>
    <row r="197" spans="1:7" x14ac:dyDescent="0.25">
      <c r="A197" s="49"/>
      <c r="B197" s="50"/>
      <c r="C197" s="50"/>
      <c r="D197" s="50"/>
      <c r="E197" s="50"/>
      <c r="F197" s="50"/>
      <c r="G197" s="50"/>
    </row>
    <row r="198" spans="1:7" x14ac:dyDescent="0.25">
      <c r="A198" s="49"/>
      <c r="B198" s="50"/>
      <c r="C198" s="50"/>
      <c r="D198" s="50"/>
      <c r="E198" s="50"/>
      <c r="F198" s="50"/>
      <c r="G198" s="50"/>
    </row>
    <row r="199" spans="1:7" x14ac:dyDescent="0.25">
      <c r="A199" s="49"/>
      <c r="B199" s="50"/>
      <c r="C199" s="50"/>
      <c r="D199" s="50"/>
      <c r="E199" s="50"/>
      <c r="F199" s="50"/>
      <c r="G199" s="50"/>
    </row>
    <row r="200" spans="1:7" x14ac:dyDescent="0.25">
      <c r="A200" s="49"/>
      <c r="B200" s="50"/>
      <c r="C200" s="50"/>
      <c r="D200" s="50"/>
      <c r="E200" s="50"/>
      <c r="F200" s="50"/>
      <c r="G200" s="50"/>
    </row>
    <row r="201" spans="1:7" x14ac:dyDescent="0.25">
      <c r="A201" s="49"/>
      <c r="B201" s="50"/>
      <c r="C201" s="50"/>
      <c r="D201" s="50"/>
      <c r="E201" s="50"/>
      <c r="F201" s="50"/>
      <c r="G201" s="50"/>
    </row>
    <row r="202" spans="1:7" x14ac:dyDescent="0.25">
      <c r="A202" s="49"/>
      <c r="B202" s="50"/>
      <c r="C202" s="50"/>
      <c r="D202" s="50"/>
      <c r="E202" s="50"/>
      <c r="F202" s="50"/>
      <c r="G202" s="50"/>
    </row>
    <row r="203" spans="1:7" x14ac:dyDescent="0.25">
      <c r="A203" s="49"/>
      <c r="B203" s="50"/>
      <c r="C203" s="50"/>
      <c r="D203" s="50"/>
      <c r="E203" s="50"/>
      <c r="F203" s="50"/>
      <c r="G203" s="50"/>
    </row>
    <row r="204" spans="1:7" x14ac:dyDescent="0.25">
      <c r="A204" s="49"/>
      <c r="B204" s="50"/>
      <c r="C204" s="50"/>
      <c r="D204" s="50"/>
      <c r="E204" s="50"/>
      <c r="F204" s="50"/>
      <c r="G204" s="50"/>
    </row>
    <row r="205" spans="1:7" x14ac:dyDescent="0.25">
      <c r="A205" s="49"/>
      <c r="B205" s="50"/>
      <c r="C205" s="50"/>
      <c r="D205" s="50"/>
      <c r="E205" s="50"/>
      <c r="F205" s="50"/>
      <c r="G205" s="50"/>
    </row>
    <row r="206" spans="1:7" x14ac:dyDescent="0.25">
      <c r="A206" s="49"/>
      <c r="B206" s="50"/>
      <c r="C206" s="50"/>
      <c r="D206" s="50"/>
      <c r="E206" s="50"/>
      <c r="F206" s="50"/>
      <c r="G206" s="50"/>
    </row>
    <row r="207" spans="1:7" x14ac:dyDescent="0.25">
      <c r="A207" s="49"/>
      <c r="B207" s="50"/>
      <c r="C207" s="50"/>
      <c r="D207" s="50"/>
      <c r="E207" s="50"/>
      <c r="F207" s="50"/>
      <c r="G207" s="50"/>
    </row>
    <row r="208" spans="1:7" x14ac:dyDescent="0.25">
      <c r="A208" s="49"/>
      <c r="B208" s="50"/>
      <c r="C208" s="50"/>
      <c r="D208" s="50"/>
      <c r="E208" s="50"/>
      <c r="F208" s="50"/>
      <c r="G208" s="50"/>
    </row>
  </sheetData>
  <autoFilter ref="A4:G6">
    <sortState ref="A9:G189">
      <sortCondition ref="A4:A6"/>
    </sortState>
  </autoFilter>
  <mergeCells count="5">
    <mergeCell ref="A3:G3"/>
    <mergeCell ref="B4:G4"/>
    <mergeCell ref="B5:D5"/>
    <mergeCell ref="E5:G5"/>
    <mergeCell ref="A4:A6"/>
  </mergeCells>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1"/>
  <sheetViews>
    <sheetView zoomScaleNormal="100" workbookViewId="0">
      <pane ySplit="4" topLeftCell="A221" activePane="bottomLeft" state="frozen"/>
      <selection pane="bottomLeft" activeCell="A4" sqref="A4"/>
    </sheetView>
  </sheetViews>
  <sheetFormatPr defaultRowHeight="15" x14ac:dyDescent="0.25"/>
  <cols>
    <col min="1" max="1" width="18.42578125" customWidth="1"/>
    <col min="2" max="2" width="20.5703125" customWidth="1"/>
    <col min="3" max="3" width="20" customWidth="1"/>
    <col min="4" max="4" width="15.42578125" customWidth="1"/>
    <col min="5" max="5" width="16.140625" hidden="1" customWidth="1"/>
    <col min="6" max="6" width="12.28515625" style="171" customWidth="1"/>
  </cols>
  <sheetData>
    <row r="1" spans="1:6" ht="28.5" hidden="1" customHeight="1" thickBot="1" x14ac:dyDescent="0.3"/>
    <row r="2" spans="1:6" ht="15.75" thickBot="1" x14ac:dyDescent="0.3">
      <c r="E2" s="163"/>
      <c r="F2" s="172"/>
    </row>
    <row r="3" spans="1:6" ht="21" customHeight="1" x14ac:dyDescent="0.25">
      <c r="A3" s="318" t="s">
        <v>416</v>
      </c>
      <c r="B3" s="319"/>
      <c r="C3" s="319"/>
      <c r="D3" s="319"/>
      <c r="E3" s="319"/>
      <c r="F3" s="319"/>
    </row>
    <row r="4" spans="1:6" s="107" customFormat="1" ht="16.5" customHeight="1" x14ac:dyDescent="0.25">
      <c r="A4" s="174" t="s">
        <v>366</v>
      </c>
      <c r="B4" s="76" t="s">
        <v>417</v>
      </c>
      <c r="C4" s="76" t="s">
        <v>412</v>
      </c>
      <c r="D4" s="162" t="s">
        <v>418</v>
      </c>
      <c r="E4" s="162" t="s">
        <v>419</v>
      </c>
      <c r="F4" s="162" t="s">
        <v>419</v>
      </c>
    </row>
    <row r="5" spans="1:6" x14ac:dyDescent="0.25">
      <c r="A5" s="99" t="s">
        <v>683</v>
      </c>
      <c r="B5" s="49">
        <v>44660948</v>
      </c>
      <c r="C5" s="49">
        <v>5269000</v>
      </c>
      <c r="D5" s="49">
        <v>2546722.9646350001</v>
      </c>
      <c r="E5" s="50"/>
      <c r="F5" s="173">
        <f>C5/B5</f>
        <v>0.11797779124616881</v>
      </c>
    </row>
    <row r="6" spans="1:6" x14ac:dyDescent="0.25">
      <c r="A6" s="99" t="s">
        <v>553</v>
      </c>
      <c r="B6" s="49">
        <v>7946564</v>
      </c>
      <c r="C6" s="49">
        <v>5514250</v>
      </c>
      <c r="D6" s="49">
        <v>2768918.7457612501</v>
      </c>
      <c r="E6" s="50">
        <f>VLOOKUP($A6,'Data shares'!$C:$FA,154)*100</f>
        <v>70.77</v>
      </c>
      <c r="F6" s="173">
        <f>C6/B6</f>
        <v>0.69391626368327242</v>
      </c>
    </row>
    <row r="7" spans="1:6" x14ac:dyDescent="0.25">
      <c r="A7" s="99" t="s">
        <v>544</v>
      </c>
      <c r="B7" s="49">
        <v>122316423</v>
      </c>
      <c r="C7" s="49">
        <v>109572600</v>
      </c>
      <c r="D7" s="49">
        <v>75732536.308385998</v>
      </c>
      <c r="E7" s="50">
        <f>VLOOKUP($A7,'Data shares'!$C:$FA,154)*100</f>
        <v>90.64</v>
      </c>
      <c r="F7" s="173">
        <f>C7/B7</f>
        <v>0.89581265796171949</v>
      </c>
    </row>
    <row r="8" spans="1:6" x14ac:dyDescent="0.25">
      <c r="A8" s="99" t="s">
        <v>579</v>
      </c>
      <c r="B8" s="49">
        <v>51907388</v>
      </c>
      <c r="C8" s="49">
        <v>30499875</v>
      </c>
      <c r="D8" s="49">
        <v>17695663.539806198</v>
      </c>
      <c r="E8" s="50">
        <f>VLOOKUP($A8,'Data shares'!$C:$FA,154)*100</f>
        <v>59.709999999999994</v>
      </c>
      <c r="F8" s="173">
        <f>C8/B8</f>
        <v>0.58758254219996586</v>
      </c>
    </row>
    <row r="9" spans="1:6" x14ac:dyDescent="0.25">
      <c r="A9" s="99" t="s">
        <v>159</v>
      </c>
      <c r="B9" s="49">
        <v>30942206</v>
      </c>
      <c r="C9" s="49">
        <v>30385206</v>
      </c>
      <c r="D9" s="49">
        <v>12225551.673126301</v>
      </c>
      <c r="E9" s="50"/>
      <c r="F9" s="173">
        <f>C9/B9</f>
        <v>0.98199869783040028</v>
      </c>
    </row>
    <row r="10" spans="1:6" x14ac:dyDescent="0.25">
      <c r="A10" s="99" t="s">
        <v>606</v>
      </c>
      <c r="B10" s="49">
        <v>61877951</v>
      </c>
      <c r="C10" s="49">
        <v>51068400</v>
      </c>
      <c r="D10" s="49">
        <v>21337104.206436001</v>
      </c>
      <c r="E10" s="50">
        <f>VLOOKUP($A10,'Data shares'!$C:$FA,154)*100</f>
        <v>85.05</v>
      </c>
      <c r="F10" s="173">
        <f>C10/B10</f>
        <v>0.8253085174071132</v>
      </c>
    </row>
    <row r="11" spans="1:6" x14ac:dyDescent="0.25">
      <c r="A11" s="99" t="s">
        <v>160</v>
      </c>
      <c r="B11" s="49">
        <v>73799006</v>
      </c>
      <c r="C11" s="49">
        <v>42419400</v>
      </c>
      <c r="D11" s="49">
        <v>24148927.081590999</v>
      </c>
      <c r="E11" s="50">
        <f>VLOOKUP($A11,'Data shares'!$C:$FA,154)*100</f>
        <v>58.37</v>
      </c>
      <c r="F11" s="173">
        <f>C11/B11</f>
        <v>0.57479635972332743</v>
      </c>
    </row>
    <row r="12" spans="1:6" x14ac:dyDescent="0.25">
      <c r="A12" s="99" t="s">
        <v>497</v>
      </c>
      <c r="B12" s="49">
        <v>6130387</v>
      </c>
      <c r="C12" s="49">
        <v>2718000</v>
      </c>
      <c r="D12" s="49">
        <v>1637177.1626899999</v>
      </c>
      <c r="E12" s="50">
        <f>VLOOKUP($A12,'Data shares'!$C:$FA,154)*100</f>
        <v>44.97</v>
      </c>
      <c r="F12" s="173">
        <f>C12/B12</f>
        <v>0.44336515786034392</v>
      </c>
    </row>
    <row r="13" spans="1:6" x14ac:dyDescent="0.25">
      <c r="A13" s="99" t="s">
        <v>682</v>
      </c>
      <c r="B13" s="49">
        <v>3067454</v>
      </c>
      <c r="C13" s="49">
        <v>3951700</v>
      </c>
      <c r="D13" s="49">
        <v>970375.42466699996</v>
      </c>
      <c r="E13" s="50">
        <f>VLOOKUP($A13,'Data shares'!$C:$FA,154)*100</f>
        <v>133.18</v>
      </c>
      <c r="F13" s="173">
        <f>C13/B13</f>
        <v>1.288267077517707</v>
      </c>
    </row>
    <row r="14" spans="1:6" x14ac:dyDescent="0.25">
      <c r="A14" s="99" t="s">
        <v>164</v>
      </c>
      <c r="B14" s="49">
        <v>119762774</v>
      </c>
      <c r="C14" s="49">
        <v>76281450</v>
      </c>
      <c r="D14" s="49">
        <v>45589666.522155002</v>
      </c>
      <c r="E14" s="50">
        <f>VLOOKUP($A14,'Data shares'!$C:$FA,154)*100</f>
        <v>64.86</v>
      </c>
      <c r="F14" s="173">
        <f>C14/B14</f>
        <v>0.63693790192267929</v>
      </c>
    </row>
    <row r="15" spans="1:6" x14ac:dyDescent="0.25">
      <c r="A15" s="99" t="s">
        <v>609</v>
      </c>
      <c r="B15" s="49">
        <v>9647634</v>
      </c>
      <c r="C15" s="49">
        <v>8812500</v>
      </c>
      <c r="D15" s="49">
        <v>3050188.0594274998</v>
      </c>
      <c r="E15" s="50">
        <f>VLOOKUP($A15,'Data shares'!$C:$FA,154)*100</f>
        <v>93.64</v>
      </c>
      <c r="F15" s="173">
        <f>C15/B15</f>
        <v>0.91343639279848299</v>
      </c>
    </row>
    <row r="16" spans="1:6" x14ac:dyDescent="0.25">
      <c r="A16" s="99" t="s">
        <v>598</v>
      </c>
      <c r="B16" s="49">
        <v>27232196</v>
      </c>
      <c r="C16" s="49">
        <v>11376400</v>
      </c>
      <c r="D16" s="49">
        <v>7196444.0451889997</v>
      </c>
      <c r="E16" s="50">
        <f>VLOOKUP($A16,'Data shares'!$C:$FA,154)*100</f>
        <v>42.14</v>
      </c>
      <c r="F16" s="173">
        <f>C16/B16</f>
        <v>0.41775551262924226</v>
      </c>
    </row>
    <row r="17" spans="1:6" x14ac:dyDescent="0.25">
      <c r="A17" s="99" t="s">
        <v>165</v>
      </c>
      <c r="B17" s="49">
        <v>15240043</v>
      </c>
      <c r="C17" s="49">
        <v>5966125</v>
      </c>
      <c r="D17" s="49">
        <v>2903794.0379212499</v>
      </c>
      <c r="E17" s="50">
        <f>VLOOKUP($A17,'Data shares'!$C:$FA,154)*100</f>
        <v>40.08</v>
      </c>
      <c r="F17" s="173">
        <f>C17/B17</f>
        <v>0.39147691381185734</v>
      </c>
    </row>
    <row r="18" spans="1:6" x14ac:dyDescent="0.25">
      <c r="A18" s="99" t="s">
        <v>167</v>
      </c>
      <c r="B18" s="49">
        <v>409181558</v>
      </c>
      <c r="C18" s="49">
        <v>243480000</v>
      </c>
      <c r="D18" s="49">
        <v>117781043.2727</v>
      </c>
      <c r="E18" s="50">
        <f>VLOOKUP($A18,'Data shares'!$C:$FA,154)*100</f>
        <v>61.46</v>
      </c>
      <c r="F18" s="173">
        <f>C18/B18</f>
        <v>0.59504148033963933</v>
      </c>
    </row>
    <row r="19" spans="1:6" x14ac:dyDescent="0.25">
      <c r="A19" s="99" t="s">
        <v>169</v>
      </c>
      <c r="B19" s="49">
        <v>52357280</v>
      </c>
      <c r="C19" s="49">
        <v>32211750</v>
      </c>
      <c r="D19" s="49">
        <v>12707051.068499999</v>
      </c>
      <c r="E19" s="50">
        <f>VLOOKUP($A19,'Data shares'!$C:$FA,154)*100</f>
        <v>64.05</v>
      </c>
      <c r="F19" s="173">
        <f>C19/B19</f>
        <v>0.61522962995785879</v>
      </c>
    </row>
    <row r="20" spans="1:6" x14ac:dyDescent="0.25">
      <c r="A20" s="99" t="s">
        <v>503</v>
      </c>
      <c r="B20" s="49">
        <v>18495534</v>
      </c>
      <c r="C20" s="49">
        <v>15616200</v>
      </c>
      <c r="D20" s="49">
        <v>8354120.3800705001</v>
      </c>
      <c r="E20" s="50">
        <f>VLOOKUP($A20,'Data shares'!$C:$FA,154)*100</f>
        <v>85.960000000000008</v>
      </c>
      <c r="F20" s="173">
        <f>C20/B20</f>
        <v>0.84432274299298415</v>
      </c>
    </row>
    <row r="21" spans="1:6" x14ac:dyDescent="0.25">
      <c r="A21" s="99" t="s">
        <v>495</v>
      </c>
      <c r="B21" s="49">
        <v>86234186</v>
      </c>
      <c r="C21" s="49">
        <v>29460000</v>
      </c>
      <c r="D21" s="49">
        <v>16325903.041479999</v>
      </c>
      <c r="E21" s="50">
        <f>VLOOKUP($A21,'Data shares'!$C:$FA,154)*100</f>
        <v>34.93</v>
      </c>
      <c r="F21" s="173">
        <f>C21/B21</f>
        <v>0.34162785510609445</v>
      </c>
    </row>
    <row r="22" spans="1:6" x14ac:dyDescent="0.25">
      <c r="A22" s="99" t="s">
        <v>171</v>
      </c>
      <c r="B22" s="49">
        <v>41977935</v>
      </c>
      <c r="C22" s="49">
        <v>32844900</v>
      </c>
      <c r="D22" s="49">
        <v>22131445.2303835</v>
      </c>
      <c r="E22" s="50">
        <f>VLOOKUP($A22,'Data shares'!$C:$FA,154)*100</f>
        <v>78.75</v>
      </c>
      <c r="F22" s="173">
        <f>C22/B22</f>
        <v>0.78243248506626162</v>
      </c>
    </row>
    <row r="23" spans="1:6" x14ac:dyDescent="0.25">
      <c r="A23" s="99" t="s">
        <v>173</v>
      </c>
      <c r="B23" s="49">
        <v>316147681</v>
      </c>
      <c r="C23" s="49">
        <v>105464375</v>
      </c>
      <c r="D23" s="49">
        <v>75700842.283337504</v>
      </c>
      <c r="E23" s="50">
        <f>VLOOKUP($A23,'Data shares'!$C:$FA,154)*100</f>
        <v>33.89</v>
      </c>
      <c r="F23" s="173">
        <f>C23/B23</f>
        <v>0.33359211956389456</v>
      </c>
    </row>
    <row r="24" spans="1:6" x14ac:dyDescent="0.25">
      <c r="A24" s="99" t="s">
        <v>174</v>
      </c>
      <c r="B24" s="49">
        <v>12547731</v>
      </c>
      <c r="C24" s="49">
        <v>6410400</v>
      </c>
      <c r="D24" s="49">
        <v>3080708.0509064998</v>
      </c>
      <c r="E24" s="50">
        <f>VLOOKUP($A24,'Data shares'!$C:$FA,154)*100</f>
        <v>52.89</v>
      </c>
      <c r="F24" s="173">
        <f>C24/B24</f>
        <v>0.5108812103160324</v>
      </c>
    </row>
    <row r="25" spans="1:6" x14ac:dyDescent="0.25">
      <c r="A25" s="99" t="s">
        <v>176</v>
      </c>
      <c r="B25" s="49">
        <v>65659712</v>
      </c>
      <c r="C25" s="49">
        <v>30147250</v>
      </c>
      <c r="D25" s="49">
        <v>19097133.872072499</v>
      </c>
      <c r="E25" s="50">
        <f>VLOOKUP($A25,'Data shares'!$C:$FA,154)*100</f>
        <v>46.78</v>
      </c>
      <c r="F25" s="173">
        <f>C25/B25</f>
        <v>0.45914380495607415</v>
      </c>
    </row>
    <row r="26" spans="1:6" x14ac:dyDescent="0.25">
      <c r="A26" s="99" t="s">
        <v>177</v>
      </c>
      <c r="B26" s="49">
        <v>281116345</v>
      </c>
      <c r="C26" s="49">
        <v>135288000</v>
      </c>
      <c r="D26" s="49">
        <v>92535105.727957502</v>
      </c>
      <c r="E26" s="50">
        <f>VLOOKUP($A26,'Data shares'!$C:$FA,154)*100</f>
        <v>49.059999999999995</v>
      </c>
      <c r="F26" s="173">
        <f>C26/B26</f>
        <v>0.48125269983856683</v>
      </c>
    </row>
    <row r="27" spans="1:6" x14ac:dyDescent="0.25">
      <c r="A27" s="99" t="s">
        <v>179</v>
      </c>
      <c r="B27" s="49">
        <v>142752962</v>
      </c>
      <c r="C27" s="49">
        <v>254944800</v>
      </c>
      <c r="D27" s="49">
        <v>118153551.294972</v>
      </c>
      <c r="E27" s="50">
        <f>VLOOKUP($A27,'Data shares'!$C:$FA,154)*100</f>
        <v>181.72</v>
      </c>
      <c r="F27" s="173">
        <f>C27/B27</f>
        <v>1.7859160078233614</v>
      </c>
    </row>
    <row r="28" spans="1:6" x14ac:dyDescent="0.25">
      <c r="A28" s="99" t="s">
        <v>180</v>
      </c>
      <c r="B28" s="49">
        <v>257509827</v>
      </c>
      <c r="C28" s="49">
        <v>189121725</v>
      </c>
      <c r="D28" s="49">
        <v>96860608.214175001</v>
      </c>
      <c r="E28" s="50">
        <f>VLOOKUP($A28,'Data shares'!$C:$FA,154)*100</f>
        <v>74.59</v>
      </c>
      <c r="F28" s="173">
        <f>C28/B28</f>
        <v>0.73442527302074578</v>
      </c>
    </row>
    <row r="29" spans="1:6" x14ac:dyDescent="0.25">
      <c r="A29" s="99" t="s">
        <v>602</v>
      </c>
      <c r="B29" s="49">
        <v>181770921</v>
      </c>
      <c r="C29" s="49">
        <v>106745600</v>
      </c>
      <c r="D29" s="49">
        <v>52685002.133607998</v>
      </c>
      <c r="E29" s="50">
        <f>VLOOKUP($A29,'Data shares'!$C:$FA,154)*100</f>
        <v>59.550000000000004</v>
      </c>
      <c r="F29" s="173">
        <f>C29/B29</f>
        <v>0.58725344743123131</v>
      </c>
    </row>
    <row r="30" spans="1:6" x14ac:dyDescent="0.25">
      <c r="A30" s="99" t="s">
        <v>672</v>
      </c>
      <c r="B30" s="49">
        <v>13786716</v>
      </c>
      <c r="C30" s="49">
        <v>13388600</v>
      </c>
      <c r="D30" s="49">
        <v>4689461.77061</v>
      </c>
      <c r="E30" s="50">
        <f>VLOOKUP($A30,'Data shares'!$C:$FA,154)*100</f>
        <v>99.32</v>
      </c>
      <c r="F30" s="173">
        <f>C30/B30</f>
        <v>0.97112321745076924</v>
      </c>
    </row>
    <row r="31" spans="1:6" x14ac:dyDescent="0.25">
      <c r="A31" s="99" t="s">
        <v>185</v>
      </c>
      <c r="B31" s="49">
        <v>535778534</v>
      </c>
      <c r="C31" s="49">
        <v>210757500</v>
      </c>
      <c r="D31" s="49">
        <v>108301509.196495</v>
      </c>
      <c r="E31" s="50">
        <f>VLOOKUP($A31,'Data shares'!$C:$FA,154)*100</f>
        <v>40.450000000000003</v>
      </c>
      <c r="F31" s="173">
        <f>C31/B31</f>
        <v>0.39336682346441298</v>
      </c>
    </row>
    <row r="32" spans="1:6" x14ac:dyDescent="0.25">
      <c r="A32" s="99" t="s">
        <v>187</v>
      </c>
      <c r="B32" s="49">
        <v>35155737</v>
      </c>
      <c r="C32" s="49">
        <v>16627500</v>
      </c>
      <c r="D32" s="49">
        <v>7419601.4341099998</v>
      </c>
      <c r="E32" s="50">
        <f>VLOOKUP($A32,'Data shares'!$C:$FA,154)*100</f>
        <v>49.25</v>
      </c>
      <c r="F32" s="173">
        <f>C32/B32</f>
        <v>0.47296690153302717</v>
      </c>
    </row>
    <row r="33" spans="1:6" x14ac:dyDescent="0.25">
      <c r="A33" s="99" t="s">
        <v>189</v>
      </c>
      <c r="B33" s="49">
        <v>314058656</v>
      </c>
      <c r="C33" s="49">
        <v>74299975</v>
      </c>
      <c r="D33" s="49">
        <v>46292861.063326001</v>
      </c>
      <c r="E33" s="50">
        <f>VLOOKUP($A33,'Data shares'!$C:$FA,154)*100</f>
        <v>24.33</v>
      </c>
      <c r="F33" s="173">
        <f>C33/B33</f>
        <v>0.23657993047005843</v>
      </c>
    </row>
    <row r="34" spans="1:6" x14ac:dyDescent="0.25">
      <c r="A34" s="99" t="s">
        <v>190</v>
      </c>
      <c r="B34" s="49">
        <v>169029877</v>
      </c>
      <c r="C34" s="49">
        <v>149223375</v>
      </c>
      <c r="D34" s="49">
        <v>59614724.030426197</v>
      </c>
      <c r="E34" s="50">
        <f>VLOOKUP($A34,'Data shares'!$C:$FA,154)*100</f>
        <v>91.35</v>
      </c>
      <c r="F34" s="173">
        <f>C34/B34</f>
        <v>0.88282247877397435</v>
      </c>
    </row>
    <row r="35" spans="1:6" x14ac:dyDescent="0.25">
      <c r="A35" s="99" t="s">
        <v>191</v>
      </c>
      <c r="B35" s="49">
        <v>90981174</v>
      </c>
      <c r="C35" s="49">
        <v>109035000</v>
      </c>
      <c r="D35" s="49">
        <v>48489317.105999999</v>
      </c>
      <c r="E35" s="50">
        <f>VLOOKUP($A35,'Data shares'!$C:$FA,154)*100</f>
        <v>124.86999999999999</v>
      </c>
      <c r="F35" s="173">
        <f>C35/B35</f>
        <v>1.1984347443131478</v>
      </c>
    </row>
    <row r="36" spans="1:6" x14ac:dyDescent="0.25">
      <c r="A36" s="99" t="s">
        <v>680</v>
      </c>
      <c r="B36" s="49">
        <v>19584741</v>
      </c>
      <c r="C36" s="49">
        <v>4633200</v>
      </c>
      <c r="D36" s="49">
        <v>1461859.0288185</v>
      </c>
      <c r="E36" s="50">
        <f>VLOOKUP($A36,'Data shares'!$C:$FA,154)*100</f>
        <v>24.310000000000002</v>
      </c>
      <c r="F36" s="173">
        <f>C36/B36</f>
        <v>0.23657193117846184</v>
      </c>
    </row>
    <row r="37" spans="1:6" x14ac:dyDescent="0.25">
      <c r="A37" s="99" t="s">
        <v>192</v>
      </c>
      <c r="B37" s="49">
        <v>982526</v>
      </c>
      <c r="C37" s="49">
        <v>478325</v>
      </c>
      <c r="D37" s="49">
        <v>228788.18166599999</v>
      </c>
      <c r="E37" s="50">
        <f>VLOOKUP($A37,'Data shares'!$C:$FA,154)*100</f>
        <v>49.45</v>
      </c>
      <c r="F37" s="173">
        <f>C37/B37</f>
        <v>0.48683190063163723</v>
      </c>
    </row>
    <row r="38" spans="1:6" x14ac:dyDescent="0.25">
      <c r="A38" s="99" t="s">
        <v>194</v>
      </c>
      <c r="B38" s="49">
        <v>281577339</v>
      </c>
      <c r="C38" s="49">
        <v>70880775</v>
      </c>
      <c r="D38" s="49">
        <v>30522042.835005</v>
      </c>
      <c r="E38" s="50">
        <f>VLOOKUP($A38,'Data shares'!$C:$FA,154)*100</f>
        <v>25.430000000000003</v>
      </c>
      <c r="F38" s="173">
        <f>C38/B38</f>
        <v>0.25172755468081187</v>
      </c>
    </row>
    <row r="39" spans="1:6" x14ac:dyDescent="0.25">
      <c r="A39" s="99" t="s">
        <v>195</v>
      </c>
      <c r="B39" s="49">
        <v>13082978</v>
      </c>
      <c r="C39" s="49">
        <v>6381875</v>
      </c>
      <c r="D39" s="49">
        <v>3379142.1921012499</v>
      </c>
      <c r="E39" s="50">
        <f>VLOOKUP($A39,'Data shares'!$C:$FA,154)*100</f>
        <v>49.69</v>
      </c>
      <c r="F39" s="173">
        <f>C39/B39</f>
        <v>0.48779987247551743</v>
      </c>
    </row>
    <row r="40" spans="1:6" x14ac:dyDescent="0.25">
      <c r="A40" s="99" t="s">
        <v>584</v>
      </c>
      <c r="B40" s="49">
        <v>48385387</v>
      </c>
      <c r="C40" s="49">
        <v>31206750</v>
      </c>
      <c r="D40" s="49">
        <v>12477344.059571199</v>
      </c>
      <c r="E40" s="50">
        <f>VLOOKUP($A40,'Data shares'!$C:$FA,154)*100</f>
        <v>68.100000000000009</v>
      </c>
      <c r="F40" s="173">
        <f>C40/B40</f>
        <v>0.64496228995750304</v>
      </c>
    </row>
    <row r="41" spans="1:6" x14ac:dyDescent="0.25">
      <c r="A41" s="99" t="s">
        <v>611</v>
      </c>
      <c r="B41" s="49">
        <v>7421215</v>
      </c>
      <c r="C41" s="49">
        <v>4578000</v>
      </c>
      <c r="D41" s="49">
        <v>1638358.6192305</v>
      </c>
      <c r="E41" s="50">
        <f>VLOOKUP($A41,'Data shares'!$C:$FA,154)*100</f>
        <v>62.94</v>
      </c>
      <c r="F41" s="173">
        <f>C41/B41</f>
        <v>0.61688012003425319</v>
      </c>
    </row>
    <row r="42" spans="1:6" x14ac:dyDescent="0.25">
      <c r="A42" s="99" t="s">
        <v>196</v>
      </c>
      <c r="B42" s="49">
        <v>504315430</v>
      </c>
      <c r="C42" s="49">
        <v>415678500</v>
      </c>
      <c r="D42" s="49">
        <v>158254359.513592</v>
      </c>
      <c r="E42" s="50">
        <f>VLOOKUP($A42,'Data shares'!$C:$FA,154)*100</f>
        <v>84.37</v>
      </c>
      <c r="F42" s="173">
        <f>C42/B42</f>
        <v>0.82424307342727943</v>
      </c>
    </row>
    <row r="43" spans="1:6" x14ac:dyDescent="0.25">
      <c r="A43" s="99" t="s">
        <v>597</v>
      </c>
      <c r="B43" s="49">
        <v>26647500</v>
      </c>
      <c r="C43" s="49">
        <v>23006625</v>
      </c>
      <c r="D43" s="49">
        <v>8577482.3030142505</v>
      </c>
      <c r="E43" s="50">
        <f>VLOOKUP($A43,'Data shares'!$C:$FA,154)*100</f>
        <v>88.86</v>
      </c>
      <c r="F43" s="173">
        <f>C43/B43</f>
        <v>0.86336898395721928</v>
      </c>
    </row>
    <row r="44" spans="1:6" x14ac:dyDescent="0.25">
      <c r="A44" s="99" t="s">
        <v>612</v>
      </c>
      <c r="B44" s="49">
        <v>100245792</v>
      </c>
      <c r="C44" s="49">
        <v>27179600</v>
      </c>
      <c r="D44" s="49">
        <v>15485994.130646501</v>
      </c>
      <c r="E44" s="50">
        <f>VLOOKUP($A44,'Data shares'!$C:$FA,154)*100</f>
        <v>27.83</v>
      </c>
      <c r="F44" s="173">
        <f>C44/B44</f>
        <v>0.27112958517001889</v>
      </c>
    </row>
    <row r="45" spans="1:6" x14ac:dyDescent="0.25">
      <c r="A45" s="99" t="s">
        <v>198</v>
      </c>
      <c r="B45" s="49">
        <v>63212268</v>
      </c>
      <c r="C45" s="49">
        <v>21243750</v>
      </c>
      <c r="D45" s="49">
        <v>12454523.229243699</v>
      </c>
      <c r="E45" s="50">
        <f>VLOOKUP($A45,'Data shares'!$C:$FA,154)*100</f>
        <v>34.300000000000004</v>
      </c>
      <c r="F45" s="173">
        <f>C45/B45</f>
        <v>0.33607004893417208</v>
      </c>
    </row>
    <row r="46" spans="1:6" x14ac:dyDescent="0.25">
      <c r="A46" s="99" t="s">
        <v>199</v>
      </c>
      <c r="B46" s="49">
        <v>57073940</v>
      </c>
      <c r="C46" s="49">
        <v>27538875</v>
      </c>
      <c r="D46" s="49">
        <v>14259489.3139387</v>
      </c>
      <c r="E46" s="50">
        <f>VLOOKUP($A46,'Data shares'!$C:$FA,154)*100</f>
        <v>49.62</v>
      </c>
      <c r="F46" s="173">
        <f>C46/B46</f>
        <v>0.48251224639476442</v>
      </c>
    </row>
    <row r="47" spans="1:6" x14ac:dyDescent="0.25">
      <c r="A47" s="99" t="s">
        <v>200</v>
      </c>
      <c r="B47" s="49">
        <v>227199238</v>
      </c>
      <c r="C47" s="49">
        <v>109078650</v>
      </c>
      <c r="D47" s="49">
        <v>59129148.659503497</v>
      </c>
      <c r="E47" s="50">
        <f>VLOOKUP($A47,'Data shares'!$C:$FA,154)*100</f>
        <v>48.52</v>
      </c>
      <c r="F47" s="173">
        <f>C47/B47</f>
        <v>0.48010130210031776</v>
      </c>
    </row>
    <row r="48" spans="1:6" x14ac:dyDescent="0.25">
      <c r="A48" s="99" t="s">
        <v>470</v>
      </c>
      <c r="B48" s="49">
        <v>50163899</v>
      </c>
      <c r="C48" s="49">
        <v>20728875</v>
      </c>
      <c r="D48" s="49">
        <v>13030187.1457575</v>
      </c>
      <c r="E48" s="50">
        <f>VLOOKUP($A48,'Data shares'!$C:$FA,154)*100</f>
        <v>43.169999999999995</v>
      </c>
      <c r="F48" s="173">
        <f>C48/B48</f>
        <v>0.41322296339046533</v>
      </c>
    </row>
    <row r="49" spans="1:6" x14ac:dyDescent="0.25">
      <c r="A49" s="99" t="s">
        <v>201</v>
      </c>
      <c r="B49" s="49">
        <v>19990944</v>
      </c>
      <c r="C49" s="49">
        <v>10982025</v>
      </c>
      <c r="D49" s="49">
        <v>5872814.7715327498</v>
      </c>
      <c r="E49" s="50">
        <f>VLOOKUP($A49,'Data shares'!$C:$FA,154)*100</f>
        <v>55.679999999999993</v>
      </c>
      <c r="F49" s="173">
        <f>C49/B49</f>
        <v>0.54934999567804299</v>
      </c>
    </row>
    <row r="50" spans="1:6" x14ac:dyDescent="0.25">
      <c r="A50" s="99" t="s">
        <v>202</v>
      </c>
      <c r="B50" s="49">
        <v>48077012</v>
      </c>
      <c r="C50" s="49">
        <v>66593750</v>
      </c>
      <c r="D50" s="49">
        <v>34302288.6207375</v>
      </c>
      <c r="E50" s="50">
        <f>VLOOKUP($A50,'Data shares'!$C:$FA,154)*100</f>
        <v>141.62</v>
      </c>
      <c r="F50" s="173">
        <f>C50/B50</f>
        <v>1.3851474380312987</v>
      </c>
    </row>
    <row r="51" spans="1:6" x14ac:dyDescent="0.25">
      <c r="A51" s="99" t="s">
        <v>523</v>
      </c>
      <c r="B51" s="49">
        <v>81400589</v>
      </c>
      <c r="C51" s="49">
        <v>96240600</v>
      </c>
      <c r="D51" s="49">
        <v>50695188.968556002</v>
      </c>
      <c r="E51" s="50">
        <f>VLOOKUP($A51,'Data shares'!$C:$FA,154)*100</f>
        <v>119.6</v>
      </c>
      <c r="F51" s="173">
        <f>C51/B51</f>
        <v>1.18230839828444</v>
      </c>
    </row>
    <row r="52" spans="1:6" x14ac:dyDescent="0.25">
      <c r="A52" s="99" t="s">
        <v>203</v>
      </c>
      <c r="B52" s="49">
        <v>20374200</v>
      </c>
      <c r="C52" s="49">
        <v>5850200</v>
      </c>
      <c r="D52" s="49">
        <v>3577659.9638120001</v>
      </c>
      <c r="E52" s="50">
        <f>VLOOKUP($A52,'Data shares'!$C:$FA,154)*100</f>
        <v>29.23</v>
      </c>
      <c r="F52" s="173">
        <f>C52/B52</f>
        <v>0.28713765448459327</v>
      </c>
    </row>
    <row r="53" spans="1:6" x14ac:dyDescent="0.25">
      <c r="A53" s="99" t="s">
        <v>572</v>
      </c>
      <c r="B53" s="49">
        <v>12039544</v>
      </c>
      <c r="C53" s="49">
        <v>8250525</v>
      </c>
      <c r="D53" s="49">
        <v>3958069.7544422499</v>
      </c>
      <c r="E53" s="50"/>
      <c r="F53" s="173">
        <f>C53/B53</f>
        <v>0.68528550582978887</v>
      </c>
    </row>
    <row r="54" spans="1:6" x14ac:dyDescent="0.25">
      <c r="A54" s="99" t="s">
        <v>204</v>
      </c>
      <c r="B54" s="49">
        <v>89873278</v>
      </c>
      <c r="C54" s="49">
        <v>50240000</v>
      </c>
      <c r="D54" s="49">
        <v>21753596.514199998</v>
      </c>
      <c r="E54" s="50">
        <f>VLOOKUP($A54,'Data shares'!$C:$FA,154)*100</f>
        <v>57.379999999999995</v>
      </c>
      <c r="F54" s="173">
        <f>C54/B54</f>
        <v>0.55900931976688328</v>
      </c>
    </row>
    <row r="55" spans="1:6" x14ac:dyDescent="0.25">
      <c r="A55" s="99" t="s">
        <v>524</v>
      </c>
      <c r="B55" s="49">
        <v>12425041</v>
      </c>
      <c r="C55" s="49">
        <v>4850950</v>
      </c>
      <c r="D55" s="49">
        <v>2310411.6295584999</v>
      </c>
      <c r="E55" s="50">
        <f>VLOOKUP($A55,'Data shares'!$C:$FA,154)*100</f>
        <v>39.6</v>
      </c>
      <c r="F55" s="173">
        <f>C55/B55</f>
        <v>0.39041722276811802</v>
      </c>
    </row>
    <row r="56" spans="1:6" x14ac:dyDescent="0.25">
      <c r="A56" s="99" t="s">
        <v>600</v>
      </c>
      <c r="B56" s="49">
        <v>94196226</v>
      </c>
      <c r="C56" s="49">
        <v>52169650</v>
      </c>
      <c r="D56" s="49">
        <v>17408043.842796501</v>
      </c>
      <c r="E56" s="50">
        <f>VLOOKUP($A56,'Data shares'!$C:$FA,154)*100</f>
        <v>57.19</v>
      </c>
      <c r="F56" s="173">
        <f>C56/B56</f>
        <v>0.5538401294336357</v>
      </c>
    </row>
    <row r="57" spans="1:6" x14ac:dyDescent="0.25">
      <c r="A57" s="99" t="s">
        <v>205</v>
      </c>
      <c r="B57" s="49">
        <v>16353614</v>
      </c>
      <c r="C57" s="49">
        <v>6642400</v>
      </c>
      <c r="D57" s="49">
        <v>3132569.60549</v>
      </c>
      <c r="E57" s="50">
        <f>VLOOKUP($A57,'Data shares'!$C:$FA,154)*100</f>
        <v>42.94</v>
      </c>
      <c r="F57" s="173">
        <f>C57/B57</f>
        <v>0.40617321651348748</v>
      </c>
    </row>
    <row r="58" spans="1:6" x14ac:dyDescent="0.25">
      <c r="A58" s="99" t="s">
        <v>512</v>
      </c>
      <c r="B58" s="49">
        <v>6445442</v>
      </c>
      <c r="C58" s="49">
        <v>4735350</v>
      </c>
      <c r="D58" s="49">
        <v>1917999.9669655</v>
      </c>
      <c r="E58" s="50">
        <f>VLOOKUP($A58,'Data shares'!$C:$FA,154)*100</f>
        <v>76.31</v>
      </c>
      <c r="F58" s="173">
        <f>C58/B58</f>
        <v>0.73468196595361501</v>
      </c>
    </row>
    <row r="59" spans="1:6" x14ac:dyDescent="0.25">
      <c r="A59" s="99" t="s">
        <v>207</v>
      </c>
      <c r="B59" s="49">
        <v>83667734</v>
      </c>
      <c r="C59" s="49">
        <v>67194600</v>
      </c>
      <c r="D59" s="49">
        <v>39316622.859401204</v>
      </c>
      <c r="E59" s="50">
        <f>VLOOKUP($A59,'Data shares'!$C:$FA,154)*100</f>
        <v>81.75</v>
      </c>
      <c r="F59" s="173">
        <f>C59/B59</f>
        <v>0.80311246388004243</v>
      </c>
    </row>
    <row r="60" spans="1:6" x14ac:dyDescent="0.25">
      <c r="A60" s="99" t="s">
        <v>583</v>
      </c>
      <c r="B60" s="49">
        <v>22136392</v>
      </c>
      <c r="C60" s="49">
        <v>9159750</v>
      </c>
      <c r="D60" s="49">
        <v>5201276.7199320002</v>
      </c>
      <c r="E60" s="50">
        <f>VLOOKUP($A60,'Data shares'!$C:$FA,154)*100</f>
        <v>42.41</v>
      </c>
      <c r="F60" s="173">
        <f>C60/B60</f>
        <v>0.41378694414157463</v>
      </c>
    </row>
    <row r="61" spans="1:6" x14ac:dyDescent="0.25">
      <c r="A61" s="99" t="s">
        <v>208</v>
      </c>
      <c r="B61" s="49">
        <v>61006521</v>
      </c>
      <c r="C61" s="49">
        <v>30441250</v>
      </c>
      <c r="D61" s="49">
        <v>13848192.4735812</v>
      </c>
      <c r="E61" s="50">
        <f>VLOOKUP($A61,'Data shares'!$C:$FA,154)*100</f>
        <v>50.860000000000007</v>
      </c>
      <c r="F61" s="173">
        <f>C61/B61</f>
        <v>0.49898354308713982</v>
      </c>
    </row>
    <row r="62" spans="1:6" x14ac:dyDescent="0.25">
      <c r="A62" s="99" t="s">
        <v>209</v>
      </c>
      <c r="B62" s="49">
        <v>20353850</v>
      </c>
      <c r="C62" s="49">
        <v>8006575</v>
      </c>
      <c r="D62" s="49">
        <v>3367476.1301894998</v>
      </c>
      <c r="E62" s="50">
        <f>VLOOKUP($A62,'Data shares'!$C:$FA,154)*100</f>
        <v>40.770000000000003</v>
      </c>
      <c r="F62" s="173">
        <f>C62/B62</f>
        <v>0.39336906776850572</v>
      </c>
    </row>
    <row r="63" spans="1:6" x14ac:dyDescent="0.25">
      <c r="A63" s="99" t="s">
        <v>668</v>
      </c>
      <c r="B63" s="49">
        <v>1361988292</v>
      </c>
      <c r="C63" s="49">
        <v>455444100</v>
      </c>
      <c r="D63" s="49">
        <v>289376358.93719798</v>
      </c>
      <c r="E63" s="50">
        <f>VLOOKUP($A63,'Data shares'!$C:$FA,154)*100</f>
        <v>34.089999999999996</v>
      </c>
      <c r="F63" s="173">
        <f>C63/B63</f>
        <v>0.33439648686789153</v>
      </c>
    </row>
    <row r="64" spans="1:6" x14ac:dyDescent="0.25">
      <c r="A64" s="99" t="s">
        <v>211</v>
      </c>
      <c r="B64" s="49">
        <v>68856800</v>
      </c>
      <c r="C64" s="49">
        <v>64791000</v>
      </c>
      <c r="D64" s="49">
        <v>28720816.247628</v>
      </c>
      <c r="E64" s="50">
        <f>VLOOKUP($A64,'Data shares'!$C:$FA,154)*100</f>
        <v>95.3</v>
      </c>
      <c r="F64" s="173">
        <f>C64/B64</f>
        <v>0.94095281802233044</v>
      </c>
    </row>
    <row r="65" spans="1:6" x14ac:dyDescent="0.25">
      <c r="A65" s="99" t="s">
        <v>212</v>
      </c>
      <c r="B65" s="49">
        <v>338654719</v>
      </c>
      <c r="C65" s="49">
        <v>143570000</v>
      </c>
      <c r="D65" s="49">
        <v>61507512.944200002</v>
      </c>
      <c r="E65" s="50">
        <f>VLOOKUP($A65,'Data shares'!$C:$FA,154)*100</f>
        <v>43.66</v>
      </c>
      <c r="F65" s="173">
        <f>C65/B65</f>
        <v>0.42394212141482074</v>
      </c>
    </row>
    <row r="66" spans="1:6" x14ac:dyDescent="0.25">
      <c r="A66" s="99" t="s">
        <v>678</v>
      </c>
      <c r="B66" s="49">
        <v>62490435</v>
      </c>
      <c r="C66" s="49">
        <v>26075650</v>
      </c>
      <c r="D66" s="49">
        <v>11863161.8420537</v>
      </c>
      <c r="E66" s="50">
        <f>VLOOKUP($A66,'Data shares'!$C:$FA,154)*100</f>
        <v>42.78</v>
      </c>
      <c r="F66" s="173">
        <f>C66/B66</f>
        <v>0.41727425965269727</v>
      </c>
    </row>
    <row r="67" spans="1:6" x14ac:dyDescent="0.25">
      <c r="A67" s="99" t="s">
        <v>213</v>
      </c>
      <c r="B67" s="49">
        <v>402429848</v>
      </c>
      <c r="C67" s="49">
        <v>144912600</v>
      </c>
      <c r="D67" s="49">
        <v>78418801.574410498</v>
      </c>
      <c r="E67" s="50">
        <f>VLOOKUP($A67,'Data shares'!$C:$FA,154)*100</f>
        <v>36.58</v>
      </c>
      <c r="F67" s="173">
        <f>C67/B67</f>
        <v>0.36009406538850963</v>
      </c>
    </row>
    <row r="68" spans="1:6" x14ac:dyDescent="0.25">
      <c r="A68" s="99" t="s">
        <v>214</v>
      </c>
      <c r="B68" s="49">
        <v>22585180</v>
      </c>
      <c r="C68" s="49">
        <v>26026500</v>
      </c>
      <c r="D68" s="49">
        <v>14288394.80352</v>
      </c>
      <c r="E68" s="50">
        <f>VLOOKUP($A68,'Data shares'!$C:$FA,154)*100</f>
        <v>119.09</v>
      </c>
      <c r="F68" s="173">
        <f>C68/B68</f>
        <v>1.1523707138929156</v>
      </c>
    </row>
    <row r="69" spans="1:6" x14ac:dyDescent="0.25">
      <c r="A69" s="99" t="s">
        <v>631</v>
      </c>
      <c r="B69" s="49">
        <v>534704421</v>
      </c>
      <c r="C69" s="49">
        <v>465950925</v>
      </c>
      <c r="D69" s="49">
        <v>194900948.49942601</v>
      </c>
      <c r="E69" s="50">
        <f>VLOOKUP($A69,'Data shares'!$C:$FA,154)*100</f>
        <v>88.96</v>
      </c>
      <c r="F69" s="173">
        <f>C69/B69</f>
        <v>0.87141775287472334</v>
      </c>
    </row>
    <row r="70" spans="1:6" x14ac:dyDescent="0.25">
      <c r="A70" s="99" t="s">
        <v>217</v>
      </c>
      <c r="B70" s="49">
        <v>58001204</v>
      </c>
      <c r="C70" s="49">
        <v>14303500</v>
      </c>
      <c r="D70" s="49">
        <v>9551990.0011400003</v>
      </c>
      <c r="E70" s="50">
        <f>VLOOKUP($A70,'Data shares'!$C:$FA,154)*100</f>
        <v>25.240000000000002</v>
      </c>
      <c r="F70" s="173">
        <f>C70/B70</f>
        <v>0.24660694974538805</v>
      </c>
    </row>
    <row r="71" spans="1:6" x14ac:dyDescent="0.25">
      <c r="A71" s="99" t="s">
        <v>218</v>
      </c>
      <c r="B71" s="49">
        <v>24082879</v>
      </c>
      <c r="C71" s="49">
        <v>12809225</v>
      </c>
      <c r="D71" s="49">
        <v>8047435.9117404995</v>
      </c>
      <c r="E71" s="50">
        <f>VLOOKUP($A71,'Data shares'!$C:$FA,154)*100</f>
        <v>53.669999999999995</v>
      </c>
      <c r="F71" s="173">
        <f>C71/B71</f>
        <v>0.53188096821812703</v>
      </c>
    </row>
    <row r="72" spans="1:6" x14ac:dyDescent="0.25">
      <c r="A72" s="99" t="s">
        <v>219</v>
      </c>
      <c r="B72" s="49">
        <v>38514157</v>
      </c>
      <c r="C72" s="49">
        <v>23205250</v>
      </c>
      <c r="D72" s="49">
        <v>13059068.703395</v>
      </c>
      <c r="E72" s="50">
        <f>VLOOKUP($A72,'Data shares'!$C:$FA,154)*100</f>
        <v>60.77</v>
      </c>
      <c r="F72" s="173">
        <f>C72/B72</f>
        <v>0.60251221388540321</v>
      </c>
    </row>
    <row r="73" spans="1:6" x14ac:dyDescent="0.25">
      <c r="A73" s="99" t="s">
        <v>513</v>
      </c>
      <c r="B73" s="49">
        <v>28450886</v>
      </c>
      <c r="C73" s="49">
        <v>20077650</v>
      </c>
      <c r="D73" s="49">
        <v>9201343.2646319997</v>
      </c>
      <c r="E73" s="50">
        <f>VLOOKUP($A73,'Data shares'!$C:$FA,154)*100</f>
        <v>72.47</v>
      </c>
      <c r="F73" s="173">
        <f>C73/B73</f>
        <v>0.70569507044525781</v>
      </c>
    </row>
    <row r="74" spans="1:6" x14ac:dyDescent="0.25">
      <c r="A74" s="99" t="s">
        <v>220</v>
      </c>
      <c r="B74" s="49">
        <v>38133766</v>
      </c>
      <c r="C74" s="49">
        <v>13395500</v>
      </c>
      <c r="D74" s="49">
        <v>7903257.3016250003</v>
      </c>
      <c r="E74" s="50">
        <f>VLOOKUP($A74,'Data shares'!$C:$FA,154)*100</f>
        <v>35.47</v>
      </c>
      <c r="F74" s="173">
        <f>C74/B74</f>
        <v>0.35127660876714878</v>
      </c>
    </row>
    <row r="75" spans="1:6" x14ac:dyDescent="0.25">
      <c r="A75" s="99" t="s">
        <v>222</v>
      </c>
      <c r="B75" s="49">
        <v>145993539</v>
      </c>
      <c r="C75" s="49">
        <v>27638800</v>
      </c>
      <c r="D75" s="49">
        <v>16499713.3638715</v>
      </c>
      <c r="E75" s="50">
        <f>VLOOKUP($A75,'Data shares'!$C:$FA,154)*100</f>
        <v>19.400000000000002</v>
      </c>
      <c r="F75" s="173">
        <f>C75/B75</f>
        <v>0.18931522716221025</v>
      </c>
    </row>
    <row r="76" spans="1:6" x14ac:dyDescent="0.25">
      <c r="A76" s="99" t="s">
        <v>475</v>
      </c>
      <c r="B76" s="49">
        <v>15259458</v>
      </c>
      <c r="C76" s="49">
        <v>4931700</v>
      </c>
      <c r="D76" s="49">
        <v>2391043.6865865001</v>
      </c>
      <c r="E76" s="50">
        <f>VLOOKUP($A76,'Data shares'!$C:$FA,154)*100</f>
        <v>33.11</v>
      </c>
      <c r="F76" s="173">
        <f>C76/B76</f>
        <v>0.32318972272802876</v>
      </c>
    </row>
    <row r="77" spans="1:6" x14ac:dyDescent="0.25">
      <c r="A77" s="99" t="s">
        <v>224</v>
      </c>
      <c r="B77" s="49">
        <v>1329733550</v>
      </c>
      <c r="C77" s="49">
        <v>271453050</v>
      </c>
      <c r="D77" s="49">
        <v>216549714.84439701</v>
      </c>
      <c r="E77" s="50">
        <f>VLOOKUP($A77,'Data shares'!$C:$FA,154)*100</f>
        <v>20.66</v>
      </c>
      <c r="F77" s="173">
        <f>C77/B77</f>
        <v>0.2041409348511963</v>
      </c>
    </row>
    <row r="78" spans="1:6" x14ac:dyDescent="0.25">
      <c r="A78" s="99" t="s">
        <v>225</v>
      </c>
      <c r="B78" s="49">
        <v>119296253</v>
      </c>
      <c r="C78" s="49">
        <v>46772000</v>
      </c>
      <c r="D78" s="49">
        <v>29149467.745321002</v>
      </c>
      <c r="E78" s="50">
        <f>VLOOKUP($A78,'Data shares'!$C:$FA,154)*100</f>
        <v>39.94</v>
      </c>
      <c r="F78" s="173">
        <f>C78/B78</f>
        <v>0.39206596036172237</v>
      </c>
    </row>
    <row r="79" spans="1:6" x14ac:dyDescent="0.25">
      <c r="A79" s="99" t="s">
        <v>226</v>
      </c>
      <c r="B79" s="49">
        <v>19579129</v>
      </c>
      <c r="C79" s="49">
        <v>13330350</v>
      </c>
      <c r="D79" s="49">
        <v>5916654.8554560002</v>
      </c>
      <c r="E79" s="50">
        <f>VLOOKUP($A79,'Data shares'!$C:$FA,154)*100</f>
        <v>71.08</v>
      </c>
      <c r="F79" s="173">
        <f>C79/B79</f>
        <v>0.68084489355987188</v>
      </c>
    </row>
    <row r="80" spans="1:6" x14ac:dyDescent="0.25">
      <c r="A80" s="99" t="s">
        <v>576</v>
      </c>
      <c r="B80" s="49">
        <v>147979599</v>
      </c>
      <c r="C80" s="49">
        <v>202523550</v>
      </c>
      <c r="D80" s="49">
        <v>107772170.09093501</v>
      </c>
      <c r="E80" s="50">
        <f>VLOOKUP($A80,'Data shares'!$C:$FA,154)*100</f>
        <v>138.69</v>
      </c>
      <c r="F80" s="173">
        <f>C80/B80</f>
        <v>1.3685910177388709</v>
      </c>
    </row>
    <row r="81" spans="1:6" x14ac:dyDescent="0.25">
      <c r="A81" s="99" t="s">
        <v>228</v>
      </c>
      <c r="B81" s="49">
        <v>176136372</v>
      </c>
      <c r="C81" s="49">
        <v>120252300</v>
      </c>
      <c r="D81" s="49">
        <v>76114641.090999007</v>
      </c>
      <c r="E81" s="50">
        <f>VLOOKUP($A81,'Data shares'!$C:$FA,154)*100</f>
        <v>69.61</v>
      </c>
      <c r="F81" s="173">
        <f>C81/B81</f>
        <v>0.68272270306555427</v>
      </c>
    </row>
    <row r="82" spans="1:6" x14ac:dyDescent="0.25">
      <c r="A82" s="99" t="s">
        <v>229</v>
      </c>
      <c r="B82" s="49">
        <v>143933168</v>
      </c>
      <c r="C82" s="49">
        <v>63548550</v>
      </c>
      <c r="D82" s="49">
        <v>38579590.010072201</v>
      </c>
      <c r="E82" s="50">
        <f>VLOOKUP($A82,'Data shares'!$C:$FA,154)*100</f>
        <v>44.86</v>
      </c>
      <c r="F82" s="173">
        <f>C82/B82</f>
        <v>0.44151428668616532</v>
      </c>
    </row>
    <row r="83" spans="1:6" x14ac:dyDescent="0.25">
      <c r="A83" s="99" t="s">
        <v>230</v>
      </c>
      <c r="B83" s="49">
        <v>89517840</v>
      </c>
      <c r="C83" s="49">
        <v>34148100</v>
      </c>
      <c r="D83" s="49">
        <v>17812959.111389998</v>
      </c>
      <c r="E83" s="50">
        <f>VLOOKUP($A83,'Data shares'!$C:$FA,154)*100</f>
        <v>39.04</v>
      </c>
      <c r="F83" s="173">
        <f>C83/B83</f>
        <v>0.38146697909601035</v>
      </c>
    </row>
    <row r="84" spans="1:6" x14ac:dyDescent="0.25">
      <c r="A84" s="99" t="s">
        <v>669</v>
      </c>
      <c r="B84" s="49">
        <v>167680340</v>
      </c>
      <c r="C84" s="49">
        <v>78572725</v>
      </c>
      <c r="D84" s="49">
        <v>36634820.717612199</v>
      </c>
      <c r="E84" s="50">
        <f>VLOOKUP($A84,'Data shares'!$C:$FA,154)*100</f>
        <v>47.86</v>
      </c>
      <c r="F84" s="173">
        <f>C84/B84</f>
        <v>0.46858638883962189</v>
      </c>
    </row>
    <row r="85" spans="1:6" x14ac:dyDescent="0.25">
      <c r="A85" s="99" t="s">
        <v>608</v>
      </c>
      <c r="B85" s="49">
        <v>75071250</v>
      </c>
      <c r="C85" s="49">
        <v>83763375</v>
      </c>
      <c r="D85" s="49">
        <v>30713246.895419199</v>
      </c>
      <c r="E85" s="50">
        <f>VLOOKUP($A85,'Data shares'!$C:$FA,154)*100</f>
        <v>114.71000000000001</v>
      </c>
      <c r="F85" s="173">
        <f>C85/B85</f>
        <v>1.1157850042459663</v>
      </c>
    </row>
    <row r="86" spans="1:6" x14ac:dyDescent="0.25">
      <c r="A86" s="99" t="s">
        <v>232</v>
      </c>
      <c r="B86" s="49">
        <v>579785172</v>
      </c>
      <c r="C86" s="49">
        <v>172015200</v>
      </c>
      <c r="D86" s="49">
        <v>107870155.601845</v>
      </c>
      <c r="E86" s="50">
        <f>VLOOKUP($A86,'Data shares'!$C:$FA,154)*100</f>
        <v>30.17</v>
      </c>
      <c r="F86" s="173">
        <f>C86/B86</f>
        <v>0.29668782215768708</v>
      </c>
    </row>
    <row r="87" spans="1:6" x14ac:dyDescent="0.25">
      <c r="A87" s="99" t="s">
        <v>472</v>
      </c>
      <c r="B87" s="49">
        <v>26688038</v>
      </c>
      <c r="C87" s="49">
        <v>8322600</v>
      </c>
      <c r="D87" s="49">
        <v>5738401.7384752501</v>
      </c>
      <c r="E87" s="50">
        <f>VLOOKUP($A87,'Data shares'!$C:$FA,154)*100</f>
        <v>31.419999999999998</v>
      </c>
      <c r="F87" s="173">
        <f>C87/B87</f>
        <v>0.31184757755515785</v>
      </c>
    </row>
    <row r="88" spans="1:6" x14ac:dyDescent="0.25">
      <c r="A88" s="99" t="s">
        <v>233</v>
      </c>
      <c r="B88" s="49">
        <v>48653643</v>
      </c>
      <c r="C88" s="49">
        <v>20196450</v>
      </c>
      <c r="D88" s="49">
        <v>13325978.030198701</v>
      </c>
      <c r="E88" s="50">
        <f>VLOOKUP($A88,'Data shares'!$C:$FA,154)*100</f>
        <v>41.839999999999996</v>
      </c>
      <c r="F88" s="173">
        <f>C88/B88</f>
        <v>0.41510663446106183</v>
      </c>
    </row>
    <row r="89" spans="1:6" x14ac:dyDescent="0.25">
      <c r="A89" s="99" t="s">
        <v>234</v>
      </c>
      <c r="B89" s="49">
        <v>8713529091</v>
      </c>
      <c r="C89" s="49">
        <v>10215921750</v>
      </c>
      <c r="D89" s="49">
        <v>5460814236.3425903</v>
      </c>
      <c r="E89" s="50">
        <f>VLOOKUP($A89,'Data shares'!$C:$FA,154)*100</f>
        <v>118.48</v>
      </c>
      <c r="F89" s="173">
        <f>C89/B89</f>
        <v>1.1724206855006414</v>
      </c>
    </row>
    <row r="90" spans="1:6" x14ac:dyDescent="0.25">
      <c r="A90" s="99" t="s">
        <v>235</v>
      </c>
      <c r="B90" s="49">
        <v>761294821</v>
      </c>
      <c r="C90" s="49">
        <v>656465950</v>
      </c>
      <c r="D90" s="49">
        <v>347071230.35625702</v>
      </c>
      <c r="E90" s="50">
        <f>VLOOKUP($A90,'Data shares'!$C:$FA,154)*100</f>
        <v>87.77000000000001</v>
      </c>
      <c r="F90" s="173">
        <f>C90/B90</f>
        <v>0.86230187292972538</v>
      </c>
    </row>
    <row r="91" spans="1:6" x14ac:dyDescent="0.25">
      <c r="A91" s="99" t="s">
        <v>514</v>
      </c>
      <c r="B91" s="49">
        <v>133395043</v>
      </c>
      <c r="C91" s="49">
        <v>158043750</v>
      </c>
      <c r="D91" s="49">
        <v>65571510.513824999</v>
      </c>
      <c r="E91" s="50">
        <f>VLOOKUP($A91,'Data shares'!$C:$FA,154)*100</f>
        <v>120.95</v>
      </c>
      <c r="F91" s="173">
        <f>C91/B91</f>
        <v>1.1847797822592254</v>
      </c>
    </row>
    <row r="92" spans="1:6" x14ac:dyDescent="0.25">
      <c r="A92" s="99" t="s">
        <v>236</v>
      </c>
      <c r="B92" s="49">
        <v>94000476</v>
      </c>
      <c r="C92" s="49">
        <v>33541750</v>
      </c>
      <c r="D92" s="49">
        <v>13223597.64594</v>
      </c>
      <c r="E92" s="50">
        <f>VLOOKUP($A92,'Data shares'!$C:$FA,154)*100</f>
        <v>37.169999999999995</v>
      </c>
      <c r="F92" s="173">
        <f>C92/B92</f>
        <v>0.35682532075688639</v>
      </c>
    </row>
    <row r="93" spans="1:6" x14ac:dyDescent="0.25">
      <c r="A93" s="99" t="s">
        <v>667</v>
      </c>
      <c r="B93" s="49">
        <v>47888370</v>
      </c>
      <c r="C93" s="49">
        <v>28417950</v>
      </c>
      <c r="D93" s="49">
        <v>13643850.837358501</v>
      </c>
      <c r="E93" s="50">
        <f>VLOOKUP($A93,'Data shares'!$C:$FA,154)*100</f>
        <v>60.72</v>
      </c>
      <c r="F93" s="173">
        <f>C93/B93</f>
        <v>0.59342069901314243</v>
      </c>
    </row>
    <row r="94" spans="1:6" x14ac:dyDescent="0.25">
      <c r="A94" s="99" t="s">
        <v>501</v>
      </c>
      <c r="B94" s="49">
        <v>111956321</v>
      </c>
      <c r="C94" s="49">
        <v>49043000</v>
      </c>
      <c r="D94" s="49">
        <v>27143244.466990001</v>
      </c>
      <c r="E94" s="50">
        <f>VLOOKUP($A94,'Data shares'!$C:$FA,154)*100</f>
        <v>44.54</v>
      </c>
      <c r="F94" s="173">
        <f>C94/B94</f>
        <v>0.4380547660189727</v>
      </c>
    </row>
    <row r="95" spans="1:6" x14ac:dyDescent="0.25">
      <c r="A95" s="99" t="s">
        <v>578</v>
      </c>
      <c r="B95" s="49">
        <v>52862157</v>
      </c>
      <c r="C95" s="49">
        <v>22559000</v>
      </c>
      <c r="D95" s="49">
        <v>12020361.90752</v>
      </c>
      <c r="E95" s="50">
        <f>VLOOKUP($A95,'Data shares'!$C:$FA,154)*100</f>
        <v>43.46</v>
      </c>
      <c r="F95" s="173">
        <f>C95/B95</f>
        <v>0.42675140933049704</v>
      </c>
    </row>
    <row r="96" spans="1:6" x14ac:dyDescent="0.25">
      <c r="A96" s="99" t="s">
        <v>238</v>
      </c>
      <c r="B96" s="49">
        <v>32732860</v>
      </c>
      <c r="C96" s="49">
        <v>13534950</v>
      </c>
      <c r="D96" s="49">
        <v>7433070.6050145002</v>
      </c>
      <c r="E96" s="50">
        <f>VLOOKUP($A96,'Data shares'!$C:$FA,154)*100</f>
        <v>42.089999999999996</v>
      </c>
      <c r="F96" s="173">
        <f>C96/B96</f>
        <v>0.4134973234847184</v>
      </c>
    </row>
    <row r="97" spans="1:6" x14ac:dyDescent="0.25">
      <c r="A97" s="99" t="s">
        <v>239</v>
      </c>
      <c r="B97" s="49">
        <v>93805784</v>
      </c>
      <c r="C97" s="49">
        <v>79443000</v>
      </c>
      <c r="D97" s="49">
        <v>42497595.661626004</v>
      </c>
      <c r="E97" s="50">
        <f>VLOOKUP($A97,'Data shares'!$C:$FA,154)*100</f>
        <v>85.7</v>
      </c>
      <c r="F97" s="173">
        <f>C97/B97</f>
        <v>0.84688807675228217</v>
      </c>
    </row>
    <row r="98" spans="1:6" x14ac:dyDescent="0.25">
      <c r="A98" s="99" t="s">
        <v>473</v>
      </c>
      <c r="B98" s="49">
        <v>197705578</v>
      </c>
      <c r="C98" s="49">
        <v>139884500</v>
      </c>
      <c r="D98" s="49">
        <v>86001465.853325993</v>
      </c>
      <c r="E98" s="50">
        <f>VLOOKUP($A98,'Data shares'!$C:$FA,154)*100</f>
        <v>71.350000000000009</v>
      </c>
      <c r="F98" s="173">
        <f>C98/B98</f>
        <v>0.70753947063648348</v>
      </c>
    </row>
    <row r="99" spans="1:6" x14ac:dyDescent="0.25">
      <c r="A99" s="99" t="s">
        <v>240</v>
      </c>
      <c r="B99" s="49">
        <v>341789333</v>
      </c>
      <c r="C99" s="49">
        <v>116609200</v>
      </c>
      <c r="D99" s="49">
        <v>72017128.370908007</v>
      </c>
      <c r="E99" s="50">
        <f>VLOOKUP($A99,'Data shares'!$C:$FA,154)*100</f>
        <v>35.11</v>
      </c>
      <c r="F99" s="173">
        <f>C99/B99</f>
        <v>0.34117273051350611</v>
      </c>
    </row>
    <row r="100" spans="1:6" x14ac:dyDescent="0.25">
      <c r="A100" s="99" t="s">
        <v>670</v>
      </c>
      <c r="B100" s="49">
        <v>144708707</v>
      </c>
      <c r="C100" s="49">
        <v>146743520</v>
      </c>
      <c r="D100" s="49">
        <v>70404339.223064393</v>
      </c>
      <c r="E100" s="50">
        <f>VLOOKUP($A100,'Data shares'!$C:$FA,154)*100</f>
        <v>103.37</v>
      </c>
      <c r="F100" s="173">
        <f>C100/B100</f>
        <v>1.0140614413754661</v>
      </c>
    </row>
    <row r="101" spans="1:6" x14ac:dyDescent="0.25">
      <c r="A101" s="99" t="s">
        <v>241</v>
      </c>
      <c r="B101" s="49">
        <v>684903861</v>
      </c>
      <c r="C101" s="49">
        <v>206695125</v>
      </c>
      <c r="D101" s="49">
        <v>98785059.470369995</v>
      </c>
      <c r="E101" s="50"/>
      <c r="F101" s="173">
        <f>C101/B101</f>
        <v>0.30178706351313733</v>
      </c>
    </row>
    <row r="102" spans="1:6" x14ac:dyDescent="0.25">
      <c r="A102" s="99" t="s">
        <v>490</v>
      </c>
      <c r="B102" s="49">
        <v>30082783</v>
      </c>
      <c r="C102" s="49">
        <v>38626000</v>
      </c>
      <c r="D102" s="49">
        <v>17357325.028531201</v>
      </c>
      <c r="E102" s="50">
        <f>VLOOKUP($A102,'Data shares'!$C:$FA,154)*100</f>
        <v>130.6</v>
      </c>
      <c r="F102" s="173">
        <f>C102/B102</f>
        <v>1.2839902478437584</v>
      </c>
    </row>
    <row r="103" spans="1:6" x14ac:dyDescent="0.25">
      <c r="A103" s="99" t="s">
        <v>665</v>
      </c>
      <c r="B103" s="49">
        <v>119011160</v>
      </c>
      <c r="C103" s="49">
        <v>87067650</v>
      </c>
      <c r="D103" s="49">
        <v>39367218.438022502</v>
      </c>
      <c r="E103" s="50"/>
      <c r="F103" s="173">
        <f>C103/B103</f>
        <v>0.73159231453588047</v>
      </c>
    </row>
    <row r="104" spans="1:6" x14ac:dyDescent="0.25">
      <c r="A104" s="99" t="s">
        <v>592</v>
      </c>
      <c r="B104" s="49">
        <v>226853356</v>
      </c>
      <c r="C104" s="49">
        <v>100244750</v>
      </c>
      <c r="D104" s="49">
        <v>41033652.521617502</v>
      </c>
      <c r="E104" s="50">
        <f>VLOOKUP($A104,'Data shares'!$C:$FA,154)*100</f>
        <v>44.769999999999996</v>
      </c>
      <c r="F104" s="173">
        <f>C104/B104</f>
        <v>0.44189229450940987</v>
      </c>
    </row>
    <row r="105" spans="1:6" x14ac:dyDescent="0.25">
      <c r="A105" s="99" t="s">
        <v>242</v>
      </c>
      <c r="B105" s="49">
        <v>1251412841</v>
      </c>
      <c r="C105" s="49">
        <v>271548800</v>
      </c>
      <c r="D105" s="49">
        <v>168984157.67734399</v>
      </c>
      <c r="E105" s="50">
        <f>VLOOKUP($A105,'Data shares'!$C:$FA,154)*100</f>
        <v>22.06</v>
      </c>
      <c r="F105" s="173">
        <f>C105/B105</f>
        <v>0.2169937778351437</v>
      </c>
    </row>
    <row r="106" spans="1:6" x14ac:dyDescent="0.25">
      <c r="A106" s="99" t="s">
        <v>243</v>
      </c>
      <c r="B106" s="49">
        <v>54776702</v>
      </c>
      <c r="C106" s="49">
        <v>23236875</v>
      </c>
      <c r="D106" s="49">
        <v>13408777.908875</v>
      </c>
      <c r="E106" s="50">
        <f>VLOOKUP($A106,'Data shares'!$C:$FA,154)*100</f>
        <v>43.980000000000004</v>
      </c>
      <c r="F106" s="173">
        <f>C106/B106</f>
        <v>0.42421091726186799</v>
      </c>
    </row>
    <row r="107" spans="1:6" x14ac:dyDescent="0.25">
      <c r="A107" s="99" t="s">
        <v>570</v>
      </c>
      <c r="B107" s="49">
        <v>446457456</v>
      </c>
      <c r="C107" s="49">
        <v>264168200</v>
      </c>
      <c r="D107" s="49">
        <v>144122861.22337499</v>
      </c>
      <c r="E107" s="50">
        <f>VLOOKUP($A107,'Data shares'!$C:$FA,154)*100</f>
        <v>60.140000000000008</v>
      </c>
      <c r="F107" s="173">
        <f>C107/B107</f>
        <v>0.59169848425602278</v>
      </c>
    </row>
    <row r="108" spans="1:6" x14ac:dyDescent="0.25">
      <c r="A108" s="99" t="s">
        <v>580</v>
      </c>
      <c r="B108" s="49">
        <v>80203755</v>
      </c>
      <c r="C108" s="49">
        <v>61921000</v>
      </c>
      <c r="D108" s="49">
        <v>39698101.34646</v>
      </c>
      <c r="E108" s="50">
        <f>VLOOKUP($A108,'Data shares'!$C:$FA,154)*100</f>
        <v>78.14</v>
      </c>
      <c r="F108" s="173">
        <f>C108/B108</f>
        <v>0.77204614671719551</v>
      </c>
    </row>
    <row r="109" spans="1:6" x14ac:dyDescent="0.25">
      <c r="A109" s="99" t="s">
        <v>244</v>
      </c>
      <c r="B109" s="49">
        <v>133166619</v>
      </c>
      <c r="C109" s="49">
        <v>58428675</v>
      </c>
      <c r="D109" s="49">
        <v>41310971.396975197</v>
      </c>
      <c r="E109" s="50">
        <f>VLOOKUP($A109,'Data shares'!$C:$FA,154)*100</f>
        <v>44.25</v>
      </c>
      <c r="F109" s="173">
        <f>C109/B109</f>
        <v>0.43876367395045152</v>
      </c>
    </row>
    <row r="110" spans="1:6" x14ac:dyDescent="0.25">
      <c r="A110" s="99" t="s">
        <v>245</v>
      </c>
      <c r="B110" s="49">
        <v>48884739</v>
      </c>
      <c r="C110" s="49">
        <v>42110000</v>
      </c>
      <c r="D110" s="49">
        <v>20139704.400987498</v>
      </c>
      <c r="E110" s="50">
        <f>VLOOKUP($A110,'Data shares'!$C:$FA,154)*100</f>
        <v>87.49</v>
      </c>
      <c r="F110" s="173">
        <f>C110/B110</f>
        <v>0.8614140294376943</v>
      </c>
    </row>
    <row r="111" spans="1:6" x14ac:dyDescent="0.25">
      <c r="A111" s="99" t="s">
        <v>582</v>
      </c>
      <c r="B111" s="49">
        <v>57552009</v>
      </c>
      <c r="C111" s="49">
        <v>48061025</v>
      </c>
      <c r="D111" s="49">
        <v>27605267.275056701</v>
      </c>
      <c r="E111" s="50">
        <f>VLOOKUP($A111,'Data shares'!$C:$FA,154)*100</f>
        <v>84.61999999999999</v>
      </c>
      <c r="F111" s="173">
        <f>C111/B111</f>
        <v>0.83508857179946572</v>
      </c>
    </row>
    <row r="112" spans="1:6" x14ac:dyDescent="0.25">
      <c r="A112" s="99" t="s">
        <v>677</v>
      </c>
      <c r="B112" s="49">
        <v>4667784</v>
      </c>
      <c r="C112" s="49">
        <v>6672200</v>
      </c>
      <c r="D112" s="49">
        <v>1836089.1803280001</v>
      </c>
      <c r="E112" s="50">
        <f>VLOOKUP($A112,'Data shares'!$C:$FA,154)*100</f>
        <v>147.28</v>
      </c>
      <c r="F112" s="173">
        <f>C112/B112</f>
        <v>1.4294149000896357</v>
      </c>
    </row>
    <row r="113" spans="1:6" x14ac:dyDescent="0.25">
      <c r="A113" s="99" t="s">
        <v>610</v>
      </c>
      <c r="B113" s="49">
        <v>9313740</v>
      </c>
      <c r="C113" s="49">
        <v>1975575</v>
      </c>
      <c r="D113" s="49">
        <v>975509.88435249997</v>
      </c>
      <c r="E113" s="50">
        <f>VLOOKUP($A113,'Data shares'!$C:$FA,154)*100</f>
        <v>21.52</v>
      </c>
      <c r="F113" s="173">
        <f>C113/B113</f>
        <v>0.21211403796970926</v>
      </c>
    </row>
    <row r="114" spans="1:6" x14ac:dyDescent="0.25">
      <c r="A114" s="99" t="s">
        <v>684</v>
      </c>
      <c r="B114" s="49">
        <v>19911179</v>
      </c>
      <c r="C114" s="49">
        <v>9854550</v>
      </c>
      <c r="D114" s="49">
        <v>3181649.5760895</v>
      </c>
      <c r="E114" s="50">
        <f>VLOOKUP($A114,'Data shares'!$C:$FA,154)*100</f>
        <v>50.529999999999994</v>
      </c>
      <c r="F114" s="173">
        <f>C114/B114</f>
        <v>0.49492548884222276</v>
      </c>
    </row>
    <row r="115" spans="1:6" x14ac:dyDescent="0.25">
      <c r="A115" s="99" t="s">
        <v>246</v>
      </c>
      <c r="B115" s="49">
        <v>215751979</v>
      </c>
      <c r="C115" s="49">
        <v>56818000</v>
      </c>
      <c r="D115" s="49">
        <v>33640060.186396003</v>
      </c>
      <c r="E115" s="50">
        <f>VLOOKUP($A115,'Data shares'!$C:$FA,154)*100</f>
        <v>26.810000000000002</v>
      </c>
      <c r="F115" s="173">
        <f>C115/B115</f>
        <v>0.26334868520487592</v>
      </c>
    </row>
    <row r="116" spans="1:6" x14ac:dyDescent="0.25">
      <c r="A116" s="99" t="s">
        <v>577</v>
      </c>
      <c r="B116" s="49">
        <v>24568295</v>
      </c>
      <c r="C116" s="49">
        <v>6789775</v>
      </c>
      <c r="D116" s="49">
        <v>2998982.68660725</v>
      </c>
      <c r="E116" s="50">
        <f>VLOOKUP($A116,'Data shares'!$C:$FA,154)*100</f>
        <v>28.38</v>
      </c>
      <c r="F116" s="173">
        <f>C116/B116</f>
        <v>0.27636329667972481</v>
      </c>
    </row>
    <row r="117" spans="1:6" x14ac:dyDescent="0.25">
      <c r="A117" s="99" t="s">
        <v>535</v>
      </c>
      <c r="B117" s="49">
        <v>58629477</v>
      </c>
      <c r="C117" s="49">
        <v>36549150</v>
      </c>
      <c r="D117" s="49">
        <v>14739494.091654999</v>
      </c>
      <c r="E117" s="50">
        <f>VLOOKUP($A117,'Data shares'!$C:$FA,154)*100</f>
        <v>64.17</v>
      </c>
      <c r="F117" s="173">
        <f>C117/B117</f>
        <v>0.62339205243123696</v>
      </c>
    </row>
    <row r="118" spans="1:6" x14ac:dyDescent="0.25">
      <c r="A118" s="99" t="s">
        <v>248</v>
      </c>
      <c r="B118" s="49">
        <v>45183075</v>
      </c>
      <c r="C118" s="49">
        <v>54562000</v>
      </c>
      <c r="D118" s="49">
        <v>31529739.1074</v>
      </c>
      <c r="E118" s="50">
        <f>VLOOKUP($A118,'Data shares'!$C:$FA,154)*100</f>
        <v>122.7</v>
      </c>
      <c r="F118" s="173">
        <f>C118/B118</f>
        <v>1.2075760669232893</v>
      </c>
    </row>
    <row r="119" spans="1:6" x14ac:dyDescent="0.25">
      <c r="A119" s="99" t="s">
        <v>607</v>
      </c>
      <c r="B119" s="49">
        <v>32057152</v>
      </c>
      <c r="C119" s="49">
        <v>22477700</v>
      </c>
      <c r="D119" s="49">
        <v>9523508.6690100003</v>
      </c>
      <c r="E119" s="50">
        <f>VLOOKUP($A119,'Data shares'!$C:$FA,154)*100</f>
        <v>72.67</v>
      </c>
      <c r="F119" s="173">
        <f>C119/B119</f>
        <v>0.70117582497659181</v>
      </c>
    </row>
    <row r="120" spans="1:6" x14ac:dyDescent="0.25">
      <c r="A120" s="99" t="s">
        <v>588</v>
      </c>
      <c r="B120" s="49">
        <v>42060143</v>
      </c>
      <c r="C120" s="49">
        <v>15077250</v>
      </c>
      <c r="D120" s="49">
        <v>9672950.4405164998</v>
      </c>
      <c r="E120" s="50">
        <f>VLOOKUP($A120,'Data shares'!$C:$FA,154)*100</f>
        <v>36.17</v>
      </c>
      <c r="F120" s="173">
        <f>C120/B120</f>
        <v>0.35846882403609515</v>
      </c>
    </row>
    <row r="121" spans="1:6" x14ac:dyDescent="0.25">
      <c r="A121" s="99" t="s">
        <v>249</v>
      </c>
      <c r="B121" s="49">
        <v>136007303</v>
      </c>
      <c r="C121" s="49">
        <v>23172100</v>
      </c>
      <c r="D121" s="49">
        <v>13897635.331133701</v>
      </c>
      <c r="E121" s="50">
        <f>VLOOKUP($A121,'Data shares'!$C:$FA,154)*100</f>
        <v>17.399999999999999</v>
      </c>
      <c r="F121" s="173">
        <f>C121/B121</f>
        <v>0.17037393940529796</v>
      </c>
    </row>
    <row r="122" spans="1:6" x14ac:dyDescent="0.25">
      <c r="A122" s="99" t="s">
        <v>565</v>
      </c>
      <c r="B122" s="49">
        <v>126777205</v>
      </c>
      <c r="C122" s="49">
        <v>122983954</v>
      </c>
      <c r="D122" s="49">
        <v>51165713.530803397</v>
      </c>
      <c r="E122" s="50">
        <f>VLOOKUP($A122,'Data shares'!$C:$FA,154)*100</f>
        <v>101.83</v>
      </c>
      <c r="F122" s="173">
        <f>C122/B122</f>
        <v>0.97007939242705343</v>
      </c>
    </row>
    <row r="123" spans="1:6" x14ac:dyDescent="0.25">
      <c r="A123" s="99" t="s">
        <v>561</v>
      </c>
      <c r="B123" s="49">
        <v>9315942</v>
      </c>
      <c r="C123" s="49">
        <v>3977850</v>
      </c>
      <c r="D123" s="49">
        <v>2108760.0208709999</v>
      </c>
      <c r="E123" s="50">
        <f>VLOOKUP($A123,'Data shares'!$C:$FA,154)*100</f>
        <v>45.019999999999996</v>
      </c>
      <c r="F123" s="173">
        <f>C123/B123</f>
        <v>0.42699385633787756</v>
      </c>
    </row>
    <row r="124" spans="1:6" x14ac:dyDescent="0.25">
      <c r="A124" s="99" t="s">
        <v>250</v>
      </c>
      <c r="B124" s="49">
        <v>35341043</v>
      </c>
      <c r="C124" s="49">
        <v>18017875</v>
      </c>
      <c r="D124" s="49">
        <v>10013426.975956701</v>
      </c>
      <c r="E124" s="50">
        <f>VLOOKUP($A124,'Data shares'!$C:$FA,154)*100</f>
        <v>52.17</v>
      </c>
      <c r="F124" s="173">
        <f>C124/B124</f>
        <v>0.50982861484874686</v>
      </c>
    </row>
    <row r="125" spans="1:6" x14ac:dyDescent="0.25">
      <c r="A125" s="99" t="s">
        <v>251</v>
      </c>
      <c r="B125" s="49">
        <v>100261459</v>
      </c>
      <c r="C125" s="49">
        <v>26390800</v>
      </c>
      <c r="D125" s="49">
        <v>18685789.319472</v>
      </c>
      <c r="E125" s="50">
        <f>VLOOKUP($A125,'Data shares'!$C:$FA,154)*100</f>
        <v>26.779999999999998</v>
      </c>
      <c r="F125" s="173">
        <f>C125/B125</f>
        <v>0.26321978817403802</v>
      </c>
    </row>
    <row r="126" spans="1:6" x14ac:dyDescent="0.25">
      <c r="A126" s="99" t="s">
        <v>253</v>
      </c>
      <c r="B126" s="49">
        <v>82205057</v>
      </c>
      <c r="C126" s="49">
        <v>78951000</v>
      </c>
      <c r="D126" s="49">
        <v>39425008.958159998</v>
      </c>
      <c r="E126" s="50">
        <f>VLOOKUP($A126,'Data shares'!$C:$FA,154)*100</f>
        <v>97.37</v>
      </c>
      <c r="F126" s="173">
        <f>C126/B126</f>
        <v>0.96041536714706011</v>
      </c>
    </row>
    <row r="127" spans="1:6" x14ac:dyDescent="0.25">
      <c r="A127" s="99" t="s">
        <v>673</v>
      </c>
      <c r="B127" s="49">
        <v>16915220</v>
      </c>
      <c r="C127" s="49">
        <v>4709475</v>
      </c>
      <c r="D127" s="49">
        <v>2568129.9274665001</v>
      </c>
      <c r="E127" s="50">
        <f>VLOOKUP($A127,'Data shares'!$C:$FA,154)*100</f>
        <v>28.42</v>
      </c>
      <c r="F127" s="173">
        <f>C127/B127</f>
        <v>0.2784164202416522</v>
      </c>
    </row>
    <row r="128" spans="1:6" x14ac:dyDescent="0.25">
      <c r="A128" s="99" t="s">
        <v>254</v>
      </c>
      <c r="B128" s="49">
        <v>79408529</v>
      </c>
      <c r="C128" s="49">
        <v>43194000</v>
      </c>
      <c r="D128" s="49">
        <v>31140087.677963998</v>
      </c>
      <c r="E128" s="50">
        <f>VLOOKUP($A128,'Data shares'!$C:$FA,154)*100</f>
        <v>55.19</v>
      </c>
      <c r="F128" s="173">
        <f>C128/B128</f>
        <v>0.54394660805264383</v>
      </c>
    </row>
    <row r="129" spans="1:6" x14ac:dyDescent="0.25">
      <c r="A129" s="99" t="s">
        <v>255</v>
      </c>
      <c r="B129" s="49">
        <v>16752897</v>
      </c>
      <c r="C129" s="49">
        <v>6558100</v>
      </c>
      <c r="D129" s="49">
        <v>2775042.1191035002</v>
      </c>
      <c r="E129" s="50">
        <f>VLOOKUP($A129,'Data shares'!$C:$FA,154)*100</f>
        <v>40.380000000000003</v>
      </c>
      <c r="F129" s="173">
        <f>C129/B129</f>
        <v>0.39146065304406752</v>
      </c>
    </row>
    <row r="130" spans="1:6" x14ac:dyDescent="0.25">
      <c r="A130" s="99" t="s">
        <v>603</v>
      </c>
      <c r="B130" s="49">
        <v>97211768</v>
      </c>
      <c r="C130" s="49">
        <v>24792075</v>
      </c>
      <c r="D130" s="49">
        <v>17029140.5869672</v>
      </c>
      <c r="E130" s="50">
        <f>VLOOKUP($A130,'Data shares'!$C:$FA,154)*100</f>
        <v>25.75</v>
      </c>
      <c r="F130" s="173">
        <f>C130/B130</f>
        <v>0.25503162333185836</v>
      </c>
    </row>
    <row r="131" spans="1:6" x14ac:dyDescent="0.25">
      <c r="A131" s="99" t="s">
        <v>674</v>
      </c>
      <c r="B131" s="49">
        <v>11364224</v>
      </c>
      <c r="C131" s="49">
        <v>8769200</v>
      </c>
      <c r="D131" s="49">
        <v>3893423.3630897501</v>
      </c>
      <c r="E131" s="50">
        <f>VLOOKUP($A131,'Data shares'!$C:$FA,154)*100</f>
        <v>79.069999999999993</v>
      </c>
      <c r="F131" s="173">
        <f>C131/B131</f>
        <v>0.77164969645089709</v>
      </c>
    </row>
    <row r="132" spans="1:6" x14ac:dyDescent="0.25">
      <c r="A132" s="99" t="s">
        <v>517</v>
      </c>
      <c r="B132" s="49">
        <v>7635422</v>
      </c>
      <c r="C132" s="49">
        <v>7016250</v>
      </c>
      <c r="D132" s="49">
        <v>2740075.4385287501</v>
      </c>
      <c r="E132" s="50">
        <f>VLOOKUP($A132,'Data shares'!$C:$FA,154)*100</f>
        <v>95.15</v>
      </c>
      <c r="F132" s="173">
        <f>C132/B132</f>
        <v>0.9189079529592471</v>
      </c>
    </row>
    <row r="133" spans="1:6" x14ac:dyDescent="0.25">
      <c r="A133" s="99" t="s">
        <v>257</v>
      </c>
      <c r="B133" s="49">
        <v>34712157</v>
      </c>
      <c r="C133" s="49">
        <v>10451600</v>
      </c>
      <c r="D133" s="49">
        <v>6902742.2722119996</v>
      </c>
      <c r="E133" s="50">
        <f>VLOOKUP($A133,'Data shares'!$C:$FA,154)*100</f>
        <v>30.39</v>
      </c>
      <c r="F133" s="173">
        <f>C133/B133</f>
        <v>0.30109336046158125</v>
      </c>
    </row>
    <row r="134" spans="1:6" x14ac:dyDescent="0.25">
      <c r="A134" s="99" t="s">
        <v>559</v>
      </c>
      <c r="B134" s="49">
        <v>542522848</v>
      </c>
      <c r="C134" s="49">
        <v>322130850</v>
      </c>
      <c r="D134" s="49">
        <v>163640549.305572</v>
      </c>
      <c r="E134" s="50">
        <f>VLOOKUP($A134,'Data shares'!$C:$FA,154)*100</f>
        <v>60.319999999999993</v>
      </c>
      <c r="F134" s="173">
        <f>C134/B134</f>
        <v>0.59376457818786643</v>
      </c>
    </row>
    <row r="135" spans="1:6" x14ac:dyDescent="0.25">
      <c r="A135" s="99" t="s">
        <v>487</v>
      </c>
      <c r="B135" s="49">
        <v>14652855</v>
      </c>
      <c r="C135" s="49">
        <v>10898250</v>
      </c>
      <c r="D135" s="49">
        <v>6184580.9642430004</v>
      </c>
      <c r="E135" s="50">
        <f>VLOOKUP($A135,'Data shares'!$C:$FA,154)*100</f>
        <v>76.36</v>
      </c>
      <c r="F135" s="173">
        <f>C135/B135</f>
        <v>0.74376290490829267</v>
      </c>
    </row>
    <row r="136" spans="1:6" x14ac:dyDescent="0.25">
      <c r="A136" s="99" t="s">
        <v>262</v>
      </c>
      <c r="B136" s="49">
        <v>16050690</v>
      </c>
      <c r="C136" s="49">
        <v>10318550</v>
      </c>
      <c r="D136" s="49">
        <v>3463518.1646972499</v>
      </c>
      <c r="E136" s="50">
        <f>VLOOKUP($A136,'Data shares'!$C:$FA,154)*100</f>
        <v>66.78</v>
      </c>
      <c r="F136" s="173">
        <f>C136/B136</f>
        <v>0.6428726740096532</v>
      </c>
    </row>
    <row r="137" spans="1:6" x14ac:dyDescent="0.25">
      <c r="A137" s="99" t="s">
        <v>263</v>
      </c>
      <c r="B137" s="49">
        <v>134225816</v>
      </c>
      <c r="C137" s="49">
        <v>146197500</v>
      </c>
      <c r="D137" s="49">
        <v>71080980.779324993</v>
      </c>
      <c r="E137" s="50">
        <f>VLOOKUP($A137,'Data shares'!$C:$FA,154)*100</f>
        <v>111.43</v>
      </c>
      <c r="F137" s="173">
        <f>C137/B137</f>
        <v>1.089190621869641</v>
      </c>
    </row>
    <row r="138" spans="1:6" x14ac:dyDescent="0.25">
      <c r="A138" s="99" t="s">
        <v>264</v>
      </c>
      <c r="B138" s="49">
        <v>60530911</v>
      </c>
      <c r="C138" s="49">
        <v>13023000</v>
      </c>
      <c r="D138" s="49">
        <v>7927625.9910787502</v>
      </c>
      <c r="E138" s="50">
        <f>VLOOKUP($A138,'Data shares'!$C:$FA,154)*100</f>
        <v>21.67</v>
      </c>
      <c r="F138" s="173">
        <f>C138/B138</f>
        <v>0.21514627460340058</v>
      </c>
    </row>
    <row r="139" spans="1:6" x14ac:dyDescent="0.25">
      <c r="A139" s="99" t="s">
        <v>550</v>
      </c>
      <c r="B139" s="49">
        <v>154894704</v>
      </c>
      <c r="C139" s="49">
        <v>163299500</v>
      </c>
      <c r="D139" s="49">
        <v>80743588.689854994</v>
      </c>
      <c r="E139" s="50">
        <f>VLOOKUP($A139,'Data shares'!$C:$FA,154)*100</f>
        <v>106.74999999999999</v>
      </c>
      <c r="F139" s="173">
        <f>C139/B139</f>
        <v>1.0542613516340753</v>
      </c>
    </row>
    <row r="140" spans="1:6" x14ac:dyDescent="0.25">
      <c r="A140" s="99" t="s">
        <v>591</v>
      </c>
      <c r="B140" s="49">
        <v>72342848</v>
      </c>
      <c r="C140" s="49">
        <v>58590000</v>
      </c>
      <c r="D140" s="49">
        <v>24392683.116836999</v>
      </c>
      <c r="E140" s="50">
        <f>VLOOKUP($A140,'Data shares'!$C:$FA,154)*100</f>
        <v>82.53</v>
      </c>
      <c r="F140" s="173">
        <f>C140/B140</f>
        <v>0.80989346728511435</v>
      </c>
    </row>
    <row r="141" spans="1:6" x14ac:dyDescent="0.25">
      <c r="A141" s="99" t="s">
        <v>265</v>
      </c>
      <c r="B141" s="49">
        <v>71801274</v>
      </c>
      <c r="C141" s="49">
        <v>23584500</v>
      </c>
      <c r="D141" s="49">
        <v>16987286.790045001</v>
      </c>
      <c r="E141" s="50">
        <f>VLOOKUP($A141,'Data shares'!$C:$FA,154)*100</f>
        <v>33.129999999999995</v>
      </c>
      <c r="F141" s="173">
        <f>C141/B141</f>
        <v>0.32846910209420516</v>
      </c>
    </row>
    <row r="142" spans="1:6" x14ac:dyDescent="0.25">
      <c r="A142" s="99" t="s">
        <v>585</v>
      </c>
      <c r="B142" s="49">
        <v>398201603</v>
      </c>
      <c r="C142" s="49">
        <v>121459200</v>
      </c>
      <c r="D142" s="49">
        <v>62870254.013567999</v>
      </c>
      <c r="E142" s="50">
        <f>VLOOKUP($A142,'Data shares'!$C:$FA,154)*100</f>
        <v>31.06</v>
      </c>
      <c r="F142" s="173">
        <f>C142/B142</f>
        <v>0.30501936477638941</v>
      </c>
    </row>
    <row r="143" spans="1:6" x14ac:dyDescent="0.25">
      <c r="A143" s="99" t="s">
        <v>267</v>
      </c>
      <c r="B143" s="49">
        <v>517037525</v>
      </c>
      <c r="C143" s="49">
        <v>579710250</v>
      </c>
      <c r="D143" s="49">
        <v>280017938.68415999</v>
      </c>
      <c r="E143" s="50">
        <f>VLOOKUP($A143,'Data shares'!$C:$FA,154)*100</f>
        <v>114.62</v>
      </c>
      <c r="F143" s="173">
        <f>C143/B143</f>
        <v>1.1212150414034261</v>
      </c>
    </row>
    <row r="144" spans="1:6" x14ac:dyDescent="0.25">
      <c r="A144" s="99" t="s">
        <v>268</v>
      </c>
      <c r="B144" s="49">
        <v>572782298</v>
      </c>
      <c r="C144" s="49">
        <v>173385000</v>
      </c>
      <c r="D144" s="49">
        <v>95211458.631510004</v>
      </c>
      <c r="E144" s="50">
        <f>VLOOKUP($A144,'Data shares'!$C:$FA,154)*100</f>
        <v>30.84</v>
      </c>
      <c r="F144" s="173">
        <f>C144/B144</f>
        <v>0.30270663148182697</v>
      </c>
    </row>
    <row r="145" spans="1:6" x14ac:dyDescent="0.25">
      <c r="A145" s="99" t="s">
        <v>686</v>
      </c>
      <c r="B145" s="49">
        <v>2444664</v>
      </c>
      <c r="C145" s="49">
        <v>986125</v>
      </c>
      <c r="D145" s="49">
        <v>375151.09285399999</v>
      </c>
      <c r="E145" s="50"/>
      <c r="F145" s="173">
        <f>C145/B145</f>
        <v>0.4033785420000458</v>
      </c>
    </row>
    <row r="146" spans="1:6" x14ac:dyDescent="0.25">
      <c r="A146" s="99" t="s">
        <v>613</v>
      </c>
      <c r="B146" s="49">
        <v>205324177</v>
      </c>
      <c r="C146" s="49">
        <v>88315625</v>
      </c>
      <c r="D146" s="49">
        <v>55574430.7598437</v>
      </c>
      <c r="E146" s="50">
        <f>VLOOKUP($A146,'Data shares'!$C:$FA,154)*100</f>
        <v>44.4</v>
      </c>
      <c r="F146" s="173">
        <f>C146/B146</f>
        <v>0.43012774379706875</v>
      </c>
    </row>
    <row r="147" spans="1:6" x14ac:dyDescent="0.25">
      <c r="A147" s="99" t="s">
        <v>528</v>
      </c>
      <c r="B147" s="49">
        <v>17614093</v>
      </c>
      <c r="C147" s="49">
        <v>6592600</v>
      </c>
      <c r="D147" s="49">
        <v>4007066.6488930001</v>
      </c>
      <c r="E147" s="50">
        <f>VLOOKUP($A147,'Data shares'!$C:$FA,154)*100</f>
        <v>38.33</v>
      </c>
      <c r="F147" s="173">
        <f>C147/B147</f>
        <v>0.37427984512174428</v>
      </c>
    </row>
    <row r="148" spans="1:6" x14ac:dyDescent="0.25">
      <c r="A148" s="99" t="s">
        <v>518</v>
      </c>
      <c r="B148" s="49">
        <v>3401732</v>
      </c>
      <c r="C148" s="49">
        <v>2684025</v>
      </c>
      <c r="D148" s="49">
        <v>1255275.1432755</v>
      </c>
      <c r="E148" s="50">
        <f>VLOOKUP($A148,'Data shares'!$C:$FA,154)*100</f>
        <v>80.569999999999993</v>
      </c>
      <c r="F148" s="173">
        <f>C148/B148</f>
        <v>0.78901718301147772</v>
      </c>
    </row>
    <row r="149" spans="1:6" x14ac:dyDescent="0.25">
      <c r="A149" s="99" t="s">
        <v>587</v>
      </c>
      <c r="B149" s="49">
        <v>94123587</v>
      </c>
      <c r="C149" s="49">
        <v>22503600</v>
      </c>
      <c r="D149" s="49">
        <v>11368846.722534001</v>
      </c>
      <c r="E149" s="50">
        <f>VLOOKUP($A149,'Data shares'!$C:$FA,154)*100</f>
        <v>24.2</v>
      </c>
      <c r="F149" s="173">
        <f>C149/B149</f>
        <v>0.23908566085565777</v>
      </c>
    </row>
    <row r="150" spans="1:6" x14ac:dyDescent="0.25">
      <c r="A150" s="99" t="s">
        <v>269</v>
      </c>
      <c r="B150" s="49">
        <v>517141211</v>
      </c>
      <c r="C150" s="49">
        <v>171479250</v>
      </c>
      <c r="D150" s="49">
        <v>94944057.145019993</v>
      </c>
      <c r="E150" s="50">
        <f>VLOOKUP($A150,'Data shares'!$C:$FA,154)*100</f>
        <v>33.5</v>
      </c>
      <c r="F150" s="173">
        <f>C150/B150</f>
        <v>0.33159076544762162</v>
      </c>
    </row>
    <row r="151" spans="1:6" x14ac:dyDescent="0.25">
      <c r="A151" s="99" t="s">
        <v>270</v>
      </c>
      <c r="B151" s="49">
        <v>955549</v>
      </c>
      <c r="C151" s="49">
        <v>533250</v>
      </c>
      <c r="D151" s="49">
        <v>243004.87890884999</v>
      </c>
      <c r="E151" s="50">
        <f>VLOOKUP($A151,'Data shares'!$C:$FA,154)*100</f>
        <v>57.17</v>
      </c>
      <c r="F151" s="173">
        <f>C151/B151</f>
        <v>0.55805615410617349</v>
      </c>
    </row>
    <row r="152" spans="1:6" x14ac:dyDescent="0.25">
      <c r="A152" s="99" t="s">
        <v>666</v>
      </c>
      <c r="B152" s="49">
        <v>50840137</v>
      </c>
      <c r="C152" s="49">
        <v>47943000</v>
      </c>
      <c r="D152" s="49">
        <v>22162972.69359</v>
      </c>
      <c r="E152" s="50">
        <f>VLOOKUP($A152,'Data shares'!$C:$FA,154)*100</f>
        <v>95.509999999999991</v>
      </c>
      <c r="F152" s="173">
        <f>C152/B152</f>
        <v>0.94301476803652196</v>
      </c>
    </row>
    <row r="153" spans="1:6" x14ac:dyDescent="0.25">
      <c r="A153" s="99" t="s">
        <v>575</v>
      </c>
      <c r="B153" s="49">
        <v>95715382</v>
      </c>
      <c r="C153" s="49">
        <v>37658675</v>
      </c>
      <c r="D153" s="49">
        <v>17888826.168808501</v>
      </c>
      <c r="E153" s="50">
        <f>VLOOKUP($A153,'Data shares'!$C:$FA,154)*100</f>
        <v>40.97</v>
      </c>
      <c r="F153" s="173">
        <f>C153/B153</f>
        <v>0.39344433687784897</v>
      </c>
    </row>
    <row r="154" spans="1:6" x14ac:dyDescent="0.25">
      <c r="A154" s="99" t="s">
        <v>529</v>
      </c>
      <c r="B154" s="49">
        <v>16151851</v>
      </c>
      <c r="C154" s="49">
        <v>4241200</v>
      </c>
      <c r="D154" s="49">
        <v>2281992.6968120001</v>
      </c>
      <c r="E154" s="50">
        <f>VLOOKUP($A154,'Data shares'!$C:$FA,154)*100</f>
        <v>27.08</v>
      </c>
      <c r="F154" s="173">
        <f>C154/B154</f>
        <v>0.2625829076803643</v>
      </c>
    </row>
    <row r="155" spans="1:6" x14ac:dyDescent="0.25">
      <c r="A155" s="99" t="s">
        <v>272</v>
      </c>
      <c r="B155" s="49">
        <v>93668136</v>
      </c>
      <c r="C155" s="49">
        <v>73927600</v>
      </c>
      <c r="D155" s="49">
        <v>34388684.895515002</v>
      </c>
      <c r="E155" s="50"/>
      <c r="F155" s="173">
        <f>C155/B155</f>
        <v>0.78925025261525439</v>
      </c>
    </row>
    <row r="156" spans="1:6" x14ac:dyDescent="0.25">
      <c r="A156" s="99" t="s">
        <v>273</v>
      </c>
      <c r="B156" s="49">
        <v>203602113</v>
      </c>
      <c r="C156" s="49">
        <v>147145700</v>
      </c>
      <c r="D156" s="49">
        <v>68796317.772052005</v>
      </c>
      <c r="E156" s="50">
        <f>VLOOKUP($A156,'Data shares'!$C:$FA,154)*100</f>
        <v>73.56</v>
      </c>
      <c r="F156" s="173">
        <f>C156/B156</f>
        <v>0.72271204768881747</v>
      </c>
    </row>
    <row r="157" spans="1:6" x14ac:dyDescent="0.25">
      <c r="A157" s="99" t="s">
        <v>681</v>
      </c>
      <c r="B157" s="49">
        <v>23897684</v>
      </c>
      <c r="C157" s="49">
        <v>28067750</v>
      </c>
      <c r="D157" s="49">
        <v>9598899.3156704996</v>
      </c>
      <c r="E157" s="50">
        <f>VLOOKUP($A157,'Data shares'!$C:$FA,154)*100</f>
        <v>122.05</v>
      </c>
      <c r="F157" s="173">
        <f>C157/B157</f>
        <v>1.1744966583372682</v>
      </c>
    </row>
    <row r="158" spans="1:6" x14ac:dyDescent="0.25">
      <c r="A158" s="99" t="s">
        <v>645</v>
      </c>
      <c r="B158" s="49">
        <v>28283155</v>
      </c>
      <c r="C158" s="49">
        <v>5091100</v>
      </c>
      <c r="D158" s="49">
        <v>3188163.3171325</v>
      </c>
      <c r="E158" s="50">
        <f>VLOOKUP($A158,'Data shares'!$C:$FA,154)*100</f>
        <v>18.11</v>
      </c>
      <c r="F158" s="173">
        <f>C158/B158</f>
        <v>0.18000467062461736</v>
      </c>
    </row>
    <row r="159" spans="1:6" x14ac:dyDescent="0.25">
      <c r="A159" s="99" t="s">
        <v>274</v>
      </c>
      <c r="B159" s="49">
        <v>31170515</v>
      </c>
      <c r="C159" s="49">
        <v>11796000</v>
      </c>
      <c r="D159" s="49">
        <v>7363533.5936399996</v>
      </c>
      <c r="E159" s="50">
        <f>VLOOKUP($A159,'Data shares'!$C:$FA,154)*100</f>
        <v>38.17</v>
      </c>
      <c r="F159" s="173">
        <f>C159/B159</f>
        <v>0.37843455586152491</v>
      </c>
    </row>
    <row r="160" spans="1:6" x14ac:dyDescent="0.25">
      <c r="A160" s="99" t="s">
        <v>483</v>
      </c>
      <c r="B160" s="49">
        <v>8178275</v>
      </c>
      <c r="C160" s="49">
        <v>4874275</v>
      </c>
      <c r="D160" s="49">
        <v>2521702.7799652498</v>
      </c>
      <c r="E160" s="50">
        <f>VLOOKUP($A160,'Data shares'!$C:$FA,154)*100</f>
        <v>60.73</v>
      </c>
      <c r="F160" s="173">
        <f>C160/B160</f>
        <v>0.5960028245565232</v>
      </c>
    </row>
    <row r="161" spans="1:6" x14ac:dyDescent="0.25">
      <c r="A161" s="99" t="s">
        <v>275</v>
      </c>
      <c r="B161" s="49">
        <v>447910372</v>
      </c>
      <c r="C161" s="49">
        <v>425600000</v>
      </c>
      <c r="D161" s="49">
        <v>219269602.21575999</v>
      </c>
      <c r="E161" s="50">
        <f>VLOOKUP($A161,'Data shares'!$C:$FA,154)*100</f>
        <v>97.52</v>
      </c>
      <c r="F161" s="173">
        <f>C161/B161</f>
        <v>0.9501900974063624</v>
      </c>
    </row>
    <row r="162" spans="1:6" x14ac:dyDescent="0.25">
      <c r="A162" s="99" t="s">
        <v>671</v>
      </c>
      <c r="B162" s="49">
        <v>28062406</v>
      </c>
      <c r="C162" s="49">
        <v>26061100</v>
      </c>
      <c r="D162" s="49">
        <v>14993038.969239499</v>
      </c>
      <c r="E162" s="50">
        <f>VLOOKUP($A162,'Data shares'!$C:$FA,154)*100</f>
        <v>94.42</v>
      </c>
      <c r="F162" s="173">
        <f>C162/B162</f>
        <v>0.92868373438827734</v>
      </c>
    </row>
    <row r="163" spans="1:6" x14ac:dyDescent="0.25">
      <c r="A163" s="99" t="s">
        <v>573</v>
      </c>
      <c r="B163" s="49">
        <v>51720057</v>
      </c>
      <c r="C163" s="49">
        <v>12513900</v>
      </c>
      <c r="D163" s="49">
        <v>7940032.2499540001</v>
      </c>
      <c r="E163" s="50">
        <f>VLOOKUP($A163,'Data shares'!$C:$FA,154)*100</f>
        <v>24.529999999999998</v>
      </c>
      <c r="F163" s="173">
        <f>C163/B163</f>
        <v>0.24195448972533035</v>
      </c>
    </row>
    <row r="164" spans="1:6" x14ac:dyDescent="0.25">
      <c r="A164" s="99" t="s">
        <v>519</v>
      </c>
      <c r="B164" s="49">
        <v>8350688</v>
      </c>
      <c r="C164" s="49">
        <v>2616000</v>
      </c>
      <c r="D164" s="49">
        <v>1528561.0692787501</v>
      </c>
      <c r="E164" s="50">
        <f>VLOOKUP($A164,'Data shares'!$C:$FA,154)*100</f>
        <v>31.91</v>
      </c>
      <c r="F164" s="173">
        <f>C164/B164</f>
        <v>0.31326760142397847</v>
      </c>
    </row>
    <row r="165" spans="1:6" x14ac:dyDescent="0.25">
      <c r="A165" s="99" t="s">
        <v>276</v>
      </c>
      <c r="B165" s="49">
        <v>488832949</v>
      </c>
      <c r="C165" s="49">
        <v>131837200</v>
      </c>
      <c r="D165" s="49">
        <v>74959693.022818998</v>
      </c>
      <c r="E165" s="50">
        <f>VLOOKUP($A165,'Data shares'!$C:$FA,154)*100</f>
        <v>27.63</v>
      </c>
      <c r="F165" s="173">
        <f>C165/B165</f>
        <v>0.26969785950332903</v>
      </c>
    </row>
    <row r="166" spans="1:6" x14ac:dyDescent="0.25">
      <c r="A166" s="99" t="s">
        <v>688</v>
      </c>
      <c r="B166" s="49">
        <v>1917916</v>
      </c>
      <c r="C166" s="49">
        <v>863400</v>
      </c>
      <c r="D166" s="49">
        <v>210656.569246</v>
      </c>
      <c r="E166" s="50">
        <f>VLOOKUP($A166,'Data shares'!$C:$FA,154)*100</f>
        <v>46.44</v>
      </c>
      <c r="F166" s="173">
        <f>C166/B166</f>
        <v>0.45017612867299717</v>
      </c>
    </row>
    <row r="167" spans="1:6" x14ac:dyDescent="0.25">
      <c r="A167" s="99" t="s">
        <v>679</v>
      </c>
      <c r="B167" s="49">
        <v>120138597</v>
      </c>
      <c r="C167" s="49">
        <v>46061125</v>
      </c>
      <c r="D167" s="49">
        <v>17567344.080853701</v>
      </c>
      <c r="E167" s="50">
        <f>VLOOKUP($A167,'Data shares'!$C:$FA,154)*100</f>
        <v>39.090000000000003</v>
      </c>
      <c r="F167" s="173">
        <f>C167/B167</f>
        <v>0.3833998910441746</v>
      </c>
    </row>
    <row r="168" spans="1:6" x14ac:dyDescent="0.25">
      <c r="A168" s="99" t="s">
        <v>605</v>
      </c>
      <c r="B168" s="49">
        <v>25234534</v>
      </c>
      <c r="C168" s="49">
        <v>7036200</v>
      </c>
      <c r="D168" s="49">
        <v>3616541.8741124999</v>
      </c>
      <c r="E168" s="50">
        <f>VLOOKUP($A168,'Data shares'!$C:$FA,154)*100</f>
        <v>28.37</v>
      </c>
      <c r="F168" s="173">
        <f>C168/B168</f>
        <v>0.27883217498686524</v>
      </c>
    </row>
    <row r="169" spans="1:6" x14ac:dyDescent="0.25">
      <c r="A169" s="99" t="s">
        <v>279</v>
      </c>
      <c r="B169" s="49">
        <v>91351468</v>
      </c>
      <c r="C169" s="49">
        <v>115096925</v>
      </c>
      <c r="D169" s="49">
        <v>63673209.955776498</v>
      </c>
      <c r="E169" s="50">
        <f>VLOOKUP($A169,'Data shares'!$C:$FA,154)*100</f>
        <v>127.42999999999999</v>
      </c>
      <c r="F169" s="173">
        <f>C169/B169</f>
        <v>1.2599351441183189</v>
      </c>
    </row>
    <row r="170" spans="1:6" x14ac:dyDescent="0.25">
      <c r="A170" s="99" t="s">
        <v>280</v>
      </c>
      <c r="B170" s="49">
        <v>187084550</v>
      </c>
      <c r="C170" s="49">
        <v>174138225</v>
      </c>
      <c r="D170" s="49">
        <v>95533441.058006495</v>
      </c>
      <c r="E170" s="50">
        <f>VLOOKUP($A170,'Data shares'!$C:$FA,154)*100</f>
        <v>94.399999999999991</v>
      </c>
      <c r="F170" s="173">
        <f>C170/B170</f>
        <v>0.93079960370859061</v>
      </c>
    </row>
    <row r="171" spans="1:6" x14ac:dyDescent="0.25">
      <c r="A171" s="99" t="s">
        <v>281</v>
      </c>
      <c r="B171" s="49">
        <v>662701060</v>
      </c>
      <c r="C171" s="49">
        <v>187773000</v>
      </c>
      <c r="D171" s="49">
        <v>113186205.07344</v>
      </c>
      <c r="E171" s="50">
        <f>VLOOKUP($A171,'Data shares'!$C:$FA,154)*100</f>
        <v>28.87</v>
      </c>
      <c r="F171" s="173">
        <f>C171/B171</f>
        <v>0.28334495194560272</v>
      </c>
    </row>
    <row r="172" spans="1:6" x14ac:dyDescent="0.25">
      <c r="A172" s="99" t="s">
        <v>676</v>
      </c>
      <c r="B172" s="49">
        <v>84941460</v>
      </c>
      <c r="C172" s="49">
        <v>64492075</v>
      </c>
      <c r="D172" s="49">
        <v>31420799.6768177</v>
      </c>
      <c r="E172" s="50">
        <f>VLOOKUP($A172,'Data shares'!$C:$FA,154)*100</f>
        <v>76.759999999999991</v>
      </c>
      <c r="F172" s="173">
        <f>C172/B172</f>
        <v>0.75925319626010668</v>
      </c>
    </row>
    <row r="173" spans="1:6" x14ac:dyDescent="0.25">
      <c r="A173" s="99" t="s">
        <v>282</v>
      </c>
      <c r="B173" s="49">
        <v>216861410</v>
      </c>
      <c r="C173" s="49">
        <v>268666100</v>
      </c>
      <c r="D173" s="49">
        <v>162933293.05355</v>
      </c>
      <c r="E173" s="50"/>
      <c r="F173" s="173">
        <f>C173/B173</f>
        <v>1.2388838567451903</v>
      </c>
    </row>
    <row r="174" spans="1:6" x14ac:dyDescent="0.25">
      <c r="A174" s="99" t="s">
        <v>687</v>
      </c>
      <c r="B174" s="49">
        <v>122326971</v>
      </c>
      <c r="C174" s="49">
        <v>208537100</v>
      </c>
      <c r="D174" s="49">
        <v>83614236.006748006</v>
      </c>
      <c r="E174" s="50">
        <f>VLOOKUP($A174,'Data shares'!$C:$FA,154)*100</f>
        <v>176.07999999999998</v>
      </c>
      <c r="F174" s="173">
        <f>C174/B174</f>
        <v>1.7047516037979882</v>
      </c>
    </row>
    <row r="175" spans="1:6" x14ac:dyDescent="0.25">
      <c r="A175" s="99" t="s">
        <v>536</v>
      </c>
      <c r="B175" s="49">
        <v>39583537</v>
      </c>
      <c r="C175" s="49">
        <v>31714400</v>
      </c>
      <c r="D175" s="49">
        <v>16953394.637936</v>
      </c>
      <c r="E175" s="50">
        <f>VLOOKUP($A175,'Data shares'!$C:$FA,154)*100</f>
        <v>82.04</v>
      </c>
      <c r="F175" s="173">
        <f>C175/B175</f>
        <v>0.80120177234288081</v>
      </c>
    </row>
    <row r="176" spans="1:6" x14ac:dyDescent="0.25">
      <c r="A176" s="99" t="s">
        <v>462</v>
      </c>
      <c r="B176" s="49">
        <v>44735132</v>
      </c>
      <c r="C176" s="49">
        <v>17197500</v>
      </c>
      <c r="D176" s="49">
        <v>8877095.6307712495</v>
      </c>
      <c r="E176" s="50">
        <f>VLOOKUP($A176,'Data shares'!$C:$FA,154)*100</f>
        <v>39.410000000000004</v>
      </c>
      <c r="F176" s="173">
        <f>C176/B176</f>
        <v>0.38442940103540996</v>
      </c>
    </row>
    <row r="177" spans="1:6" x14ac:dyDescent="0.25">
      <c r="A177" s="99" t="s">
        <v>283</v>
      </c>
      <c r="B177" s="49">
        <v>407307212</v>
      </c>
      <c r="C177" s="49">
        <v>161950500</v>
      </c>
      <c r="D177" s="49">
        <v>76051776.436747506</v>
      </c>
      <c r="E177" s="50">
        <f>VLOOKUP($A177,'Data shares'!$C:$FA,154)*100</f>
        <v>40.849999999999994</v>
      </c>
      <c r="F177" s="173">
        <f>C177/B177</f>
        <v>0.39761265017816577</v>
      </c>
    </row>
    <row r="178" spans="1:6" x14ac:dyDescent="0.25">
      <c r="A178" s="99" t="s">
        <v>284</v>
      </c>
      <c r="B178" s="49">
        <v>1548028</v>
      </c>
      <c r="C178" s="49">
        <v>513575</v>
      </c>
      <c r="D178" s="49">
        <v>280514.90635950002</v>
      </c>
      <c r="E178" s="50">
        <f>VLOOKUP($A178,'Data shares'!$C:$FA,154)*100</f>
        <v>33.72</v>
      </c>
      <c r="F178" s="173">
        <f>C178/B178</f>
        <v>0.33176079502437938</v>
      </c>
    </row>
    <row r="179" spans="1:6" x14ac:dyDescent="0.25">
      <c r="A179" s="99" t="s">
        <v>562</v>
      </c>
      <c r="B179" s="49">
        <v>210459276</v>
      </c>
      <c r="C179" s="49">
        <v>86086275</v>
      </c>
      <c r="D179" s="49">
        <v>52998452.230176702</v>
      </c>
      <c r="E179" s="50">
        <f>VLOOKUP($A179,'Data shares'!$C:$FA,154)*100</f>
        <v>41.67</v>
      </c>
      <c r="F179" s="173">
        <f>C179/B179</f>
        <v>0.40904006055784398</v>
      </c>
    </row>
    <row r="180" spans="1:6" x14ac:dyDescent="0.25">
      <c r="A180" s="99" t="s">
        <v>285</v>
      </c>
      <c r="B180" s="49">
        <v>13354588</v>
      </c>
      <c r="C180" s="49">
        <v>4956425</v>
      </c>
      <c r="D180" s="49">
        <v>2712518.7389850002</v>
      </c>
      <c r="E180" s="50">
        <f>VLOOKUP($A180,'Data shares'!$C:$FA,154)*100</f>
        <v>37.65</v>
      </c>
      <c r="F180" s="173">
        <f>C180/B180</f>
        <v>0.37114024034286941</v>
      </c>
    </row>
    <row r="181" spans="1:6" x14ac:dyDescent="0.25">
      <c r="A181" s="99" t="s">
        <v>646</v>
      </c>
      <c r="B181" s="49">
        <v>3644817</v>
      </c>
      <c r="C181" s="49">
        <v>1788375</v>
      </c>
      <c r="D181" s="49">
        <v>862027.28496924997</v>
      </c>
      <c r="E181" s="50">
        <f>VLOOKUP($A181,'Data shares'!$C:$FA,154)*100</f>
        <v>49.97</v>
      </c>
      <c r="F181" s="173">
        <f>C181/B181</f>
        <v>0.49066249416637381</v>
      </c>
    </row>
    <row r="182" spans="1:6" x14ac:dyDescent="0.25">
      <c r="A182" s="99" t="s">
        <v>614</v>
      </c>
      <c r="B182" s="49">
        <v>67126548</v>
      </c>
      <c r="C182" s="49">
        <v>24669225</v>
      </c>
      <c r="D182" s="49">
        <v>14925598.1584937</v>
      </c>
      <c r="E182" s="50">
        <f>VLOOKUP($A182,'Data shares'!$C:$FA,154)*100</f>
        <v>37.159999999999997</v>
      </c>
      <c r="F182" s="173">
        <f>C182/B182</f>
        <v>0.36750325668467265</v>
      </c>
    </row>
    <row r="183" spans="1:6" x14ac:dyDescent="0.25">
      <c r="A183" s="99" t="s">
        <v>286</v>
      </c>
      <c r="B183" s="49">
        <v>21205300</v>
      </c>
      <c r="C183" s="49">
        <v>8640800</v>
      </c>
      <c r="D183" s="49">
        <v>4120834.203834</v>
      </c>
      <c r="E183" s="50">
        <f>VLOOKUP($A183,'Data shares'!$C:$FA,154)*100</f>
        <v>42.55</v>
      </c>
      <c r="F183" s="173">
        <f>C183/B183</f>
        <v>0.40748303490165194</v>
      </c>
    </row>
    <row r="184" spans="1:6" x14ac:dyDescent="0.25">
      <c r="A184" s="99" t="s">
        <v>288</v>
      </c>
      <c r="B184" s="49">
        <v>109220043</v>
      </c>
      <c r="C184" s="49">
        <v>23812600</v>
      </c>
      <c r="D184" s="49">
        <v>16008810.255973499</v>
      </c>
      <c r="E184" s="50">
        <f>VLOOKUP($A184,'Data shares'!$C:$FA,154)*100</f>
        <v>22.07</v>
      </c>
      <c r="F184" s="173">
        <f>C184/B184</f>
        <v>0.21802408556092584</v>
      </c>
    </row>
    <row r="185" spans="1:6" x14ac:dyDescent="0.25">
      <c r="A185" s="99" t="s">
        <v>574</v>
      </c>
      <c r="B185" s="49">
        <v>7242074</v>
      </c>
      <c r="C185" s="49">
        <v>4552100</v>
      </c>
      <c r="D185" s="49">
        <v>1896452.93542775</v>
      </c>
      <c r="E185" s="50">
        <f>VLOOKUP($A185,'Data shares'!$C:$FA,154)*100</f>
        <v>64.25</v>
      </c>
      <c r="F185" s="173">
        <f>C185/B185</f>
        <v>0.62856303318634965</v>
      </c>
    </row>
    <row r="186" spans="1:6" x14ac:dyDescent="0.25">
      <c r="A186" s="99" t="s">
        <v>685</v>
      </c>
      <c r="B186" s="49">
        <v>1813533848</v>
      </c>
      <c r="C186" s="49">
        <v>554290625</v>
      </c>
      <c r="D186" s="49">
        <v>224931649.89695999</v>
      </c>
      <c r="E186" s="50">
        <f>VLOOKUP($A186,'Data shares'!$C:$FA,154)*100</f>
        <v>31.52</v>
      </c>
      <c r="F186" s="173">
        <f>C186/B186</f>
        <v>0.30564117984965228</v>
      </c>
    </row>
    <row r="187" spans="1:6" x14ac:dyDescent="0.25">
      <c r="A187" s="99" t="s">
        <v>520</v>
      </c>
      <c r="B187" s="49">
        <v>28408333</v>
      </c>
      <c r="C187" s="49">
        <v>16981000</v>
      </c>
      <c r="D187" s="49">
        <v>9209512.4584899992</v>
      </c>
      <c r="E187" s="50">
        <f>VLOOKUP($A187,'Data shares'!$C:$FA,154)*100</f>
        <v>60.29</v>
      </c>
      <c r="F187" s="173">
        <f>C187/B187</f>
        <v>0.59774714693748487</v>
      </c>
    </row>
    <row r="188" spans="1:6" x14ac:dyDescent="0.25">
      <c r="A188" s="99" t="s">
        <v>291</v>
      </c>
      <c r="B188" s="49">
        <v>65471528</v>
      </c>
      <c r="C188" s="49">
        <v>20799350</v>
      </c>
      <c r="D188" s="49">
        <v>12636888.48301</v>
      </c>
      <c r="E188" s="50">
        <f>VLOOKUP($A188,'Data shares'!$C:$FA,154)*100</f>
        <v>32.39</v>
      </c>
      <c r="F188" s="173">
        <f>C188/B188</f>
        <v>0.31768542197457189</v>
      </c>
    </row>
    <row r="189" spans="1:6" x14ac:dyDescent="0.25">
      <c r="A189" s="99" t="s">
        <v>604</v>
      </c>
      <c r="B189" s="49">
        <v>4309631</v>
      </c>
      <c r="C189" s="49">
        <v>3982400</v>
      </c>
      <c r="D189" s="49">
        <v>2193788.8601489998</v>
      </c>
      <c r="E189" s="50">
        <f>VLOOKUP($A189,'Data shares'!$C:$FA,154)*100</f>
        <v>94.61</v>
      </c>
      <c r="F189" s="173">
        <f>C189/B189</f>
        <v>0.92406983335696258</v>
      </c>
    </row>
    <row r="190" spans="1:6" x14ac:dyDescent="0.25">
      <c r="A190" s="99" t="s">
        <v>293</v>
      </c>
      <c r="B190" s="49">
        <v>169808198</v>
      </c>
      <c r="C190" s="49">
        <v>121929050</v>
      </c>
      <c r="D190" s="49">
        <v>52552314.041174501</v>
      </c>
      <c r="E190" s="50">
        <f>VLOOKUP($A190,'Data shares'!$C:$FA,154)*100</f>
        <v>73.2</v>
      </c>
      <c r="F190" s="173">
        <f>C190/B190</f>
        <v>0.7180398322111633</v>
      </c>
    </row>
    <row r="191" spans="1:6" x14ac:dyDescent="0.25">
      <c r="A191" s="99" t="s">
        <v>294</v>
      </c>
      <c r="B191" s="49">
        <v>833987639</v>
      </c>
      <c r="C191" s="49">
        <v>701156500</v>
      </c>
      <c r="D191" s="49">
        <v>261973116.77311501</v>
      </c>
      <c r="E191" s="50">
        <f>VLOOKUP($A191,'Data shares'!$C:$FA,154)*100</f>
        <v>86.37</v>
      </c>
      <c r="F191" s="173">
        <f>C191/B191</f>
        <v>0.84072768853112467</v>
      </c>
    </row>
    <row r="192" spans="1:6" x14ac:dyDescent="0.25">
      <c r="A192" s="99" t="s">
        <v>664</v>
      </c>
      <c r="B192" s="49">
        <v>27246569</v>
      </c>
      <c r="C192" s="49">
        <v>20747200</v>
      </c>
      <c r="D192" s="49">
        <v>9533278.4139360003</v>
      </c>
      <c r="E192" s="50">
        <f>VLOOKUP($A192,'Data shares'!$C:$FA,154)*100</f>
        <v>79.010000000000005</v>
      </c>
      <c r="F192" s="173">
        <f>C192/B192</f>
        <v>0.76146101184336279</v>
      </c>
    </row>
    <row r="193" spans="1:6" x14ac:dyDescent="0.25">
      <c r="A193" s="99" t="s">
        <v>295</v>
      </c>
      <c r="B193" s="49">
        <v>123298271</v>
      </c>
      <c r="C193" s="49">
        <v>46691225</v>
      </c>
      <c r="D193" s="49">
        <v>26063433.1362352</v>
      </c>
      <c r="E193" s="50">
        <f>VLOOKUP($A193,'Data shares'!$C:$FA,154)*100</f>
        <v>38.53</v>
      </c>
      <c r="F193" s="173">
        <f>C193/B193</f>
        <v>0.37868515609598452</v>
      </c>
    </row>
    <row r="194" spans="1:6" x14ac:dyDescent="0.25">
      <c r="A194" s="99" t="s">
        <v>296</v>
      </c>
      <c r="B194" s="49">
        <v>76137451</v>
      </c>
      <c r="C194" s="49">
        <v>36553800</v>
      </c>
      <c r="D194" s="49">
        <v>23235650.845362</v>
      </c>
      <c r="E194" s="50">
        <f>VLOOKUP($A194,'Data shares'!$C:$FA,154)*100</f>
        <v>48.86</v>
      </c>
      <c r="F194" s="173">
        <f>C194/B194</f>
        <v>0.48010275521306855</v>
      </c>
    </row>
    <row r="195" spans="1:6" x14ac:dyDescent="0.25">
      <c r="A195" s="99" t="s">
        <v>595</v>
      </c>
      <c r="B195" s="49">
        <v>14039249</v>
      </c>
      <c r="C195" s="49">
        <v>3277000</v>
      </c>
      <c r="D195" s="49">
        <v>1892155.9938380001</v>
      </c>
      <c r="E195" s="50">
        <f>VLOOKUP($A195,'Data shares'!$C:$FA,154)*100</f>
        <v>23.47</v>
      </c>
      <c r="F195" s="173">
        <f>C195/B195</f>
        <v>0.23341704388888607</v>
      </c>
    </row>
    <row r="196" spans="1:6" x14ac:dyDescent="0.25">
      <c r="A196" s="99" t="s">
        <v>663</v>
      </c>
      <c r="B196" s="49">
        <v>12028036</v>
      </c>
      <c r="C196" s="49">
        <v>13076825</v>
      </c>
      <c r="D196" s="49">
        <v>5842918.3640012499</v>
      </c>
      <c r="E196" s="50">
        <f>VLOOKUP($A196,'Data shares'!$C:$FA,154)*100</f>
        <v>115.31</v>
      </c>
      <c r="F196" s="173">
        <f>C196/B196</f>
        <v>1.0871953658934841</v>
      </c>
    </row>
    <row r="197" spans="1:6" x14ac:dyDescent="0.25">
      <c r="A197" s="99" t="s">
        <v>297</v>
      </c>
      <c r="B197" s="49">
        <v>41744334</v>
      </c>
      <c r="C197" s="49">
        <v>16730175</v>
      </c>
      <c r="D197" s="49">
        <v>9361524.7209504992</v>
      </c>
      <c r="E197" s="50">
        <f>VLOOKUP($A197,'Data shares'!$C:$FA,154)*100</f>
        <v>40.880000000000003</v>
      </c>
      <c r="F197" s="173">
        <f>C197/B197</f>
        <v>0.40077714498930561</v>
      </c>
    </row>
    <row r="198" spans="1:6" x14ac:dyDescent="0.25">
      <c r="A198" s="99" t="s">
        <v>690</v>
      </c>
      <c r="B198" s="49">
        <v>284575867</v>
      </c>
      <c r="C198" s="49">
        <v>194194400</v>
      </c>
      <c r="D198" s="49">
        <v>77606238.434591994</v>
      </c>
      <c r="E198" s="50">
        <f>VLOOKUP($A198,'Data shares'!$C:$FA,154)*100</f>
        <v>70.52000000000001</v>
      </c>
      <c r="F198" s="173">
        <f>C198/B198</f>
        <v>0.68239939685398554</v>
      </c>
    </row>
    <row r="199" spans="1:6" x14ac:dyDescent="0.25">
      <c r="A199" s="99" t="s">
        <v>298</v>
      </c>
      <c r="B199" s="49">
        <v>16072672</v>
      </c>
      <c r="C199" s="49">
        <v>3902750</v>
      </c>
      <c r="D199" s="49">
        <v>2417614.5044725002</v>
      </c>
      <c r="E199" s="50">
        <f>VLOOKUP($A199,'Data shares'!$C:$FA,154)*100</f>
        <v>24.69</v>
      </c>
      <c r="F199" s="173">
        <f>C199/B199</f>
        <v>0.24281899114223199</v>
      </c>
    </row>
    <row r="200" spans="1:6" x14ac:dyDescent="0.25">
      <c r="A200" s="99" t="s">
        <v>299</v>
      </c>
      <c r="B200" s="49">
        <v>24646022</v>
      </c>
      <c r="C200" s="49">
        <v>6190975</v>
      </c>
      <c r="D200" s="49">
        <v>3012076.2217514999</v>
      </c>
      <c r="E200" s="50">
        <f>VLOOKUP($A200,'Data shares'!$C:$FA,154)*100</f>
        <v>25.41</v>
      </c>
      <c r="F200" s="173">
        <f>C200/B200</f>
        <v>0.25119571020426745</v>
      </c>
    </row>
    <row r="201" spans="1:6" x14ac:dyDescent="0.25">
      <c r="A201" s="99" t="s">
        <v>482</v>
      </c>
      <c r="B201" s="49">
        <v>33590487</v>
      </c>
      <c r="C201" s="49">
        <v>16133100</v>
      </c>
      <c r="D201" s="49">
        <v>7905998.2621149998</v>
      </c>
      <c r="E201" s="50">
        <f>VLOOKUP($A201,'Data shares'!$C:$FA,154)*100</f>
        <v>49.91</v>
      </c>
      <c r="F201" s="173">
        <f>C201/B201</f>
        <v>0.48028776718837091</v>
      </c>
    </row>
    <row r="202" spans="1:6" x14ac:dyDescent="0.25">
      <c r="A202" s="99" t="s">
        <v>300</v>
      </c>
      <c r="B202" s="49">
        <v>35369445</v>
      </c>
      <c r="C202" s="49">
        <v>14020475</v>
      </c>
      <c r="D202" s="49">
        <v>7589247.1308115004</v>
      </c>
      <c r="E202" s="50">
        <f>VLOOKUP($A202,'Data shares'!$C:$FA,154)*100</f>
        <v>40.75</v>
      </c>
      <c r="F202" s="173">
        <f>C202/B202</f>
        <v>0.39640076342730285</v>
      </c>
    </row>
    <row r="203" spans="1:6" x14ac:dyDescent="0.25">
      <c r="A203" s="99" t="s">
        <v>302</v>
      </c>
      <c r="B203" s="49">
        <v>11962066</v>
      </c>
      <c r="C203" s="49">
        <v>4039100</v>
      </c>
      <c r="D203" s="49">
        <v>2526873.9546925002</v>
      </c>
      <c r="E203" s="50">
        <f>VLOOKUP($A203,'Data shares'!$C:$FA,154)*100</f>
        <v>34.489999999999995</v>
      </c>
      <c r="F203" s="173">
        <f>C203/B203</f>
        <v>0.33765906324208544</v>
      </c>
    </row>
    <row r="204" spans="1:6" x14ac:dyDescent="0.25">
      <c r="A204" s="99" t="s">
        <v>593</v>
      </c>
      <c r="B204" s="49">
        <v>289041713</v>
      </c>
      <c r="C204" s="49">
        <v>153950175</v>
      </c>
      <c r="D204" s="49">
        <v>83849307.662141994</v>
      </c>
      <c r="E204" s="50">
        <f>VLOOKUP($A204,'Data shares'!$C:$FA,154)*100</f>
        <v>54.290000000000006</v>
      </c>
      <c r="F204" s="173">
        <f>C204/B204</f>
        <v>0.53262269103698534</v>
      </c>
    </row>
    <row r="205" spans="1:6" x14ac:dyDescent="0.25">
      <c r="A205" s="99" t="s">
        <v>569</v>
      </c>
      <c r="B205" s="49">
        <v>47269416</v>
      </c>
      <c r="C205" s="49">
        <v>23696000</v>
      </c>
      <c r="D205" s="49">
        <v>13213549.933836</v>
      </c>
      <c r="E205" s="50"/>
      <c r="F205" s="173">
        <f>C205/B205</f>
        <v>0.50129665236397247</v>
      </c>
    </row>
    <row r="206" spans="1:6" x14ac:dyDescent="0.25">
      <c r="A206" s="99" t="s">
        <v>675</v>
      </c>
      <c r="B206" s="49">
        <v>22813802</v>
      </c>
      <c r="C206" s="49">
        <v>7333700</v>
      </c>
      <c r="D206" s="49">
        <v>4339428.0519315004</v>
      </c>
      <c r="E206" s="50">
        <f>VLOOKUP($A206,'Data shares'!$C:$FA,154)*100</f>
        <v>32.869999999999997</v>
      </c>
      <c r="F206" s="173">
        <f>C206/B206</f>
        <v>0.32145891333675991</v>
      </c>
    </row>
    <row r="207" spans="1:6" x14ac:dyDescent="0.25">
      <c r="A207" s="99" t="s">
        <v>303</v>
      </c>
      <c r="B207" s="49">
        <v>82588393</v>
      </c>
      <c r="C207" s="49">
        <v>53010310</v>
      </c>
      <c r="D207" s="49">
        <v>27182915.205934498</v>
      </c>
      <c r="E207" s="50">
        <f>VLOOKUP($A207,'Data shares'!$C:$FA,154)*100</f>
        <v>64.990000000000009</v>
      </c>
      <c r="F207" s="173">
        <f>C207/B207</f>
        <v>0.64186150225734506</v>
      </c>
    </row>
    <row r="208" spans="1:6" x14ac:dyDescent="0.25">
      <c r="A208" s="99" t="s">
        <v>586</v>
      </c>
      <c r="B208" s="49">
        <v>203804339</v>
      </c>
      <c r="C208" s="49">
        <v>77152125</v>
      </c>
      <c r="D208" s="49">
        <v>40959226.361016199</v>
      </c>
      <c r="E208" s="50">
        <f>VLOOKUP($A208,'Data shares'!$C:$FA,154)*100</f>
        <v>38.590000000000003</v>
      </c>
      <c r="F208" s="173">
        <f>C208/B208</f>
        <v>0.37855977639416205</v>
      </c>
    </row>
    <row r="209" spans="1:6" x14ac:dyDescent="0.25">
      <c r="A209" s="99" t="s">
        <v>304</v>
      </c>
      <c r="B209" s="49">
        <v>255091106</v>
      </c>
      <c r="C209" s="49">
        <v>175398000</v>
      </c>
      <c r="D209" s="49">
        <v>97939589.546307504</v>
      </c>
      <c r="E209" s="50">
        <f>VLOOKUP($A209,'Data shares'!$C:$FA,154)*100</f>
        <v>70.150000000000006</v>
      </c>
      <c r="F209" s="173">
        <f>C209/B209</f>
        <v>0.68758963317207933</v>
      </c>
    </row>
    <row r="210" spans="1:6" x14ac:dyDescent="0.25">
      <c r="A210" s="99" t="s">
        <v>305</v>
      </c>
      <c r="B210" s="49">
        <v>34594689</v>
      </c>
      <c r="C210" s="49">
        <v>23754750</v>
      </c>
      <c r="D210" s="49">
        <v>11209703.070596199</v>
      </c>
      <c r="E210" s="50">
        <f>VLOOKUP($A210,'Data shares'!$C:$FA,154)*100</f>
        <v>71.040000000000006</v>
      </c>
      <c r="F210" s="173">
        <f>C210/B210</f>
        <v>0.68665886835982248</v>
      </c>
    </row>
    <row r="211" spans="1:6" x14ac:dyDescent="0.25">
      <c r="A211" s="99" t="s">
        <v>306</v>
      </c>
      <c r="B211" s="49">
        <v>292948819</v>
      </c>
      <c r="C211" s="49">
        <v>247887000</v>
      </c>
      <c r="D211" s="49">
        <v>121787454.6207</v>
      </c>
      <c r="E211" s="50">
        <f>VLOOKUP($A211,'Data shares'!$C:$FA,154)*100</f>
        <v>87.050000000000011</v>
      </c>
      <c r="F211" s="173">
        <f>C211/B211</f>
        <v>0.84617852649544223</v>
      </c>
    </row>
    <row r="212" spans="1:6" x14ac:dyDescent="0.25">
      <c r="A212" s="99" t="s">
        <v>590</v>
      </c>
      <c r="B212" s="49">
        <v>3136562346</v>
      </c>
      <c r="C212" s="49">
        <v>1826254200</v>
      </c>
      <c r="D212" s="49">
        <v>992817053.83727896</v>
      </c>
      <c r="E212" s="50">
        <f>VLOOKUP($A212,'Data shares'!$C:$FA,154)*100</f>
        <v>59.64</v>
      </c>
      <c r="F212" s="173">
        <f>C212/B212</f>
        <v>0.58224705857640235</v>
      </c>
    </row>
    <row r="213" spans="1:6" x14ac:dyDescent="0.25">
      <c r="A213" s="99" t="s">
        <v>557</v>
      </c>
      <c r="B213" s="49">
        <v>32617803</v>
      </c>
      <c r="C213" s="49">
        <v>20848500</v>
      </c>
      <c r="D213" s="49">
        <v>10286248.383881999</v>
      </c>
      <c r="E213" s="50">
        <f>VLOOKUP($A213,'Data shares'!$C:$FA,154)*100</f>
        <v>65.53</v>
      </c>
      <c r="F213" s="173">
        <f>C213/B213</f>
        <v>0.63917548340089003</v>
      </c>
    </row>
    <row r="214" spans="1:6" x14ac:dyDescent="0.25">
      <c r="A214" s="99"/>
      <c r="B214" s="49"/>
      <c r="C214" s="49"/>
      <c r="D214" s="49"/>
      <c r="E214" s="50"/>
      <c r="F214" s="173"/>
    </row>
    <row r="215" spans="1:6" x14ac:dyDescent="0.25">
      <c r="A215" s="99"/>
      <c r="B215" s="49"/>
      <c r="C215" s="49"/>
      <c r="D215" s="49"/>
      <c r="E215" s="50"/>
      <c r="F215" s="173"/>
    </row>
    <row r="216" spans="1:6" x14ac:dyDescent="0.25">
      <c r="A216" s="99"/>
      <c r="B216" s="49"/>
      <c r="C216" s="49"/>
      <c r="D216" s="49"/>
      <c r="E216" s="50"/>
      <c r="F216" s="173"/>
    </row>
    <row r="217" spans="1:6" x14ac:dyDescent="0.25">
      <c r="A217" s="99"/>
      <c r="B217" s="49"/>
      <c r="C217" s="49"/>
      <c r="D217" s="49"/>
      <c r="E217" s="50"/>
      <c r="F217" s="173"/>
    </row>
    <row r="218" spans="1:6" x14ac:dyDescent="0.25">
      <c r="A218" s="99"/>
      <c r="B218" s="49"/>
      <c r="C218" s="49"/>
      <c r="D218" s="49"/>
      <c r="E218" s="50"/>
      <c r="F218" s="173"/>
    </row>
    <row r="219" spans="1:6" x14ac:dyDescent="0.25">
      <c r="A219" s="99"/>
      <c r="B219" s="49"/>
      <c r="C219" s="49"/>
      <c r="D219" s="49"/>
      <c r="E219" s="50"/>
      <c r="F219" s="173"/>
    </row>
    <row r="220" spans="1:6" x14ac:dyDescent="0.25">
      <c r="A220" s="99"/>
      <c r="B220" s="49"/>
      <c r="C220" s="49"/>
      <c r="D220" s="49"/>
      <c r="E220" s="50"/>
      <c r="F220" s="173"/>
    </row>
    <row r="221" spans="1:6" x14ac:dyDescent="0.25">
      <c r="A221" s="99"/>
      <c r="B221" s="49"/>
      <c r="C221" s="49"/>
      <c r="D221" s="49"/>
      <c r="E221" s="50"/>
      <c r="F221" s="173"/>
    </row>
    <row r="222" spans="1:6" x14ac:dyDescent="0.25">
      <c r="A222" s="99"/>
      <c r="B222" s="49"/>
      <c r="C222" s="49"/>
      <c r="D222" s="49"/>
      <c r="E222" s="50"/>
      <c r="F222" s="173"/>
    </row>
    <row r="223" spans="1:6" x14ac:dyDescent="0.25">
      <c r="A223" s="99"/>
      <c r="B223" s="49"/>
      <c r="C223" s="49"/>
      <c r="D223" s="49"/>
      <c r="E223" s="50"/>
      <c r="F223" s="173"/>
    </row>
    <row r="224" spans="1:6" x14ac:dyDescent="0.25">
      <c r="A224" s="99"/>
      <c r="B224" s="49"/>
      <c r="C224" s="49"/>
      <c r="D224" s="49"/>
      <c r="E224" s="50"/>
      <c r="F224" s="173"/>
    </row>
    <row r="225" spans="1:6" x14ac:dyDescent="0.25">
      <c r="A225" s="99"/>
      <c r="B225" s="49"/>
      <c r="C225" s="49"/>
      <c r="D225" s="49"/>
      <c r="E225" s="50"/>
      <c r="F225" s="173"/>
    </row>
    <row r="226" spans="1:6" x14ac:dyDescent="0.25">
      <c r="A226" s="99"/>
      <c r="B226" s="49"/>
      <c r="C226" s="49"/>
      <c r="D226" s="49"/>
      <c r="E226" s="50"/>
      <c r="F226" s="173"/>
    </row>
    <row r="227" spans="1:6" x14ac:dyDescent="0.25">
      <c r="A227" s="99"/>
      <c r="B227" s="49"/>
      <c r="C227" s="49"/>
      <c r="D227" s="49"/>
      <c r="E227" s="50"/>
      <c r="F227" s="173"/>
    </row>
    <row r="228" spans="1:6" x14ac:dyDescent="0.25">
      <c r="A228" s="99"/>
      <c r="B228" s="49"/>
      <c r="C228" s="49"/>
      <c r="D228" s="49"/>
      <c r="E228" s="50"/>
      <c r="F228" s="173"/>
    </row>
    <row r="229" spans="1:6" x14ac:dyDescent="0.25">
      <c r="A229" s="99"/>
      <c r="B229" s="49"/>
      <c r="C229" s="49"/>
      <c r="D229" s="49"/>
      <c r="E229" s="50"/>
      <c r="F229" s="173"/>
    </row>
    <row r="230" spans="1:6" x14ac:dyDescent="0.25">
      <c r="A230" s="99"/>
      <c r="B230" s="49"/>
      <c r="C230" s="49"/>
      <c r="D230" s="49"/>
      <c r="E230" s="50"/>
      <c r="F230" s="173"/>
    </row>
    <row r="231" spans="1:6" x14ac:dyDescent="0.25">
      <c r="A231" s="99"/>
      <c r="B231" s="49"/>
      <c r="C231" s="49"/>
      <c r="D231" s="49"/>
      <c r="E231" s="50"/>
      <c r="F231" s="173"/>
    </row>
  </sheetData>
  <autoFilter ref="A4:F4">
    <sortState ref="A5:F213">
      <sortCondition ref="A4"/>
    </sortState>
  </autoFilter>
  <mergeCells count="1">
    <mergeCell ref="A3:F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90"/>
  <sheetViews>
    <sheetView zoomScaleNormal="100" workbookViewId="0">
      <selection activeCell="I9" sqref="I9"/>
    </sheetView>
  </sheetViews>
  <sheetFormatPr defaultRowHeight="11.25" x14ac:dyDescent="0.2"/>
  <cols>
    <col min="1" max="1" width="12.5703125" style="63" customWidth="1"/>
    <col min="2" max="9" width="9.42578125" style="63" bestFit="1" customWidth="1"/>
    <col min="10" max="10" width="11.28515625" style="48" bestFit="1" customWidth="1"/>
    <col min="11" max="11" width="9.85546875" style="48" bestFit="1" customWidth="1"/>
    <col min="12" max="12" width="10.5703125" style="48" bestFit="1" customWidth="1"/>
    <col min="13" max="13" width="9.85546875" style="48" bestFit="1" customWidth="1"/>
    <col min="14" max="14" width="11" style="48" customWidth="1"/>
    <col min="15" max="16384" width="9.140625" style="48"/>
  </cols>
  <sheetData>
    <row r="1" spans="1:15" s="53" customFormat="1" x14ac:dyDescent="0.2">
      <c r="A1" s="52"/>
      <c r="B1" s="52"/>
      <c r="C1" s="52"/>
      <c r="D1" s="52"/>
      <c r="E1" s="52"/>
      <c r="F1" s="52"/>
      <c r="G1" s="52"/>
      <c r="H1" s="52"/>
      <c r="I1" s="52"/>
    </row>
    <row r="2" spans="1:15" s="53" customFormat="1" x14ac:dyDescent="0.2">
      <c r="A2" s="52"/>
      <c r="B2" s="52"/>
      <c r="C2" s="52"/>
      <c r="D2" s="52"/>
      <c r="E2" s="52"/>
      <c r="F2" s="52"/>
      <c r="G2" s="52"/>
      <c r="H2" s="52"/>
      <c r="I2" s="52"/>
    </row>
    <row r="3" spans="1:15" s="53" customFormat="1" ht="12" thickBot="1" x14ac:dyDescent="0.25">
      <c r="A3" s="52"/>
      <c r="B3" s="52"/>
      <c r="C3" s="52"/>
      <c r="D3" s="52"/>
      <c r="E3" s="52"/>
      <c r="F3" s="52"/>
      <c r="G3" s="52"/>
      <c r="H3" s="52"/>
      <c r="I3" s="52"/>
    </row>
    <row r="4" spans="1:15" s="53" customFormat="1" ht="9.6" customHeight="1" thickBot="1" x14ac:dyDescent="0.25">
      <c r="A4" s="320" t="s">
        <v>420</v>
      </c>
      <c r="B4" s="321"/>
      <c r="C4" s="321"/>
      <c r="D4" s="321"/>
      <c r="E4" s="321"/>
      <c r="F4" s="321"/>
      <c r="G4" s="321"/>
      <c r="H4" s="321"/>
      <c r="I4" s="321"/>
      <c r="J4" s="321"/>
      <c r="K4" s="321"/>
      <c r="L4" s="321"/>
      <c r="M4" s="321"/>
      <c r="N4" s="322"/>
    </row>
    <row r="5" spans="1:15" s="178" customFormat="1" ht="31.9" customHeight="1" x14ac:dyDescent="0.25">
      <c r="A5" s="177" t="s">
        <v>471</v>
      </c>
      <c r="B5" s="177" t="s">
        <v>505</v>
      </c>
      <c r="C5" s="177" t="s">
        <v>426</v>
      </c>
      <c r="D5" s="177" t="s">
        <v>421</v>
      </c>
      <c r="E5" s="177" t="s">
        <v>427</v>
      </c>
      <c r="F5" s="177" t="s">
        <v>423</v>
      </c>
      <c r="G5" s="177" t="s">
        <v>506</v>
      </c>
      <c r="H5" s="177" t="s">
        <v>507</v>
      </c>
      <c r="I5" s="177" t="s">
        <v>508</v>
      </c>
      <c r="J5" s="177" t="s">
        <v>424</v>
      </c>
      <c r="K5" s="177" t="s">
        <v>509</v>
      </c>
      <c r="L5" s="177" t="s">
        <v>510</v>
      </c>
      <c r="M5" s="177" t="s">
        <v>422</v>
      </c>
      <c r="N5" s="177" t="s">
        <v>425</v>
      </c>
    </row>
    <row r="6" spans="1:15" s="53" customFormat="1" x14ac:dyDescent="0.2">
      <c r="A6" s="196" t="s">
        <v>476</v>
      </c>
      <c r="B6" s="197">
        <v>91.22</v>
      </c>
      <c r="C6" s="197">
        <v>31.262</v>
      </c>
      <c r="D6" s="198">
        <v>45652</v>
      </c>
      <c r="E6" s="197">
        <v>1000</v>
      </c>
      <c r="F6" s="197">
        <v>446.6</v>
      </c>
      <c r="G6" s="197">
        <v>20.420000000000002</v>
      </c>
      <c r="H6" s="197">
        <v>7</v>
      </c>
      <c r="I6" s="197">
        <v>27.42</v>
      </c>
      <c r="J6" s="199"/>
      <c r="K6" s="197">
        <v>122.482</v>
      </c>
      <c r="L6" s="197">
        <v>31262</v>
      </c>
      <c r="M6" s="197">
        <v>122482</v>
      </c>
      <c r="N6" s="196"/>
      <c r="O6" s="192"/>
    </row>
    <row r="7" spans="1:15" s="53" customFormat="1" x14ac:dyDescent="0.2">
      <c r="A7" s="196" t="s">
        <v>476</v>
      </c>
      <c r="B7" s="197">
        <v>91.195719999999994</v>
      </c>
      <c r="C7" s="197">
        <v>31.262</v>
      </c>
      <c r="D7" s="198">
        <v>45687</v>
      </c>
      <c r="E7" s="197">
        <v>1000</v>
      </c>
      <c r="F7" s="197">
        <v>446.6</v>
      </c>
      <c r="G7" s="197">
        <v>20.420000000000002</v>
      </c>
      <c r="H7" s="197">
        <v>7</v>
      </c>
      <c r="I7" s="197">
        <v>27.42</v>
      </c>
      <c r="J7" s="199"/>
      <c r="K7" s="197">
        <v>122.482</v>
      </c>
      <c r="L7" s="197">
        <v>31262</v>
      </c>
      <c r="M7" s="197">
        <v>122482</v>
      </c>
      <c r="N7" s="196"/>
      <c r="O7" s="192"/>
    </row>
    <row r="8" spans="1:15" s="53" customFormat="1" x14ac:dyDescent="0.2">
      <c r="A8" s="196" t="s">
        <v>476</v>
      </c>
      <c r="B8" s="197">
        <v>91.195719999999994</v>
      </c>
      <c r="C8" s="197">
        <v>31.262</v>
      </c>
      <c r="D8" s="198">
        <v>45715</v>
      </c>
      <c r="E8" s="197">
        <v>1000</v>
      </c>
      <c r="F8" s="197">
        <v>446.6</v>
      </c>
      <c r="G8" s="197">
        <v>20.420000000000002</v>
      </c>
      <c r="H8" s="197">
        <v>7</v>
      </c>
      <c r="I8" s="197">
        <v>27.42</v>
      </c>
      <c r="J8" s="199"/>
      <c r="K8" s="197">
        <v>122.482</v>
      </c>
      <c r="L8" s="197">
        <v>31262</v>
      </c>
      <c r="M8" s="197">
        <v>122482</v>
      </c>
      <c r="N8" s="196"/>
      <c r="O8" s="192"/>
    </row>
    <row r="9" spans="1:15" s="53" customFormat="1" x14ac:dyDescent="0.2">
      <c r="A9" s="196" t="s">
        <v>553</v>
      </c>
      <c r="B9" s="197">
        <v>1455.17</v>
      </c>
      <c r="C9" s="197">
        <v>270.50450000000001</v>
      </c>
      <c r="D9" s="198">
        <v>45652</v>
      </c>
      <c r="E9" s="197">
        <v>125</v>
      </c>
      <c r="F9" s="197">
        <v>7728.7</v>
      </c>
      <c r="G9" s="197">
        <v>18.82</v>
      </c>
      <c r="H9" s="197">
        <v>3.5</v>
      </c>
      <c r="I9" s="197">
        <v>22.32</v>
      </c>
      <c r="J9" s="199"/>
      <c r="K9" s="197">
        <v>1725.6745000000001</v>
      </c>
      <c r="L9" s="197">
        <v>33813.0625</v>
      </c>
      <c r="M9" s="197">
        <v>215709.0625</v>
      </c>
      <c r="N9" s="196"/>
      <c r="O9" s="192"/>
    </row>
    <row r="10" spans="1:15" s="53" customFormat="1" x14ac:dyDescent="0.2">
      <c r="A10" s="196" t="s">
        <v>553</v>
      </c>
      <c r="B10" s="197">
        <v>1454.54134</v>
      </c>
      <c r="C10" s="197">
        <v>270.50450000000001</v>
      </c>
      <c r="D10" s="198">
        <v>45687</v>
      </c>
      <c r="E10" s="197">
        <v>125</v>
      </c>
      <c r="F10" s="197">
        <v>7728.7</v>
      </c>
      <c r="G10" s="197">
        <v>18.82</v>
      </c>
      <c r="H10" s="197">
        <v>3.5</v>
      </c>
      <c r="I10" s="197">
        <v>22.32</v>
      </c>
      <c r="J10" s="199"/>
      <c r="K10" s="197">
        <v>1725.6745000000001</v>
      </c>
      <c r="L10" s="197">
        <v>33813.0625</v>
      </c>
      <c r="M10" s="197">
        <v>215709.0625</v>
      </c>
      <c r="N10" s="196"/>
      <c r="O10" s="192"/>
    </row>
    <row r="11" spans="1:15" s="53" customFormat="1" x14ac:dyDescent="0.2">
      <c r="A11" s="196" t="s">
        <v>553</v>
      </c>
      <c r="B11" s="197">
        <v>1454.54134</v>
      </c>
      <c r="C11" s="197">
        <v>270.50450000000001</v>
      </c>
      <c r="D11" s="198">
        <v>45715</v>
      </c>
      <c r="E11" s="197">
        <v>125</v>
      </c>
      <c r="F11" s="197">
        <v>7728.7</v>
      </c>
      <c r="G11" s="197">
        <v>18.82</v>
      </c>
      <c r="H11" s="197">
        <v>3.5</v>
      </c>
      <c r="I11" s="197">
        <v>22.32</v>
      </c>
      <c r="J11" s="199"/>
      <c r="K11" s="197">
        <v>1725.6745000000001</v>
      </c>
      <c r="L11" s="197">
        <v>33813.0625</v>
      </c>
      <c r="M11" s="197">
        <v>215709.0625</v>
      </c>
      <c r="N11" s="196"/>
      <c r="O11" s="192"/>
    </row>
    <row r="12" spans="1:15" s="53" customFormat="1" x14ac:dyDescent="0.2">
      <c r="A12" s="196" t="s">
        <v>522</v>
      </c>
      <c r="B12" s="197">
        <v>4122.05</v>
      </c>
      <c r="C12" s="197">
        <v>1010.5095</v>
      </c>
      <c r="D12" s="198">
        <v>45652</v>
      </c>
      <c r="E12" s="197">
        <v>20</v>
      </c>
      <c r="F12" s="197">
        <v>28871.7</v>
      </c>
      <c r="G12" s="197">
        <v>14.27</v>
      </c>
      <c r="H12" s="197">
        <v>3.5</v>
      </c>
      <c r="I12" s="197">
        <v>17.77</v>
      </c>
      <c r="J12" s="199"/>
      <c r="K12" s="197">
        <v>5132.5595000000003</v>
      </c>
      <c r="L12" s="197">
        <v>20210.189999999999</v>
      </c>
      <c r="M12" s="197">
        <v>102651.19</v>
      </c>
      <c r="N12" s="196"/>
      <c r="O12" s="192"/>
    </row>
    <row r="13" spans="1:15" s="53" customFormat="1" x14ac:dyDescent="0.2">
      <c r="A13" s="196" t="s">
        <v>522</v>
      </c>
      <c r="B13" s="197">
        <v>4119.9915899999996</v>
      </c>
      <c r="C13" s="197">
        <v>1010.5095</v>
      </c>
      <c r="D13" s="198">
        <v>45687</v>
      </c>
      <c r="E13" s="197">
        <v>20</v>
      </c>
      <c r="F13" s="197">
        <v>28871.7</v>
      </c>
      <c r="G13" s="197">
        <v>14.27</v>
      </c>
      <c r="H13" s="197">
        <v>3.5</v>
      </c>
      <c r="I13" s="197">
        <v>17.77</v>
      </c>
      <c r="J13" s="199"/>
      <c r="K13" s="197">
        <v>5132.5595000000003</v>
      </c>
      <c r="L13" s="197">
        <v>20210.189999999999</v>
      </c>
      <c r="M13" s="197">
        <v>102651.19</v>
      </c>
      <c r="N13" s="196"/>
      <c r="O13" s="192"/>
    </row>
    <row r="14" spans="1:15" s="53" customFormat="1" x14ac:dyDescent="0.2">
      <c r="A14" s="196" t="s">
        <v>522</v>
      </c>
      <c r="B14" s="197">
        <v>4119.9915899999996</v>
      </c>
      <c r="C14" s="197">
        <v>1010.5095</v>
      </c>
      <c r="D14" s="198">
        <v>45715</v>
      </c>
      <c r="E14" s="197">
        <v>20</v>
      </c>
      <c r="F14" s="197">
        <v>28871.7</v>
      </c>
      <c r="G14" s="197">
        <v>14.27</v>
      </c>
      <c r="H14" s="197">
        <v>3.5</v>
      </c>
      <c r="I14" s="197">
        <v>17.77</v>
      </c>
      <c r="J14" s="199"/>
      <c r="K14" s="197">
        <v>5132.5595000000003</v>
      </c>
      <c r="L14" s="197">
        <v>20210.189999999999</v>
      </c>
      <c r="M14" s="197">
        <v>102651.19</v>
      </c>
      <c r="N14" s="196"/>
      <c r="O14" s="192"/>
    </row>
    <row r="15" spans="1:15" s="53" customFormat="1" x14ac:dyDescent="0.2">
      <c r="A15" s="196" t="s">
        <v>544</v>
      </c>
      <c r="B15" s="197">
        <v>37.18</v>
      </c>
      <c r="C15" s="197">
        <v>7.056</v>
      </c>
      <c r="D15" s="198">
        <v>45652</v>
      </c>
      <c r="E15" s="197">
        <v>2700</v>
      </c>
      <c r="F15" s="197">
        <v>201.6</v>
      </c>
      <c r="G15" s="197">
        <v>18.440000000000001</v>
      </c>
      <c r="H15" s="197">
        <v>3.5</v>
      </c>
      <c r="I15" s="197">
        <v>21.94</v>
      </c>
      <c r="J15" s="199"/>
      <c r="K15" s="197">
        <v>44.235999999999997</v>
      </c>
      <c r="L15" s="197">
        <v>19051.2</v>
      </c>
      <c r="M15" s="197">
        <v>119437.2</v>
      </c>
      <c r="N15" s="196"/>
      <c r="O15" s="192"/>
    </row>
    <row r="16" spans="1:15" s="53" customFormat="1" x14ac:dyDescent="0.2">
      <c r="A16" s="196" t="s">
        <v>544</v>
      </c>
      <c r="B16" s="197">
        <v>37.175040000000003</v>
      </c>
      <c r="C16" s="197">
        <v>7.056</v>
      </c>
      <c r="D16" s="198">
        <v>45687</v>
      </c>
      <c r="E16" s="197">
        <v>2700</v>
      </c>
      <c r="F16" s="197">
        <v>201.6</v>
      </c>
      <c r="G16" s="197">
        <v>18.440000000000001</v>
      </c>
      <c r="H16" s="197">
        <v>3.5</v>
      </c>
      <c r="I16" s="197">
        <v>21.94</v>
      </c>
      <c r="J16" s="199"/>
      <c r="K16" s="197">
        <v>44.235999999999997</v>
      </c>
      <c r="L16" s="197">
        <v>19051.2</v>
      </c>
      <c r="M16" s="197">
        <v>119437.2</v>
      </c>
      <c r="N16" s="196"/>
      <c r="O16" s="192"/>
    </row>
    <row r="17" spans="1:15" s="53" customFormat="1" x14ac:dyDescent="0.2">
      <c r="A17" s="196" t="s">
        <v>544</v>
      </c>
      <c r="B17" s="197">
        <v>37.175040000000003</v>
      </c>
      <c r="C17" s="197">
        <v>7.056</v>
      </c>
      <c r="D17" s="198">
        <v>45715</v>
      </c>
      <c r="E17" s="197">
        <v>2700</v>
      </c>
      <c r="F17" s="197">
        <v>201.6</v>
      </c>
      <c r="G17" s="197">
        <v>18.440000000000001</v>
      </c>
      <c r="H17" s="197">
        <v>3.5</v>
      </c>
      <c r="I17" s="197">
        <v>21.94</v>
      </c>
      <c r="J17" s="199"/>
      <c r="K17" s="197">
        <v>44.235999999999997</v>
      </c>
      <c r="L17" s="197">
        <v>19051.2</v>
      </c>
      <c r="M17" s="197">
        <v>119437.2</v>
      </c>
      <c r="N17" s="196"/>
      <c r="O17" s="192"/>
    </row>
    <row r="18" spans="1:15" s="53" customFormat="1" x14ac:dyDescent="0.2">
      <c r="A18" s="196" t="s">
        <v>499</v>
      </c>
      <c r="B18" s="197">
        <v>59.88</v>
      </c>
      <c r="C18" s="197">
        <v>27.085599999999999</v>
      </c>
      <c r="D18" s="198">
        <v>45652</v>
      </c>
      <c r="E18" s="197">
        <v>2600</v>
      </c>
      <c r="F18" s="197">
        <v>309.55</v>
      </c>
      <c r="G18" s="197">
        <v>19.34</v>
      </c>
      <c r="H18" s="197">
        <v>8.75</v>
      </c>
      <c r="I18" s="197">
        <v>28.09</v>
      </c>
      <c r="J18" s="199"/>
      <c r="K18" s="197">
        <v>86.965599999999995</v>
      </c>
      <c r="L18" s="197">
        <v>70422.625</v>
      </c>
      <c r="M18" s="197">
        <v>226110.625</v>
      </c>
      <c r="N18" s="196"/>
      <c r="O18" s="192"/>
    </row>
    <row r="19" spans="1:15" s="53" customFormat="1" x14ac:dyDescent="0.2">
      <c r="A19" s="196" t="s">
        <v>499</v>
      </c>
      <c r="B19" s="197">
        <v>59.866970000000002</v>
      </c>
      <c r="C19" s="197">
        <v>27.085599999999999</v>
      </c>
      <c r="D19" s="198">
        <v>45687</v>
      </c>
      <c r="E19" s="197">
        <v>2600</v>
      </c>
      <c r="F19" s="197">
        <v>309.55</v>
      </c>
      <c r="G19" s="197">
        <v>19.34</v>
      </c>
      <c r="H19" s="197">
        <v>8.75</v>
      </c>
      <c r="I19" s="197">
        <v>28.09</v>
      </c>
      <c r="J19" s="199"/>
      <c r="K19" s="197">
        <v>86.965599999999995</v>
      </c>
      <c r="L19" s="197">
        <v>70422.625</v>
      </c>
      <c r="M19" s="197">
        <v>226110.625</v>
      </c>
      <c r="N19" s="196"/>
      <c r="O19" s="192"/>
    </row>
    <row r="20" spans="1:15" s="53" customFormat="1" x14ac:dyDescent="0.2">
      <c r="A20" s="196" t="s">
        <v>499</v>
      </c>
      <c r="B20" s="197">
        <v>59.866970000000002</v>
      </c>
      <c r="C20" s="197">
        <v>27.085599999999999</v>
      </c>
      <c r="D20" s="198">
        <v>45715</v>
      </c>
      <c r="E20" s="197">
        <v>2600</v>
      </c>
      <c r="F20" s="197">
        <v>309.55</v>
      </c>
      <c r="G20" s="197">
        <v>19.34</v>
      </c>
      <c r="H20" s="197">
        <v>8.75</v>
      </c>
      <c r="I20" s="197">
        <v>28.09</v>
      </c>
      <c r="J20" s="199"/>
      <c r="K20" s="197">
        <v>86.965599999999995</v>
      </c>
      <c r="L20" s="197">
        <v>70422.625</v>
      </c>
      <c r="M20" s="197">
        <v>226110.625</v>
      </c>
      <c r="N20" s="196"/>
      <c r="O20" s="192"/>
    </row>
    <row r="21" spans="1:15" s="53" customFormat="1" x14ac:dyDescent="0.2">
      <c r="A21" s="196" t="s">
        <v>158</v>
      </c>
      <c r="B21" s="197">
        <v>388.91</v>
      </c>
      <c r="C21" s="197">
        <v>78.769300000000001</v>
      </c>
      <c r="D21" s="198">
        <v>45652</v>
      </c>
      <c r="E21" s="197">
        <v>300</v>
      </c>
      <c r="F21" s="197">
        <v>2250.5500000000002</v>
      </c>
      <c r="G21" s="197">
        <v>17.28</v>
      </c>
      <c r="H21" s="197">
        <v>3.5</v>
      </c>
      <c r="I21" s="197">
        <v>20.78</v>
      </c>
      <c r="J21" s="199"/>
      <c r="K21" s="197">
        <v>467.67930000000001</v>
      </c>
      <c r="L21" s="197">
        <v>23630.775000000001</v>
      </c>
      <c r="M21" s="197">
        <v>140303.77499999999</v>
      </c>
      <c r="N21" s="196"/>
      <c r="O21" s="192"/>
    </row>
    <row r="22" spans="1:15" s="53" customFormat="1" x14ac:dyDescent="0.2">
      <c r="A22" s="196" t="s">
        <v>158</v>
      </c>
      <c r="B22" s="197">
        <v>388.89503999999999</v>
      </c>
      <c r="C22" s="197">
        <v>78.769300000000001</v>
      </c>
      <c r="D22" s="198">
        <v>45687</v>
      </c>
      <c r="E22" s="197">
        <v>300</v>
      </c>
      <c r="F22" s="197">
        <v>2250.5500000000002</v>
      </c>
      <c r="G22" s="197">
        <v>17.28</v>
      </c>
      <c r="H22" s="197">
        <v>3.5</v>
      </c>
      <c r="I22" s="197">
        <v>20.78</v>
      </c>
      <c r="J22" s="199"/>
      <c r="K22" s="197">
        <v>467.67930000000001</v>
      </c>
      <c r="L22" s="197">
        <v>23630.775000000001</v>
      </c>
      <c r="M22" s="197">
        <v>140303.77499999999</v>
      </c>
      <c r="N22" s="196"/>
      <c r="O22" s="192"/>
    </row>
    <row r="23" spans="1:15" s="53" customFormat="1" x14ac:dyDescent="0.2">
      <c r="A23" s="196" t="s">
        <v>158</v>
      </c>
      <c r="B23" s="197">
        <v>388.89503999999999</v>
      </c>
      <c r="C23" s="197">
        <v>78.769300000000001</v>
      </c>
      <c r="D23" s="198">
        <v>45715</v>
      </c>
      <c r="E23" s="197">
        <v>300</v>
      </c>
      <c r="F23" s="197">
        <v>2250.5500000000002</v>
      </c>
      <c r="G23" s="197">
        <v>17.28</v>
      </c>
      <c r="H23" s="197">
        <v>3.5</v>
      </c>
      <c r="I23" s="197">
        <v>20.78</v>
      </c>
      <c r="J23" s="199"/>
      <c r="K23" s="197">
        <v>467.67930000000001</v>
      </c>
      <c r="L23" s="197">
        <v>23630.775000000001</v>
      </c>
      <c r="M23" s="197">
        <v>140303.77499999999</v>
      </c>
      <c r="N23" s="196"/>
      <c r="O23" s="192"/>
    </row>
    <row r="24" spans="1:15" s="53" customFormat="1" x14ac:dyDescent="0.2">
      <c r="A24" s="196" t="s">
        <v>579</v>
      </c>
      <c r="B24" s="197">
        <v>766.1</v>
      </c>
      <c r="C24" s="197">
        <v>27.702500000000001</v>
      </c>
      <c r="D24" s="198">
        <v>45652</v>
      </c>
      <c r="E24" s="197">
        <v>625</v>
      </c>
      <c r="F24" s="197">
        <v>791.5</v>
      </c>
      <c r="G24" s="197">
        <v>96.79</v>
      </c>
      <c r="H24" s="197">
        <v>3.5</v>
      </c>
      <c r="I24" s="197">
        <v>100.29</v>
      </c>
      <c r="J24" s="199"/>
      <c r="K24" s="197">
        <v>793.80250000000001</v>
      </c>
      <c r="L24" s="197">
        <v>17314.0625</v>
      </c>
      <c r="M24" s="197">
        <v>496127.0625</v>
      </c>
      <c r="N24" s="196"/>
      <c r="O24" s="192"/>
    </row>
    <row r="25" spans="1:15" s="53" customFormat="1" x14ac:dyDescent="0.2">
      <c r="A25" s="196" t="s">
        <v>579</v>
      </c>
      <c r="B25" s="197">
        <v>766.09285</v>
      </c>
      <c r="C25" s="197">
        <v>27.702500000000001</v>
      </c>
      <c r="D25" s="198">
        <v>45687</v>
      </c>
      <c r="E25" s="197">
        <v>625</v>
      </c>
      <c r="F25" s="197">
        <v>791.5</v>
      </c>
      <c r="G25" s="197">
        <v>96.79</v>
      </c>
      <c r="H25" s="197">
        <v>3.5</v>
      </c>
      <c r="I25" s="197">
        <v>100.29</v>
      </c>
      <c r="J25" s="199"/>
      <c r="K25" s="197">
        <v>793.80250000000001</v>
      </c>
      <c r="L25" s="197">
        <v>17314.0625</v>
      </c>
      <c r="M25" s="197">
        <v>496127.0625</v>
      </c>
      <c r="N25" s="196"/>
      <c r="O25" s="192"/>
    </row>
    <row r="26" spans="1:15" s="53" customFormat="1" x14ac:dyDescent="0.2">
      <c r="A26" s="196" t="s">
        <v>579</v>
      </c>
      <c r="B26" s="197">
        <v>766.09285</v>
      </c>
      <c r="C26" s="197">
        <v>27.702500000000001</v>
      </c>
      <c r="D26" s="198">
        <v>45715</v>
      </c>
      <c r="E26" s="197">
        <v>625</v>
      </c>
      <c r="F26" s="197">
        <v>791.5</v>
      </c>
      <c r="G26" s="197">
        <v>96.79</v>
      </c>
      <c r="H26" s="197">
        <v>3.5</v>
      </c>
      <c r="I26" s="197">
        <v>100.29</v>
      </c>
      <c r="J26" s="199"/>
      <c r="K26" s="197">
        <v>793.80250000000001</v>
      </c>
      <c r="L26" s="197">
        <v>17314.0625</v>
      </c>
      <c r="M26" s="197">
        <v>496127.0625</v>
      </c>
      <c r="N26" s="196"/>
      <c r="O26" s="192"/>
    </row>
    <row r="27" spans="1:15" s="53" customFormat="1" x14ac:dyDescent="0.2">
      <c r="A27" s="196" t="s">
        <v>159</v>
      </c>
      <c r="B27" s="197">
        <v>723.66</v>
      </c>
      <c r="C27" s="197">
        <v>172.00049999999999</v>
      </c>
      <c r="D27" s="198">
        <v>45652</v>
      </c>
      <c r="E27" s="197">
        <v>300</v>
      </c>
      <c r="F27" s="197">
        <v>2457.15</v>
      </c>
      <c r="G27" s="197">
        <v>29.45</v>
      </c>
      <c r="H27" s="197">
        <v>7</v>
      </c>
      <c r="I27" s="197">
        <v>36.450000000000003</v>
      </c>
      <c r="J27" s="199"/>
      <c r="K27" s="197">
        <v>895.66049999999996</v>
      </c>
      <c r="L27" s="197">
        <v>51600.15</v>
      </c>
      <c r="M27" s="197">
        <v>268698.15000000002</v>
      </c>
      <c r="N27" s="196"/>
      <c r="O27" s="192"/>
    </row>
    <row r="28" spans="1:15" s="53" customFormat="1" x14ac:dyDescent="0.2">
      <c r="A28" s="196" t="s">
        <v>159</v>
      </c>
      <c r="B28" s="197">
        <v>723.630675</v>
      </c>
      <c r="C28" s="197">
        <v>172.00049999999999</v>
      </c>
      <c r="D28" s="198">
        <v>45687</v>
      </c>
      <c r="E28" s="197">
        <v>300</v>
      </c>
      <c r="F28" s="197">
        <v>2457.15</v>
      </c>
      <c r="G28" s="197">
        <v>29.45</v>
      </c>
      <c r="H28" s="197">
        <v>7</v>
      </c>
      <c r="I28" s="197">
        <v>36.450000000000003</v>
      </c>
      <c r="J28" s="199"/>
      <c r="K28" s="197">
        <v>895.66049999999996</v>
      </c>
      <c r="L28" s="197">
        <v>51600.15</v>
      </c>
      <c r="M28" s="197">
        <v>268698.15000000002</v>
      </c>
      <c r="N28" s="196"/>
      <c r="O28" s="192"/>
    </row>
    <row r="29" spans="1:15" s="53" customFormat="1" x14ac:dyDescent="0.2">
      <c r="A29" s="196" t="s">
        <v>159</v>
      </c>
      <c r="B29" s="197">
        <v>723.630675</v>
      </c>
      <c r="C29" s="197">
        <v>172.00049999999999</v>
      </c>
      <c r="D29" s="198">
        <v>45715</v>
      </c>
      <c r="E29" s="197">
        <v>300</v>
      </c>
      <c r="F29" s="197">
        <v>2457.15</v>
      </c>
      <c r="G29" s="197">
        <v>29.45</v>
      </c>
      <c r="H29" s="197">
        <v>7</v>
      </c>
      <c r="I29" s="197">
        <v>36.450000000000003</v>
      </c>
      <c r="J29" s="199"/>
      <c r="K29" s="197">
        <v>895.66049999999996</v>
      </c>
      <c r="L29" s="197">
        <v>51600.15</v>
      </c>
      <c r="M29" s="197">
        <v>268698.15000000002</v>
      </c>
      <c r="N29" s="196"/>
      <c r="O29" s="192"/>
    </row>
    <row r="30" spans="1:15" s="53" customFormat="1" x14ac:dyDescent="0.2">
      <c r="A30" s="196" t="s">
        <v>606</v>
      </c>
      <c r="B30" s="197">
        <v>1111.21</v>
      </c>
      <c r="C30" s="197">
        <v>40.181800000000003</v>
      </c>
      <c r="D30" s="198">
        <v>45652</v>
      </c>
      <c r="E30" s="197">
        <v>375</v>
      </c>
      <c r="F30" s="197">
        <v>1148.05</v>
      </c>
      <c r="G30" s="197">
        <v>96.79</v>
      </c>
      <c r="H30" s="197">
        <v>3.5</v>
      </c>
      <c r="I30" s="197">
        <v>100.29</v>
      </c>
      <c r="J30" s="199"/>
      <c r="K30" s="197">
        <v>1151.3918000000001</v>
      </c>
      <c r="L30" s="197">
        <v>15068.156300000001</v>
      </c>
      <c r="M30" s="197">
        <v>431772.15629999997</v>
      </c>
      <c r="N30" s="196"/>
      <c r="O30" s="192"/>
    </row>
    <row r="31" spans="1:15" s="53" customFormat="1" x14ac:dyDescent="0.2">
      <c r="A31" s="196" t="s">
        <v>606</v>
      </c>
      <c r="B31" s="197">
        <v>1111.1975950000001</v>
      </c>
      <c r="C31" s="197">
        <v>40.181800000000003</v>
      </c>
      <c r="D31" s="198">
        <v>45687</v>
      </c>
      <c r="E31" s="197">
        <v>375</v>
      </c>
      <c r="F31" s="197">
        <v>1148.05</v>
      </c>
      <c r="G31" s="197">
        <v>96.79</v>
      </c>
      <c r="H31" s="197">
        <v>3.5</v>
      </c>
      <c r="I31" s="197">
        <v>100.29</v>
      </c>
      <c r="J31" s="199"/>
      <c r="K31" s="197">
        <v>1151.3918000000001</v>
      </c>
      <c r="L31" s="197">
        <v>15068.156300000001</v>
      </c>
      <c r="M31" s="197">
        <v>431772.15629999997</v>
      </c>
      <c r="N31" s="196"/>
      <c r="O31" s="192"/>
    </row>
    <row r="32" spans="1:15" s="53" customFormat="1" x14ac:dyDescent="0.2">
      <c r="A32" s="196" t="s">
        <v>606</v>
      </c>
      <c r="B32" s="197">
        <v>1111.1975950000001</v>
      </c>
      <c r="C32" s="197">
        <v>40.181800000000003</v>
      </c>
      <c r="D32" s="198">
        <v>45715</v>
      </c>
      <c r="E32" s="197">
        <v>375</v>
      </c>
      <c r="F32" s="197">
        <v>1148.05</v>
      </c>
      <c r="G32" s="197">
        <v>96.79</v>
      </c>
      <c r="H32" s="197">
        <v>3.5</v>
      </c>
      <c r="I32" s="197">
        <v>100.29</v>
      </c>
      <c r="J32" s="199"/>
      <c r="K32" s="197">
        <v>1151.3918000000001</v>
      </c>
      <c r="L32" s="197">
        <v>15068.156300000001</v>
      </c>
      <c r="M32" s="197">
        <v>431772.15629999997</v>
      </c>
      <c r="N32" s="196"/>
      <c r="O32" s="192"/>
    </row>
    <row r="33" spans="1:15" s="53" customFormat="1" x14ac:dyDescent="0.2">
      <c r="A33" s="196" t="s">
        <v>160</v>
      </c>
      <c r="B33" s="197">
        <v>284.52999999999997</v>
      </c>
      <c r="C33" s="197">
        <v>43.183</v>
      </c>
      <c r="D33" s="198">
        <v>45652</v>
      </c>
      <c r="E33" s="197">
        <v>400</v>
      </c>
      <c r="F33" s="197">
        <v>1233.8</v>
      </c>
      <c r="G33" s="197">
        <v>23.06</v>
      </c>
      <c r="H33" s="197">
        <v>3.5</v>
      </c>
      <c r="I33" s="197">
        <v>26.56</v>
      </c>
      <c r="J33" s="199"/>
      <c r="K33" s="197">
        <v>327.71300000000002</v>
      </c>
      <c r="L33" s="197">
        <v>17273.2</v>
      </c>
      <c r="M33" s="197">
        <v>131085.20000000001</v>
      </c>
      <c r="N33" s="196"/>
      <c r="O33" s="192"/>
    </row>
    <row r="34" spans="1:15" s="53" customFormat="1" x14ac:dyDescent="0.2">
      <c r="A34" s="196" t="s">
        <v>160</v>
      </c>
      <c r="B34" s="197">
        <v>284.51427999999999</v>
      </c>
      <c r="C34" s="197">
        <v>43.183</v>
      </c>
      <c r="D34" s="198">
        <v>45687</v>
      </c>
      <c r="E34" s="197">
        <v>400</v>
      </c>
      <c r="F34" s="197">
        <v>1233.8</v>
      </c>
      <c r="G34" s="197">
        <v>23.06</v>
      </c>
      <c r="H34" s="197">
        <v>3.5</v>
      </c>
      <c r="I34" s="197">
        <v>26.56</v>
      </c>
      <c r="J34" s="199"/>
      <c r="K34" s="197">
        <v>327.71300000000002</v>
      </c>
      <c r="L34" s="197">
        <v>17273.2</v>
      </c>
      <c r="M34" s="197">
        <v>131085.20000000001</v>
      </c>
      <c r="N34" s="196"/>
      <c r="O34" s="192"/>
    </row>
    <row r="35" spans="1:15" s="53" customFormat="1" x14ac:dyDescent="0.2">
      <c r="A35" s="196" t="s">
        <v>160</v>
      </c>
      <c r="B35" s="197">
        <v>284.51427999999999</v>
      </c>
      <c r="C35" s="197">
        <v>43.183</v>
      </c>
      <c r="D35" s="198">
        <v>45715</v>
      </c>
      <c r="E35" s="197">
        <v>400</v>
      </c>
      <c r="F35" s="197">
        <v>1233.8</v>
      </c>
      <c r="G35" s="197">
        <v>23.06</v>
      </c>
      <c r="H35" s="197">
        <v>3.5</v>
      </c>
      <c r="I35" s="197">
        <v>26.56</v>
      </c>
      <c r="J35" s="199"/>
      <c r="K35" s="197">
        <v>327.71300000000002</v>
      </c>
      <c r="L35" s="197">
        <v>17273.2</v>
      </c>
      <c r="M35" s="197">
        <v>131085.20000000001</v>
      </c>
      <c r="N35" s="196"/>
      <c r="O35" s="192"/>
    </row>
    <row r="36" spans="1:15" s="53" customFormat="1" x14ac:dyDescent="0.2">
      <c r="A36" s="196" t="s">
        <v>497</v>
      </c>
      <c r="B36" s="197">
        <v>783.8</v>
      </c>
      <c r="C36" s="197">
        <v>192.14830000000001</v>
      </c>
      <c r="D36" s="198">
        <v>45652</v>
      </c>
      <c r="E36" s="197">
        <v>100</v>
      </c>
      <c r="F36" s="197">
        <v>5489.95</v>
      </c>
      <c r="G36" s="197">
        <v>14.27</v>
      </c>
      <c r="H36" s="197">
        <v>3.5</v>
      </c>
      <c r="I36" s="197">
        <v>17.77</v>
      </c>
      <c r="J36" s="199"/>
      <c r="K36" s="197">
        <v>975.94830000000002</v>
      </c>
      <c r="L36" s="197">
        <v>19214.825000000001</v>
      </c>
      <c r="M36" s="197">
        <v>97594.824999999997</v>
      </c>
      <c r="N36" s="196"/>
      <c r="O36" s="192"/>
    </row>
    <row r="37" spans="1:15" s="53" customFormat="1" x14ac:dyDescent="0.2">
      <c r="A37" s="196" t="s">
        <v>497</v>
      </c>
      <c r="B37" s="197">
        <v>783.41586500000005</v>
      </c>
      <c r="C37" s="197">
        <v>192.14830000000001</v>
      </c>
      <c r="D37" s="198">
        <v>45687</v>
      </c>
      <c r="E37" s="197">
        <v>100</v>
      </c>
      <c r="F37" s="197">
        <v>5489.95</v>
      </c>
      <c r="G37" s="197">
        <v>14.27</v>
      </c>
      <c r="H37" s="197">
        <v>3.5</v>
      </c>
      <c r="I37" s="197">
        <v>17.77</v>
      </c>
      <c r="J37" s="199"/>
      <c r="K37" s="197">
        <v>975.94830000000002</v>
      </c>
      <c r="L37" s="197">
        <v>19214.825000000001</v>
      </c>
      <c r="M37" s="197">
        <v>97594.824999999997</v>
      </c>
      <c r="N37" s="196"/>
      <c r="O37" s="192"/>
    </row>
    <row r="38" spans="1:15" s="53" customFormat="1" x14ac:dyDescent="0.2">
      <c r="A38" s="196" t="s">
        <v>497</v>
      </c>
      <c r="B38" s="197">
        <v>783.41586500000005</v>
      </c>
      <c r="C38" s="197">
        <v>192.14830000000001</v>
      </c>
      <c r="D38" s="198">
        <v>45715</v>
      </c>
      <c r="E38" s="197">
        <v>100</v>
      </c>
      <c r="F38" s="197">
        <v>5489.95</v>
      </c>
      <c r="G38" s="197">
        <v>14.27</v>
      </c>
      <c r="H38" s="197">
        <v>3.5</v>
      </c>
      <c r="I38" s="197">
        <v>17.77</v>
      </c>
      <c r="J38" s="199"/>
      <c r="K38" s="197">
        <v>975.94830000000002</v>
      </c>
      <c r="L38" s="197">
        <v>19214.825000000001</v>
      </c>
      <c r="M38" s="197">
        <v>97594.824999999997</v>
      </c>
      <c r="N38" s="196"/>
      <c r="O38" s="192"/>
    </row>
    <row r="39" spans="1:15" s="53" customFormat="1" x14ac:dyDescent="0.2">
      <c r="A39" s="196" t="s">
        <v>164</v>
      </c>
      <c r="B39" s="197">
        <v>114.83</v>
      </c>
      <c r="C39" s="197">
        <v>20.245799999999999</v>
      </c>
      <c r="D39" s="198">
        <v>45652</v>
      </c>
      <c r="E39" s="197">
        <v>900</v>
      </c>
      <c r="F39" s="197">
        <v>578.45000000000005</v>
      </c>
      <c r="G39" s="197">
        <v>19.850000000000001</v>
      </c>
      <c r="H39" s="197">
        <v>3.5</v>
      </c>
      <c r="I39" s="197">
        <v>23.35</v>
      </c>
      <c r="J39" s="199"/>
      <c r="K39" s="197">
        <v>135.07579999999999</v>
      </c>
      <c r="L39" s="197">
        <v>18221.174999999999</v>
      </c>
      <c r="M39" s="197">
        <v>121568.175</v>
      </c>
      <c r="N39" s="196"/>
      <c r="O39" s="192"/>
    </row>
    <row r="40" spans="1:15" s="53" customFormat="1" x14ac:dyDescent="0.2">
      <c r="A40" s="196" t="s">
        <v>164</v>
      </c>
      <c r="B40" s="197">
        <v>114.82232500000001</v>
      </c>
      <c r="C40" s="197">
        <v>20.245799999999999</v>
      </c>
      <c r="D40" s="198">
        <v>45687</v>
      </c>
      <c r="E40" s="197">
        <v>900</v>
      </c>
      <c r="F40" s="197">
        <v>578.45000000000005</v>
      </c>
      <c r="G40" s="197">
        <v>19.850000000000001</v>
      </c>
      <c r="H40" s="197">
        <v>3.5</v>
      </c>
      <c r="I40" s="197">
        <v>23.35</v>
      </c>
      <c r="J40" s="199"/>
      <c r="K40" s="197">
        <v>135.07579999999999</v>
      </c>
      <c r="L40" s="197">
        <v>18221.174999999999</v>
      </c>
      <c r="M40" s="197">
        <v>121568.175</v>
      </c>
      <c r="N40" s="196"/>
      <c r="O40" s="192"/>
    </row>
    <row r="41" spans="1:15" s="53" customFormat="1" x14ac:dyDescent="0.2">
      <c r="A41" s="196" t="s">
        <v>164</v>
      </c>
      <c r="B41" s="197">
        <v>114.82232500000001</v>
      </c>
      <c r="C41" s="197">
        <v>20.245799999999999</v>
      </c>
      <c r="D41" s="198">
        <v>45715</v>
      </c>
      <c r="E41" s="197">
        <v>900</v>
      </c>
      <c r="F41" s="197">
        <v>578.45000000000005</v>
      </c>
      <c r="G41" s="197">
        <v>19.850000000000001</v>
      </c>
      <c r="H41" s="197">
        <v>3.5</v>
      </c>
      <c r="I41" s="197">
        <v>23.35</v>
      </c>
      <c r="J41" s="199"/>
      <c r="K41" s="197">
        <v>135.07579999999999</v>
      </c>
      <c r="L41" s="197">
        <v>18221.174999999999</v>
      </c>
      <c r="M41" s="197">
        <v>121568.175</v>
      </c>
      <c r="N41" s="196"/>
      <c r="O41" s="192"/>
    </row>
    <row r="42" spans="1:15" s="53" customFormat="1" x14ac:dyDescent="0.2">
      <c r="A42" s="196" t="s">
        <v>609</v>
      </c>
      <c r="B42" s="197">
        <v>932.38</v>
      </c>
      <c r="C42" s="197">
        <v>118.9825</v>
      </c>
      <c r="D42" s="198">
        <v>45652</v>
      </c>
      <c r="E42" s="197">
        <v>200</v>
      </c>
      <c r="F42" s="197">
        <v>3399.5</v>
      </c>
      <c r="G42" s="197">
        <v>27.42</v>
      </c>
      <c r="H42" s="197">
        <v>3.5</v>
      </c>
      <c r="I42" s="197">
        <v>30.92</v>
      </c>
      <c r="J42" s="199"/>
      <c r="K42" s="197">
        <v>1051.3625</v>
      </c>
      <c r="L42" s="197">
        <v>23796.5</v>
      </c>
      <c r="M42" s="197">
        <v>210272.5</v>
      </c>
      <c r="N42" s="196"/>
      <c r="O42" s="192"/>
    </row>
    <row r="43" spans="1:15" s="53" customFormat="1" x14ac:dyDescent="0.2">
      <c r="A43" s="196" t="s">
        <v>609</v>
      </c>
      <c r="B43" s="197">
        <v>932.14290000000005</v>
      </c>
      <c r="C43" s="197">
        <v>118.9825</v>
      </c>
      <c r="D43" s="198">
        <v>45687</v>
      </c>
      <c r="E43" s="197">
        <v>200</v>
      </c>
      <c r="F43" s="197">
        <v>3399.5</v>
      </c>
      <c r="G43" s="197">
        <v>27.42</v>
      </c>
      <c r="H43" s="197">
        <v>3.5</v>
      </c>
      <c r="I43" s="197">
        <v>30.92</v>
      </c>
      <c r="J43" s="199"/>
      <c r="K43" s="197">
        <v>1051.3625</v>
      </c>
      <c r="L43" s="197">
        <v>23796.5</v>
      </c>
      <c r="M43" s="197">
        <v>210272.5</v>
      </c>
      <c r="N43" s="196"/>
      <c r="O43" s="192"/>
    </row>
    <row r="44" spans="1:15" s="53" customFormat="1" x14ac:dyDescent="0.2">
      <c r="A44" s="196" t="s">
        <v>609</v>
      </c>
      <c r="B44" s="197">
        <v>932.14290000000005</v>
      </c>
      <c r="C44" s="197">
        <v>118.9825</v>
      </c>
      <c r="D44" s="198">
        <v>45715</v>
      </c>
      <c r="E44" s="197">
        <v>200</v>
      </c>
      <c r="F44" s="197">
        <v>3399.5</v>
      </c>
      <c r="G44" s="197">
        <v>27.42</v>
      </c>
      <c r="H44" s="197">
        <v>3.5</v>
      </c>
      <c r="I44" s="197">
        <v>30.92</v>
      </c>
      <c r="J44" s="199"/>
      <c r="K44" s="197">
        <v>1051.3625</v>
      </c>
      <c r="L44" s="197">
        <v>23796.5</v>
      </c>
      <c r="M44" s="197">
        <v>210272.5</v>
      </c>
      <c r="N44" s="196"/>
      <c r="O44" s="192"/>
    </row>
    <row r="45" spans="1:15" s="53" customFormat="1" x14ac:dyDescent="0.2">
      <c r="A45" s="196" t="s">
        <v>598</v>
      </c>
      <c r="B45" s="197">
        <v>272.05</v>
      </c>
      <c r="C45" s="197">
        <v>55.9405</v>
      </c>
      <c r="D45" s="198">
        <v>45652</v>
      </c>
      <c r="E45" s="197">
        <v>350</v>
      </c>
      <c r="F45" s="197">
        <v>1598.3</v>
      </c>
      <c r="G45" s="197">
        <v>17.02</v>
      </c>
      <c r="H45" s="197">
        <v>3.5</v>
      </c>
      <c r="I45" s="197">
        <v>20.52</v>
      </c>
      <c r="J45" s="199"/>
      <c r="K45" s="197">
        <v>327.9905</v>
      </c>
      <c r="L45" s="197">
        <v>19579.174999999999</v>
      </c>
      <c r="M45" s="197">
        <v>114797.175</v>
      </c>
      <c r="N45" s="196"/>
      <c r="O45" s="192"/>
    </row>
    <row r="46" spans="1:15" s="53" customFormat="1" x14ac:dyDescent="0.2">
      <c r="A46" s="196" t="s">
        <v>598</v>
      </c>
      <c r="B46" s="197">
        <v>272.03066000000001</v>
      </c>
      <c r="C46" s="197">
        <v>55.9405</v>
      </c>
      <c r="D46" s="198">
        <v>45687</v>
      </c>
      <c r="E46" s="197">
        <v>350</v>
      </c>
      <c r="F46" s="197">
        <v>1598.3</v>
      </c>
      <c r="G46" s="197">
        <v>17.02</v>
      </c>
      <c r="H46" s="197">
        <v>3.5</v>
      </c>
      <c r="I46" s="197">
        <v>20.52</v>
      </c>
      <c r="J46" s="199"/>
      <c r="K46" s="197">
        <v>327.9905</v>
      </c>
      <c r="L46" s="197">
        <v>19579.174999999999</v>
      </c>
      <c r="M46" s="197">
        <v>114797.175</v>
      </c>
      <c r="N46" s="196"/>
      <c r="O46" s="192"/>
    </row>
    <row r="47" spans="1:15" s="53" customFormat="1" x14ac:dyDescent="0.2">
      <c r="A47" s="196" t="s">
        <v>598</v>
      </c>
      <c r="B47" s="197">
        <v>272.03066000000001</v>
      </c>
      <c r="C47" s="197">
        <v>55.9405</v>
      </c>
      <c r="D47" s="198">
        <v>45715</v>
      </c>
      <c r="E47" s="197">
        <v>350</v>
      </c>
      <c r="F47" s="197">
        <v>1598.3</v>
      </c>
      <c r="G47" s="197">
        <v>17.02</v>
      </c>
      <c r="H47" s="197">
        <v>3.5</v>
      </c>
      <c r="I47" s="197">
        <v>20.52</v>
      </c>
      <c r="J47" s="199"/>
      <c r="K47" s="197">
        <v>327.9905</v>
      </c>
      <c r="L47" s="197">
        <v>19579.174999999999</v>
      </c>
      <c r="M47" s="197">
        <v>114797.175</v>
      </c>
      <c r="N47" s="196"/>
      <c r="O47" s="192"/>
    </row>
    <row r="48" spans="1:15" s="53" customFormat="1" x14ac:dyDescent="0.2">
      <c r="A48" s="196" t="s">
        <v>165</v>
      </c>
      <c r="B48" s="197">
        <v>1048.05</v>
      </c>
      <c r="C48" s="197">
        <v>256.928</v>
      </c>
      <c r="D48" s="198">
        <v>45652</v>
      </c>
      <c r="E48" s="197">
        <v>125</v>
      </c>
      <c r="F48" s="197">
        <v>7340.8</v>
      </c>
      <c r="G48" s="197">
        <v>14.27</v>
      </c>
      <c r="H48" s="197">
        <v>3.5</v>
      </c>
      <c r="I48" s="197">
        <v>17.77</v>
      </c>
      <c r="J48" s="199"/>
      <c r="K48" s="197">
        <v>1304.9780000000001</v>
      </c>
      <c r="L48" s="197">
        <v>32116</v>
      </c>
      <c r="M48" s="197">
        <v>163122</v>
      </c>
      <c r="N48" s="196"/>
      <c r="O48" s="192"/>
    </row>
    <row r="49" spans="1:15" s="53" customFormat="1" x14ac:dyDescent="0.2">
      <c r="A49" s="196" t="s">
        <v>165</v>
      </c>
      <c r="B49" s="197">
        <v>1047.53216</v>
      </c>
      <c r="C49" s="197">
        <v>256.928</v>
      </c>
      <c r="D49" s="198">
        <v>45687</v>
      </c>
      <c r="E49" s="197">
        <v>125</v>
      </c>
      <c r="F49" s="197">
        <v>7340.8</v>
      </c>
      <c r="G49" s="197">
        <v>14.27</v>
      </c>
      <c r="H49" s="197">
        <v>3.5</v>
      </c>
      <c r="I49" s="197">
        <v>17.77</v>
      </c>
      <c r="J49" s="199"/>
      <c r="K49" s="197">
        <v>1304.9780000000001</v>
      </c>
      <c r="L49" s="197">
        <v>32116</v>
      </c>
      <c r="M49" s="197">
        <v>163122</v>
      </c>
      <c r="N49" s="196"/>
      <c r="O49" s="192"/>
    </row>
    <row r="50" spans="1:15" s="53" customFormat="1" x14ac:dyDescent="0.2">
      <c r="A50" s="196" t="s">
        <v>165</v>
      </c>
      <c r="B50" s="197">
        <v>1047.53216</v>
      </c>
      <c r="C50" s="197">
        <v>256.928</v>
      </c>
      <c r="D50" s="198">
        <v>45715</v>
      </c>
      <c r="E50" s="197">
        <v>125</v>
      </c>
      <c r="F50" s="197">
        <v>7340.8</v>
      </c>
      <c r="G50" s="197">
        <v>14.27</v>
      </c>
      <c r="H50" s="197">
        <v>3.5</v>
      </c>
      <c r="I50" s="197">
        <v>17.77</v>
      </c>
      <c r="J50" s="199"/>
      <c r="K50" s="197">
        <v>1304.9780000000001</v>
      </c>
      <c r="L50" s="197">
        <v>32116</v>
      </c>
      <c r="M50" s="197">
        <v>163122</v>
      </c>
      <c r="N50" s="196"/>
      <c r="O50" s="192"/>
    </row>
    <row r="51" spans="1:15" s="53" customFormat="1" x14ac:dyDescent="0.2">
      <c r="A51" s="196" t="s">
        <v>166</v>
      </c>
      <c r="B51" s="197">
        <v>85.94</v>
      </c>
      <c r="C51" s="197">
        <v>18.947299999999998</v>
      </c>
      <c r="D51" s="198">
        <v>45652</v>
      </c>
      <c r="E51" s="197">
        <v>1700</v>
      </c>
      <c r="F51" s="197">
        <v>541.35</v>
      </c>
      <c r="G51" s="197">
        <v>15.87</v>
      </c>
      <c r="H51" s="197">
        <v>3.5</v>
      </c>
      <c r="I51" s="197">
        <v>19.37</v>
      </c>
      <c r="J51" s="199"/>
      <c r="K51" s="197">
        <v>104.8873</v>
      </c>
      <c r="L51" s="197">
        <v>32210.325000000001</v>
      </c>
      <c r="M51" s="197">
        <v>178308.32500000001</v>
      </c>
      <c r="N51" s="196"/>
      <c r="O51" s="192"/>
    </row>
    <row r="52" spans="1:15" s="53" customFormat="1" x14ac:dyDescent="0.2">
      <c r="A52" s="196" t="s">
        <v>166</v>
      </c>
      <c r="B52" s="197">
        <v>85.912244999999999</v>
      </c>
      <c r="C52" s="197">
        <v>18.947299999999998</v>
      </c>
      <c r="D52" s="198">
        <v>45687</v>
      </c>
      <c r="E52" s="197">
        <v>1700</v>
      </c>
      <c r="F52" s="197">
        <v>541.35</v>
      </c>
      <c r="G52" s="197">
        <v>15.87</v>
      </c>
      <c r="H52" s="197">
        <v>3.5</v>
      </c>
      <c r="I52" s="197">
        <v>19.369999999999997</v>
      </c>
      <c r="J52" s="199"/>
      <c r="K52" s="197">
        <v>104.8873</v>
      </c>
      <c r="L52" s="197">
        <v>32210.325000000001</v>
      </c>
      <c r="M52" s="197">
        <v>178308.32500000001</v>
      </c>
      <c r="N52" s="196"/>
      <c r="O52" s="192"/>
    </row>
    <row r="53" spans="1:15" s="53" customFormat="1" x14ac:dyDescent="0.2">
      <c r="A53" s="196" t="s">
        <v>166</v>
      </c>
      <c r="B53" s="197">
        <v>85.912244999999999</v>
      </c>
      <c r="C53" s="197">
        <v>18.947299999999998</v>
      </c>
      <c r="D53" s="198">
        <v>45715</v>
      </c>
      <c r="E53" s="197">
        <v>1700</v>
      </c>
      <c r="F53" s="197">
        <v>541.35</v>
      </c>
      <c r="G53" s="197">
        <v>15.87</v>
      </c>
      <c r="H53" s="197">
        <v>3.5</v>
      </c>
      <c r="I53" s="197">
        <v>19.369999999999997</v>
      </c>
      <c r="J53" s="199"/>
      <c r="K53" s="197">
        <v>104.8873</v>
      </c>
      <c r="L53" s="197">
        <v>32210.325000000001</v>
      </c>
      <c r="M53" s="197">
        <v>178308.32500000001</v>
      </c>
      <c r="N53" s="196"/>
      <c r="O53" s="192"/>
    </row>
    <row r="54" spans="1:15" s="53" customFormat="1" x14ac:dyDescent="0.2">
      <c r="A54" s="196" t="s">
        <v>167</v>
      </c>
      <c r="B54" s="197">
        <v>36.69</v>
      </c>
      <c r="C54" s="197">
        <v>8.0920000000000005</v>
      </c>
      <c r="D54" s="198">
        <v>45652</v>
      </c>
      <c r="E54" s="197">
        <v>2500</v>
      </c>
      <c r="F54" s="197">
        <v>231.2</v>
      </c>
      <c r="G54" s="197">
        <v>15.86</v>
      </c>
      <c r="H54" s="197">
        <v>3.5</v>
      </c>
      <c r="I54" s="197">
        <v>19.36</v>
      </c>
      <c r="J54" s="199"/>
      <c r="K54" s="197">
        <v>44.781999999999996</v>
      </c>
      <c r="L54" s="197">
        <v>20230</v>
      </c>
      <c r="M54" s="197">
        <v>111955</v>
      </c>
      <c r="N54" s="196"/>
      <c r="O54" s="192"/>
    </row>
    <row r="55" spans="1:15" s="53" customFormat="1" x14ac:dyDescent="0.2">
      <c r="A55" s="196" t="s">
        <v>167</v>
      </c>
      <c r="B55" s="197">
        <v>36.668320000000001</v>
      </c>
      <c r="C55" s="197">
        <v>8.0920000000000005</v>
      </c>
      <c r="D55" s="198">
        <v>45687</v>
      </c>
      <c r="E55" s="197">
        <v>2500</v>
      </c>
      <c r="F55" s="197">
        <v>231.2</v>
      </c>
      <c r="G55" s="197">
        <v>15.86</v>
      </c>
      <c r="H55" s="197">
        <v>3.5</v>
      </c>
      <c r="I55" s="197">
        <v>19.36</v>
      </c>
      <c r="J55" s="199"/>
      <c r="K55" s="197">
        <v>44.781999999999996</v>
      </c>
      <c r="L55" s="197">
        <v>20230</v>
      </c>
      <c r="M55" s="197">
        <v>111955</v>
      </c>
      <c r="N55" s="196"/>
      <c r="O55" s="192"/>
    </row>
    <row r="56" spans="1:15" s="53" customFormat="1" x14ac:dyDescent="0.2">
      <c r="A56" s="196" t="s">
        <v>167</v>
      </c>
      <c r="B56" s="197">
        <v>36.668320000000001</v>
      </c>
      <c r="C56" s="197">
        <v>8.0920000000000005</v>
      </c>
      <c r="D56" s="198">
        <v>45715</v>
      </c>
      <c r="E56" s="197">
        <v>2500</v>
      </c>
      <c r="F56" s="197">
        <v>231.2</v>
      </c>
      <c r="G56" s="197">
        <v>15.86</v>
      </c>
      <c r="H56" s="197">
        <v>3.5</v>
      </c>
      <c r="I56" s="197">
        <v>19.36</v>
      </c>
      <c r="J56" s="199"/>
      <c r="K56" s="197">
        <v>44.781999999999996</v>
      </c>
      <c r="L56" s="197">
        <v>20230</v>
      </c>
      <c r="M56" s="197">
        <v>111955</v>
      </c>
      <c r="N56" s="196"/>
      <c r="O56" s="192"/>
    </row>
    <row r="57" spans="1:15" s="53" customFormat="1" x14ac:dyDescent="0.2">
      <c r="A57" s="196" t="s">
        <v>169</v>
      </c>
      <c r="B57" s="197">
        <v>345.12</v>
      </c>
      <c r="C57" s="197">
        <v>84.605500000000006</v>
      </c>
      <c r="D57" s="198">
        <v>45652</v>
      </c>
      <c r="E57" s="197">
        <v>200</v>
      </c>
      <c r="F57" s="197">
        <v>2417.3000000000002</v>
      </c>
      <c r="G57" s="197">
        <v>14.27</v>
      </c>
      <c r="H57" s="197">
        <v>3.5</v>
      </c>
      <c r="I57" s="197">
        <v>17.77</v>
      </c>
      <c r="J57" s="199"/>
      <c r="K57" s="197">
        <v>429.72550000000001</v>
      </c>
      <c r="L57" s="197">
        <v>16921.099999999999</v>
      </c>
      <c r="M57" s="197">
        <v>85945.1</v>
      </c>
      <c r="N57" s="196"/>
      <c r="O57" s="192"/>
    </row>
    <row r="58" spans="1:15" s="53" customFormat="1" x14ac:dyDescent="0.2">
      <c r="A58" s="196" t="s">
        <v>169</v>
      </c>
      <c r="B58" s="197">
        <v>344.94871000000001</v>
      </c>
      <c r="C58" s="197">
        <v>84.605500000000006</v>
      </c>
      <c r="D58" s="198">
        <v>45687</v>
      </c>
      <c r="E58" s="197">
        <v>200</v>
      </c>
      <c r="F58" s="197">
        <v>2417.3000000000002</v>
      </c>
      <c r="G58" s="197">
        <v>14.27</v>
      </c>
      <c r="H58" s="197">
        <v>3.5</v>
      </c>
      <c r="I58" s="197">
        <v>17.77</v>
      </c>
      <c r="J58" s="199"/>
      <c r="K58" s="197">
        <v>429.72550000000001</v>
      </c>
      <c r="L58" s="197">
        <v>16921.099999999999</v>
      </c>
      <c r="M58" s="197">
        <v>85945.1</v>
      </c>
      <c r="N58" s="196"/>
      <c r="O58" s="192"/>
    </row>
    <row r="59" spans="1:15" s="53" customFormat="1" x14ac:dyDescent="0.2">
      <c r="A59" s="196" t="s">
        <v>169</v>
      </c>
      <c r="B59" s="197">
        <v>344.94871000000001</v>
      </c>
      <c r="C59" s="197">
        <v>84.605500000000006</v>
      </c>
      <c r="D59" s="198">
        <v>45715</v>
      </c>
      <c r="E59" s="197">
        <v>200</v>
      </c>
      <c r="F59" s="197">
        <v>2417.3000000000002</v>
      </c>
      <c r="G59" s="197">
        <v>14.27</v>
      </c>
      <c r="H59" s="197">
        <v>3.5</v>
      </c>
      <c r="I59" s="197">
        <v>17.77</v>
      </c>
      <c r="J59" s="199"/>
      <c r="K59" s="197">
        <v>429.72550000000001</v>
      </c>
      <c r="L59" s="197">
        <v>16921.099999999999</v>
      </c>
      <c r="M59" s="197">
        <v>85945.1</v>
      </c>
      <c r="N59" s="196"/>
      <c r="O59" s="192"/>
    </row>
    <row r="60" spans="1:15" s="53" customFormat="1" x14ac:dyDescent="0.2">
      <c r="A60" s="196" t="s">
        <v>503</v>
      </c>
      <c r="B60" s="197">
        <v>264.83</v>
      </c>
      <c r="C60" s="197">
        <v>64.842799999999997</v>
      </c>
      <c r="D60" s="198">
        <v>45652</v>
      </c>
      <c r="E60" s="197">
        <v>367</v>
      </c>
      <c r="F60" s="197">
        <v>1852.65</v>
      </c>
      <c r="G60" s="197">
        <v>14.29</v>
      </c>
      <c r="H60" s="197">
        <v>3.5</v>
      </c>
      <c r="I60" s="197">
        <v>17.79</v>
      </c>
      <c r="J60" s="199"/>
      <c r="K60" s="197">
        <v>329.6728</v>
      </c>
      <c r="L60" s="197">
        <v>23797.2893</v>
      </c>
      <c r="M60" s="197">
        <v>120990.2893</v>
      </c>
      <c r="N60" s="196"/>
      <c r="O60" s="192"/>
    </row>
    <row r="61" spans="1:15" s="53" customFormat="1" x14ac:dyDescent="0.2">
      <c r="A61" s="196" t="s">
        <v>503</v>
      </c>
      <c r="B61" s="197">
        <v>264.74368500000003</v>
      </c>
      <c r="C61" s="197">
        <v>64.842799999999997</v>
      </c>
      <c r="D61" s="198">
        <v>45687</v>
      </c>
      <c r="E61" s="197">
        <v>367</v>
      </c>
      <c r="F61" s="197">
        <v>1852.65</v>
      </c>
      <c r="G61" s="197">
        <v>14.29</v>
      </c>
      <c r="H61" s="197">
        <v>3.5</v>
      </c>
      <c r="I61" s="197">
        <v>17.79</v>
      </c>
      <c r="J61" s="199"/>
      <c r="K61" s="197">
        <v>329.6728</v>
      </c>
      <c r="L61" s="197">
        <v>23797.2893</v>
      </c>
      <c r="M61" s="197">
        <v>120990.2893</v>
      </c>
      <c r="N61" s="196"/>
      <c r="O61" s="192"/>
    </row>
    <row r="62" spans="1:15" s="53" customFormat="1" x14ac:dyDescent="0.2">
      <c r="A62" s="196" t="s">
        <v>503</v>
      </c>
      <c r="B62" s="197">
        <v>264.74368500000003</v>
      </c>
      <c r="C62" s="197">
        <v>64.842799999999997</v>
      </c>
      <c r="D62" s="198">
        <v>45715</v>
      </c>
      <c r="E62" s="197">
        <v>367</v>
      </c>
      <c r="F62" s="197">
        <v>1852.65</v>
      </c>
      <c r="G62" s="197">
        <v>14.29</v>
      </c>
      <c r="H62" s="197">
        <v>3.5</v>
      </c>
      <c r="I62" s="197">
        <v>17.79</v>
      </c>
      <c r="J62" s="199"/>
      <c r="K62" s="197">
        <v>329.6728</v>
      </c>
      <c r="L62" s="197">
        <v>23797.2893</v>
      </c>
      <c r="M62" s="197">
        <v>120990.2893</v>
      </c>
      <c r="N62" s="196"/>
      <c r="O62" s="192"/>
    </row>
    <row r="63" spans="1:15" s="53" customFormat="1" x14ac:dyDescent="0.2">
      <c r="A63" s="196" t="s">
        <v>589</v>
      </c>
      <c r="B63" s="197">
        <v>213.94</v>
      </c>
      <c r="C63" s="197">
        <v>25.112500000000001</v>
      </c>
      <c r="D63" s="198">
        <v>45652</v>
      </c>
      <c r="E63" s="197">
        <v>775</v>
      </c>
      <c r="F63" s="197">
        <v>717.5</v>
      </c>
      <c r="G63" s="197">
        <v>29.81</v>
      </c>
      <c r="H63" s="197">
        <v>3.5</v>
      </c>
      <c r="I63" s="197">
        <v>33.31</v>
      </c>
      <c r="J63" s="199"/>
      <c r="K63" s="197">
        <v>239.05250000000001</v>
      </c>
      <c r="L63" s="197">
        <v>19462.1875</v>
      </c>
      <c r="M63" s="197">
        <v>185266.1875</v>
      </c>
      <c r="N63" s="196"/>
      <c r="O63" s="192"/>
    </row>
    <row r="64" spans="1:15" s="53" customFormat="1" x14ac:dyDescent="0.2">
      <c r="A64" s="196" t="s">
        <v>589</v>
      </c>
      <c r="B64" s="197">
        <v>213.88675000000001</v>
      </c>
      <c r="C64" s="197">
        <v>25.112500000000001</v>
      </c>
      <c r="D64" s="198">
        <v>45687</v>
      </c>
      <c r="E64" s="197">
        <v>775</v>
      </c>
      <c r="F64" s="197">
        <v>717.5</v>
      </c>
      <c r="G64" s="197">
        <v>29.81</v>
      </c>
      <c r="H64" s="197">
        <v>3.5</v>
      </c>
      <c r="I64" s="197">
        <v>33.31</v>
      </c>
      <c r="J64" s="199"/>
      <c r="K64" s="197">
        <v>239.05250000000001</v>
      </c>
      <c r="L64" s="197">
        <v>19462.1875</v>
      </c>
      <c r="M64" s="197">
        <v>185266.1875</v>
      </c>
      <c r="N64" s="196"/>
      <c r="O64" s="192"/>
    </row>
    <row r="65" spans="1:15" s="53" customFormat="1" x14ac:dyDescent="0.2">
      <c r="A65" s="196" t="s">
        <v>589</v>
      </c>
      <c r="B65" s="197">
        <v>213.88675000000001</v>
      </c>
      <c r="C65" s="197">
        <v>25.112500000000001</v>
      </c>
      <c r="D65" s="198">
        <v>45715</v>
      </c>
      <c r="E65" s="197">
        <v>775</v>
      </c>
      <c r="F65" s="197">
        <v>717.5</v>
      </c>
      <c r="G65" s="197">
        <v>29.81</v>
      </c>
      <c r="H65" s="197">
        <v>3.5</v>
      </c>
      <c r="I65" s="197">
        <v>33.31</v>
      </c>
      <c r="J65" s="199"/>
      <c r="K65" s="197">
        <v>239.05250000000001</v>
      </c>
      <c r="L65" s="197">
        <v>19462.1875</v>
      </c>
      <c r="M65" s="197">
        <v>185266.1875</v>
      </c>
      <c r="N65" s="196"/>
      <c r="O65" s="192"/>
    </row>
    <row r="66" spans="1:15" s="53" customFormat="1" x14ac:dyDescent="0.2">
      <c r="A66" s="196" t="s">
        <v>530</v>
      </c>
      <c r="B66" s="197">
        <v>1068.83</v>
      </c>
      <c r="C66" s="197">
        <v>262.02229999999997</v>
      </c>
      <c r="D66" s="198">
        <v>45652</v>
      </c>
      <c r="E66" s="197">
        <v>100</v>
      </c>
      <c r="F66" s="197">
        <v>7486.35</v>
      </c>
      <c r="G66" s="197">
        <v>14.27</v>
      </c>
      <c r="H66" s="197">
        <v>3.5</v>
      </c>
      <c r="I66" s="197">
        <v>17.77</v>
      </c>
      <c r="J66" s="199"/>
      <c r="K66" s="197">
        <v>1330.8523</v>
      </c>
      <c r="L66" s="197">
        <v>26202.224999999999</v>
      </c>
      <c r="M66" s="197">
        <v>133085.22500000001</v>
      </c>
      <c r="N66" s="196"/>
      <c r="O66" s="192"/>
    </row>
    <row r="67" spans="1:15" s="53" customFormat="1" x14ac:dyDescent="0.2">
      <c r="A67" s="196" t="s">
        <v>530</v>
      </c>
      <c r="B67" s="197">
        <v>1068.3021450000001</v>
      </c>
      <c r="C67" s="197">
        <v>262.02229999999997</v>
      </c>
      <c r="D67" s="198">
        <v>45687</v>
      </c>
      <c r="E67" s="197">
        <v>100</v>
      </c>
      <c r="F67" s="197">
        <v>7486.35</v>
      </c>
      <c r="G67" s="197">
        <v>14.27</v>
      </c>
      <c r="H67" s="197">
        <v>3.5</v>
      </c>
      <c r="I67" s="197">
        <v>17.77</v>
      </c>
      <c r="J67" s="199"/>
      <c r="K67" s="197">
        <v>1330.8523</v>
      </c>
      <c r="L67" s="197">
        <v>26202.224999999999</v>
      </c>
      <c r="M67" s="197">
        <v>133085.22500000001</v>
      </c>
      <c r="N67" s="196"/>
      <c r="O67" s="192"/>
    </row>
    <row r="68" spans="1:15" s="53" customFormat="1" x14ac:dyDescent="0.2">
      <c r="A68" s="196" t="s">
        <v>530</v>
      </c>
      <c r="B68" s="197">
        <v>1068.3021450000001</v>
      </c>
      <c r="C68" s="197">
        <v>262.02229999999997</v>
      </c>
      <c r="D68" s="198">
        <v>45715</v>
      </c>
      <c r="E68" s="197">
        <v>100</v>
      </c>
      <c r="F68" s="197">
        <v>7486.35</v>
      </c>
      <c r="G68" s="197">
        <v>14.27</v>
      </c>
      <c r="H68" s="197">
        <v>3.5</v>
      </c>
      <c r="I68" s="197">
        <v>17.77</v>
      </c>
      <c r="J68" s="199"/>
      <c r="K68" s="197">
        <v>1330.8523</v>
      </c>
      <c r="L68" s="197">
        <v>26202.224999999999</v>
      </c>
      <c r="M68" s="197">
        <v>133085.22500000001</v>
      </c>
      <c r="N68" s="196"/>
      <c r="O68" s="192"/>
    </row>
    <row r="69" spans="1:15" s="53" customFormat="1" x14ac:dyDescent="0.2">
      <c r="A69" s="196" t="s">
        <v>495</v>
      </c>
      <c r="B69" s="197">
        <v>94.78</v>
      </c>
      <c r="C69" s="197">
        <v>20.653500000000001</v>
      </c>
      <c r="D69" s="198">
        <v>45652</v>
      </c>
      <c r="E69" s="197">
        <v>1000</v>
      </c>
      <c r="F69" s="197">
        <v>590.1</v>
      </c>
      <c r="G69" s="197">
        <v>16.059999999999999</v>
      </c>
      <c r="H69" s="197">
        <v>3.5</v>
      </c>
      <c r="I69" s="197">
        <v>19.559999999999999</v>
      </c>
      <c r="J69" s="199"/>
      <c r="K69" s="197">
        <v>115.4335</v>
      </c>
      <c r="L69" s="197">
        <v>20653.5</v>
      </c>
      <c r="M69" s="197">
        <v>115433.5</v>
      </c>
      <c r="N69" s="196"/>
      <c r="O69" s="192"/>
    </row>
    <row r="70" spans="1:15" s="53" customFormat="1" x14ac:dyDescent="0.2">
      <c r="A70" s="196" t="s">
        <v>495</v>
      </c>
      <c r="B70" s="197">
        <v>94.770060000000001</v>
      </c>
      <c r="C70" s="197">
        <v>20.653500000000001</v>
      </c>
      <c r="D70" s="198">
        <v>45687</v>
      </c>
      <c r="E70" s="197">
        <v>1000</v>
      </c>
      <c r="F70" s="197">
        <v>590.1</v>
      </c>
      <c r="G70" s="197">
        <v>16.059999999999999</v>
      </c>
      <c r="H70" s="197">
        <v>3.5</v>
      </c>
      <c r="I70" s="197">
        <v>19.559999999999999</v>
      </c>
      <c r="J70" s="199"/>
      <c r="K70" s="197">
        <v>115.4335</v>
      </c>
      <c r="L70" s="197">
        <v>20653.5</v>
      </c>
      <c r="M70" s="197">
        <v>115433.5</v>
      </c>
      <c r="N70" s="196"/>
      <c r="O70" s="192"/>
    </row>
    <row r="71" spans="1:15" s="53" customFormat="1" x14ac:dyDescent="0.2">
      <c r="A71" s="196" t="s">
        <v>495</v>
      </c>
      <c r="B71" s="197">
        <v>94.770060000000001</v>
      </c>
      <c r="C71" s="197">
        <v>20.653500000000001</v>
      </c>
      <c r="D71" s="198">
        <v>45715</v>
      </c>
      <c r="E71" s="197">
        <v>1000</v>
      </c>
      <c r="F71" s="197">
        <v>590.1</v>
      </c>
      <c r="G71" s="197">
        <v>16.059999999999999</v>
      </c>
      <c r="H71" s="197">
        <v>3.5</v>
      </c>
      <c r="I71" s="197">
        <v>19.559999999999999</v>
      </c>
      <c r="J71" s="199"/>
      <c r="K71" s="197">
        <v>115.4335</v>
      </c>
      <c r="L71" s="197">
        <v>20653.5</v>
      </c>
      <c r="M71" s="197">
        <v>115433.5</v>
      </c>
      <c r="N71" s="196"/>
      <c r="O71" s="192"/>
    </row>
    <row r="72" spans="1:15" s="53" customFormat="1" x14ac:dyDescent="0.2">
      <c r="A72" s="196" t="s">
        <v>171</v>
      </c>
      <c r="B72" s="197">
        <v>178.15</v>
      </c>
      <c r="C72" s="197">
        <v>42.904800000000002</v>
      </c>
      <c r="D72" s="198">
        <v>45652</v>
      </c>
      <c r="E72" s="197">
        <v>550</v>
      </c>
      <c r="F72" s="197">
        <v>1225.8499999999999</v>
      </c>
      <c r="G72" s="197">
        <v>14.53</v>
      </c>
      <c r="H72" s="197">
        <v>3.5</v>
      </c>
      <c r="I72" s="197">
        <v>18.03</v>
      </c>
      <c r="J72" s="199"/>
      <c r="K72" s="197">
        <v>221.0548</v>
      </c>
      <c r="L72" s="197">
        <v>23597.612499999999</v>
      </c>
      <c r="M72" s="197">
        <v>121580.6125</v>
      </c>
      <c r="N72" s="196"/>
      <c r="O72" s="192"/>
    </row>
    <row r="73" spans="1:15" s="53" customFormat="1" x14ac:dyDescent="0.2">
      <c r="A73" s="196" t="s">
        <v>171</v>
      </c>
      <c r="B73" s="197">
        <v>178.116005</v>
      </c>
      <c r="C73" s="197">
        <v>42.904800000000002</v>
      </c>
      <c r="D73" s="198">
        <v>45687</v>
      </c>
      <c r="E73" s="197">
        <v>550</v>
      </c>
      <c r="F73" s="197">
        <v>1225.8499999999999</v>
      </c>
      <c r="G73" s="197">
        <v>14.53</v>
      </c>
      <c r="H73" s="197">
        <v>3.5</v>
      </c>
      <c r="I73" s="197">
        <v>18.03</v>
      </c>
      <c r="J73" s="199"/>
      <c r="K73" s="197">
        <v>221.0548</v>
      </c>
      <c r="L73" s="197">
        <v>23597.612499999999</v>
      </c>
      <c r="M73" s="197">
        <v>121580.6125</v>
      </c>
      <c r="N73" s="196"/>
      <c r="O73" s="192"/>
    </row>
    <row r="74" spans="1:15" s="53" customFormat="1" x14ac:dyDescent="0.2">
      <c r="A74" s="196" t="s">
        <v>171</v>
      </c>
      <c r="B74" s="197">
        <v>178.116005</v>
      </c>
      <c r="C74" s="197">
        <v>42.904800000000002</v>
      </c>
      <c r="D74" s="198">
        <v>45715</v>
      </c>
      <c r="E74" s="197">
        <v>550</v>
      </c>
      <c r="F74" s="197">
        <v>1225.8499999999999</v>
      </c>
      <c r="G74" s="197">
        <v>14.53</v>
      </c>
      <c r="H74" s="197">
        <v>3.5</v>
      </c>
      <c r="I74" s="197">
        <v>18.03</v>
      </c>
      <c r="J74" s="199"/>
      <c r="K74" s="197">
        <v>221.0548</v>
      </c>
      <c r="L74" s="197">
        <v>23597.612499999999</v>
      </c>
      <c r="M74" s="197">
        <v>121580.6125</v>
      </c>
      <c r="N74" s="196"/>
      <c r="O74" s="192"/>
    </row>
    <row r="75" spans="1:15" s="53" customFormat="1" x14ac:dyDescent="0.2">
      <c r="A75" s="196" t="s">
        <v>173</v>
      </c>
      <c r="B75" s="197">
        <v>163.79</v>
      </c>
      <c r="C75" s="197">
        <v>40.153799999999997</v>
      </c>
      <c r="D75" s="198">
        <v>45652</v>
      </c>
      <c r="E75" s="197">
        <v>625</v>
      </c>
      <c r="F75" s="197">
        <v>1147.25</v>
      </c>
      <c r="G75" s="197">
        <v>14.27</v>
      </c>
      <c r="H75" s="197">
        <v>3.5</v>
      </c>
      <c r="I75" s="197">
        <v>17.77</v>
      </c>
      <c r="J75" s="199"/>
      <c r="K75" s="197">
        <v>203.94380000000001</v>
      </c>
      <c r="L75" s="197">
        <v>25096.093799999999</v>
      </c>
      <c r="M75" s="197">
        <v>127465.0938</v>
      </c>
      <c r="N75" s="196"/>
      <c r="O75" s="192"/>
    </row>
    <row r="76" spans="1:15" s="53" customFormat="1" x14ac:dyDescent="0.2">
      <c r="A76" s="196" t="s">
        <v>173</v>
      </c>
      <c r="B76" s="197">
        <v>163.71257499999999</v>
      </c>
      <c r="C76" s="197">
        <v>40.153799999999997</v>
      </c>
      <c r="D76" s="198">
        <v>45687</v>
      </c>
      <c r="E76" s="197">
        <v>625</v>
      </c>
      <c r="F76" s="197">
        <v>1147.25</v>
      </c>
      <c r="G76" s="197">
        <v>14.27</v>
      </c>
      <c r="H76" s="197">
        <v>3.5</v>
      </c>
      <c r="I76" s="197">
        <v>17.77</v>
      </c>
      <c r="J76" s="199"/>
      <c r="K76" s="197">
        <v>203.94380000000001</v>
      </c>
      <c r="L76" s="197">
        <v>25096.093799999999</v>
      </c>
      <c r="M76" s="197">
        <v>127465.0938</v>
      </c>
      <c r="N76" s="196"/>
      <c r="O76" s="192"/>
    </row>
    <row r="77" spans="1:15" s="53" customFormat="1" x14ac:dyDescent="0.2">
      <c r="A77" s="196" t="s">
        <v>173</v>
      </c>
      <c r="B77" s="197">
        <v>163.71257499999999</v>
      </c>
      <c r="C77" s="197">
        <v>40.153799999999997</v>
      </c>
      <c r="D77" s="198">
        <v>45715</v>
      </c>
      <c r="E77" s="197">
        <v>625</v>
      </c>
      <c r="F77" s="197">
        <v>1147.25</v>
      </c>
      <c r="G77" s="197">
        <v>14.27</v>
      </c>
      <c r="H77" s="197">
        <v>3.5</v>
      </c>
      <c r="I77" s="197">
        <v>17.77</v>
      </c>
      <c r="J77" s="199"/>
      <c r="K77" s="197">
        <v>203.94380000000001</v>
      </c>
      <c r="L77" s="197">
        <v>25096.093799999999</v>
      </c>
      <c r="M77" s="197">
        <v>127465.0938</v>
      </c>
      <c r="N77" s="196"/>
      <c r="O77" s="192"/>
    </row>
    <row r="78" spans="1:15" s="53" customFormat="1" x14ac:dyDescent="0.2">
      <c r="A78" s="196" t="s">
        <v>174</v>
      </c>
      <c r="B78" s="197">
        <v>1374</v>
      </c>
      <c r="C78" s="197">
        <v>317.44299999999998</v>
      </c>
      <c r="D78" s="198">
        <v>45652</v>
      </c>
      <c r="E78" s="197">
        <v>75</v>
      </c>
      <c r="F78" s="197">
        <v>9069.7999999999993</v>
      </c>
      <c r="G78" s="197">
        <v>15.14</v>
      </c>
      <c r="H78" s="197">
        <v>3.5</v>
      </c>
      <c r="I78" s="197">
        <v>18.64</v>
      </c>
      <c r="J78" s="199"/>
      <c r="K78" s="197">
        <v>1691.443</v>
      </c>
      <c r="L78" s="197">
        <v>23808.224999999999</v>
      </c>
      <c r="M78" s="197">
        <v>126858.22500000001</v>
      </c>
      <c r="N78" s="196"/>
      <c r="O78" s="192"/>
    </row>
    <row r="79" spans="1:15" s="53" customFormat="1" x14ac:dyDescent="0.2">
      <c r="A79" s="196" t="s">
        <v>174</v>
      </c>
      <c r="B79" s="197">
        <v>1373.1677199999999</v>
      </c>
      <c r="C79" s="197">
        <v>317.44299999999998</v>
      </c>
      <c r="D79" s="198">
        <v>45687</v>
      </c>
      <c r="E79" s="197">
        <v>75</v>
      </c>
      <c r="F79" s="197">
        <v>9069.7999999999993</v>
      </c>
      <c r="G79" s="197">
        <v>15.14</v>
      </c>
      <c r="H79" s="197">
        <v>3.5</v>
      </c>
      <c r="I79" s="197">
        <v>18.64</v>
      </c>
      <c r="J79" s="199"/>
      <c r="K79" s="197">
        <v>1691.443</v>
      </c>
      <c r="L79" s="197">
        <v>23808.224999999999</v>
      </c>
      <c r="M79" s="197">
        <v>126858.22500000001</v>
      </c>
      <c r="N79" s="196"/>
      <c r="O79" s="192"/>
    </row>
    <row r="80" spans="1:15" s="53" customFormat="1" x14ac:dyDescent="0.2">
      <c r="A80" s="196" t="s">
        <v>174</v>
      </c>
      <c r="B80" s="197">
        <v>1373.1677199999999</v>
      </c>
      <c r="C80" s="197">
        <v>317.44299999999998</v>
      </c>
      <c r="D80" s="198">
        <v>45715</v>
      </c>
      <c r="E80" s="197">
        <v>75</v>
      </c>
      <c r="F80" s="197">
        <v>9069.7999999999993</v>
      </c>
      <c r="G80" s="197">
        <v>15.14</v>
      </c>
      <c r="H80" s="197">
        <v>3.5</v>
      </c>
      <c r="I80" s="197">
        <v>18.64</v>
      </c>
      <c r="J80" s="199"/>
      <c r="K80" s="197">
        <v>1691.443</v>
      </c>
      <c r="L80" s="197">
        <v>23808.224999999999</v>
      </c>
      <c r="M80" s="197">
        <v>126858.22500000001</v>
      </c>
      <c r="N80" s="196"/>
      <c r="O80" s="192"/>
    </row>
    <row r="81" spans="1:15" s="53" customFormat="1" x14ac:dyDescent="0.2">
      <c r="A81" s="196" t="s">
        <v>176</v>
      </c>
      <c r="B81" s="197">
        <v>240.78</v>
      </c>
      <c r="C81" s="197">
        <v>59.025799999999997</v>
      </c>
      <c r="D81" s="198">
        <v>45652</v>
      </c>
      <c r="E81" s="197">
        <v>500</v>
      </c>
      <c r="F81" s="197">
        <v>1686.45</v>
      </c>
      <c r="G81" s="197">
        <v>14.27</v>
      </c>
      <c r="H81" s="197">
        <v>3.5</v>
      </c>
      <c r="I81" s="197">
        <v>17.77</v>
      </c>
      <c r="J81" s="199"/>
      <c r="K81" s="197">
        <v>299.80579999999998</v>
      </c>
      <c r="L81" s="197">
        <v>29512.875</v>
      </c>
      <c r="M81" s="197">
        <v>149902.875</v>
      </c>
      <c r="N81" s="196"/>
      <c r="O81" s="192"/>
    </row>
    <row r="82" spans="1:15" s="53" customFormat="1" x14ac:dyDescent="0.2">
      <c r="A82" s="196" t="s">
        <v>176</v>
      </c>
      <c r="B82" s="197">
        <v>240.65641500000001</v>
      </c>
      <c r="C82" s="197">
        <v>59.025799999999997</v>
      </c>
      <c r="D82" s="198">
        <v>45687</v>
      </c>
      <c r="E82" s="197">
        <v>500</v>
      </c>
      <c r="F82" s="197">
        <v>1686.45</v>
      </c>
      <c r="G82" s="197">
        <v>14.27</v>
      </c>
      <c r="H82" s="197">
        <v>3.5</v>
      </c>
      <c r="I82" s="197">
        <v>17.77</v>
      </c>
      <c r="J82" s="199"/>
      <c r="K82" s="197">
        <v>299.80579999999998</v>
      </c>
      <c r="L82" s="197">
        <v>29512.875</v>
      </c>
      <c r="M82" s="197">
        <v>149902.875</v>
      </c>
      <c r="N82" s="196"/>
      <c r="O82" s="192"/>
    </row>
    <row r="83" spans="1:15" s="53" customFormat="1" x14ac:dyDescent="0.2">
      <c r="A83" s="196" t="s">
        <v>176</v>
      </c>
      <c r="B83" s="197">
        <v>240.65641500000001</v>
      </c>
      <c r="C83" s="197">
        <v>59.025799999999997</v>
      </c>
      <c r="D83" s="198">
        <v>45715</v>
      </c>
      <c r="E83" s="197">
        <v>500</v>
      </c>
      <c r="F83" s="197">
        <v>1686.45</v>
      </c>
      <c r="G83" s="197">
        <v>14.27</v>
      </c>
      <c r="H83" s="197">
        <v>3.5</v>
      </c>
      <c r="I83" s="197">
        <v>17.77</v>
      </c>
      <c r="J83" s="199"/>
      <c r="K83" s="197">
        <v>299.80579999999998</v>
      </c>
      <c r="L83" s="197">
        <v>29512.875</v>
      </c>
      <c r="M83" s="197">
        <v>149902.875</v>
      </c>
      <c r="N83" s="196"/>
      <c r="O83" s="192"/>
    </row>
    <row r="84" spans="1:15" s="53" customFormat="1" x14ac:dyDescent="0.2">
      <c r="A84" s="196" t="s">
        <v>177</v>
      </c>
      <c r="B84" s="197">
        <v>1015.83</v>
      </c>
      <c r="C84" s="197">
        <v>249.02850000000001</v>
      </c>
      <c r="D84" s="198">
        <v>45652</v>
      </c>
      <c r="E84" s="197">
        <v>125</v>
      </c>
      <c r="F84" s="197">
        <v>7115.1</v>
      </c>
      <c r="G84" s="197">
        <v>14.27</v>
      </c>
      <c r="H84" s="197">
        <v>3.5</v>
      </c>
      <c r="I84" s="197">
        <v>17.77</v>
      </c>
      <c r="J84" s="199"/>
      <c r="K84" s="197">
        <v>1264.8585</v>
      </c>
      <c r="L84" s="197">
        <v>31128.5625</v>
      </c>
      <c r="M84" s="197">
        <v>158107.5625</v>
      </c>
      <c r="N84" s="196"/>
      <c r="O84" s="192"/>
    </row>
    <row r="85" spans="1:15" s="53" customFormat="1" x14ac:dyDescent="0.2">
      <c r="A85" s="196" t="s">
        <v>177</v>
      </c>
      <c r="B85" s="197">
        <v>1015.3247699999999</v>
      </c>
      <c r="C85" s="197">
        <v>249.02850000000001</v>
      </c>
      <c r="D85" s="198">
        <v>45687</v>
      </c>
      <c r="E85" s="197">
        <v>125</v>
      </c>
      <c r="F85" s="197">
        <v>7115.1</v>
      </c>
      <c r="G85" s="197">
        <v>14.27</v>
      </c>
      <c r="H85" s="197">
        <v>3.5</v>
      </c>
      <c r="I85" s="197">
        <v>17.77</v>
      </c>
      <c r="J85" s="199"/>
      <c r="K85" s="197">
        <v>1264.8585</v>
      </c>
      <c r="L85" s="197">
        <v>31128.5625</v>
      </c>
      <c r="M85" s="197">
        <v>158107.5625</v>
      </c>
      <c r="N85" s="196"/>
      <c r="O85" s="192"/>
    </row>
    <row r="86" spans="1:15" s="53" customFormat="1" x14ac:dyDescent="0.2">
      <c r="A86" s="196" t="s">
        <v>177</v>
      </c>
      <c r="B86" s="197">
        <v>1015.3247699999999</v>
      </c>
      <c r="C86" s="197">
        <v>249.02850000000001</v>
      </c>
      <c r="D86" s="198">
        <v>45715</v>
      </c>
      <c r="E86" s="197">
        <v>125</v>
      </c>
      <c r="F86" s="197">
        <v>7115.1</v>
      </c>
      <c r="G86" s="197">
        <v>14.27</v>
      </c>
      <c r="H86" s="197">
        <v>3.5</v>
      </c>
      <c r="I86" s="197">
        <v>17.77</v>
      </c>
      <c r="J86" s="199"/>
      <c r="K86" s="197">
        <v>1264.8585</v>
      </c>
      <c r="L86" s="197">
        <v>31128.5625</v>
      </c>
      <c r="M86" s="197">
        <v>158107.5625</v>
      </c>
      <c r="N86" s="196"/>
      <c r="O86" s="192"/>
    </row>
    <row r="87" spans="1:15" s="53" customFormat="1" x14ac:dyDescent="0.2">
      <c r="A87" s="196" t="s">
        <v>178</v>
      </c>
      <c r="B87" s="197">
        <v>444.18</v>
      </c>
      <c r="C87" s="197">
        <v>98.715800000000002</v>
      </c>
      <c r="D87" s="198">
        <v>45652</v>
      </c>
      <c r="E87" s="197">
        <v>300</v>
      </c>
      <c r="F87" s="197">
        <v>2820.45</v>
      </c>
      <c r="G87" s="197">
        <v>15.74</v>
      </c>
      <c r="H87" s="197">
        <v>3.5</v>
      </c>
      <c r="I87" s="197">
        <v>19.239999999999998</v>
      </c>
      <c r="J87" s="199"/>
      <c r="K87" s="197">
        <v>542.89580000000001</v>
      </c>
      <c r="L87" s="197">
        <v>29614.724999999999</v>
      </c>
      <c r="M87" s="197">
        <v>162868.72500000001</v>
      </c>
      <c r="N87" s="196"/>
      <c r="O87" s="192"/>
    </row>
    <row r="88" spans="1:15" s="53" customFormat="1" x14ac:dyDescent="0.2">
      <c r="A88" s="196" t="s">
        <v>178</v>
      </c>
      <c r="B88" s="197">
        <v>443.93883</v>
      </c>
      <c r="C88" s="197">
        <v>98.715800000000002</v>
      </c>
      <c r="D88" s="198">
        <v>45687</v>
      </c>
      <c r="E88" s="197">
        <v>300</v>
      </c>
      <c r="F88" s="197">
        <v>2820.45</v>
      </c>
      <c r="G88" s="197">
        <v>15.74</v>
      </c>
      <c r="H88" s="197">
        <v>3.5</v>
      </c>
      <c r="I88" s="197">
        <v>19.240000000000002</v>
      </c>
      <c r="J88" s="199"/>
      <c r="K88" s="197">
        <v>542.89580000000001</v>
      </c>
      <c r="L88" s="197">
        <v>29614.724999999999</v>
      </c>
      <c r="M88" s="197">
        <v>162868.72500000001</v>
      </c>
      <c r="N88" s="196"/>
      <c r="O88" s="192"/>
    </row>
    <row r="89" spans="1:15" s="53" customFormat="1" x14ac:dyDescent="0.2">
      <c r="A89" s="196" t="s">
        <v>178</v>
      </c>
      <c r="B89" s="197">
        <v>443.93883</v>
      </c>
      <c r="C89" s="197">
        <v>98.715800000000002</v>
      </c>
      <c r="D89" s="198">
        <v>45715</v>
      </c>
      <c r="E89" s="197">
        <v>300</v>
      </c>
      <c r="F89" s="197">
        <v>2820.45</v>
      </c>
      <c r="G89" s="197">
        <v>15.74</v>
      </c>
      <c r="H89" s="197">
        <v>3.5</v>
      </c>
      <c r="I89" s="197">
        <v>19.240000000000002</v>
      </c>
      <c r="J89" s="199"/>
      <c r="K89" s="197">
        <v>542.89580000000001</v>
      </c>
      <c r="L89" s="197">
        <v>29614.724999999999</v>
      </c>
      <c r="M89" s="197">
        <v>162868.72500000001</v>
      </c>
      <c r="N89" s="196"/>
      <c r="O89" s="192"/>
    </row>
    <row r="90" spans="1:15" s="53" customFormat="1" x14ac:dyDescent="0.2">
      <c r="A90" s="196" t="s">
        <v>179</v>
      </c>
      <c r="B90" s="197">
        <v>37.17</v>
      </c>
      <c r="C90" s="197">
        <v>15.26</v>
      </c>
      <c r="D90" s="198">
        <v>45652</v>
      </c>
      <c r="E90" s="197">
        <v>2800</v>
      </c>
      <c r="F90" s="197">
        <v>174.4</v>
      </c>
      <c r="G90" s="197">
        <v>21.31</v>
      </c>
      <c r="H90" s="197">
        <v>8.75</v>
      </c>
      <c r="I90" s="197">
        <v>30.06</v>
      </c>
      <c r="J90" s="199"/>
      <c r="K90" s="197">
        <v>52.43</v>
      </c>
      <c r="L90" s="197">
        <v>42728</v>
      </c>
      <c r="M90" s="197">
        <v>146804</v>
      </c>
      <c r="N90" s="196"/>
      <c r="O90" s="192"/>
    </row>
    <row r="91" spans="1:15" s="53" customFormat="1" x14ac:dyDescent="0.2">
      <c r="A91" s="196" t="s">
        <v>179</v>
      </c>
      <c r="B91" s="197">
        <v>37.164639999999999</v>
      </c>
      <c r="C91" s="197">
        <v>15.26</v>
      </c>
      <c r="D91" s="198">
        <v>45687</v>
      </c>
      <c r="E91" s="197">
        <v>2800</v>
      </c>
      <c r="F91" s="197">
        <v>174.4</v>
      </c>
      <c r="G91" s="197">
        <v>21.31</v>
      </c>
      <c r="H91" s="197">
        <v>8.75</v>
      </c>
      <c r="I91" s="197">
        <v>30.06</v>
      </c>
      <c r="J91" s="199"/>
      <c r="K91" s="197">
        <v>52.43</v>
      </c>
      <c r="L91" s="197">
        <v>42728</v>
      </c>
      <c r="M91" s="197">
        <v>146804</v>
      </c>
      <c r="N91" s="196"/>
      <c r="O91" s="192"/>
    </row>
    <row r="92" spans="1:15" s="53" customFormat="1" x14ac:dyDescent="0.2">
      <c r="A92" s="196" t="s">
        <v>179</v>
      </c>
      <c r="B92" s="197">
        <v>37.164639999999999</v>
      </c>
      <c r="C92" s="197">
        <v>15.26</v>
      </c>
      <c r="D92" s="198">
        <v>45715</v>
      </c>
      <c r="E92" s="197">
        <v>2800</v>
      </c>
      <c r="F92" s="197">
        <v>174.4</v>
      </c>
      <c r="G92" s="197">
        <v>21.31</v>
      </c>
      <c r="H92" s="197">
        <v>8.75</v>
      </c>
      <c r="I92" s="197">
        <v>30.06</v>
      </c>
      <c r="J92" s="199"/>
      <c r="K92" s="197">
        <v>52.43</v>
      </c>
      <c r="L92" s="197">
        <v>42728</v>
      </c>
      <c r="M92" s="197">
        <v>146804</v>
      </c>
      <c r="N92" s="196"/>
      <c r="O92" s="192"/>
    </row>
    <row r="93" spans="1:15" s="53" customFormat="1" x14ac:dyDescent="0.2">
      <c r="A93" s="196" t="s">
        <v>180</v>
      </c>
      <c r="B93" s="197">
        <v>48.73</v>
      </c>
      <c r="C93" s="197">
        <v>13.689399999999999</v>
      </c>
      <c r="D93" s="198">
        <v>45652</v>
      </c>
      <c r="E93" s="197">
        <v>2925</v>
      </c>
      <c r="F93" s="197">
        <v>260.75</v>
      </c>
      <c r="G93" s="197">
        <v>18.68</v>
      </c>
      <c r="H93" s="197">
        <v>5.25</v>
      </c>
      <c r="I93" s="197">
        <v>23.93</v>
      </c>
      <c r="J93" s="199"/>
      <c r="K93" s="197">
        <v>62.419400000000003</v>
      </c>
      <c r="L93" s="197">
        <v>40041.421900000001</v>
      </c>
      <c r="M93" s="197">
        <v>182576.42189999999</v>
      </c>
      <c r="N93" s="196"/>
      <c r="O93" s="192"/>
    </row>
    <row r="94" spans="1:15" s="53" customFormat="1" x14ac:dyDescent="0.2">
      <c r="A94" s="196" t="s">
        <v>180</v>
      </c>
      <c r="B94" s="197">
        <v>48.708100000000002</v>
      </c>
      <c r="C94" s="197">
        <v>13.689399999999999</v>
      </c>
      <c r="D94" s="198">
        <v>45687</v>
      </c>
      <c r="E94" s="197">
        <v>2925</v>
      </c>
      <c r="F94" s="197">
        <v>260.75</v>
      </c>
      <c r="G94" s="197">
        <v>18.68</v>
      </c>
      <c r="H94" s="197">
        <v>5.25</v>
      </c>
      <c r="I94" s="197">
        <v>23.93</v>
      </c>
      <c r="J94" s="199"/>
      <c r="K94" s="197">
        <v>62.419400000000003</v>
      </c>
      <c r="L94" s="197">
        <v>40041.421900000001</v>
      </c>
      <c r="M94" s="197">
        <v>182576.42189999999</v>
      </c>
      <c r="N94" s="196"/>
      <c r="O94" s="192"/>
    </row>
    <row r="95" spans="1:15" s="53" customFormat="1" x14ac:dyDescent="0.2">
      <c r="A95" s="196" t="s">
        <v>180</v>
      </c>
      <c r="B95" s="197">
        <v>48.708100000000002</v>
      </c>
      <c r="C95" s="197">
        <v>13.689399999999999</v>
      </c>
      <c r="D95" s="198">
        <v>45715</v>
      </c>
      <c r="E95" s="197">
        <v>2925</v>
      </c>
      <c r="F95" s="197">
        <v>260.75</v>
      </c>
      <c r="G95" s="197">
        <v>18.68</v>
      </c>
      <c r="H95" s="197">
        <v>5.25</v>
      </c>
      <c r="I95" s="197">
        <v>23.93</v>
      </c>
      <c r="J95" s="199"/>
      <c r="K95" s="197">
        <v>62.419400000000003</v>
      </c>
      <c r="L95" s="197">
        <v>40041.421900000001</v>
      </c>
      <c r="M95" s="197">
        <v>182576.42189999999</v>
      </c>
      <c r="N95" s="196"/>
      <c r="O95" s="192"/>
    </row>
    <row r="96" spans="1:15" s="53" customFormat="1" x14ac:dyDescent="0.2">
      <c r="A96" s="196" t="s">
        <v>602</v>
      </c>
      <c r="B96" s="197">
        <v>23.21</v>
      </c>
      <c r="C96" s="197">
        <v>4.0004999999999997</v>
      </c>
      <c r="D96" s="198">
        <v>45652</v>
      </c>
      <c r="E96" s="197">
        <v>4825</v>
      </c>
      <c r="F96" s="197">
        <v>114.3</v>
      </c>
      <c r="G96" s="197">
        <v>20.3</v>
      </c>
      <c r="H96" s="197">
        <v>3.5</v>
      </c>
      <c r="I96" s="197">
        <v>23.8</v>
      </c>
      <c r="J96" s="199"/>
      <c r="K96" s="197">
        <v>27.2105</v>
      </c>
      <c r="L96" s="197">
        <v>19302.412499999999</v>
      </c>
      <c r="M96" s="197">
        <v>131290.41250000001</v>
      </c>
      <c r="N96" s="196"/>
      <c r="O96" s="192"/>
    </row>
    <row r="97" spans="1:15" s="53" customFormat="1" x14ac:dyDescent="0.2">
      <c r="A97" s="196" t="s">
        <v>602</v>
      </c>
      <c r="B97" s="197">
        <v>23.2029</v>
      </c>
      <c r="C97" s="197">
        <v>4.0004999999999997</v>
      </c>
      <c r="D97" s="198">
        <v>45687</v>
      </c>
      <c r="E97" s="197">
        <v>4825</v>
      </c>
      <c r="F97" s="197">
        <v>114.3</v>
      </c>
      <c r="G97" s="197">
        <v>20.3</v>
      </c>
      <c r="H97" s="197">
        <v>3.5</v>
      </c>
      <c r="I97" s="197">
        <v>23.8</v>
      </c>
      <c r="J97" s="199"/>
      <c r="K97" s="197">
        <v>27.2105</v>
      </c>
      <c r="L97" s="197">
        <v>19302.412499999999</v>
      </c>
      <c r="M97" s="197">
        <v>131290.41250000001</v>
      </c>
      <c r="N97" s="196"/>
      <c r="O97" s="192"/>
    </row>
    <row r="98" spans="1:15" s="53" customFormat="1" x14ac:dyDescent="0.2">
      <c r="A98" s="196" t="s">
        <v>602</v>
      </c>
      <c r="B98" s="197">
        <v>23.2029</v>
      </c>
      <c r="C98" s="197">
        <v>4.0004999999999997</v>
      </c>
      <c r="D98" s="198">
        <v>45715</v>
      </c>
      <c r="E98" s="197">
        <v>4825</v>
      </c>
      <c r="F98" s="197">
        <v>114.3</v>
      </c>
      <c r="G98" s="197">
        <v>20.3</v>
      </c>
      <c r="H98" s="197">
        <v>3.5</v>
      </c>
      <c r="I98" s="197">
        <v>23.8</v>
      </c>
      <c r="J98" s="199"/>
      <c r="K98" s="197">
        <v>27.2105</v>
      </c>
      <c r="L98" s="197">
        <v>19302.412499999999</v>
      </c>
      <c r="M98" s="197">
        <v>131290.41250000001</v>
      </c>
      <c r="N98" s="196"/>
      <c r="O98" s="192"/>
    </row>
    <row r="99" spans="1:15" s="53" customFormat="1" x14ac:dyDescent="0.2">
      <c r="A99" s="196" t="s">
        <v>182</v>
      </c>
      <c r="B99" s="197">
        <v>6067.93</v>
      </c>
      <c r="C99" s="197">
        <v>1067.827</v>
      </c>
      <c r="D99" s="198">
        <v>45650</v>
      </c>
      <c r="E99" s="197">
        <v>15</v>
      </c>
      <c r="F99" s="197">
        <v>53391.35</v>
      </c>
      <c r="G99" s="197">
        <v>11.36</v>
      </c>
      <c r="H99" s="197">
        <v>2</v>
      </c>
      <c r="I99" s="197">
        <v>13.36</v>
      </c>
      <c r="J99" s="199"/>
      <c r="K99" s="197">
        <v>7135.7569999999996</v>
      </c>
      <c r="L99" s="197">
        <v>16017.405000000001</v>
      </c>
      <c r="M99" s="197">
        <v>107036.405</v>
      </c>
      <c r="N99" s="196"/>
      <c r="O99" s="192"/>
    </row>
    <row r="100" spans="1:15" s="53" customFormat="1" x14ac:dyDescent="0.2">
      <c r="A100" s="196" t="s">
        <v>182</v>
      </c>
      <c r="B100" s="197">
        <v>6065.2573599999996</v>
      </c>
      <c r="C100" s="197">
        <v>1067.827</v>
      </c>
      <c r="D100" s="198">
        <v>45686</v>
      </c>
      <c r="E100" s="197">
        <v>15</v>
      </c>
      <c r="F100" s="197">
        <v>53391.35</v>
      </c>
      <c r="G100" s="197">
        <v>11.36</v>
      </c>
      <c r="H100" s="197">
        <v>2</v>
      </c>
      <c r="I100" s="197">
        <v>13.36</v>
      </c>
      <c r="J100" s="199"/>
      <c r="K100" s="197">
        <v>7135.7569999999996</v>
      </c>
      <c r="L100" s="197">
        <v>16017.405000000001</v>
      </c>
      <c r="M100" s="197">
        <v>107036.405</v>
      </c>
      <c r="N100" s="196"/>
      <c r="O100" s="192"/>
    </row>
    <row r="101" spans="1:15" s="53" customFormat="1" x14ac:dyDescent="0.2">
      <c r="A101" s="196" t="s">
        <v>182</v>
      </c>
      <c r="B101" s="197">
        <v>6065.2573599999996</v>
      </c>
      <c r="C101" s="197">
        <v>1067.827</v>
      </c>
      <c r="D101" s="198">
        <v>45714</v>
      </c>
      <c r="E101" s="197">
        <v>15</v>
      </c>
      <c r="F101" s="197">
        <v>53391.35</v>
      </c>
      <c r="G101" s="197">
        <v>11.36</v>
      </c>
      <c r="H101" s="197">
        <v>2</v>
      </c>
      <c r="I101" s="197">
        <v>13.36</v>
      </c>
      <c r="J101" s="199"/>
      <c r="K101" s="197">
        <v>7135.7569999999996</v>
      </c>
      <c r="L101" s="197">
        <v>16017.405000000001</v>
      </c>
      <c r="M101" s="197">
        <v>107036.405</v>
      </c>
      <c r="N101" s="196"/>
      <c r="O101" s="192"/>
    </row>
    <row r="102" spans="1:15" s="53" customFormat="1" x14ac:dyDescent="0.2">
      <c r="A102" s="196" t="s">
        <v>183</v>
      </c>
      <c r="B102" s="197">
        <v>206.65</v>
      </c>
      <c r="C102" s="197">
        <v>50.660800000000002</v>
      </c>
      <c r="D102" s="198">
        <v>45652</v>
      </c>
      <c r="E102" s="197">
        <v>375</v>
      </c>
      <c r="F102" s="197">
        <v>1447.45</v>
      </c>
      <c r="G102" s="197">
        <v>14.27</v>
      </c>
      <c r="H102" s="197">
        <v>3.5</v>
      </c>
      <c r="I102" s="197">
        <v>17.77</v>
      </c>
      <c r="J102" s="199"/>
      <c r="K102" s="197">
        <v>257.31079999999997</v>
      </c>
      <c r="L102" s="197">
        <v>18997.781299999999</v>
      </c>
      <c r="M102" s="197">
        <v>96491.781300000002</v>
      </c>
      <c r="N102" s="196"/>
      <c r="O102" s="192"/>
    </row>
    <row r="103" spans="1:15" s="53" customFormat="1" x14ac:dyDescent="0.2">
      <c r="A103" s="196" t="s">
        <v>183</v>
      </c>
      <c r="B103" s="197">
        <v>206.55111500000001</v>
      </c>
      <c r="C103" s="197">
        <v>50.660800000000002</v>
      </c>
      <c r="D103" s="198">
        <v>45687</v>
      </c>
      <c r="E103" s="197">
        <v>375</v>
      </c>
      <c r="F103" s="197">
        <v>1447.45</v>
      </c>
      <c r="G103" s="197">
        <v>14.27</v>
      </c>
      <c r="H103" s="197">
        <v>3.5</v>
      </c>
      <c r="I103" s="197">
        <v>17.77</v>
      </c>
      <c r="J103" s="199"/>
      <c r="K103" s="197">
        <v>257.31079999999997</v>
      </c>
      <c r="L103" s="197">
        <v>18997.781299999999</v>
      </c>
      <c r="M103" s="197">
        <v>96491.781300000002</v>
      </c>
      <c r="N103" s="196"/>
      <c r="O103" s="192"/>
    </row>
    <row r="104" spans="1:15" s="53" customFormat="1" x14ac:dyDescent="0.2">
      <c r="A104" s="196" t="s">
        <v>183</v>
      </c>
      <c r="B104" s="197">
        <v>206.55111500000001</v>
      </c>
      <c r="C104" s="197">
        <v>50.660800000000002</v>
      </c>
      <c r="D104" s="198">
        <v>45715</v>
      </c>
      <c r="E104" s="197">
        <v>375</v>
      </c>
      <c r="F104" s="197">
        <v>1447.45</v>
      </c>
      <c r="G104" s="197">
        <v>14.27</v>
      </c>
      <c r="H104" s="197">
        <v>3.5</v>
      </c>
      <c r="I104" s="197">
        <v>17.77</v>
      </c>
      <c r="J104" s="199"/>
      <c r="K104" s="197">
        <v>257.31079999999997</v>
      </c>
      <c r="L104" s="197">
        <v>18997.781299999999</v>
      </c>
      <c r="M104" s="197">
        <v>96491.781300000002</v>
      </c>
      <c r="N104" s="196"/>
      <c r="O104" s="192"/>
    </row>
    <row r="105" spans="1:15" s="53" customFormat="1" x14ac:dyDescent="0.2">
      <c r="A105" s="196" t="s">
        <v>185</v>
      </c>
      <c r="B105" s="197">
        <v>60.98</v>
      </c>
      <c r="C105" s="197">
        <v>10.993499999999999</v>
      </c>
      <c r="D105" s="198">
        <v>45652</v>
      </c>
      <c r="E105" s="197">
        <v>2850</v>
      </c>
      <c r="F105" s="197">
        <v>314.10000000000002</v>
      </c>
      <c r="G105" s="197">
        <v>19.41</v>
      </c>
      <c r="H105" s="197">
        <v>3.5</v>
      </c>
      <c r="I105" s="197">
        <v>22.91</v>
      </c>
      <c r="J105" s="199"/>
      <c r="K105" s="197">
        <v>71.973500000000001</v>
      </c>
      <c r="L105" s="197">
        <v>31331.474999999999</v>
      </c>
      <c r="M105" s="197">
        <v>205124.47500000001</v>
      </c>
      <c r="N105" s="196"/>
      <c r="O105" s="192"/>
    </row>
    <row r="106" spans="1:15" s="53" customFormat="1" x14ac:dyDescent="0.2">
      <c r="A106" s="196" t="s">
        <v>185</v>
      </c>
      <c r="B106" s="197">
        <v>60.966810000000002</v>
      </c>
      <c r="C106" s="197">
        <v>10.993499999999999</v>
      </c>
      <c r="D106" s="198">
        <v>45687</v>
      </c>
      <c r="E106" s="197">
        <v>2850</v>
      </c>
      <c r="F106" s="197">
        <v>314.10000000000002</v>
      </c>
      <c r="G106" s="197">
        <v>19.41</v>
      </c>
      <c r="H106" s="197">
        <v>3.5</v>
      </c>
      <c r="I106" s="197">
        <v>22.91</v>
      </c>
      <c r="J106" s="199"/>
      <c r="K106" s="197">
        <v>71.973500000000001</v>
      </c>
      <c r="L106" s="197">
        <v>31331.474999999999</v>
      </c>
      <c r="M106" s="197">
        <v>205124.47500000001</v>
      </c>
      <c r="N106" s="196"/>
      <c r="O106" s="192"/>
    </row>
    <row r="107" spans="1:15" s="53" customFormat="1" x14ac:dyDescent="0.2">
      <c r="A107" s="196" t="s">
        <v>185</v>
      </c>
      <c r="B107" s="197">
        <v>60.966810000000002</v>
      </c>
      <c r="C107" s="197">
        <v>10.993499999999999</v>
      </c>
      <c r="D107" s="198">
        <v>45715</v>
      </c>
      <c r="E107" s="197">
        <v>2850</v>
      </c>
      <c r="F107" s="197">
        <v>314.10000000000002</v>
      </c>
      <c r="G107" s="197">
        <v>19.41</v>
      </c>
      <c r="H107" s="197">
        <v>3.5</v>
      </c>
      <c r="I107" s="197">
        <v>22.91</v>
      </c>
      <c r="J107" s="199"/>
      <c r="K107" s="197">
        <v>71.973500000000001</v>
      </c>
      <c r="L107" s="197">
        <v>31331.474999999999</v>
      </c>
      <c r="M107" s="197">
        <v>205124.47500000001</v>
      </c>
      <c r="N107" s="196"/>
      <c r="O107" s="192"/>
    </row>
    <row r="108" spans="1:15" s="53" customFormat="1" x14ac:dyDescent="0.2">
      <c r="A108" s="196" t="s">
        <v>186</v>
      </c>
      <c r="B108" s="197">
        <v>67.98</v>
      </c>
      <c r="C108" s="197">
        <v>16.665299999999998</v>
      </c>
      <c r="D108" s="198">
        <v>45652</v>
      </c>
      <c r="E108" s="197">
        <v>1320</v>
      </c>
      <c r="F108" s="197">
        <v>476.15</v>
      </c>
      <c r="G108" s="197">
        <v>14.27</v>
      </c>
      <c r="H108" s="197">
        <v>3.5</v>
      </c>
      <c r="I108" s="197">
        <v>17.77</v>
      </c>
      <c r="J108" s="199"/>
      <c r="K108" s="197">
        <v>84.645300000000006</v>
      </c>
      <c r="L108" s="197">
        <v>21998.13</v>
      </c>
      <c r="M108" s="197">
        <v>111732.13</v>
      </c>
      <c r="N108" s="196"/>
      <c r="O108" s="192"/>
    </row>
    <row r="109" spans="1:15" s="53" customFormat="1" x14ac:dyDescent="0.2">
      <c r="A109" s="196" t="s">
        <v>186</v>
      </c>
      <c r="B109" s="197">
        <v>67.946605000000005</v>
      </c>
      <c r="C109" s="197">
        <v>16.665299999999998</v>
      </c>
      <c r="D109" s="198">
        <v>45687</v>
      </c>
      <c r="E109" s="197">
        <v>1320</v>
      </c>
      <c r="F109" s="197">
        <v>476.15</v>
      </c>
      <c r="G109" s="197">
        <v>14.27</v>
      </c>
      <c r="H109" s="197">
        <v>3.5</v>
      </c>
      <c r="I109" s="197">
        <v>17.77</v>
      </c>
      <c r="J109" s="199"/>
      <c r="K109" s="197">
        <v>84.645300000000006</v>
      </c>
      <c r="L109" s="197">
        <v>21998.13</v>
      </c>
      <c r="M109" s="197">
        <v>111732.13</v>
      </c>
      <c r="N109" s="196"/>
      <c r="O109" s="192"/>
    </row>
    <row r="110" spans="1:15" s="53" customFormat="1" x14ac:dyDescent="0.2">
      <c r="A110" s="196" t="s">
        <v>186</v>
      </c>
      <c r="B110" s="197">
        <v>67.946605000000005</v>
      </c>
      <c r="C110" s="197">
        <v>16.665299999999998</v>
      </c>
      <c r="D110" s="198">
        <v>45715</v>
      </c>
      <c r="E110" s="197">
        <v>1320</v>
      </c>
      <c r="F110" s="197">
        <v>476.15</v>
      </c>
      <c r="G110" s="197">
        <v>14.27</v>
      </c>
      <c r="H110" s="197">
        <v>3.5</v>
      </c>
      <c r="I110" s="197">
        <v>17.77</v>
      </c>
      <c r="J110" s="199"/>
      <c r="K110" s="197">
        <v>84.645300000000006</v>
      </c>
      <c r="L110" s="197">
        <v>21998.13</v>
      </c>
      <c r="M110" s="197">
        <v>111732.13</v>
      </c>
      <c r="N110" s="196"/>
      <c r="O110" s="192"/>
    </row>
    <row r="111" spans="1:15" s="53" customFormat="1" x14ac:dyDescent="0.2">
      <c r="A111" s="196" t="s">
        <v>187</v>
      </c>
      <c r="B111" s="197">
        <v>237.17</v>
      </c>
      <c r="C111" s="197">
        <v>48.279000000000003</v>
      </c>
      <c r="D111" s="198">
        <v>45652</v>
      </c>
      <c r="E111" s="197">
        <v>500</v>
      </c>
      <c r="F111" s="197">
        <v>1379.4</v>
      </c>
      <c r="G111" s="197">
        <v>17.190000000000001</v>
      </c>
      <c r="H111" s="197">
        <v>3.5</v>
      </c>
      <c r="I111" s="197">
        <v>20.69</v>
      </c>
      <c r="J111" s="199"/>
      <c r="K111" s="197">
        <v>285.44900000000001</v>
      </c>
      <c r="L111" s="197">
        <v>24139.5</v>
      </c>
      <c r="M111" s="197">
        <v>142724.5</v>
      </c>
      <c r="N111" s="196"/>
      <c r="O111" s="192"/>
    </row>
    <row r="112" spans="1:15" s="53" customFormat="1" x14ac:dyDescent="0.2">
      <c r="A112" s="196" t="s">
        <v>187</v>
      </c>
      <c r="B112" s="197">
        <v>237.11886000000001</v>
      </c>
      <c r="C112" s="197">
        <v>48.279000000000003</v>
      </c>
      <c r="D112" s="198">
        <v>45687</v>
      </c>
      <c r="E112" s="197">
        <v>500</v>
      </c>
      <c r="F112" s="197">
        <v>1379.4</v>
      </c>
      <c r="G112" s="197">
        <v>17.190000000000001</v>
      </c>
      <c r="H112" s="197">
        <v>3.5</v>
      </c>
      <c r="I112" s="197">
        <v>20.69</v>
      </c>
      <c r="J112" s="199"/>
      <c r="K112" s="197">
        <v>285.44900000000001</v>
      </c>
      <c r="L112" s="197">
        <v>24139.5</v>
      </c>
      <c r="M112" s="197">
        <v>142724.5</v>
      </c>
      <c r="N112" s="196"/>
      <c r="O112" s="192"/>
    </row>
    <row r="113" spans="1:15" s="53" customFormat="1" x14ac:dyDescent="0.2">
      <c r="A113" s="196" t="s">
        <v>187</v>
      </c>
      <c r="B113" s="197">
        <v>237.11886000000001</v>
      </c>
      <c r="C113" s="197">
        <v>48.279000000000003</v>
      </c>
      <c r="D113" s="198">
        <v>45715</v>
      </c>
      <c r="E113" s="197">
        <v>500</v>
      </c>
      <c r="F113" s="197">
        <v>1379.4</v>
      </c>
      <c r="G113" s="197">
        <v>17.190000000000001</v>
      </c>
      <c r="H113" s="197">
        <v>3.5</v>
      </c>
      <c r="I113" s="197">
        <v>20.69</v>
      </c>
      <c r="J113" s="199"/>
      <c r="K113" s="197">
        <v>285.44900000000001</v>
      </c>
      <c r="L113" s="197">
        <v>24139.5</v>
      </c>
      <c r="M113" s="197">
        <v>142724.5</v>
      </c>
      <c r="N113" s="196"/>
      <c r="O113" s="192"/>
    </row>
    <row r="114" spans="1:15" s="53" customFormat="1" x14ac:dyDescent="0.2">
      <c r="A114" s="196" t="s">
        <v>189</v>
      </c>
      <c r="B114" s="197">
        <v>226.43</v>
      </c>
      <c r="C114" s="197">
        <v>55.51</v>
      </c>
      <c r="D114" s="198">
        <v>45652</v>
      </c>
      <c r="E114" s="197">
        <v>475</v>
      </c>
      <c r="F114" s="197">
        <v>1586</v>
      </c>
      <c r="G114" s="197">
        <v>14.27</v>
      </c>
      <c r="H114" s="197">
        <v>3.5</v>
      </c>
      <c r="I114" s="197">
        <v>17.77</v>
      </c>
      <c r="J114" s="199"/>
      <c r="K114" s="197">
        <v>281.94</v>
      </c>
      <c r="L114" s="197">
        <v>26367.25</v>
      </c>
      <c r="M114" s="197">
        <v>133921.25</v>
      </c>
      <c r="N114" s="196"/>
      <c r="O114" s="192"/>
    </row>
    <row r="115" spans="1:15" s="53" customFormat="1" x14ac:dyDescent="0.2">
      <c r="A115" s="196" t="s">
        <v>189</v>
      </c>
      <c r="B115" s="197">
        <v>226.32220000000001</v>
      </c>
      <c r="C115" s="197">
        <v>55.51</v>
      </c>
      <c r="D115" s="198">
        <v>45687</v>
      </c>
      <c r="E115" s="197">
        <v>475</v>
      </c>
      <c r="F115" s="197">
        <v>1586</v>
      </c>
      <c r="G115" s="197">
        <v>14.27</v>
      </c>
      <c r="H115" s="197">
        <v>3.5</v>
      </c>
      <c r="I115" s="197">
        <v>17.77</v>
      </c>
      <c r="J115" s="199"/>
      <c r="K115" s="197">
        <v>281.94</v>
      </c>
      <c r="L115" s="197">
        <v>26367.25</v>
      </c>
      <c r="M115" s="197">
        <v>133921.25</v>
      </c>
      <c r="N115" s="196"/>
      <c r="O115" s="192"/>
    </row>
    <row r="116" spans="1:15" s="53" customFormat="1" x14ac:dyDescent="0.2">
      <c r="A116" s="196" t="s">
        <v>189</v>
      </c>
      <c r="B116" s="197">
        <v>226.32220000000001</v>
      </c>
      <c r="C116" s="197">
        <v>55.51</v>
      </c>
      <c r="D116" s="198">
        <v>45715</v>
      </c>
      <c r="E116" s="197">
        <v>475</v>
      </c>
      <c r="F116" s="197">
        <v>1586</v>
      </c>
      <c r="G116" s="197">
        <v>14.27</v>
      </c>
      <c r="H116" s="197">
        <v>3.5</v>
      </c>
      <c r="I116" s="197">
        <v>17.77</v>
      </c>
      <c r="J116" s="199"/>
      <c r="K116" s="197">
        <v>281.94</v>
      </c>
      <c r="L116" s="197">
        <v>26367.25</v>
      </c>
      <c r="M116" s="197">
        <v>133921.25</v>
      </c>
      <c r="N116" s="196"/>
      <c r="O116" s="192"/>
    </row>
    <row r="117" spans="1:15" s="53" customFormat="1" x14ac:dyDescent="0.2">
      <c r="A117" s="196" t="s">
        <v>190</v>
      </c>
      <c r="B117" s="197">
        <v>62.46</v>
      </c>
      <c r="C117" s="197">
        <v>8.8795000000000002</v>
      </c>
      <c r="D117" s="198">
        <v>45652</v>
      </c>
      <c r="E117" s="197">
        <v>2625</v>
      </c>
      <c r="F117" s="197">
        <v>253.7</v>
      </c>
      <c r="G117" s="197">
        <v>24.61</v>
      </c>
      <c r="H117" s="197">
        <v>3.5</v>
      </c>
      <c r="I117" s="197">
        <v>28.11</v>
      </c>
      <c r="J117" s="199"/>
      <c r="K117" s="197">
        <v>71.339500000000001</v>
      </c>
      <c r="L117" s="197">
        <v>23308.6875</v>
      </c>
      <c r="M117" s="197">
        <v>187266.6875</v>
      </c>
      <c r="N117" s="196"/>
      <c r="O117" s="192"/>
    </row>
    <row r="118" spans="1:15" s="53" customFormat="1" x14ac:dyDescent="0.2">
      <c r="A118" s="196" t="s">
        <v>190</v>
      </c>
      <c r="B118" s="197">
        <v>62.435569999999998</v>
      </c>
      <c r="C118" s="197">
        <v>8.8795000000000002</v>
      </c>
      <c r="D118" s="198">
        <v>45687</v>
      </c>
      <c r="E118" s="197">
        <v>2625</v>
      </c>
      <c r="F118" s="197">
        <v>253.7</v>
      </c>
      <c r="G118" s="197">
        <v>24.61</v>
      </c>
      <c r="H118" s="197">
        <v>3.5</v>
      </c>
      <c r="I118" s="197">
        <v>28.11</v>
      </c>
      <c r="J118" s="199"/>
      <c r="K118" s="197">
        <v>71.339500000000001</v>
      </c>
      <c r="L118" s="197">
        <v>23308.6875</v>
      </c>
      <c r="M118" s="197">
        <v>187266.6875</v>
      </c>
      <c r="N118" s="196"/>
      <c r="O118" s="192"/>
    </row>
    <row r="119" spans="1:15" s="53" customFormat="1" x14ac:dyDescent="0.2">
      <c r="A119" s="196" t="s">
        <v>190</v>
      </c>
      <c r="B119" s="197">
        <v>62.435569999999998</v>
      </c>
      <c r="C119" s="197">
        <v>8.8795000000000002</v>
      </c>
      <c r="D119" s="198">
        <v>45715</v>
      </c>
      <c r="E119" s="197">
        <v>2625</v>
      </c>
      <c r="F119" s="197">
        <v>253.7</v>
      </c>
      <c r="G119" s="197">
        <v>24.61</v>
      </c>
      <c r="H119" s="197">
        <v>3.5</v>
      </c>
      <c r="I119" s="197">
        <v>28.11</v>
      </c>
      <c r="J119" s="199"/>
      <c r="K119" s="197">
        <v>71.339500000000001</v>
      </c>
      <c r="L119" s="197">
        <v>23308.6875</v>
      </c>
      <c r="M119" s="197">
        <v>187266.6875</v>
      </c>
      <c r="N119" s="196"/>
      <c r="O119" s="192"/>
    </row>
    <row r="120" spans="1:15" s="53" customFormat="1" x14ac:dyDescent="0.2">
      <c r="A120" s="196" t="s">
        <v>191</v>
      </c>
      <c r="B120" s="197">
        <v>68.22</v>
      </c>
      <c r="C120" s="197">
        <v>19.312100000000001</v>
      </c>
      <c r="D120" s="198">
        <v>45652</v>
      </c>
      <c r="E120" s="197">
        <v>2500</v>
      </c>
      <c r="F120" s="197">
        <v>367.85</v>
      </c>
      <c r="G120" s="197">
        <v>18.54</v>
      </c>
      <c r="H120" s="197">
        <v>5.25</v>
      </c>
      <c r="I120" s="197">
        <v>23.79</v>
      </c>
      <c r="J120" s="199"/>
      <c r="K120" s="197">
        <v>87.5321</v>
      </c>
      <c r="L120" s="197">
        <v>48280.3125</v>
      </c>
      <c r="M120" s="197">
        <v>218830.3125</v>
      </c>
      <c r="N120" s="196"/>
      <c r="O120" s="192"/>
    </row>
    <row r="121" spans="1:15" s="53" customFormat="1" x14ac:dyDescent="0.2">
      <c r="A121" s="196" t="s">
        <v>191</v>
      </c>
      <c r="B121" s="197">
        <v>68.199389999999994</v>
      </c>
      <c r="C121" s="197">
        <v>19.312100000000001</v>
      </c>
      <c r="D121" s="198">
        <v>45687</v>
      </c>
      <c r="E121" s="197">
        <v>2500</v>
      </c>
      <c r="F121" s="197">
        <v>367.85</v>
      </c>
      <c r="G121" s="197">
        <v>18.54</v>
      </c>
      <c r="H121" s="197">
        <v>5.25</v>
      </c>
      <c r="I121" s="197">
        <v>23.79</v>
      </c>
      <c r="J121" s="199"/>
      <c r="K121" s="197">
        <v>87.5321</v>
      </c>
      <c r="L121" s="197">
        <v>48280.3125</v>
      </c>
      <c r="M121" s="197">
        <v>218830.3125</v>
      </c>
      <c r="N121" s="196"/>
      <c r="O121" s="192"/>
    </row>
    <row r="122" spans="1:15" s="53" customFormat="1" x14ac:dyDescent="0.2">
      <c r="A122" s="196" t="s">
        <v>191</v>
      </c>
      <c r="B122" s="197">
        <v>68.199389999999994</v>
      </c>
      <c r="C122" s="197">
        <v>19.312100000000001</v>
      </c>
      <c r="D122" s="198">
        <v>45715</v>
      </c>
      <c r="E122" s="197">
        <v>2500</v>
      </c>
      <c r="F122" s="197">
        <v>367.85</v>
      </c>
      <c r="G122" s="197">
        <v>18.54</v>
      </c>
      <c r="H122" s="197">
        <v>5.25</v>
      </c>
      <c r="I122" s="197">
        <v>23.79</v>
      </c>
      <c r="J122" s="199"/>
      <c r="K122" s="197">
        <v>87.5321</v>
      </c>
      <c r="L122" s="197">
        <v>48280.3125</v>
      </c>
      <c r="M122" s="197">
        <v>218830.3125</v>
      </c>
      <c r="N122" s="196"/>
      <c r="O122" s="192"/>
    </row>
    <row r="123" spans="1:15" s="53" customFormat="1" x14ac:dyDescent="0.2">
      <c r="A123" s="196" t="s">
        <v>192</v>
      </c>
      <c r="B123" s="197">
        <v>5170.8</v>
      </c>
      <c r="C123" s="197">
        <v>1267.6125</v>
      </c>
      <c r="D123" s="198">
        <v>45652</v>
      </c>
      <c r="E123" s="197">
        <v>25</v>
      </c>
      <c r="F123" s="197">
        <v>36217.5</v>
      </c>
      <c r="G123" s="197">
        <v>14.27</v>
      </c>
      <c r="H123" s="197">
        <v>3.5</v>
      </c>
      <c r="I123" s="197">
        <v>17.77</v>
      </c>
      <c r="J123" s="199"/>
      <c r="K123" s="197">
        <v>6438.4125000000004</v>
      </c>
      <c r="L123" s="197">
        <v>31690.3125</v>
      </c>
      <c r="M123" s="197">
        <v>160960.3125</v>
      </c>
      <c r="N123" s="196"/>
      <c r="O123" s="192"/>
    </row>
    <row r="124" spans="1:15" s="53" customFormat="1" x14ac:dyDescent="0.2">
      <c r="A124" s="196" t="s">
        <v>192</v>
      </c>
      <c r="B124" s="197">
        <v>5168.2372500000001</v>
      </c>
      <c r="C124" s="197">
        <v>1267.6125</v>
      </c>
      <c r="D124" s="198">
        <v>45687</v>
      </c>
      <c r="E124" s="197">
        <v>25</v>
      </c>
      <c r="F124" s="197">
        <v>36217.5</v>
      </c>
      <c r="G124" s="197">
        <v>14.27</v>
      </c>
      <c r="H124" s="197">
        <v>3.5</v>
      </c>
      <c r="I124" s="197">
        <v>17.77</v>
      </c>
      <c r="J124" s="199"/>
      <c r="K124" s="197">
        <v>6438.4125000000004</v>
      </c>
      <c r="L124" s="197">
        <v>31690.3125</v>
      </c>
      <c r="M124" s="197">
        <v>160960.3125</v>
      </c>
      <c r="N124" s="196"/>
      <c r="O124" s="192"/>
    </row>
    <row r="125" spans="1:15" s="53" customFormat="1" x14ac:dyDescent="0.2">
      <c r="A125" s="196" t="s">
        <v>192</v>
      </c>
      <c r="B125" s="197">
        <v>5168.2372500000001</v>
      </c>
      <c r="C125" s="197">
        <v>1267.6125</v>
      </c>
      <c r="D125" s="198">
        <v>45715</v>
      </c>
      <c r="E125" s="197">
        <v>25</v>
      </c>
      <c r="F125" s="197">
        <v>36217.5</v>
      </c>
      <c r="G125" s="197">
        <v>14.27</v>
      </c>
      <c r="H125" s="197">
        <v>3.5</v>
      </c>
      <c r="I125" s="197">
        <v>17.77</v>
      </c>
      <c r="J125" s="199"/>
      <c r="K125" s="197">
        <v>6438.4125000000004</v>
      </c>
      <c r="L125" s="197">
        <v>31690.3125</v>
      </c>
      <c r="M125" s="197">
        <v>160960.3125</v>
      </c>
      <c r="N125" s="196"/>
      <c r="O125" s="192"/>
    </row>
    <row r="126" spans="1:15" s="53" customFormat="1" x14ac:dyDescent="0.2">
      <c r="A126" s="196" t="s">
        <v>194</v>
      </c>
      <c r="B126" s="197">
        <v>53.16</v>
      </c>
      <c r="C126" s="197">
        <v>10.7608</v>
      </c>
      <c r="D126" s="198">
        <v>45652</v>
      </c>
      <c r="E126" s="197">
        <v>1800</v>
      </c>
      <c r="F126" s="197">
        <v>307.45</v>
      </c>
      <c r="G126" s="197">
        <v>17.29</v>
      </c>
      <c r="H126" s="197">
        <v>3.5</v>
      </c>
      <c r="I126" s="197">
        <v>20.79</v>
      </c>
      <c r="J126" s="199"/>
      <c r="K126" s="197">
        <v>63.9208</v>
      </c>
      <c r="L126" s="197">
        <v>19369.349999999999</v>
      </c>
      <c r="M126" s="197">
        <v>115057.35</v>
      </c>
      <c r="N126" s="196"/>
      <c r="O126" s="192"/>
    </row>
    <row r="127" spans="1:15" s="53" customFormat="1" x14ac:dyDescent="0.2">
      <c r="A127" s="196" t="s">
        <v>194</v>
      </c>
      <c r="B127" s="197">
        <v>53.158104999999999</v>
      </c>
      <c r="C127" s="197">
        <v>10.7608</v>
      </c>
      <c r="D127" s="198">
        <v>45687</v>
      </c>
      <c r="E127" s="197">
        <v>1800</v>
      </c>
      <c r="F127" s="197">
        <v>307.45</v>
      </c>
      <c r="G127" s="197">
        <v>17.29</v>
      </c>
      <c r="H127" s="197">
        <v>3.5</v>
      </c>
      <c r="I127" s="197">
        <v>20.79</v>
      </c>
      <c r="J127" s="199"/>
      <c r="K127" s="197">
        <v>63.9208</v>
      </c>
      <c r="L127" s="197">
        <v>19369.349999999999</v>
      </c>
      <c r="M127" s="197">
        <v>115057.35</v>
      </c>
      <c r="N127" s="196"/>
      <c r="O127" s="192"/>
    </row>
    <row r="128" spans="1:15" s="53" customFormat="1" x14ac:dyDescent="0.2">
      <c r="A128" s="196" t="s">
        <v>194</v>
      </c>
      <c r="B128" s="197">
        <v>53.158104999999999</v>
      </c>
      <c r="C128" s="197">
        <v>10.7608</v>
      </c>
      <c r="D128" s="198">
        <v>45715</v>
      </c>
      <c r="E128" s="197">
        <v>1800</v>
      </c>
      <c r="F128" s="197">
        <v>307.45</v>
      </c>
      <c r="G128" s="197">
        <v>17.29</v>
      </c>
      <c r="H128" s="197">
        <v>3.5</v>
      </c>
      <c r="I128" s="197">
        <v>20.79</v>
      </c>
      <c r="J128" s="199"/>
      <c r="K128" s="197">
        <v>63.9208</v>
      </c>
      <c r="L128" s="197">
        <v>19369.349999999999</v>
      </c>
      <c r="M128" s="197">
        <v>115057.35</v>
      </c>
      <c r="N128" s="196"/>
      <c r="O128" s="192"/>
    </row>
    <row r="129" spans="1:15" s="54" customFormat="1" x14ac:dyDescent="0.2">
      <c r="A129" s="196" t="s">
        <v>195</v>
      </c>
      <c r="B129" s="197">
        <v>698.08</v>
      </c>
      <c r="C129" s="197">
        <v>171.1343</v>
      </c>
      <c r="D129" s="198">
        <v>45652</v>
      </c>
      <c r="E129" s="197">
        <v>100</v>
      </c>
      <c r="F129" s="197">
        <v>4889.55</v>
      </c>
      <c r="G129" s="197">
        <v>14.27</v>
      </c>
      <c r="H129" s="197">
        <v>3.5</v>
      </c>
      <c r="I129" s="197">
        <v>17.77</v>
      </c>
      <c r="J129" s="199"/>
      <c r="K129" s="197">
        <v>869.21429999999998</v>
      </c>
      <c r="L129" s="197">
        <v>17113.424999999999</v>
      </c>
      <c r="M129" s="197">
        <v>86921.425000000003</v>
      </c>
      <c r="N129" s="196"/>
      <c r="O129" s="193"/>
    </row>
    <row r="130" spans="1:15" s="53" customFormat="1" x14ac:dyDescent="0.2">
      <c r="A130" s="196" t="s">
        <v>195</v>
      </c>
      <c r="B130" s="197">
        <v>697.73878500000001</v>
      </c>
      <c r="C130" s="197">
        <v>171.1343</v>
      </c>
      <c r="D130" s="198">
        <v>45687</v>
      </c>
      <c r="E130" s="197">
        <v>100</v>
      </c>
      <c r="F130" s="197">
        <v>4889.55</v>
      </c>
      <c r="G130" s="197">
        <v>14.27</v>
      </c>
      <c r="H130" s="197">
        <v>3.5</v>
      </c>
      <c r="I130" s="197">
        <v>17.77</v>
      </c>
      <c r="J130" s="199"/>
      <c r="K130" s="197">
        <v>869.21429999999998</v>
      </c>
      <c r="L130" s="197">
        <v>17113.424999999999</v>
      </c>
      <c r="M130" s="197">
        <v>86921.425000000003</v>
      </c>
      <c r="N130" s="196"/>
      <c r="O130" s="192"/>
    </row>
    <row r="131" spans="1:15" s="53" customFormat="1" x14ac:dyDescent="0.2">
      <c r="A131" s="196" t="s">
        <v>195</v>
      </c>
      <c r="B131" s="197">
        <v>697.73878500000001</v>
      </c>
      <c r="C131" s="197">
        <v>171.1343</v>
      </c>
      <c r="D131" s="198">
        <v>45715</v>
      </c>
      <c r="E131" s="197">
        <v>100</v>
      </c>
      <c r="F131" s="197">
        <v>4889.55</v>
      </c>
      <c r="G131" s="197">
        <v>14.27</v>
      </c>
      <c r="H131" s="197">
        <v>3.5</v>
      </c>
      <c r="I131" s="197">
        <v>17.77</v>
      </c>
      <c r="J131" s="199"/>
      <c r="K131" s="197">
        <v>869.21429999999998</v>
      </c>
      <c r="L131" s="197">
        <v>17113.424999999999</v>
      </c>
      <c r="M131" s="197">
        <v>86921.425000000003</v>
      </c>
      <c r="N131" s="196"/>
      <c r="O131" s="192"/>
    </row>
    <row r="132" spans="1:15" s="53" customFormat="1" x14ac:dyDescent="0.2">
      <c r="A132" s="196" t="s">
        <v>584</v>
      </c>
      <c r="B132" s="197">
        <v>2590.7199999999998</v>
      </c>
      <c r="C132" s="197">
        <v>194.327</v>
      </c>
      <c r="D132" s="198">
        <v>45652</v>
      </c>
      <c r="E132" s="197">
        <v>125</v>
      </c>
      <c r="F132" s="197">
        <v>5552.2</v>
      </c>
      <c r="G132" s="197">
        <v>46.66</v>
      </c>
      <c r="H132" s="197">
        <v>3.5</v>
      </c>
      <c r="I132" s="197">
        <v>50.16</v>
      </c>
      <c r="J132" s="199"/>
      <c r="K132" s="197">
        <v>2785.047</v>
      </c>
      <c r="L132" s="197">
        <v>24290.875</v>
      </c>
      <c r="M132" s="197">
        <v>348130.875</v>
      </c>
      <c r="N132" s="196"/>
      <c r="O132" s="192"/>
    </row>
    <row r="133" spans="1:15" s="53" customFormat="1" x14ac:dyDescent="0.2">
      <c r="A133" s="196" t="s">
        <v>584</v>
      </c>
      <c r="B133" s="197">
        <v>2590.65652</v>
      </c>
      <c r="C133" s="197">
        <v>194.327</v>
      </c>
      <c r="D133" s="198">
        <v>45687</v>
      </c>
      <c r="E133" s="197">
        <v>125</v>
      </c>
      <c r="F133" s="197">
        <v>5552.2</v>
      </c>
      <c r="G133" s="197">
        <v>46.66</v>
      </c>
      <c r="H133" s="197">
        <v>3.5</v>
      </c>
      <c r="I133" s="197">
        <v>50.16</v>
      </c>
      <c r="J133" s="199"/>
      <c r="K133" s="197">
        <v>2785.047</v>
      </c>
      <c r="L133" s="197">
        <v>24290.875</v>
      </c>
      <c r="M133" s="197">
        <v>348130.875</v>
      </c>
      <c r="N133" s="196"/>
      <c r="O133" s="192"/>
    </row>
    <row r="134" spans="1:15" s="53" customFormat="1" x14ac:dyDescent="0.2">
      <c r="A134" s="196" t="s">
        <v>584</v>
      </c>
      <c r="B134" s="197">
        <v>2590.65652</v>
      </c>
      <c r="C134" s="197">
        <v>194.327</v>
      </c>
      <c r="D134" s="198">
        <v>45715</v>
      </c>
      <c r="E134" s="197">
        <v>125</v>
      </c>
      <c r="F134" s="197">
        <v>5552.2</v>
      </c>
      <c r="G134" s="197">
        <v>46.66</v>
      </c>
      <c r="H134" s="197">
        <v>3.5</v>
      </c>
      <c r="I134" s="197">
        <v>50.16</v>
      </c>
      <c r="J134" s="199"/>
      <c r="K134" s="197">
        <v>2785.047</v>
      </c>
      <c r="L134" s="197">
        <v>24290.875</v>
      </c>
      <c r="M134" s="197">
        <v>348130.875</v>
      </c>
      <c r="N134" s="196"/>
      <c r="O134" s="192"/>
    </row>
    <row r="135" spans="1:15" s="53" customFormat="1" x14ac:dyDescent="0.2">
      <c r="A135" s="196" t="s">
        <v>531</v>
      </c>
      <c r="B135" s="197">
        <v>114.64</v>
      </c>
      <c r="C135" s="197">
        <v>32.200899999999997</v>
      </c>
      <c r="D135" s="198">
        <v>45652</v>
      </c>
      <c r="E135" s="197">
        <v>1000</v>
      </c>
      <c r="F135" s="197">
        <v>613.35</v>
      </c>
      <c r="G135" s="197">
        <v>18.690000000000001</v>
      </c>
      <c r="H135" s="197">
        <v>5.25</v>
      </c>
      <c r="I135" s="197">
        <v>23.94</v>
      </c>
      <c r="J135" s="199"/>
      <c r="K135" s="197">
        <v>146.8409</v>
      </c>
      <c r="L135" s="197">
        <v>32200.875</v>
      </c>
      <c r="M135" s="197">
        <v>146840.875</v>
      </c>
      <c r="N135" s="196"/>
      <c r="O135" s="192"/>
    </row>
    <row r="136" spans="1:15" s="53" customFormat="1" x14ac:dyDescent="0.2">
      <c r="A136" s="196" t="s">
        <v>531</v>
      </c>
      <c r="B136" s="197">
        <v>114.635115</v>
      </c>
      <c r="C136" s="197">
        <v>32.200899999999997</v>
      </c>
      <c r="D136" s="198">
        <v>45687</v>
      </c>
      <c r="E136" s="197">
        <v>1000</v>
      </c>
      <c r="F136" s="197">
        <v>613.35</v>
      </c>
      <c r="G136" s="197">
        <v>18.690000000000001</v>
      </c>
      <c r="H136" s="197">
        <v>5.25</v>
      </c>
      <c r="I136" s="197">
        <v>23.94</v>
      </c>
      <c r="J136" s="199"/>
      <c r="K136" s="197">
        <v>146.8409</v>
      </c>
      <c r="L136" s="197">
        <v>32200.875</v>
      </c>
      <c r="M136" s="197">
        <v>146840.875</v>
      </c>
      <c r="N136" s="196"/>
      <c r="O136" s="192"/>
    </row>
    <row r="137" spans="1:15" s="53" customFormat="1" x14ac:dyDescent="0.2">
      <c r="A137" s="196" t="s">
        <v>531</v>
      </c>
      <c r="B137" s="197">
        <v>114.635115</v>
      </c>
      <c r="C137" s="197">
        <v>32.200899999999997</v>
      </c>
      <c r="D137" s="198">
        <v>45715</v>
      </c>
      <c r="E137" s="197">
        <v>1000</v>
      </c>
      <c r="F137" s="197">
        <v>613.35</v>
      </c>
      <c r="G137" s="197">
        <v>18.690000000000001</v>
      </c>
      <c r="H137" s="197">
        <v>5.25</v>
      </c>
      <c r="I137" s="197">
        <v>23.94</v>
      </c>
      <c r="J137" s="199"/>
      <c r="K137" s="197">
        <v>146.8409</v>
      </c>
      <c r="L137" s="197">
        <v>32200.875</v>
      </c>
      <c r="M137" s="197">
        <v>146840.875</v>
      </c>
      <c r="N137" s="196"/>
      <c r="O137" s="192"/>
    </row>
    <row r="138" spans="1:15" s="53" customFormat="1" x14ac:dyDescent="0.2">
      <c r="A138" s="196" t="s">
        <v>611</v>
      </c>
      <c r="B138" s="197">
        <v>1048.31</v>
      </c>
      <c r="C138" s="197">
        <v>182.77</v>
      </c>
      <c r="D138" s="198">
        <v>45652</v>
      </c>
      <c r="E138" s="197">
        <v>125</v>
      </c>
      <c r="F138" s="197">
        <v>5222</v>
      </c>
      <c r="G138" s="197">
        <v>20.07</v>
      </c>
      <c r="H138" s="197">
        <v>3.5</v>
      </c>
      <c r="I138" s="197">
        <v>23.57</v>
      </c>
      <c r="J138" s="199"/>
      <c r="K138" s="197">
        <v>1231.08</v>
      </c>
      <c r="L138" s="197">
        <v>22846.25</v>
      </c>
      <c r="M138" s="197">
        <v>153885.25</v>
      </c>
      <c r="N138" s="196"/>
      <c r="O138" s="192"/>
    </row>
    <row r="139" spans="1:15" s="53" customFormat="1" x14ac:dyDescent="0.2">
      <c r="A139" s="196" t="s">
        <v>611</v>
      </c>
      <c r="B139" s="197">
        <v>1048.0554</v>
      </c>
      <c r="C139" s="197">
        <v>182.77</v>
      </c>
      <c r="D139" s="198">
        <v>45687</v>
      </c>
      <c r="E139" s="197">
        <v>125</v>
      </c>
      <c r="F139" s="197">
        <v>5222</v>
      </c>
      <c r="G139" s="197">
        <v>20.07</v>
      </c>
      <c r="H139" s="197">
        <v>3.5</v>
      </c>
      <c r="I139" s="197">
        <v>23.57</v>
      </c>
      <c r="J139" s="199"/>
      <c r="K139" s="197">
        <v>1231.08</v>
      </c>
      <c r="L139" s="197">
        <v>22846.25</v>
      </c>
      <c r="M139" s="197">
        <v>153885.25</v>
      </c>
      <c r="N139" s="196"/>
      <c r="O139" s="192"/>
    </row>
    <row r="140" spans="1:15" s="53" customFormat="1" x14ac:dyDescent="0.2">
      <c r="A140" s="196" t="s">
        <v>611</v>
      </c>
      <c r="B140" s="197">
        <v>1048.0554</v>
      </c>
      <c r="C140" s="197">
        <v>182.77</v>
      </c>
      <c r="D140" s="198">
        <v>45715</v>
      </c>
      <c r="E140" s="197">
        <v>125</v>
      </c>
      <c r="F140" s="197">
        <v>5222</v>
      </c>
      <c r="G140" s="197">
        <v>20.07</v>
      </c>
      <c r="H140" s="197">
        <v>3.5</v>
      </c>
      <c r="I140" s="197">
        <v>23.57</v>
      </c>
      <c r="J140" s="199"/>
      <c r="K140" s="197">
        <v>1231.08</v>
      </c>
      <c r="L140" s="197">
        <v>22846.25</v>
      </c>
      <c r="M140" s="197">
        <v>153885.25</v>
      </c>
      <c r="N140" s="196"/>
      <c r="O140" s="192"/>
    </row>
    <row r="141" spans="1:15" s="53" customFormat="1" x14ac:dyDescent="0.2">
      <c r="A141" s="196" t="s">
        <v>196</v>
      </c>
      <c r="B141" s="197">
        <v>20.7</v>
      </c>
      <c r="C141" s="197">
        <v>5.7093999999999996</v>
      </c>
      <c r="D141" s="198">
        <v>45652</v>
      </c>
      <c r="E141" s="197">
        <v>6750</v>
      </c>
      <c r="F141" s="197">
        <v>108.75</v>
      </c>
      <c r="G141" s="197">
        <v>19.03</v>
      </c>
      <c r="H141" s="197">
        <v>5.25</v>
      </c>
      <c r="I141" s="197">
        <v>24.28</v>
      </c>
      <c r="J141" s="199"/>
      <c r="K141" s="197">
        <v>26.409400000000002</v>
      </c>
      <c r="L141" s="197">
        <v>38538.281300000002</v>
      </c>
      <c r="M141" s="197">
        <v>178263.2813</v>
      </c>
      <c r="N141" s="196"/>
      <c r="O141" s="192"/>
    </row>
    <row r="142" spans="1:15" s="53" customFormat="1" x14ac:dyDescent="0.2">
      <c r="A142" s="196" t="s">
        <v>196</v>
      </c>
      <c r="B142" s="197">
        <v>20.695125000000001</v>
      </c>
      <c r="C142" s="197">
        <v>5.7093999999999996</v>
      </c>
      <c r="D142" s="198">
        <v>45687</v>
      </c>
      <c r="E142" s="197">
        <v>6750</v>
      </c>
      <c r="F142" s="197">
        <v>108.75</v>
      </c>
      <c r="G142" s="197">
        <v>19.03</v>
      </c>
      <c r="H142" s="197">
        <v>5.25</v>
      </c>
      <c r="I142" s="197">
        <v>24.28</v>
      </c>
      <c r="J142" s="199"/>
      <c r="K142" s="197">
        <v>26.409400000000002</v>
      </c>
      <c r="L142" s="197">
        <v>38538.281300000002</v>
      </c>
      <c r="M142" s="197">
        <v>178263.2813</v>
      </c>
      <c r="N142" s="196"/>
      <c r="O142" s="192"/>
    </row>
    <row r="143" spans="1:15" s="53" customFormat="1" x14ac:dyDescent="0.2">
      <c r="A143" s="196" t="s">
        <v>196</v>
      </c>
      <c r="B143" s="197">
        <v>20.695125000000001</v>
      </c>
      <c r="C143" s="197">
        <v>5.7093999999999996</v>
      </c>
      <c r="D143" s="198">
        <v>45715</v>
      </c>
      <c r="E143" s="197">
        <v>6750</v>
      </c>
      <c r="F143" s="197">
        <v>108.75</v>
      </c>
      <c r="G143" s="197">
        <v>19.03</v>
      </c>
      <c r="H143" s="197">
        <v>5.25</v>
      </c>
      <c r="I143" s="197">
        <v>24.28</v>
      </c>
      <c r="J143" s="199"/>
      <c r="K143" s="197">
        <v>26.409400000000002</v>
      </c>
      <c r="L143" s="197">
        <v>38538.281300000002</v>
      </c>
      <c r="M143" s="197">
        <v>178263.2813</v>
      </c>
      <c r="N143" s="196"/>
      <c r="O143" s="192"/>
    </row>
    <row r="144" spans="1:15" s="53" customFormat="1" x14ac:dyDescent="0.2">
      <c r="A144" s="196" t="s">
        <v>511</v>
      </c>
      <c r="B144" s="197">
        <v>145</v>
      </c>
      <c r="C144" s="197">
        <v>43.047400000000003</v>
      </c>
      <c r="D144" s="198">
        <v>45652</v>
      </c>
      <c r="E144" s="197">
        <v>975</v>
      </c>
      <c r="F144" s="197">
        <v>819.95</v>
      </c>
      <c r="G144" s="197">
        <v>17.68</v>
      </c>
      <c r="H144" s="197">
        <v>5.25</v>
      </c>
      <c r="I144" s="197">
        <v>22.93</v>
      </c>
      <c r="J144" s="199"/>
      <c r="K144" s="197">
        <v>188.04740000000001</v>
      </c>
      <c r="L144" s="197">
        <v>41971.190600000002</v>
      </c>
      <c r="M144" s="197">
        <v>183346.1906</v>
      </c>
      <c r="N144" s="196"/>
      <c r="O144" s="192"/>
    </row>
    <row r="145" spans="1:15" s="54" customFormat="1" x14ac:dyDescent="0.2">
      <c r="A145" s="196" t="s">
        <v>511</v>
      </c>
      <c r="B145" s="197">
        <v>144.96716000000001</v>
      </c>
      <c r="C145" s="197">
        <v>43.047400000000003</v>
      </c>
      <c r="D145" s="198">
        <v>45687</v>
      </c>
      <c r="E145" s="197">
        <v>975</v>
      </c>
      <c r="F145" s="197">
        <v>819.95</v>
      </c>
      <c r="G145" s="197">
        <v>17.68</v>
      </c>
      <c r="H145" s="197">
        <v>5.25</v>
      </c>
      <c r="I145" s="197">
        <v>22.93</v>
      </c>
      <c r="J145" s="199"/>
      <c r="K145" s="197">
        <v>188.04740000000001</v>
      </c>
      <c r="L145" s="197">
        <v>41971.190600000002</v>
      </c>
      <c r="M145" s="197">
        <v>183346.1906</v>
      </c>
      <c r="N145" s="196"/>
      <c r="O145" s="193"/>
    </row>
    <row r="146" spans="1:15" s="53" customFormat="1" x14ac:dyDescent="0.2">
      <c r="A146" s="196" t="s">
        <v>511</v>
      </c>
      <c r="B146" s="197">
        <v>144.96716000000001</v>
      </c>
      <c r="C146" s="197">
        <v>43.047400000000003</v>
      </c>
      <c r="D146" s="198">
        <v>45715</v>
      </c>
      <c r="E146" s="197">
        <v>975</v>
      </c>
      <c r="F146" s="197">
        <v>819.95</v>
      </c>
      <c r="G146" s="197">
        <v>17.68</v>
      </c>
      <c r="H146" s="197">
        <v>5.25</v>
      </c>
      <c r="I146" s="197">
        <v>22.93</v>
      </c>
      <c r="J146" s="199"/>
      <c r="K146" s="197">
        <v>188.04740000000001</v>
      </c>
      <c r="L146" s="197">
        <v>41971.190600000002</v>
      </c>
      <c r="M146" s="197">
        <v>183346.1906</v>
      </c>
      <c r="N146" s="196"/>
      <c r="O146" s="192"/>
    </row>
    <row r="147" spans="1:15" s="53" customFormat="1" x14ac:dyDescent="0.2">
      <c r="A147" s="196" t="s">
        <v>597</v>
      </c>
      <c r="B147" s="197">
        <v>424.37</v>
      </c>
      <c r="C147" s="197">
        <v>67.562299999999993</v>
      </c>
      <c r="D147" s="198">
        <v>45652</v>
      </c>
      <c r="E147" s="197">
        <v>350</v>
      </c>
      <c r="F147" s="197">
        <v>1930.35</v>
      </c>
      <c r="G147" s="197">
        <v>21.98</v>
      </c>
      <c r="H147" s="197">
        <v>3.5</v>
      </c>
      <c r="I147" s="197">
        <v>25.48</v>
      </c>
      <c r="J147" s="199"/>
      <c r="K147" s="197">
        <v>491.9323</v>
      </c>
      <c r="L147" s="197">
        <v>23646.787499999999</v>
      </c>
      <c r="M147" s="197">
        <v>172176.78750000001</v>
      </c>
      <c r="N147" s="196"/>
      <c r="O147" s="192"/>
    </row>
    <row r="148" spans="1:15" s="53" customFormat="1" x14ac:dyDescent="0.2">
      <c r="A148" s="196" t="s">
        <v>597</v>
      </c>
      <c r="B148" s="197">
        <v>424.29093</v>
      </c>
      <c r="C148" s="197">
        <v>67.562299999999993</v>
      </c>
      <c r="D148" s="198">
        <v>45687</v>
      </c>
      <c r="E148" s="197">
        <v>350</v>
      </c>
      <c r="F148" s="197">
        <v>1930.35</v>
      </c>
      <c r="G148" s="197">
        <v>21.98</v>
      </c>
      <c r="H148" s="197">
        <v>3.5</v>
      </c>
      <c r="I148" s="197">
        <v>25.48</v>
      </c>
      <c r="J148" s="199"/>
      <c r="K148" s="197">
        <v>491.9323</v>
      </c>
      <c r="L148" s="197">
        <v>23646.787499999999</v>
      </c>
      <c r="M148" s="197">
        <v>172176.78750000001</v>
      </c>
      <c r="N148" s="196"/>
      <c r="O148" s="192"/>
    </row>
    <row r="149" spans="1:15" s="53" customFormat="1" x14ac:dyDescent="0.2">
      <c r="A149" s="196" t="s">
        <v>597</v>
      </c>
      <c r="B149" s="197">
        <v>424.29093</v>
      </c>
      <c r="C149" s="197">
        <v>67.562299999999993</v>
      </c>
      <c r="D149" s="198">
        <v>45715</v>
      </c>
      <c r="E149" s="197">
        <v>350</v>
      </c>
      <c r="F149" s="197">
        <v>1930.35</v>
      </c>
      <c r="G149" s="197">
        <v>21.98</v>
      </c>
      <c r="H149" s="197">
        <v>3.5</v>
      </c>
      <c r="I149" s="197">
        <v>25.48</v>
      </c>
      <c r="J149" s="199"/>
      <c r="K149" s="197">
        <v>491.9323</v>
      </c>
      <c r="L149" s="197">
        <v>23646.787499999999</v>
      </c>
      <c r="M149" s="197">
        <v>172176.78750000001</v>
      </c>
      <c r="N149" s="196"/>
      <c r="O149" s="192"/>
    </row>
    <row r="150" spans="1:15" s="53" customFormat="1" x14ac:dyDescent="0.2">
      <c r="A150" s="196" t="s">
        <v>601</v>
      </c>
      <c r="B150" s="197">
        <v>40.78</v>
      </c>
      <c r="C150" s="197">
        <v>6.7619999999999996</v>
      </c>
      <c r="D150" s="198">
        <v>45652</v>
      </c>
      <c r="E150" s="197">
        <v>2925</v>
      </c>
      <c r="F150" s="197">
        <v>193.2</v>
      </c>
      <c r="G150" s="197">
        <v>21.1</v>
      </c>
      <c r="H150" s="197">
        <v>3.5</v>
      </c>
      <c r="I150" s="197">
        <v>24.6</v>
      </c>
      <c r="J150" s="199"/>
      <c r="K150" s="197">
        <v>47.542000000000002</v>
      </c>
      <c r="L150" s="197">
        <v>19778.849999999999</v>
      </c>
      <c r="M150" s="197">
        <v>139060.85</v>
      </c>
      <c r="N150" s="196"/>
      <c r="O150" s="192"/>
    </row>
    <row r="151" spans="1:15" s="53" customFormat="1" x14ac:dyDescent="0.2">
      <c r="A151" s="196" t="s">
        <v>601</v>
      </c>
      <c r="B151" s="197">
        <v>40.7652</v>
      </c>
      <c r="C151" s="197">
        <v>6.7619999999999996</v>
      </c>
      <c r="D151" s="198">
        <v>45687</v>
      </c>
      <c r="E151" s="197">
        <v>2925</v>
      </c>
      <c r="F151" s="197">
        <v>193.2</v>
      </c>
      <c r="G151" s="197">
        <v>21.1</v>
      </c>
      <c r="H151" s="197">
        <v>3.5</v>
      </c>
      <c r="I151" s="197">
        <v>24.6</v>
      </c>
      <c r="J151" s="199"/>
      <c r="K151" s="197">
        <v>47.542000000000002</v>
      </c>
      <c r="L151" s="197">
        <v>19778.849999999999</v>
      </c>
      <c r="M151" s="197">
        <v>139060.85</v>
      </c>
      <c r="N151" s="196"/>
      <c r="O151" s="192"/>
    </row>
    <row r="152" spans="1:15" s="53" customFormat="1" x14ac:dyDescent="0.2">
      <c r="A152" s="196" t="s">
        <v>601</v>
      </c>
      <c r="B152" s="197">
        <v>40.7652</v>
      </c>
      <c r="C152" s="197">
        <v>6.7619999999999996</v>
      </c>
      <c r="D152" s="198">
        <v>45715</v>
      </c>
      <c r="E152" s="197">
        <v>2925</v>
      </c>
      <c r="F152" s="197">
        <v>193.2</v>
      </c>
      <c r="G152" s="197">
        <v>21.1</v>
      </c>
      <c r="H152" s="197">
        <v>3.5</v>
      </c>
      <c r="I152" s="197">
        <v>24.6</v>
      </c>
      <c r="J152" s="199"/>
      <c r="K152" s="197">
        <v>47.542000000000002</v>
      </c>
      <c r="L152" s="197">
        <v>19778.849999999999</v>
      </c>
      <c r="M152" s="197">
        <v>139060.85</v>
      </c>
      <c r="N152" s="196"/>
      <c r="O152" s="192"/>
    </row>
    <row r="153" spans="1:15" s="53" customFormat="1" x14ac:dyDescent="0.2">
      <c r="A153" s="196" t="s">
        <v>612</v>
      </c>
      <c r="B153" s="197">
        <v>154.41</v>
      </c>
      <c r="C153" s="197">
        <v>27.4085</v>
      </c>
      <c r="D153" s="198">
        <v>45652</v>
      </c>
      <c r="E153" s="197">
        <v>725</v>
      </c>
      <c r="F153" s="197">
        <v>783.1</v>
      </c>
      <c r="G153" s="197">
        <v>19.71</v>
      </c>
      <c r="H153" s="197">
        <v>3.5</v>
      </c>
      <c r="I153" s="197">
        <v>23.21</v>
      </c>
      <c r="J153" s="199"/>
      <c r="K153" s="197">
        <v>181.8185</v>
      </c>
      <c r="L153" s="197">
        <v>19871.162499999999</v>
      </c>
      <c r="M153" s="197">
        <v>131818.16250000001</v>
      </c>
      <c r="N153" s="196"/>
      <c r="O153" s="192"/>
    </row>
    <row r="154" spans="1:15" s="53" customFormat="1" x14ac:dyDescent="0.2">
      <c r="A154" s="196" t="s">
        <v>612</v>
      </c>
      <c r="B154" s="197">
        <v>154.34900999999999</v>
      </c>
      <c r="C154" s="197">
        <v>27.4085</v>
      </c>
      <c r="D154" s="198">
        <v>45687</v>
      </c>
      <c r="E154" s="197">
        <v>725</v>
      </c>
      <c r="F154" s="197">
        <v>783.1</v>
      </c>
      <c r="G154" s="197">
        <v>19.71</v>
      </c>
      <c r="H154" s="197">
        <v>3.5</v>
      </c>
      <c r="I154" s="197">
        <v>23.21</v>
      </c>
      <c r="J154" s="199"/>
      <c r="K154" s="197">
        <v>181.8185</v>
      </c>
      <c r="L154" s="197">
        <v>19871.162499999999</v>
      </c>
      <c r="M154" s="197">
        <v>131818.16250000001</v>
      </c>
      <c r="N154" s="196"/>
      <c r="O154" s="192"/>
    </row>
    <row r="155" spans="1:15" s="53" customFormat="1" x14ac:dyDescent="0.2">
      <c r="A155" s="196" t="s">
        <v>612</v>
      </c>
      <c r="B155" s="197">
        <v>154.34900999999999</v>
      </c>
      <c r="C155" s="197">
        <v>27.4085</v>
      </c>
      <c r="D155" s="198">
        <v>45715</v>
      </c>
      <c r="E155" s="197">
        <v>725</v>
      </c>
      <c r="F155" s="197">
        <v>783.1</v>
      </c>
      <c r="G155" s="197">
        <v>19.71</v>
      </c>
      <c r="H155" s="197">
        <v>3.5</v>
      </c>
      <c r="I155" s="197">
        <v>23.21</v>
      </c>
      <c r="J155" s="199"/>
      <c r="K155" s="197">
        <v>181.8185</v>
      </c>
      <c r="L155" s="197">
        <v>19871.162499999999</v>
      </c>
      <c r="M155" s="197">
        <v>131818.16250000001</v>
      </c>
      <c r="N155" s="196"/>
      <c r="O155" s="192"/>
    </row>
    <row r="156" spans="1:15" s="53" customFormat="1" x14ac:dyDescent="0.2">
      <c r="A156" s="196" t="s">
        <v>532</v>
      </c>
      <c r="B156" s="197">
        <v>123.33</v>
      </c>
      <c r="C156" s="197">
        <v>28.035</v>
      </c>
      <c r="D156" s="198">
        <v>45652</v>
      </c>
      <c r="E156" s="197">
        <v>1900</v>
      </c>
      <c r="F156" s="197">
        <v>534</v>
      </c>
      <c r="G156" s="197">
        <v>23.09</v>
      </c>
      <c r="H156" s="197">
        <v>5.25</v>
      </c>
      <c r="I156" s="197">
        <v>28.34</v>
      </c>
      <c r="J156" s="199"/>
      <c r="K156" s="197">
        <v>151.36500000000001</v>
      </c>
      <c r="L156" s="197">
        <v>53266.5</v>
      </c>
      <c r="M156" s="197">
        <v>287593.5</v>
      </c>
      <c r="N156" s="196"/>
      <c r="O156" s="192"/>
    </row>
    <row r="157" spans="1:15" s="53" customFormat="1" x14ac:dyDescent="0.2">
      <c r="A157" s="196" t="s">
        <v>532</v>
      </c>
      <c r="B157" s="197">
        <v>123.3006</v>
      </c>
      <c r="C157" s="197">
        <v>28.035</v>
      </c>
      <c r="D157" s="198">
        <v>45687</v>
      </c>
      <c r="E157" s="197">
        <v>1900</v>
      </c>
      <c r="F157" s="197">
        <v>534</v>
      </c>
      <c r="G157" s="197">
        <v>23.09</v>
      </c>
      <c r="H157" s="197">
        <v>5.25</v>
      </c>
      <c r="I157" s="197">
        <v>28.34</v>
      </c>
      <c r="J157" s="199"/>
      <c r="K157" s="197">
        <v>151.36500000000001</v>
      </c>
      <c r="L157" s="197">
        <v>53266.5</v>
      </c>
      <c r="M157" s="197">
        <v>287593.5</v>
      </c>
      <c r="N157" s="196"/>
      <c r="O157" s="192"/>
    </row>
    <row r="158" spans="1:15" s="53" customFormat="1" x14ac:dyDescent="0.2">
      <c r="A158" s="196" t="s">
        <v>532</v>
      </c>
      <c r="B158" s="197">
        <v>123.3006</v>
      </c>
      <c r="C158" s="197">
        <v>28.035</v>
      </c>
      <c r="D158" s="198">
        <v>45715</v>
      </c>
      <c r="E158" s="197">
        <v>1900</v>
      </c>
      <c r="F158" s="197">
        <v>534</v>
      </c>
      <c r="G158" s="197">
        <v>23.09</v>
      </c>
      <c r="H158" s="197">
        <v>5.25</v>
      </c>
      <c r="I158" s="197">
        <v>28.34</v>
      </c>
      <c r="J158" s="199"/>
      <c r="K158" s="197">
        <v>151.36500000000001</v>
      </c>
      <c r="L158" s="197">
        <v>53266.5</v>
      </c>
      <c r="M158" s="197">
        <v>287593.5</v>
      </c>
      <c r="N158" s="196"/>
      <c r="O158" s="192"/>
    </row>
    <row r="159" spans="1:15" s="53" customFormat="1" x14ac:dyDescent="0.2">
      <c r="A159" s="196" t="s">
        <v>198</v>
      </c>
      <c r="B159" s="197">
        <v>230.44</v>
      </c>
      <c r="C159" s="197">
        <v>47.213299999999997</v>
      </c>
      <c r="D159" s="198">
        <v>45652</v>
      </c>
      <c r="E159" s="197">
        <v>625</v>
      </c>
      <c r="F159" s="197">
        <v>1348.95</v>
      </c>
      <c r="G159" s="197">
        <v>17.079999999999998</v>
      </c>
      <c r="H159" s="197">
        <v>3.5</v>
      </c>
      <c r="I159" s="197">
        <v>20.58</v>
      </c>
      <c r="J159" s="199"/>
      <c r="K159" s="197">
        <v>277.6533</v>
      </c>
      <c r="L159" s="197">
        <v>29508.281299999999</v>
      </c>
      <c r="M159" s="197">
        <v>173533.2813</v>
      </c>
      <c r="N159" s="196"/>
      <c r="O159" s="192"/>
    </row>
    <row r="160" spans="1:15" s="53" customFormat="1" x14ac:dyDescent="0.2">
      <c r="A160" s="196" t="s">
        <v>198</v>
      </c>
      <c r="B160" s="197">
        <v>230.40065999999999</v>
      </c>
      <c r="C160" s="197">
        <v>47.213299999999997</v>
      </c>
      <c r="D160" s="198">
        <v>45687</v>
      </c>
      <c r="E160" s="197">
        <v>625</v>
      </c>
      <c r="F160" s="197">
        <v>1348.95</v>
      </c>
      <c r="G160" s="197">
        <v>17.079999999999998</v>
      </c>
      <c r="H160" s="197">
        <v>3.5</v>
      </c>
      <c r="I160" s="197">
        <v>20.58</v>
      </c>
      <c r="J160" s="199"/>
      <c r="K160" s="197">
        <v>277.6533</v>
      </c>
      <c r="L160" s="197">
        <v>29508.281299999999</v>
      </c>
      <c r="M160" s="197">
        <v>173533.2813</v>
      </c>
      <c r="N160" s="196"/>
      <c r="O160" s="192"/>
    </row>
    <row r="161" spans="1:15" s="53" customFormat="1" x14ac:dyDescent="0.2">
      <c r="A161" s="196" t="s">
        <v>198</v>
      </c>
      <c r="B161" s="197">
        <v>230.40065999999999</v>
      </c>
      <c r="C161" s="197">
        <v>47.213299999999997</v>
      </c>
      <c r="D161" s="198">
        <v>45715</v>
      </c>
      <c r="E161" s="197">
        <v>625</v>
      </c>
      <c r="F161" s="197">
        <v>1348.95</v>
      </c>
      <c r="G161" s="197">
        <v>17.079999999999998</v>
      </c>
      <c r="H161" s="197">
        <v>3.5</v>
      </c>
      <c r="I161" s="197">
        <v>20.58</v>
      </c>
      <c r="J161" s="199"/>
      <c r="K161" s="197">
        <v>277.6533</v>
      </c>
      <c r="L161" s="197">
        <v>29508.281299999999</v>
      </c>
      <c r="M161" s="197">
        <v>173533.2813</v>
      </c>
      <c r="N161" s="196"/>
      <c r="O161" s="192"/>
    </row>
    <row r="162" spans="1:15" s="53" customFormat="1" x14ac:dyDescent="0.2">
      <c r="A162" s="196" t="s">
        <v>199</v>
      </c>
      <c r="B162" s="197">
        <v>207.6</v>
      </c>
      <c r="C162" s="197">
        <v>50.893500000000003</v>
      </c>
      <c r="D162" s="198">
        <v>45652</v>
      </c>
      <c r="E162" s="197">
        <v>325</v>
      </c>
      <c r="F162" s="197">
        <v>1454.1</v>
      </c>
      <c r="G162" s="197">
        <v>14.27</v>
      </c>
      <c r="H162" s="197">
        <v>3.5</v>
      </c>
      <c r="I162" s="197">
        <v>17.77</v>
      </c>
      <c r="J162" s="199"/>
      <c r="K162" s="197">
        <v>258.49349999999998</v>
      </c>
      <c r="L162" s="197">
        <v>16540.387500000001</v>
      </c>
      <c r="M162" s="197">
        <v>84010.387499999997</v>
      </c>
      <c r="N162" s="196"/>
      <c r="O162" s="192"/>
    </row>
    <row r="163" spans="1:15" s="53" customFormat="1" x14ac:dyDescent="0.2">
      <c r="A163" s="196" t="s">
        <v>199</v>
      </c>
      <c r="B163" s="197">
        <v>207.50006999999999</v>
      </c>
      <c r="C163" s="197">
        <v>50.893500000000003</v>
      </c>
      <c r="D163" s="198">
        <v>45687</v>
      </c>
      <c r="E163" s="197">
        <v>325</v>
      </c>
      <c r="F163" s="197">
        <v>1454.1</v>
      </c>
      <c r="G163" s="197">
        <v>14.27</v>
      </c>
      <c r="H163" s="197">
        <v>3.5</v>
      </c>
      <c r="I163" s="197">
        <v>17.77</v>
      </c>
      <c r="J163" s="199"/>
      <c r="K163" s="197">
        <v>258.49349999999998</v>
      </c>
      <c r="L163" s="197">
        <v>16540.387500000001</v>
      </c>
      <c r="M163" s="197">
        <v>84010.387499999997</v>
      </c>
      <c r="N163" s="196"/>
      <c r="O163" s="192"/>
    </row>
    <row r="164" spans="1:15" s="53" customFormat="1" x14ac:dyDescent="0.2">
      <c r="A164" s="196" t="s">
        <v>199</v>
      </c>
      <c r="B164" s="197">
        <v>207.50006999999999</v>
      </c>
      <c r="C164" s="197">
        <v>50.893500000000003</v>
      </c>
      <c r="D164" s="198">
        <v>45715</v>
      </c>
      <c r="E164" s="197">
        <v>325</v>
      </c>
      <c r="F164" s="197">
        <v>1454.1</v>
      </c>
      <c r="G164" s="197">
        <v>14.27</v>
      </c>
      <c r="H164" s="197">
        <v>3.5</v>
      </c>
      <c r="I164" s="197">
        <v>17.77</v>
      </c>
      <c r="J164" s="199"/>
      <c r="K164" s="197">
        <v>258.49349999999998</v>
      </c>
      <c r="L164" s="197">
        <v>16540.387500000001</v>
      </c>
      <c r="M164" s="197">
        <v>84010.387499999997</v>
      </c>
      <c r="N164" s="196"/>
      <c r="O164" s="192"/>
    </row>
    <row r="165" spans="1:15" s="53" customFormat="1" x14ac:dyDescent="0.2">
      <c r="A165" s="196" t="s">
        <v>200</v>
      </c>
      <c r="B165" s="197">
        <v>70.05</v>
      </c>
      <c r="C165" s="197">
        <v>14.593299999999999</v>
      </c>
      <c r="D165" s="198">
        <v>45652</v>
      </c>
      <c r="E165" s="197">
        <v>1050</v>
      </c>
      <c r="F165" s="197">
        <v>416.95</v>
      </c>
      <c r="G165" s="197">
        <v>16.8</v>
      </c>
      <c r="H165" s="197">
        <v>3.5</v>
      </c>
      <c r="I165" s="197">
        <v>20.3</v>
      </c>
      <c r="J165" s="199"/>
      <c r="K165" s="197">
        <v>84.643299999999996</v>
      </c>
      <c r="L165" s="197">
        <v>15322.9125</v>
      </c>
      <c r="M165" s="197">
        <v>88875.912500000006</v>
      </c>
      <c r="N165" s="196"/>
      <c r="O165" s="192"/>
    </row>
    <row r="166" spans="1:15" s="53" customFormat="1" x14ac:dyDescent="0.2">
      <c r="A166" s="196" t="s">
        <v>200</v>
      </c>
      <c r="B166" s="197">
        <v>70.047600000000003</v>
      </c>
      <c r="C166" s="197">
        <v>14.593299999999999</v>
      </c>
      <c r="D166" s="198">
        <v>45687</v>
      </c>
      <c r="E166" s="197">
        <v>1050</v>
      </c>
      <c r="F166" s="197">
        <v>416.95</v>
      </c>
      <c r="G166" s="197">
        <v>16.8</v>
      </c>
      <c r="H166" s="197">
        <v>3.5</v>
      </c>
      <c r="I166" s="197">
        <v>20.3</v>
      </c>
      <c r="J166" s="199"/>
      <c r="K166" s="197">
        <v>84.643299999999996</v>
      </c>
      <c r="L166" s="197">
        <v>15322.9125</v>
      </c>
      <c r="M166" s="197">
        <v>88875.912500000006</v>
      </c>
      <c r="N166" s="196"/>
      <c r="O166" s="192"/>
    </row>
    <row r="167" spans="1:15" s="53" customFormat="1" x14ac:dyDescent="0.2">
      <c r="A167" s="196" t="s">
        <v>200</v>
      </c>
      <c r="B167" s="197">
        <v>70.047600000000003</v>
      </c>
      <c r="C167" s="197">
        <v>14.593299999999999</v>
      </c>
      <c r="D167" s="198">
        <v>45715</v>
      </c>
      <c r="E167" s="197">
        <v>1050</v>
      </c>
      <c r="F167" s="197">
        <v>416.95</v>
      </c>
      <c r="G167" s="197">
        <v>16.8</v>
      </c>
      <c r="H167" s="197">
        <v>3.5</v>
      </c>
      <c r="I167" s="197">
        <v>20.3</v>
      </c>
      <c r="J167" s="199"/>
      <c r="K167" s="197">
        <v>84.643299999999996</v>
      </c>
      <c r="L167" s="197">
        <v>15322.9125</v>
      </c>
      <c r="M167" s="197">
        <v>88875.912500000006</v>
      </c>
      <c r="N167" s="196"/>
      <c r="O167" s="192"/>
    </row>
    <row r="168" spans="1:15" s="53" customFormat="1" x14ac:dyDescent="0.2">
      <c r="A168" s="196" t="s">
        <v>470</v>
      </c>
      <c r="B168" s="197">
        <v>1560.35</v>
      </c>
      <c r="C168" s="197">
        <v>314.87049999999999</v>
      </c>
      <c r="D168" s="198">
        <v>45652</v>
      </c>
      <c r="E168" s="197">
        <v>75</v>
      </c>
      <c r="F168" s="197">
        <v>8996.2999999999993</v>
      </c>
      <c r="G168" s="197">
        <v>17.34</v>
      </c>
      <c r="H168" s="197">
        <v>3.5</v>
      </c>
      <c r="I168" s="197">
        <v>20.84</v>
      </c>
      <c r="J168" s="199"/>
      <c r="K168" s="197">
        <v>1875.2204999999999</v>
      </c>
      <c r="L168" s="197">
        <v>23615.287499999999</v>
      </c>
      <c r="M168" s="197">
        <v>140641.28750000001</v>
      </c>
      <c r="N168" s="196"/>
      <c r="O168" s="192"/>
    </row>
    <row r="169" spans="1:15" s="53" customFormat="1" x14ac:dyDescent="0.2">
      <c r="A169" s="196" t="s">
        <v>470</v>
      </c>
      <c r="B169" s="197">
        <v>1559.9584199999999</v>
      </c>
      <c r="C169" s="197">
        <v>314.87049999999999</v>
      </c>
      <c r="D169" s="198">
        <v>45687</v>
      </c>
      <c r="E169" s="197">
        <v>75</v>
      </c>
      <c r="F169" s="197">
        <v>8996.2999999999993</v>
      </c>
      <c r="G169" s="197">
        <v>17.34</v>
      </c>
      <c r="H169" s="197">
        <v>3.5</v>
      </c>
      <c r="I169" s="197">
        <v>20.84</v>
      </c>
      <c r="J169" s="199"/>
      <c r="K169" s="197">
        <v>1875.2204999999999</v>
      </c>
      <c r="L169" s="197">
        <v>23615.287499999999</v>
      </c>
      <c r="M169" s="197">
        <v>140641.28750000001</v>
      </c>
      <c r="N169" s="196"/>
      <c r="O169" s="192"/>
    </row>
    <row r="170" spans="1:15" s="53" customFormat="1" x14ac:dyDescent="0.2">
      <c r="A170" s="196" t="s">
        <v>470</v>
      </c>
      <c r="B170" s="197">
        <v>1559.9584199999999</v>
      </c>
      <c r="C170" s="197">
        <v>314.87049999999999</v>
      </c>
      <c r="D170" s="198">
        <v>45715</v>
      </c>
      <c r="E170" s="197">
        <v>75</v>
      </c>
      <c r="F170" s="197">
        <v>8996.2999999999993</v>
      </c>
      <c r="G170" s="197">
        <v>17.34</v>
      </c>
      <c r="H170" s="197">
        <v>3.5</v>
      </c>
      <c r="I170" s="197">
        <v>20.84</v>
      </c>
      <c r="J170" s="199"/>
      <c r="K170" s="197">
        <v>1875.2204999999999</v>
      </c>
      <c r="L170" s="197">
        <v>23615.287499999999</v>
      </c>
      <c r="M170" s="197">
        <v>140641.28750000001</v>
      </c>
      <c r="N170" s="196"/>
      <c r="O170" s="192"/>
    </row>
    <row r="171" spans="1:15" s="53" customFormat="1" x14ac:dyDescent="0.2">
      <c r="A171" s="196" t="s">
        <v>201</v>
      </c>
      <c r="B171" s="197">
        <v>413.11</v>
      </c>
      <c r="C171" s="197">
        <v>101.27249999999999</v>
      </c>
      <c r="D171" s="198">
        <v>45652</v>
      </c>
      <c r="E171" s="197">
        <v>175</v>
      </c>
      <c r="F171" s="197">
        <v>2893.5</v>
      </c>
      <c r="G171" s="197">
        <v>14.27</v>
      </c>
      <c r="H171" s="197">
        <v>3.5</v>
      </c>
      <c r="I171" s="197">
        <v>17.77</v>
      </c>
      <c r="J171" s="199"/>
      <c r="K171" s="197">
        <v>514.38250000000005</v>
      </c>
      <c r="L171" s="197">
        <v>17722.6875</v>
      </c>
      <c r="M171" s="197">
        <v>90016.6875</v>
      </c>
      <c r="N171" s="196"/>
      <c r="O171" s="192"/>
    </row>
    <row r="172" spans="1:15" s="53" customFormat="1" x14ac:dyDescent="0.2">
      <c r="A172" s="196" t="s">
        <v>201</v>
      </c>
      <c r="B172" s="197">
        <v>412.90244999999999</v>
      </c>
      <c r="C172" s="197">
        <v>101.27249999999999</v>
      </c>
      <c r="D172" s="198">
        <v>45687</v>
      </c>
      <c r="E172" s="197">
        <v>175</v>
      </c>
      <c r="F172" s="197">
        <v>2893.5</v>
      </c>
      <c r="G172" s="197">
        <v>14.27</v>
      </c>
      <c r="H172" s="197">
        <v>3.5</v>
      </c>
      <c r="I172" s="197">
        <v>17.77</v>
      </c>
      <c r="J172" s="199"/>
      <c r="K172" s="197">
        <v>514.38250000000005</v>
      </c>
      <c r="L172" s="197">
        <v>17722.6875</v>
      </c>
      <c r="M172" s="197">
        <v>90016.6875</v>
      </c>
      <c r="N172" s="196"/>
      <c r="O172" s="192"/>
    </row>
    <row r="173" spans="1:15" s="53" customFormat="1" x14ac:dyDescent="0.2">
      <c r="A173" s="196" t="s">
        <v>201</v>
      </c>
      <c r="B173" s="197">
        <v>412.90244999999999</v>
      </c>
      <c r="C173" s="197">
        <v>101.27249999999999</v>
      </c>
      <c r="D173" s="198">
        <v>45715</v>
      </c>
      <c r="E173" s="197">
        <v>175</v>
      </c>
      <c r="F173" s="197">
        <v>2893.5</v>
      </c>
      <c r="G173" s="197">
        <v>14.27</v>
      </c>
      <c r="H173" s="197">
        <v>3.5</v>
      </c>
      <c r="I173" s="197">
        <v>17.77</v>
      </c>
      <c r="J173" s="199"/>
      <c r="K173" s="197">
        <v>514.38250000000005</v>
      </c>
      <c r="L173" s="197">
        <v>17722.6875</v>
      </c>
      <c r="M173" s="197">
        <v>90016.6875</v>
      </c>
      <c r="N173" s="196"/>
      <c r="O173" s="192"/>
    </row>
    <row r="174" spans="1:15" s="53" customFormat="1" x14ac:dyDescent="0.2">
      <c r="A174" s="196" t="s">
        <v>202</v>
      </c>
      <c r="B174" s="197">
        <v>157.35</v>
      </c>
      <c r="C174" s="197">
        <v>29.972300000000001</v>
      </c>
      <c r="D174" s="198">
        <v>45652</v>
      </c>
      <c r="E174" s="197">
        <v>1000</v>
      </c>
      <c r="F174" s="197">
        <v>856.35</v>
      </c>
      <c r="G174" s="197">
        <v>18.37</v>
      </c>
      <c r="H174" s="197">
        <v>3.5</v>
      </c>
      <c r="I174" s="197">
        <v>21.87</v>
      </c>
      <c r="J174" s="199"/>
      <c r="K174" s="197">
        <v>187.32230000000001</v>
      </c>
      <c r="L174" s="197">
        <v>29972.25</v>
      </c>
      <c r="M174" s="197">
        <v>187322.25</v>
      </c>
      <c r="N174" s="196"/>
      <c r="O174" s="192"/>
    </row>
    <row r="175" spans="1:15" s="53" customFormat="1" x14ac:dyDescent="0.2">
      <c r="A175" s="196" t="s">
        <v>202</v>
      </c>
      <c r="B175" s="197">
        <v>157.31149500000001</v>
      </c>
      <c r="C175" s="197">
        <v>29.972300000000001</v>
      </c>
      <c r="D175" s="198">
        <v>45687</v>
      </c>
      <c r="E175" s="197">
        <v>1000</v>
      </c>
      <c r="F175" s="197">
        <v>856.35</v>
      </c>
      <c r="G175" s="197">
        <v>18.37</v>
      </c>
      <c r="H175" s="197">
        <v>3.5</v>
      </c>
      <c r="I175" s="197">
        <v>21.87</v>
      </c>
      <c r="J175" s="199"/>
      <c r="K175" s="197">
        <v>187.32230000000001</v>
      </c>
      <c r="L175" s="197">
        <v>29972.25</v>
      </c>
      <c r="M175" s="197">
        <v>187322.25</v>
      </c>
      <c r="N175" s="196"/>
      <c r="O175" s="192"/>
    </row>
    <row r="176" spans="1:15" s="53" customFormat="1" x14ac:dyDescent="0.2">
      <c r="A176" s="196" t="s">
        <v>202</v>
      </c>
      <c r="B176" s="197">
        <v>157.31149500000001</v>
      </c>
      <c r="C176" s="197">
        <v>29.972300000000001</v>
      </c>
      <c r="D176" s="198">
        <v>45715</v>
      </c>
      <c r="E176" s="197">
        <v>1000</v>
      </c>
      <c r="F176" s="197">
        <v>856.35</v>
      </c>
      <c r="G176" s="197">
        <v>18.37</v>
      </c>
      <c r="H176" s="197">
        <v>3.5</v>
      </c>
      <c r="I176" s="197">
        <v>21.87</v>
      </c>
      <c r="J176" s="199"/>
      <c r="K176" s="197">
        <v>187.32230000000001</v>
      </c>
      <c r="L176" s="197">
        <v>29972.25</v>
      </c>
      <c r="M176" s="197">
        <v>187322.25</v>
      </c>
      <c r="N176" s="196"/>
      <c r="O176" s="192"/>
    </row>
    <row r="177" spans="1:15" s="53" customFormat="1" x14ac:dyDescent="0.2">
      <c r="A177" s="196" t="s">
        <v>500</v>
      </c>
      <c r="B177" s="197">
        <v>255.97</v>
      </c>
      <c r="C177" s="197">
        <v>61.909799999999997</v>
      </c>
      <c r="D177" s="198">
        <v>45652</v>
      </c>
      <c r="E177" s="197">
        <v>350</v>
      </c>
      <c r="F177" s="197">
        <v>1768.85</v>
      </c>
      <c r="G177" s="197">
        <v>14.47</v>
      </c>
      <c r="H177" s="197">
        <v>3.5</v>
      </c>
      <c r="I177" s="197">
        <v>17.97</v>
      </c>
      <c r="J177" s="199"/>
      <c r="K177" s="197">
        <v>317.87979999999999</v>
      </c>
      <c r="L177" s="197">
        <v>21668.412499999999</v>
      </c>
      <c r="M177" s="197">
        <v>111258.41250000001</v>
      </c>
      <c r="N177" s="196"/>
      <c r="O177" s="192"/>
    </row>
    <row r="178" spans="1:15" s="53" customFormat="1" x14ac:dyDescent="0.2">
      <c r="A178" s="196" t="s">
        <v>500</v>
      </c>
      <c r="B178" s="197">
        <v>255.952595</v>
      </c>
      <c r="C178" s="197">
        <v>61.909799999999997</v>
      </c>
      <c r="D178" s="198">
        <v>45687</v>
      </c>
      <c r="E178" s="197">
        <v>350</v>
      </c>
      <c r="F178" s="197">
        <v>1768.85</v>
      </c>
      <c r="G178" s="197">
        <v>14.47</v>
      </c>
      <c r="H178" s="197">
        <v>3.5</v>
      </c>
      <c r="I178" s="197">
        <v>17.97</v>
      </c>
      <c r="J178" s="199"/>
      <c r="K178" s="197">
        <v>317.87979999999999</v>
      </c>
      <c r="L178" s="197">
        <v>21668.412499999999</v>
      </c>
      <c r="M178" s="197">
        <v>111258.41250000001</v>
      </c>
      <c r="N178" s="196"/>
      <c r="O178" s="192"/>
    </row>
    <row r="179" spans="1:15" s="53" customFormat="1" x14ac:dyDescent="0.2">
      <c r="A179" s="196" t="s">
        <v>500</v>
      </c>
      <c r="B179" s="197">
        <v>255.952595</v>
      </c>
      <c r="C179" s="197">
        <v>61.909799999999997</v>
      </c>
      <c r="D179" s="198">
        <v>45715</v>
      </c>
      <c r="E179" s="197">
        <v>350</v>
      </c>
      <c r="F179" s="197">
        <v>1768.85</v>
      </c>
      <c r="G179" s="197">
        <v>14.47</v>
      </c>
      <c r="H179" s="197">
        <v>3.5</v>
      </c>
      <c r="I179" s="197">
        <v>17.97</v>
      </c>
      <c r="J179" s="199"/>
      <c r="K179" s="197">
        <v>317.87979999999999</v>
      </c>
      <c r="L179" s="197">
        <v>21668.412499999999</v>
      </c>
      <c r="M179" s="197">
        <v>111258.41250000001</v>
      </c>
      <c r="N179" s="196"/>
      <c r="O179" s="192"/>
    </row>
    <row r="180" spans="1:15" s="53" customFormat="1" x14ac:dyDescent="0.2">
      <c r="A180" s="196" t="s">
        <v>523</v>
      </c>
      <c r="B180" s="197">
        <v>66.34</v>
      </c>
      <c r="C180" s="197">
        <v>14.476000000000001</v>
      </c>
      <c r="D180" s="198">
        <v>45652</v>
      </c>
      <c r="E180" s="197">
        <v>1800</v>
      </c>
      <c r="F180" s="197">
        <v>413.6</v>
      </c>
      <c r="G180" s="197">
        <v>16.03</v>
      </c>
      <c r="H180" s="197">
        <v>3.5</v>
      </c>
      <c r="I180" s="197">
        <v>19.53</v>
      </c>
      <c r="J180" s="199"/>
      <c r="K180" s="197">
        <v>80.816000000000003</v>
      </c>
      <c r="L180" s="197">
        <v>26056.799999999999</v>
      </c>
      <c r="M180" s="197">
        <v>145468.79999999999</v>
      </c>
      <c r="N180" s="196"/>
      <c r="O180" s="192"/>
    </row>
    <row r="181" spans="1:15" s="53" customFormat="1" x14ac:dyDescent="0.2">
      <c r="A181" s="196" t="s">
        <v>523</v>
      </c>
      <c r="B181" s="197">
        <v>66.300079999999994</v>
      </c>
      <c r="C181" s="197">
        <v>14.476000000000001</v>
      </c>
      <c r="D181" s="198">
        <v>45687</v>
      </c>
      <c r="E181" s="197">
        <v>1800</v>
      </c>
      <c r="F181" s="197">
        <v>413.6</v>
      </c>
      <c r="G181" s="197">
        <v>16.03</v>
      </c>
      <c r="H181" s="197">
        <v>3.5</v>
      </c>
      <c r="I181" s="197">
        <v>19.53</v>
      </c>
      <c r="J181" s="199"/>
      <c r="K181" s="197">
        <v>80.816000000000003</v>
      </c>
      <c r="L181" s="197">
        <v>26056.799999999999</v>
      </c>
      <c r="M181" s="197">
        <v>145468.79999999999</v>
      </c>
      <c r="N181" s="196"/>
      <c r="O181" s="192"/>
    </row>
    <row r="182" spans="1:15" s="53" customFormat="1" x14ac:dyDescent="0.2">
      <c r="A182" s="196" t="s">
        <v>523</v>
      </c>
      <c r="B182" s="197">
        <v>66.300079999999994</v>
      </c>
      <c r="C182" s="197">
        <v>14.476000000000001</v>
      </c>
      <c r="D182" s="198">
        <v>45715</v>
      </c>
      <c r="E182" s="197">
        <v>1800</v>
      </c>
      <c r="F182" s="197">
        <v>413.6</v>
      </c>
      <c r="G182" s="197">
        <v>16.03</v>
      </c>
      <c r="H182" s="197">
        <v>3.5</v>
      </c>
      <c r="I182" s="197">
        <v>19.53</v>
      </c>
      <c r="J182" s="199"/>
      <c r="K182" s="197">
        <v>80.816000000000003</v>
      </c>
      <c r="L182" s="197">
        <v>26056.799999999999</v>
      </c>
      <c r="M182" s="197">
        <v>145468.79999999999</v>
      </c>
      <c r="N182" s="196"/>
      <c r="O182" s="192"/>
    </row>
    <row r="183" spans="1:15" s="53" customFormat="1" x14ac:dyDescent="0.2">
      <c r="A183" s="196" t="s">
        <v>494</v>
      </c>
      <c r="B183" s="197">
        <v>31.96</v>
      </c>
      <c r="C183" s="197">
        <v>6.5048000000000004</v>
      </c>
      <c r="D183" s="198">
        <v>45652</v>
      </c>
      <c r="E183" s="197">
        <v>5000</v>
      </c>
      <c r="F183" s="197">
        <v>185.85</v>
      </c>
      <c r="G183" s="197">
        <v>17.190000000000001</v>
      </c>
      <c r="H183" s="197">
        <v>3.5</v>
      </c>
      <c r="I183" s="197">
        <v>20.69</v>
      </c>
      <c r="J183" s="199"/>
      <c r="K183" s="197">
        <v>38.464799999999997</v>
      </c>
      <c r="L183" s="197">
        <v>32523.75</v>
      </c>
      <c r="M183" s="197">
        <v>192323.75</v>
      </c>
      <c r="N183" s="196"/>
      <c r="O183" s="192"/>
    </row>
    <row r="184" spans="1:15" s="53" customFormat="1" x14ac:dyDescent="0.2">
      <c r="A184" s="196" t="s">
        <v>494</v>
      </c>
      <c r="B184" s="197">
        <v>31.947614999999999</v>
      </c>
      <c r="C184" s="197">
        <v>6.5048000000000004</v>
      </c>
      <c r="D184" s="198">
        <v>45687</v>
      </c>
      <c r="E184" s="197">
        <v>5000</v>
      </c>
      <c r="F184" s="197">
        <v>185.85</v>
      </c>
      <c r="G184" s="197">
        <v>17.190000000000001</v>
      </c>
      <c r="H184" s="197">
        <v>3.5</v>
      </c>
      <c r="I184" s="197">
        <v>20.69</v>
      </c>
      <c r="J184" s="199"/>
      <c r="K184" s="197">
        <v>38.464799999999997</v>
      </c>
      <c r="L184" s="197">
        <v>32523.75</v>
      </c>
      <c r="M184" s="197">
        <v>192323.75</v>
      </c>
      <c r="N184" s="196"/>
      <c r="O184" s="192"/>
    </row>
    <row r="185" spans="1:15" s="53" customFormat="1" x14ac:dyDescent="0.2">
      <c r="A185" s="196" t="s">
        <v>494</v>
      </c>
      <c r="B185" s="197">
        <v>31.947614999999999</v>
      </c>
      <c r="C185" s="197">
        <v>6.5048000000000004</v>
      </c>
      <c r="D185" s="198">
        <v>45715</v>
      </c>
      <c r="E185" s="197">
        <v>5000</v>
      </c>
      <c r="F185" s="197">
        <v>185.85</v>
      </c>
      <c r="G185" s="197">
        <v>17.190000000000001</v>
      </c>
      <c r="H185" s="197">
        <v>3.5</v>
      </c>
      <c r="I185" s="197">
        <v>20.69</v>
      </c>
      <c r="J185" s="199"/>
      <c r="K185" s="197">
        <v>38.464799999999997</v>
      </c>
      <c r="L185" s="197">
        <v>32523.75</v>
      </c>
      <c r="M185" s="197">
        <v>192323.75</v>
      </c>
      <c r="N185" s="196"/>
      <c r="O185" s="192"/>
    </row>
    <row r="186" spans="1:15" s="53" customFormat="1" x14ac:dyDescent="0.2">
      <c r="A186" s="196" t="s">
        <v>203</v>
      </c>
      <c r="B186" s="197">
        <v>640.91</v>
      </c>
      <c r="C186" s="197">
        <v>126.1575</v>
      </c>
      <c r="D186" s="198">
        <v>45652</v>
      </c>
      <c r="E186" s="197">
        <v>150</v>
      </c>
      <c r="F186" s="197">
        <v>3604.5</v>
      </c>
      <c r="G186" s="197">
        <v>17.78</v>
      </c>
      <c r="H186" s="197">
        <v>3.5</v>
      </c>
      <c r="I186" s="197">
        <v>21.28</v>
      </c>
      <c r="J186" s="199"/>
      <c r="K186" s="197">
        <v>767.0675</v>
      </c>
      <c r="L186" s="197">
        <v>18923.625</v>
      </c>
      <c r="M186" s="197">
        <v>115060.625</v>
      </c>
      <c r="N186" s="196"/>
      <c r="O186" s="192"/>
    </row>
    <row r="187" spans="1:15" s="53" customFormat="1" x14ac:dyDescent="0.2">
      <c r="A187" s="196" t="s">
        <v>203</v>
      </c>
      <c r="B187" s="197">
        <v>640.88009999999997</v>
      </c>
      <c r="C187" s="197">
        <v>126.1575</v>
      </c>
      <c r="D187" s="198">
        <v>45687</v>
      </c>
      <c r="E187" s="197">
        <v>150</v>
      </c>
      <c r="F187" s="197">
        <v>3604.5</v>
      </c>
      <c r="G187" s="197">
        <v>17.78</v>
      </c>
      <c r="H187" s="197">
        <v>3.5</v>
      </c>
      <c r="I187" s="197">
        <v>21.28</v>
      </c>
      <c r="J187" s="199"/>
      <c r="K187" s="197">
        <v>767.0675</v>
      </c>
      <c r="L187" s="197">
        <v>18923.625</v>
      </c>
      <c r="M187" s="197">
        <v>115060.625</v>
      </c>
      <c r="N187" s="196"/>
      <c r="O187" s="192"/>
    </row>
    <row r="188" spans="1:15" s="53" customFormat="1" x14ac:dyDescent="0.2">
      <c r="A188" s="196" t="s">
        <v>203</v>
      </c>
      <c r="B188" s="197">
        <v>640.88009999999997</v>
      </c>
      <c r="C188" s="197">
        <v>126.1575</v>
      </c>
      <c r="D188" s="198">
        <v>45715</v>
      </c>
      <c r="E188" s="197">
        <v>150</v>
      </c>
      <c r="F188" s="197">
        <v>3604.5</v>
      </c>
      <c r="G188" s="197">
        <v>17.78</v>
      </c>
      <c r="H188" s="197">
        <v>3.5</v>
      </c>
      <c r="I188" s="197">
        <v>21.28</v>
      </c>
      <c r="J188" s="199"/>
      <c r="K188" s="197">
        <v>767.0675</v>
      </c>
      <c r="L188" s="197">
        <v>18923.625</v>
      </c>
      <c r="M188" s="197">
        <v>115060.625</v>
      </c>
      <c r="N188" s="196"/>
      <c r="O188" s="192"/>
    </row>
    <row r="189" spans="1:15" s="53" customFormat="1" x14ac:dyDescent="0.2">
      <c r="A189" s="196" t="s">
        <v>572</v>
      </c>
      <c r="B189" s="197">
        <v>376.01</v>
      </c>
      <c r="C189" s="197">
        <v>73.036299999999997</v>
      </c>
      <c r="D189" s="198">
        <v>45652</v>
      </c>
      <c r="E189" s="197">
        <v>300</v>
      </c>
      <c r="F189" s="197">
        <v>2086.75</v>
      </c>
      <c r="G189" s="197">
        <v>18.010000000000002</v>
      </c>
      <c r="H189" s="197">
        <v>3.5</v>
      </c>
      <c r="I189" s="197">
        <v>21.51</v>
      </c>
      <c r="J189" s="199"/>
      <c r="K189" s="197">
        <v>449.04629999999997</v>
      </c>
      <c r="L189" s="197">
        <v>21910.875</v>
      </c>
      <c r="M189" s="197">
        <v>134713.875</v>
      </c>
      <c r="N189" s="196"/>
      <c r="O189" s="192"/>
    </row>
    <row r="190" spans="1:15" s="53" customFormat="1" x14ac:dyDescent="0.2">
      <c r="A190" s="196" t="s">
        <v>572</v>
      </c>
      <c r="B190" s="197">
        <v>375.82367499999998</v>
      </c>
      <c r="C190" s="197">
        <v>73.036299999999997</v>
      </c>
      <c r="D190" s="198">
        <v>45687</v>
      </c>
      <c r="E190" s="197">
        <v>300</v>
      </c>
      <c r="F190" s="197">
        <v>2086.75</v>
      </c>
      <c r="G190" s="197">
        <v>18.010000000000002</v>
      </c>
      <c r="H190" s="197">
        <v>3.5</v>
      </c>
      <c r="I190" s="197">
        <v>21.51</v>
      </c>
      <c r="J190" s="199"/>
      <c r="K190" s="197">
        <v>449.04629999999997</v>
      </c>
      <c r="L190" s="197">
        <v>21910.875</v>
      </c>
      <c r="M190" s="197">
        <v>134713.875</v>
      </c>
      <c r="N190" s="196"/>
      <c r="O190" s="192"/>
    </row>
    <row r="191" spans="1:15" s="53" customFormat="1" x14ac:dyDescent="0.2">
      <c r="A191" s="196" t="s">
        <v>572</v>
      </c>
      <c r="B191" s="197">
        <v>375.82367499999998</v>
      </c>
      <c r="C191" s="197">
        <v>73.036299999999997</v>
      </c>
      <c r="D191" s="198">
        <v>45715</v>
      </c>
      <c r="E191" s="197">
        <v>300</v>
      </c>
      <c r="F191" s="197">
        <v>2086.75</v>
      </c>
      <c r="G191" s="197">
        <v>18.010000000000002</v>
      </c>
      <c r="H191" s="197">
        <v>3.5</v>
      </c>
      <c r="I191" s="197">
        <v>21.51</v>
      </c>
      <c r="J191" s="199"/>
      <c r="K191" s="197">
        <v>449.04629999999997</v>
      </c>
      <c r="L191" s="197">
        <v>21910.875</v>
      </c>
      <c r="M191" s="197">
        <v>134713.875</v>
      </c>
      <c r="N191" s="196"/>
      <c r="O191" s="192"/>
    </row>
    <row r="192" spans="1:15" s="53" customFormat="1" x14ac:dyDescent="0.2">
      <c r="A192" s="196" t="s">
        <v>204</v>
      </c>
      <c r="B192" s="197">
        <v>72.58</v>
      </c>
      <c r="C192" s="197">
        <v>17.792300000000001</v>
      </c>
      <c r="D192" s="198">
        <v>45652</v>
      </c>
      <c r="E192" s="197">
        <v>1250</v>
      </c>
      <c r="F192" s="197">
        <v>508.35</v>
      </c>
      <c r="G192" s="197">
        <v>14.27</v>
      </c>
      <c r="H192" s="197">
        <v>3.5</v>
      </c>
      <c r="I192" s="197">
        <v>17.77</v>
      </c>
      <c r="J192" s="199"/>
      <c r="K192" s="197">
        <v>90.372299999999996</v>
      </c>
      <c r="L192" s="197">
        <v>22240.3125</v>
      </c>
      <c r="M192" s="197">
        <v>112965.3125</v>
      </c>
      <c r="N192" s="196"/>
      <c r="O192" s="192"/>
    </row>
    <row r="193" spans="1:15" s="53" customFormat="1" x14ac:dyDescent="0.2">
      <c r="A193" s="196" t="s">
        <v>204</v>
      </c>
      <c r="B193" s="197">
        <v>72.541544999999999</v>
      </c>
      <c r="C193" s="197">
        <v>17.792300000000001</v>
      </c>
      <c r="D193" s="198">
        <v>45687</v>
      </c>
      <c r="E193" s="197">
        <v>1250</v>
      </c>
      <c r="F193" s="197">
        <v>508.35</v>
      </c>
      <c r="G193" s="197">
        <v>14.27</v>
      </c>
      <c r="H193" s="197">
        <v>3.5</v>
      </c>
      <c r="I193" s="197">
        <v>17.77</v>
      </c>
      <c r="J193" s="199"/>
      <c r="K193" s="197">
        <v>90.372299999999996</v>
      </c>
      <c r="L193" s="197">
        <v>22240.3125</v>
      </c>
      <c r="M193" s="197">
        <v>112965.3125</v>
      </c>
      <c r="N193" s="196"/>
      <c r="O193" s="192"/>
    </row>
    <row r="194" spans="1:15" s="53" customFormat="1" x14ac:dyDescent="0.2">
      <c r="A194" s="196" t="s">
        <v>204</v>
      </c>
      <c r="B194" s="197">
        <v>72.541544999999999</v>
      </c>
      <c r="C194" s="197">
        <v>17.792300000000001</v>
      </c>
      <c r="D194" s="198">
        <v>45715</v>
      </c>
      <c r="E194" s="197">
        <v>1250</v>
      </c>
      <c r="F194" s="197">
        <v>508.35</v>
      </c>
      <c r="G194" s="197">
        <v>14.27</v>
      </c>
      <c r="H194" s="197">
        <v>3.5</v>
      </c>
      <c r="I194" s="197">
        <v>17.77</v>
      </c>
      <c r="J194" s="199"/>
      <c r="K194" s="197">
        <v>90.372299999999996</v>
      </c>
      <c r="L194" s="197">
        <v>22240.3125</v>
      </c>
      <c r="M194" s="197">
        <v>112965.3125</v>
      </c>
      <c r="N194" s="196"/>
      <c r="O194" s="192"/>
    </row>
    <row r="195" spans="1:15" s="53" customFormat="1" x14ac:dyDescent="0.2">
      <c r="A195" s="196" t="s">
        <v>524</v>
      </c>
      <c r="B195" s="197">
        <v>305.58</v>
      </c>
      <c r="C195" s="197">
        <v>68.831000000000003</v>
      </c>
      <c r="D195" s="198">
        <v>45652</v>
      </c>
      <c r="E195" s="197">
        <v>275</v>
      </c>
      <c r="F195" s="197">
        <v>1966.6</v>
      </c>
      <c r="G195" s="197">
        <v>15.53</v>
      </c>
      <c r="H195" s="197">
        <v>3.5</v>
      </c>
      <c r="I195" s="197">
        <v>19.03</v>
      </c>
      <c r="J195" s="199"/>
      <c r="K195" s="197">
        <v>374.411</v>
      </c>
      <c r="L195" s="197">
        <v>18928.525000000001</v>
      </c>
      <c r="M195" s="197">
        <v>102963.52499999999</v>
      </c>
      <c r="N195" s="196"/>
      <c r="O195" s="192"/>
    </row>
    <row r="196" spans="1:15" s="53" customFormat="1" x14ac:dyDescent="0.2">
      <c r="A196" s="196" t="s">
        <v>524</v>
      </c>
      <c r="B196" s="197">
        <v>305.41298</v>
      </c>
      <c r="C196" s="197">
        <v>68.831000000000003</v>
      </c>
      <c r="D196" s="198">
        <v>45687</v>
      </c>
      <c r="E196" s="197">
        <v>275</v>
      </c>
      <c r="F196" s="197">
        <v>1966.6</v>
      </c>
      <c r="G196" s="197">
        <v>15.53</v>
      </c>
      <c r="H196" s="197">
        <v>3.5</v>
      </c>
      <c r="I196" s="197">
        <v>19.03</v>
      </c>
      <c r="J196" s="199"/>
      <c r="K196" s="197">
        <v>374.411</v>
      </c>
      <c r="L196" s="197">
        <v>18928.525000000001</v>
      </c>
      <c r="M196" s="197">
        <v>102963.52499999999</v>
      </c>
      <c r="N196" s="196"/>
      <c r="O196" s="192"/>
    </row>
    <row r="197" spans="1:15" s="53" customFormat="1" x14ac:dyDescent="0.2">
      <c r="A197" s="196" t="s">
        <v>524</v>
      </c>
      <c r="B197" s="197">
        <v>305.41298</v>
      </c>
      <c r="C197" s="197">
        <v>68.831000000000003</v>
      </c>
      <c r="D197" s="198">
        <v>45715</v>
      </c>
      <c r="E197" s="197">
        <v>275</v>
      </c>
      <c r="F197" s="197">
        <v>1966.6</v>
      </c>
      <c r="G197" s="197">
        <v>15.53</v>
      </c>
      <c r="H197" s="197">
        <v>3.5</v>
      </c>
      <c r="I197" s="197">
        <v>19.03</v>
      </c>
      <c r="J197" s="199"/>
      <c r="K197" s="197">
        <v>374.411</v>
      </c>
      <c r="L197" s="197">
        <v>18928.525000000001</v>
      </c>
      <c r="M197" s="197">
        <v>102963.52499999999</v>
      </c>
      <c r="N197" s="196"/>
      <c r="O197" s="192"/>
    </row>
    <row r="198" spans="1:15" s="53" customFormat="1" x14ac:dyDescent="0.2">
      <c r="A198" s="196" t="s">
        <v>493</v>
      </c>
      <c r="B198" s="197">
        <v>477.23</v>
      </c>
      <c r="C198" s="197">
        <v>95.784499999999994</v>
      </c>
      <c r="D198" s="198">
        <v>45652</v>
      </c>
      <c r="E198" s="197">
        <v>300</v>
      </c>
      <c r="F198" s="197">
        <v>2736.7</v>
      </c>
      <c r="G198" s="197">
        <v>17.43</v>
      </c>
      <c r="H198" s="197">
        <v>3.5</v>
      </c>
      <c r="I198" s="197">
        <v>20.93</v>
      </c>
      <c r="J198" s="199"/>
      <c r="K198" s="197">
        <v>573.0145</v>
      </c>
      <c r="L198" s="197">
        <v>28735.35</v>
      </c>
      <c r="M198" s="197">
        <v>171904.35</v>
      </c>
      <c r="N198" s="196"/>
      <c r="O198" s="192"/>
    </row>
    <row r="199" spans="1:15" s="53" customFormat="1" x14ac:dyDescent="0.2">
      <c r="A199" s="196" t="s">
        <v>493</v>
      </c>
      <c r="B199" s="197">
        <v>477.00680999999997</v>
      </c>
      <c r="C199" s="197">
        <v>95.784499999999994</v>
      </c>
      <c r="D199" s="198">
        <v>45687</v>
      </c>
      <c r="E199" s="197">
        <v>300</v>
      </c>
      <c r="F199" s="197">
        <v>2736.7</v>
      </c>
      <c r="G199" s="197">
        <v>17.43</v>
      </c>
      <c r="H199" s="197">
        <v>3.5</v>
      </c>
      <c r="I199" s="197">
        <v>20.93</v>
      </c>
      <c r="J199" s="199"/>
      <c r="K199" s="197">
        <v>573.0145</v>
      </c>
      <c r="L199" s="197">
        <v>28735.35</v>
      </c>
      <c r="M199" s="197">
        <v>171904.35</v>
      </c>
      <c r="N199" s="196"/>
      <c r="O199" s="192"/>
    </row>
    <row r="200" spans="1:15" s="53" customFormat="1" x14ac:dyDescent="0.2">
      <c r="A200" s="196" t="s">
        <v>493</v>
      </c>
      <c r="B200" s="197">
        <v>477.00680999999997</v>
      </c>
      <c r="C200" s="197">
        <v>95.784499999999994</v>
      </c>
      <c r="D200" s="198">
        <v>45715</v>
      </c>
      <c r="E200" s="197">
        <v>300</v>
      </c>
      <c r="F200" s="197">
        <v>2736.7</v>
      </c>
      <c r="G200" s="197">
        <v>17.43</v>
      </c>
      <c r="H200" s="197">
        <v>3.5</v>
      </c>
      <c r="I200" s="197">
        <v>20.93</v>
      </c>
      <c r="J200" s="199"/>
      <c r="K200" s="197">
        <v>573.0145</v>
      </c>
      <c r="L200" s="197">
        <v>28735.35</v>
      </c>
      <c r="M200" s="197">
        <v>171904.35</v>
      </c>
      <c r="N200" s="196"/>
      <c r="O200" s="192"/>
    </row>
    <row r="201" spans="1:15" s="53" customFormat="1" x14ac:dyDescent="0.2">
      <c r="A201" s="196" t="s">
        <v>600</v>
      </c>
      <c r="B201" s="197">
        <v>68.33</v>
      </c>
      <c r="C201" s="197">
        <v>13.280799999999999</v>
      </c>
      <c r="D201" s="198">
        <v>45652</v>
      </c>
      <c r="E201" s="197">
        <v>1525</v>
      </c>
      <c r="F201" s="197">
        <v>379.45</v>
      </c>
      <c r="G201" s="197">
        <v>18</v>
      </c>
      <c r="H201" s="197">
        <v>3.5</v>
      </c>
      <c r="I201" s="197">
        <v>21.5</v>
      </c>
      <c r="J201" s="199"/>
      <c r="K201" s="197">
        <v>81.610799999999998</v>
      </c>
      <c r="L201" s="197">
        <v>20253.143800000002</v>
      </c>
      <c r="M201" s="197">
        <v>124456.14380000001</v>
      </c>
      <c r="N201" s="196"/>
      <c r="O201" s="192"/>
    </row>
    <row r="202" spans="1:15" s="53" customFormat="1" x14ac:dyDescent="0.2">
      <c r="A202" s="196" t="s">
        <v>600</v>
      </c>
      <c r="B202" s="197">
        <v>68.301000000000002</v>
      </c>
      <c r="C202" s="197">
        <v>13.280799999999999</v>
      </c>
      <c r="D202" s="198">
        <v>45687</v>
      </c>
      <c r="E202" s="197">
        <v>1525</v>
      </c>
      <c r="F202" s="197">
        <v>379.45</v>
      </c>
      <c r="G202" s="197">
        <v>18</v>
      </c>
      <c r="H202" s="197">
        <v>3.5</v>
      </c>
      <c r="I202" s="197">
        <v>21.5</v>
      </c>
      <c r="J202" s="199"/>
      <c r="K202" s="197">
        <v>81.610799999999998</v>
      </c>
      <c r="L202" s="197">
        <v>20253.143800000002</v>
      </c>
      <c r="M202" s="197">
        <v>124456.14380000001</v>
      </c>
      <c r="N202" s="196"/>
      <c r="O202" s="192"/>
    </row>
    <row r="203" spans="1:15" s="53" customFormat="1" x14ac:dyDescent="0.2">
      <c r="A203" s="196" t="s">
        <v>600</v>
      </c>
      <c r="B203" s="197">
        <v>68.301000000000002</v>
      </c>
      <c r="C203" s="197">
        <v>13.280799999999999</v>
      </c>
      <c r="D203" s="198">
        <v>45715</v>
      </c>
      <c r="E203" s="197">
        <v>1525</v>
      </c>
      <c r="F203" s="197">
        <v>379.45</v>
      </c>
      <c r="G203" s="197">
        <v>18</v>
      </c>
      <c r="H203" s="197">
        <v>3.5</v>
      </c>
      <c r="I203" s="197">
        <v>21.5</v>
      </c>
      <c r="J203" s="199"/>
      <c r="K203" s="197">
        <v>81.610799999999998</v>
      </c>
      <c r="L203" s="197">
        <v>20253.143800000002</v>
      </c>
      <c r="M203" s="197">
        <v>124456.14380000001</v>
      </c>
      <c r="N203" s="196"/>
      <c r="O203" s="192"/>
    </row>
    <row r="204" spans="1:15" s="53" customFormat="1" x14ac:dyDescent="0.2">
      <c r="A204" s="196" t="s">
        <v>205</v>
      </c>
      <c r="B204" s="197">
        <v>846.35</v>
      </c>
      <c r="C204" s="197">
        <v>207.48</v>
      </c>
      <c r="D204" s="198">
        <v>45652</v>
      </c>
      <c r="E204" s="197">
        <v>100</v>
      </c>
      <c r="F204" s="197">
        <v>5928</v>
      </c>
      <c r="G204" s="197">
        <v>14.27</v>
      </c>
      <c r="H204" s="197">
        <v>3.5</v>
      </c>
      <c r="I204" s="197">
        <v>17.77</v>
      </c>
      <c r="J204" s="199"/>
      <c r="K204" s="197">
        <v>1053.83</v>
      </c>
      <c r="L204" s="197">
        <v>20748</v>
      </c>
      <c r="M204" s="197">
        <v>105383</v>
      </c>
      <c r="N204" s="196"/>
      <c r="O204" s="192"/>
    </row>
    <row r="205" spans="1:15" s="53" customFormat="1" x14ac:dyDescent="0.2">
      <c r="A205" s="196" t="s">
        <v>205</v>
      </c>
      <c r="B205" s="197">
        <v>845.92560000000003</v>
      </c>
      <c r="C205" s="197">
        <v>207.48</v>
      </c>
      <c r="D205" s="198">
        <v>45687</v>
      </c>
      <c r="E205" s="197">
        <v>100</v>
      </c>
      <c r="F205" s="197">
        <v>5928</v>
      </c>
      <c r="G205" s="197">
        <v>14.27</v>
      </c>
      <c r="H205" s="197">
        <v>3.5</v>
      </c>
      <c r="I205" s="197">
        <v>17.77</v>
      </c>
      <c r="J205" s="199"/>
      <c r="K205" s="197">
        <v>1053.83</v>
      </c>
      <c r="L205" s="197">
        <v>20748</v>
      </c>
      <c r="M205" s="197">
        <v>105383</v>
      </c>
      <c r="N205" s="196"/>
      <c r="O205" s="192"/>
    </row>
    <row r="206" spans="1:15" s="53" customFormat="1" x14ac:dyDescent="0.2">
      <c r="A206" s="196" t="s">
        <v>205</v>
      </c>
      <c r="B206" s="197">
        <v>845.92560000000003</v>
      </c>
      <c r="C206" s="197">
        <v>207.48</v>
      </c>
      <c r="D206" s="198">
        <v>45715</v>
      </c>
      <c r="E206" s="197">
        <v>100</v>
      </c>
      <c r="F206" s="197">
        <v>5928</v>
      </c>
      <c r="G206" s="197">
        <v>14.27</v>
      </c>
      <c r="H206" s="197">
        <v>3.5</v>
      </c>
      <c r="I206" s="197">
        <v>17.77</v>
      </c>
      <c r="J206" s="199"/>
      <c r="K206" s="197">
        <v>1053.83</v>
      </c>
      <c r="L206" s="197">
        <v>20748</v>
      </c>
      <c r="M206" s="197">
        <v>105383</v>
      </c>
      <c r="N206" s="196"/>
      <c r="O206" s="192"/>
    </row>
    <row r="207" spans="1:15" s="53" customFormat="1" x14ac:dyDescent="0.2">
      <c r="A207" s="196" t="s">
        <v>512</v>
      </c>
      <c r="B207" s="197">
        <v>3671.56</v>
      </c>
      <c r="C207" s="197">
        <v>613.47130000000004</v>
      </c>
      <c r="D207" s="198">
        <v>45652</v>
      </c>
      <c r="E207" s="197">
        <v>50</v>
      </c>
      <c r="F207" s="197">
        <v>17527.75</v>
      </c>
      <c r="G207" s="197">
        <v>20.94</v>
      </c>
      <c r="H207" s="197">
        <v>3.5</v>
      </c>
      <c r="I207" s="197">
        <v>24.44</v>
      </c>
      <c r="J207" s="199"/>
      <c r="K207" s="197">
        <v>4285.0312999999996</v>
      </c>
      <c r="L207" s="197">
        <v>30673.5625</v>
      </c>
      <c r="M207" s="197">
        <v>214251.5625</v>
      </c>
      <c r="N207" s="196"/>
      <c r="O207" s="192"/>
    </row>
    <row r="208" spans="1:15" s="53" customFormat="1" x14ac:dyDescent="0.2">
      <c r="A208" s="196" t="s">
        <v>512</v>
      </c>
      <c r="B208" s="197">
        <v>3670.3108499999998</v>
      </c>
      <c r="C208" s="197">
        <v>613.47130000000004</v>
      </c>
      <c r="D208" s="198">
        <v>45687</v>
      </c>
      <c r="E208" s="197">
        <v>50</v>
      </c>
      <c r="F208" s="197">
        <v>17527.75</v>
      </c>
      <c r="G208" s="197">
        <v>20.94</v>
      </c>
      <c r="H208" s="197">
        <v>3.5</v>
      </c>
      <c r="I208" s="197">
        <v>24.44</v>
      </c>
      <c r="J208" s="199"/>
      <c r="K208" s="197">
        <v>4285.0312999999996</v>
      </c>
      <c r="L208" s="197">
        <v>30673.5625</v>
      </c>
      <c r="M208" s="197">
        <v>214251.5625</v>
      </c>
      <c r="N208" s="196"/>
      <c r="O208" s="192"/>
    </row>
    <row r="209" spans="1:15" s="53" customFormat="1" x14ac:dyDescent="0.2">
      <c r="A209" s="196" t="s">
        <v>512</v>
      </c>
      <c r="B209" s="197">
        <v>3670.3108499999998</v>
      </c>
      <c r="C209" s="197">
        <v>613.47130000000004</v>
      </c>
      <c r="D209" s="198">
        <v>45715</v>
      </c>
      <c r="E209" s="197">
        <v>50</v>
      </c>
      <c r="F209" s="197">
        <v>17527.75</v>
      </c>
      <c r="G209" s="197">
        <v>20.94</v>
      </c>
      <c r="H209" s="197">
        <v>3.5</v>
      </c>
      <c r="I209" s="197">
        <v>24.44</v>
      </c>
      <c r="J209" s="199"/>
      <c r="K209" s="197">
        <v>4285.0312999999996</v>
      </c>
      <c r="L209" s="197">
        <v>30673.5625</v>
      </c>
      <c r="M209" s="197">
        <v>214251.5625</v>
      </c>
      <c r="N209" s="196"/>
      <c r="O209" s="192"/>
    </row>
    <row r="210" spans="1:15" s="53" customFormat="1" x14ac:dyDescent="0.2">
      <c r="A210" s="196" t="s">
        <v>207</v>
      </c>
      <c r="B210" s="197">
        <v>155.96</v>
      </c>
      <c r="C210" s="197">
        <v>30.651299999999999</v>
      </c>
      <c r="D210" s="198">
        <v>45652</v>
      </c>
      <c r="E210" s="197">
        <v>825</v>
      </c>
      <c r="F210" s="197">
        <v>875.75</v>
      </c>
      <c r="G210" s="197">
        <v>17.8</v>
      </c>
      <c r="H210" s="197">
        <v>3.5</v>
      </c>
      <c r="I210" s="197">
        <v>21.3</v>
      </c>
      <c r="J210" s="199"/>
      <c r="K210" s="197">
        <v>186.6113</v>
      </c>
      <c r="L210" s="197">
        <v>25287.281299999999</v>
      </c>
      <c r="M210" s="197">
        <v>153954.2813</v>
      </c>
      <c r="N210" s="196"/>
      <c r="O210" s="192"/>
    </row>
    <row r="211" spans="1:15" s="53" customFormat="1" x14ac:dyDescent="0.2">
      <c r="A211" s="196" t="s">
        <v>207</v>
      </c>
      <c r="B211" s="197">
        <v>155.8835</v>
      </c>
      <c r="C211" s="197">
        <v>30.651299999999999</v>
      </c>
      <c r="D211" s="198">
        <v>45687</v>
      </c>
      <c r="E211" s="197">
        <v>825</v>
      </c>
      <c r="F211" s="197">
        <v>875.75</v>
      </c>
      <c r="G211" s="197">
        <v>17.8</v>
      </c>
      <c r="H211" s="197">
        <v>3.5</v>
      </c>
      <c r="I211" s="197">
        <v>21.3</v>
      </c>
      <c r="J211" s="199"/>
      <c r="K211" s="197">
        <v>186.6113</v>
      </c>
      <c r="L211" s="197">
        <v>25287.281299999999</v>
      </c>
      <c r="M211" s="197">
        <v>153954.2813</v>
      </c>
      <c r="N211" s="196"/>
      <c r="O211" s="192"/>
    </row>
    <row r="212" spans="1:15" s="53" customFormat="1" x14ac:dyDescent="0.2">
      <c r="A212" s="196" t="s">
        <v>207</v>
      </c>
      <c r="B212" s="197">
        <v>155.8835</v>
      </c>
      <c r="C212" s="197">
        <v>30.651299999999999</v>
      </c>
      <c r="D212" s="198">
        <v>45715</v>
      </c>
      <c r="E212" s="197">
        <v>825</v>
      </c>
      <c r="F212" s="197">
        <v>875.75</v>
      </c>
      <c r="G212" s="197">
        <v>17.8</v>
      </c>
      <c r="H212" s="197">
        <v>3.5</v>
      </c>
      <c r="I212" s="197">
        <v>21.3</v>
      </c>
      <c r="J212" s="199"/>
      <c r="K212" s="197">
        <v>186.6113</v>
      </c>
      <c r="L212" s="197">
        <v>25287.281299999999</v>
      </c>
      <c r="M212" s="197">
        <v>153954.2813</v>
      </c>
      <c r="N212" s="196"/>
      <c r="O212" s="192"/>
    </row>
    <row r="213" spans="1:15" s="53" customFormat="1" x14ac:dyDescent="0.2">
      <c r="A213" s="196" t="s">
        <v>583</v>
      </c>
      <c r="B213" s="197">
        <v>547.29999999999995</v>
      </c>
      <c r="C213" s="197">
        <v>129.79230000000001</v>
      </c>
      <c r="D213" s="198">
        <v>45652</v>
      </c>
      <c r="E213" s="197">
        <v>150</v>
      </c>
      <c r="F213" s="197">
        <v>3708.35</v>
      </c>
      <c r="G213" s="197">
        <v>14.75</v>
      </c>
      <c r="H213" s="197">
        <v>3.5</v>
      </c>
      <c r="I213" s="197">
        <v>18.25</v>
      </c>
      <c r="J213" s="199"/>
      <c r="K213" s="197">
        <v>677.09230000000002</v>
      </c>
      <c r="L213" s="197">
        <v>19468.837500000001</v>
      </c>
      <c r="M213" s="197">
        <v>101563.83749999999</v>
      </c>
      <c r="N213" s="196"/>
      <c r="O213" s="192"/>
    </row>
    <row r="214" spans="1:15" s="53" customFormat="1" x14ac:dyDescent="0.2">
      <c r="A214" s="196" t="s">
        <v>583</v>
      </c>
      <c r="B214" s="197">
        <v>546.98162500000001</v>
      </c>
      <c r="C214" s="197">
        <v>129.79230000000001</v>
      </c>
      <c r="D214" s="198">
        <v>45687</v>
      </c>
      <c r="E214" s="197">
        <v>150</v>
      </c>
      <c r="F214" s="197">
        <v>3708.35</v>
      </c>
      <c r="G214" s="197">
        <v>14.75</v>
      </c>
      <c r="H214" s="197">
        <v>3.5</v>
      </c>
      <c r="I214" s="197">
        <v>18.25</v>
      </c>
      <c r="J214" s="199"/>
      <c r="K214" s="197">
        <v>677.09230000000002</v>
      </c>
      <c r="L214" s="197">
        <v>19468.837500000001</v>
      </c>
      <c r="M214" s="197">
        <v>101563.83749999999</v>
      </c>
      <c r="N214" s="196"/>
      <c r="O214" s="192"/>
    </row>
    <row r="215" spans="1:15" s="53" customFormat="1" x14ac:dyDescent="0.2">
      <c r="A215" s="196" t="s">
        <v>583</v>
      </c>
      <c r="B215" s="197">
        <v>546.98162500000001</v>
      </c>
      <c r="C215" s="197">
        <v>129.79230000000001</v>
      </c>
      <c r="D215" s="198">
        <v>45715</v>
      </c>
      <c r="E215" s="197">
        <v>150</v>
      </c>
      <c r="F215" s="197">
        <v>3708.35</v>
      </c>
      <c r="G215" s="197">
        <v>14.75</v>
      </c>
      <c r="H215" s="197">
        <v>3.5</v>
      </c>
      <c r="I215" s="197">
        <v>18.25</v>
      </c>
      <c r="J215" s="199"/>
      <c r="K215" s="197">
        <v>677.09230000000002</v>
      </c>
      <c r="L215" s="197">
        <v>19468.837500000001</v>
      </c>
      <c r="M215" s="197">
        <v>101563.83749999999</v>
      </c>
      <c r="N215" s="196"/>
      <c r="O215" s="192"/>
    </row>
    <row r="216" spans="1:15" s="53" customFormat="1" x14ac:dyDescent="0.2">
      <c r="A216" s="196" t="s">
        <v>208</v>
      </c>
      <c r="B216" s="197">
        <v>176.83</v>
      </c>
      <c r="C216" s="197">
        <v>43.349299999999999</v>
      </c>
      <c r="D216" s="198">
        <v>45652</v>
      </c>
      <c r="E216" s="197">
        <v>625</v>
      </c>
      <c r="F216" s="197">
        <v>1238.55</v>
      </c>
      <c r="G216" s="197">
        <v>14.27</v>
      </c>
      <c r="H216" s="197">
        <v>3.5</v>
      </c>
      <c r="I216" s="197">
        <v>17.77</v>
      </c>
      <c r="J216" s="199"/>
      <c r="K216" s="197">
        <v>220.17930000000001</v>
      </c>
      <c r="L216" s="197">
        <v>27093.281299999999</v>
      </c>
      <c r="M216" s="197">
        <v>137612.2813</v>
      </c>
      <c r="N216" s="196"/>
      <c r="O216" s="192"/>
    </row>
    <row r="217" spans="1:15" s="53" customFormat="1" x14ac:dyDescent="0.2">
      <c r="A217" s="196" t="s">
        <v>208</v>
      </c>
      <c r="B217" s="197">
        <v>176.741085</v>
      </c>
      <c r="C217" s="197">
        <v>43.349299999999999</v>
      </c>
      <c r="D217" s="198">
        <v>45687</v>
      </c>
      <c r="E217" s="197">
        <v>625</v>
      </c>
      <c r="F217" s="197">
        <v>1238.55</v>
      </c>
      <c r="G217" s="197">
        <v>14.27</v>
      </c>
      <c r="H217" s="197">
        <v>3.5</v>
      </c>
      <c r="I217" s="197">
        <v>17.77</v>
      </c>
      <c r="J217" s="199"/>
      <c r="K217" s="197">
        <v>220.17930000000001</v>
      </c>
      <c r="L217" s="197">
        <v>27093.281299999999</v>
      </c>
      <c r="M217" s="197">
        <v>137612.2813</v>
      </c>
      <c r="N217" s="196"/>
      <c r="O217" s="192"/>
    </row>
    <row r="218" spans="1:15" s="53" customFormat="1" x14ac:dyDescent="0.2">
      <c r="A218" s="196" t="s">
        <v>208</v>
      </c>
      <c r="B218" s="197">
        <v>176.741085</v>
      </c>
      <c r="C218" s="197">
        <v>43.349299999999999</v>
      </c>
      <c r="D218" s="198">
        <v>45715</v>
      </c>
      <c r="E218" s="197">
        <v>625</v>
      </c>
      <c r="F218" s="197">
        <v>1238.55</v>
      </c>
      <c r="G218" s="197">
        <v>14.27</v>
      </c>
      <c r="H218" s="197">
        <v>3.5</v>
      </c>
      <c r="I218" s="197">
        <v>17.77</v>
      </c>
      <c r="J218" s="199"/>
      <c r="K218" s="197">
        <v>220.17930000000001</v>
      </c>
      <c r="L218" s="197">
        <v>27093.281299999999</v>
      </c>
      <c r="M218" s="197">
        <v>137612.2813</v>
      </c>
      <c r="N218" s="196"/>
      <c r="O218" s="192"/>
    </row>
    <row r="219" spans="1:15" s="53" customFormat="1" x14ac:dyDescent="0.2">
      <c r="A219" s="196" t="s">
        <v>209</v>
      </c>
      <c r="B219" s="197">
        <v>685.58</v>
      </c>
      <c r="C219" s="197">
        <v>168.06829999999999</v>
      </c>
      <c r="D219" s="198">
        <v>45652</v>
      </c>
      <c r="E219" s="197">
        <v>175</v>
      </c>
      <c r="F219" s="197">
        <v>4801.95</v>
      </c>
      <c r="G219" s="197">
        <v>14.27</v>
      </c>
      <c r="H219" s="197">
        <v>3.5</v>
      </c>
      <c r="I219" s="197">
        <v>17.77</v>
      </c>
      <c r="J219" s="199"/>
      <c r="K219" s="197">
        <v>853.64829999999995</v>
      </c>
      <c r="L219" s="197">
        <v>29411.943800000001</v>
      </c>
      <c r="M219" s="197">
        <v>149388.94380000001</v>
      </c>
      <c r="N219" s="196"/>
      <c r="O219" s="192"/>
    </row>
    <row r="220" spans="1:15" s="53" customFormat="1" x14ac:dyDescent="0.2">
      <c r="A220" s="196" t="s">
        <v>209</v>
      </c>
      <c r="B220" s="197">
        <v>685.23826499999996</v>
      </c>
      <c r="C220" s="197">
        <v>168.06829999999999</v>
      </c>
      <c r="D220" s="198">
        <v>45687</v>
      </c>
      <c r="E220" s="197">
        <v>175</v>
      </c>
      <c r="F220" s="197">
        <v>4801.95</v>
      </c>
      <c r="G220" s="197">
        <v>14.27</v>
      </c>
      <c r="H220" s="197">
        <v>3.5</v>
      </c>
      <c r="I220" s="197">
        <v>17.77</v>
      </c>
      <c r="J220" s="199"/>
      <c r="K220" s="197">
        <v>853.64829999999995</v>
      </c>
      <c r="L220" s="197">
        <v>29411.943800000001</v>
      </c>
      <c r="M220" s="197">
        <v>149388.94380000001</v>
      </c>
      <c r="N220" s="196"/>
      <c r="O220" s="192"/>
    </row>
    <row r="221" spans="1:15" s="53" customFormat="1" x14ac:dyDescent="0.2">
      <c r="A221" s="196" t="s">
        <v>209</v>
      </c>
      <c r="B221" s="197">
        <v>685.23826499999996</v>
      </c>
      <c r="C221" s="197">
        <v>168.06829999999999</v>
      </c>
      <c r="D221" s="198">
        <v>45715</v>
      </c>
      <c r="E221" s="197">
        <v>175</v>
      </c>
      <c r="F221" s="197">
        <v>4801.95</v>
      </c>
      <c r="G221" s="197">
        <v>14.27</v>
      </c>
      <c r="H221" s="197">
        <v>3.5</v>
      </c>
      <c r="I221" s="197">
        <v>17.77</v>
      </c>
      <c r="J221" s="199"/>
      <c r="K221" s="197">
        <v>853.64829999999995</v>
      </c>
      <c r="L221" s="197">
        <v>29411.943800000001</v>
      </c>
      <c r="M221" s="197">
        <v>149388.94380000001</v>
      </c>
      <c r="N221" s="196"/>
      <c r="O221" s="192"/>
    </row>
    <row r="222" spans="1:15" s="53" customFormat="1" x14ac:dyDescent="0.2">
      <c r="A222" s="196" t="s">
        <v>210</v>
      </c>
      <c r="B222" s="197">
        <v>987.50331000000006</v>
      </c>
      <c r="C222" s="197">
        <v>122.3023</v>
      </c>
      <c r="D222" s="198">
        <v>45687</v>
      </c>
      <c r="E222" s="197">
        <v>150</v>
      </c>
      <c r="F222" s="197">
        <v>3494.35</v>
      </c>
      <c r="G222" s="197">
        <v>28.26</v>
      </c>
      <c r="H222" s="197">
        <v>3.5</v>
      </c>
      <c r="I222" s="197">
        <v>31.76</v>
      </c>
      <c r="J222" s="199"/>
      <c r="K222" s="197">
        <v>1109.9223</v>
      </c>
      <c r="L222" s="197">
        <v>18345.337500000001</v>
      </c>
      <c r="M222" s="197">
        <v>166488.33749999999</v>
      </c>
      <c r="N222" s="196"/>
      <c r="O222" s="192"/>
    </row>
    <row r="223" spans="1:15" s="53" customFormat="1" x14ac:dyDescent="0.2">
      <c r="A223" s="196" t="s">
        <v>210</v>
      </c>
      <c r="B223" s="197">
        <v>987.50331000000006</v>
      </c>
      <c r="C223" s="197">
        <v>122.3023</v>
      </c>
      <c r="D223" s="198">
        <v>45715</v>
      </c>
      <c r="E223" s="197">
        <v>150</v>
      </c>
      <c r="F223" s="197">
        <v>3494.35</v>
      </c>
      <c r="G223" s="197">
        <v>28.26</v>
      </c>
      <c r="H223" s="197">
        <v>3.5</v>
      </c>
      <c r="I223" s="197">
        <v>31.76</v>
      </c>
      <c r="J223" s="199"/>
      <c r="K223" s="197">
        <v>1109.9223</v>
      </c>
      <c r="L223" s="197">
        <v>18345.337500000001</v>
      </c>
      <c r="M223" s="197">
        <v>166488.33749999999</v>
      </c>
      <c r="N223" s="196"/>
      <c r="O223" s="192"/>
    </row>
    <row r="224" spans="1:15" s="53" customFormat="1" x14ac:dyDescent="0.2">
      <c r="A224" s="196" t="s">
        <v>210</v>
      </c>
      <c r="B224" s="197">
        <v>538.70000000000005</v>
      </c>
      <c r="C224" s="197">
        <v>122.3023</v>
      </c>
      <c r="D224" s="198">
        <v>45652</v>
      </c>
      <c r="E224" s="197">
        <v>275</v>
      </c>
      <c r="F224" s="197">
        <v>3494.35</v>
      </c>
      <c r="G224" s="197">
        <v>15.41</v>
      </c>
      <c r="H224" s="197">
        <v>3.5</v>
      </c>
      <c r="I224" s="197">
        <v>18.91</v>
      </c>
      <c r="J224" s="199"/>
      <c r="K224" s="197">
        <v>661.00229999999999</v>
      </c>
      <c r="L224" s="197">
        <v>33633.118799999997</v>
      </c>
      <c r="M224" s="197">
        <v>181776.1188</v>
      </c>
      <c r="N224" s="196"/>
      <c r="O224" s="192"/>
    </row>
    <row r="225" spans="1:15" s="53" customFormat="1" x14ac:dyDescent="0.2">
      <c r="A225" s="196" t="s">
        <v>211</v>
      </c>
      <c r="B225" s="197">
        <v>87.01</v>
      </c>
      <c r="C225" s="197">
        <v>24.575299999999999</v>
      </c>
      <c r="D225" s="198">
        <v>45652</v>
      </c>
      <c r="E225" s="197">
        <v>1800</v>
      </c>
      <c r="F225" s="197">
        <v>468.1</v>
      </c>
      <c r="G225" s="197">
        <v>18.579999999999998</v>
      </c>
      <c r="H225" s="197">
        <v>5.25</v>
      </c>
      <c r="I225" s="197">
        <v>23.83</v>
      </c>
      <c r="J225" s="199"/>
      <c r="K225" s="197">
        <v>111.5853</v>
      </c>
      <c r="L225" s="197">
        <v>44235.45</v>
      </c>
      <c r="M225" s="197">
        <v>200853.45</v>
      </c>
      <c r="N225" s="196"/>
      <c r="O225" s="192"/>
    </row>
    <row r="226" spans="1:15" s="53" customFormat="1" x14ac:dyDescent="0.2">
      <c r="A226" s="196" t="s">
        <v>211</v>
      </c>
      <c r="B226" s="197">
        <v>86.972980000000007</v>
      </c>
      <c r="C226" s="197">
        <v>24.575299999999999</v>
      </c>
      <c r="D226" s="198">
        <v>45687</v>
      </c>
      <c r="E226" s="197">
        <v>1800</v>
      </c>
      <c r="F226" s="197">
        <v>468.1</v>
      </c>
      <c r="G226" s="197">
        <v>18.579999999999998</v>
      </c>
      <c r="H226" s="197">
        <v>5.25</v>
      </c>
      <c r="I226" s="197">
        <v>23.83</v>
      </c>
      <c r="J226" s="199"/>
      <c r="K226" s="197">
        <v>111.5853</v>
      </c>
      <c r="L226" s="197">
        <v>44235.45</v>
      </c>
      <c r="M226" s="197">
        <v>200853.45</v>
      </c>
      <c r="N226" s="196"/>
      <c r="O226" s="192"/>
    </row>
    <row r="227" spans="1:15" s="53" customFormat="1" x14ac:dyDescent="0.2">
      <c r="A227" s="196" t="s">
        <v>211</v>
      </c>
      <c r="B227" s="197">
        <v>86.972980000000007</v>
      </c>
      <c r="C227" s="197">
        <v>24.575299999999999</v>
      </c>
      <c r="D227" s="198">
        <v>45715</v>
      </c>
      <c r="E227" s="197">
        <v>1800</v>
      </c>
      <c r="F227" s="197">
        <v>468.1</v>
      </c>
      <c r="G227" s="197">
        <v>18.579999999999998</v>
      </c>
      <c r="H227" s="197">
        <v>5.25</v>
      </c>
      <c r="I227" s="197">
        <v>23.83</v>
      </c>
      <c r="J227" s="199"/>
      <c r="K227" s="197">
        <v>111.5853</v>
      </c>
      <c r="L227" s="197">
        <v>44235.45</v>
      </c>
      <c r="M227" s="197">
        <v>200853.45</v>
      </c>
      <c r="N227" s="196"/>
      <c r="O227" s="192"/>
    </row>
    <row r="228" spans="1:15" s="53" customFormat="1" x14ac:dyDescent="0.2">
      <c r="A228" s="196" t="s">
        <v>212</v>
      </c>
      <c r="B228" s="197">
        <v>31.27</v>
      </c>
      <c r="C228" s="197">
        <v>7.5145</v>
      </c>
      <c r="D228" s="198">
        <v>45652</v>
      </c>
      <c r="E228" s="197">
        <v>5000</v>
      </c>
      <c r="F228" s="197">
        <v>214.7</v>
      </c>
      <c r="G228" s="197">
        <v>14.56</v>
      </c>
      <c r="H228" s="197">
        <v>3.5</v>
      </c>
      <c r="I228" s="197">
        <v>18.059999999999999</v>
      </c>
      <c r="J228" s="199"/>
      <c r="K228" s="197">
        <v>38.784500000000001</v>
      </c>
      <c r="L228" s="197">
        <v>37572.5</v>
      </c>
      <c r="M228" s="197">
        <v>193922.5</v>
      </c>
      <c r="N228" s="196"/>
      <c r="O228" s="192"/>
    </row>
    <row r="229" spans="1:15" s="53" customFormat="1" x14ac:dyDescent="0.2">
      <c r="A229" s="196" t="s">
        <v>212</v>
      </c>
      <c r="B229" s="197">
        <v>31.26032</v>
      </c>
      <c r="C229" s="197">
        <v>7.5145</v>
      </c>
      <c r="D229" s="198">
        <v>45687</v>
      </c>
      <c r="E229" s="197">
        <v>5000</v>
      </c>
      <c r="F229" s="197">
        <v>214.7</v>
      </c>
      <c r="G229" s="197">
        <v>14.56</v>
      </c>
      <c r="H229" s="197">
        <v>3.5</v>
      </c>
      <c r="I229" s="197">
        <v>18.060000000000002</v>
      </c>
      <c r="J229" s="199"/>
      <c r="K229" s="197">
        <v>38.784500000000001</v>
      </c>
      <c r="L229" s="197">
        <v>37572.5</v>
      </c>
      <c r="M229" s="197">
        <v>193922.5</v>
      </c>
      <c r="N229" s="196"/>
      <c r="O229" s="192"/>
    </row>
    <row r="230" spans="1:15" s="53" customFormat="1" x14ac:dyDescent="0.2">
      <c r="A230" s="196" t="s">
        <v>212</v>
      </c>
      <c r="B230" s="197">
        <v>31.26032</v>
      </c>
      <c r="C230" s="197">
        <v>7.5145</v>
      </c>
      <c r="D230" s="198">
        <v>45715</v>
      </c>
      <c r="E230" s="197">
        <v>5000</v>
      </c>
      <c r="F230" s="197">
        <v>214.7</v>
      </c>
      <c r="G230" s="197">
        <v>14.56</v>
      </c>
      <c r="H230" s="197">
        <v>3.5</v>
      </c>
      <c r="I230" s="197">
        <v>18.060000000000002</v>
      </c>
      <c r="J230" s="199"/>
      <c r="K230" s="197">
        <v>38.784500000000001</v>
      </c>
      <c r="L230" s="197">
        <v>37572.5</v>
      </c>
      <c r="M230" s="197">
        <v>193922.5</v>
      </c>
      <c r="N230" s="196"/>
      <c r="O230" s="192"/>
    </row>
    <row r="231" spans="1:15" s="53" customFormat="1" x14ac:dyDescent="0.2">
      <c r="A231" s="196" t="s">
        <v>480</v>
      </c>
      <c r="B231" s="197">
        <v>2822.8</v>
      </c>
      <c r="C231" s="197">
        <v>496.06099999999998</v>
      </c>
      <c r="D231" s="198">
        <v>45657</v>
      </c>
      <c r="E231" s="197">
        <v>25</v>
      </c>
      <c r="F231" s="197">
        <v>24803.05</v>
      </c>
      <c r="G231" s="197">
        <v>11.38</v>
      </c>
      <c r="H231" s="197">
        <v>2</v>
      </c>
      <c r="I231" s="197">
        <v>13.38</v>
      </c>
      <c r="J231" s="199"/>
      <c r="K231" s="197">
        <v>3318.8609999999999</v>
      </c>
      <c r="L231" s="197">
        <v>12401.525</v>
      </c>
      <c r="M231" s="197">
        <v>82971.524999999994</v>
      </c>
      <c r="N231" s="196"/>
      <c r="O231" s="192"/>
    </row>
    <row r="232" spans="1:15" s="53" customFormat="1" x14ac:dyDescent="0.2">
      <c r="A232" s="196" t="s">
        <v>480</v>
      </c>
      <c r="B232" s="197">
        <v>2822.58709</v>
      </c>
      <c r="C232" s="197">
        <v>496.06099999999998</v>
      </c>
      <c r="D232" s="198">
        <v>45685</v>
      </c>
      <c r="E232" s="197">
        <v>25</v>
      </c>
      <c r="F232" s="197">
        <v>24803.05</v>
      </c>
      <c r="G232" s="197">
        <v>11.38</v>
      </c>
      <c r="H232" s="197">
        <v>2</v>
      </c>
      <c r="I232" s="197">
        <v>13.38</v>
      </c>
      <c r="J232" s="199"/>
      <c r="K232" s="197">
        <v>3318.8609999999999</v>
      </c>
      <c r="L232" s="197">
        <v>12401.525</v>
      </c>
      <c r="M232" s="197">
        <v>82971.524999999994</v>
      </c>
      <c r="N232" s="196"/>
      <c r="O232" s="192"/>
    </row>
    <row r="233" spans="1:15" s="53" customFormat="1" x14ac:dyDescent="0.2">
      <c r="A233" s="196" t="s">
        <v>480</v>
      </c>
      <c r="B233" s="197">
        <v>2822.58709</v>
      </c>
      <c r="C233" s="197">
        <v>496.06099999999998</v>
      </c>
      <c r="D233" s="198">
        <v>45713</v>
      </c>
      <c r="E233" s="197">
        <v>25</v>
      </c>
      <c r="F233" s="197">
        <v>24803.05</v>
      </c>
      <c r="G233" s="197">
        <v>11.38</v>
      </c>
      <c r="H233" s="197">
        <v>2</v>
      </c>
      <c r="I233" s="197">
        <v>13.38</v>
      </c>
      <c r="J233" s="199"/>
      <c r="K233" s="197">
        <v>3318.8609999999999</v>
      </c>
      <c r="L233" s="197">
        <v>12401.525</v>
      </c>
      <c r="M233" s="197">
        <v>82971.524999999994</v>
      </c>
      <c r="N233" s="196"/>
      <c r="O233" s="192"/>
    </row>
    <row r="234" spans="1:15" s="53" customFormat="1" x14ac:dyDescent="0.2">
      <c r="A234" s="196" t="s">
        <v>213</v>
      </c>
      <c r="B234" s="197">
        <v>78.224580000000003</v>
      </c>
      <c r="C234" s="197">
        <v>7.2030000000000003</v>
      </c>
      <c r="D234" s="198">
        <v>45687</v>
      </c>
      <c r="E234" s="197">
        <v>2350</v>
      </c>
      <c r="F234" s="197">
        <v>205.8</v>
      </c>
      <c r="G234" s="197">
        <v>38.01</v>
      </c>
      <c r="H234" s="197">
        <v>3.5</v>
      </c>
      <c r="I234" s="197">
        <v>41.51</v>
      </c>
      <c r="J234" s="199"/>
      <c r="K234" s="197">
        <v>85.442999999999998</v>
      </c>
      <c r="L234" s="197">
        <v>16927.05</v>
      </c>
      <c r="M234" s="197">
        <v>200796.05</v>
      </c>
      <c r="N234" s="196"/>
      <c r="O234" s="192"/>
    </row>
    <row r="235" spans="1:15" s="53" customFormat="1" x14ac:dyDescent="0.2">
      <c r="A235" s="196" t="s">
        <v>213</v>
      </c>
      <c r="B235" s="197">
        <v>78.224580000000003</v>
      </c>
      <c r="C235" s="197">
        <v>7.2030000000000003</v>
      </c>
      <c r="D235" s="198">
        <v>45715</v>
      </c>
      <c r="E235" s="197">
        <v>2350</v>
      </c>
      <c r="F235" s="197">
        <v>205.8</v>
      </c>
      <c r="G235" s="197">
        <v>38.01</v>
      </c>
      <c r="H235" s="197">
        <v>3.5</v>
      </c>
      <c r="I235" s="197">
        <v>41.51</v>
      </c>
      <c r="J235" s="199"/>
      <c r="K235" s="197">
        <v>85.442999999999998</v>
      </c>
      <c r="L235" s="197">
        <v>16927.05</v>
      </c>
      <c r="M235" s="197">
        <v>200796.05</v>
      </c>
      <c r="N235" s="196"/>
      <c r="O235" s="192"/>
    </row>
    <row r="236" spans="1:15" s="53" customFormat="1" x14ac:dyDescent="0.2">
      <c r="A236" s="196" t="s">
        <v>213</v>
      </c>
      <c r="B236" s="197">
        <v>40.19</v>
      </c>
      <c r="C236" s="197">
        <v>7.2030000000000003</v>
      </c>
      <c r="D236" s="198">
        <v>45652</v>
      </c>
      <c r="E236" s="197">
        <v>4575</v>
      </c>
      <c r="F236" s="197">
        <v>205.8</v>
      </c>
      <c r="G236" s="197">
        <v>19.52</v>
      </c>
      <c r="H236" s="197">
        <v>3.5</v>
      </c>
      <c r="I236" s="197">
        <v>23.02</v>
      </c>
      <c r="J236" s="199"/>
      <c r="K236" s="197">
        <v>47.393000000000001</v>
      </c>
      <c r="L236" s="197">
        <v>32953.724999999999</v>
      </c>
      <c r="M236" s="197">
        <v>216822.72500000001</v>
      </c>
      <c r="N236" s="196"/>
      <c r="O236" s="192"/>
    </row>
    <row r="237" spans="1:15" s="53" customFormat="1" x14ac:dyDescent="0.2">
      <c r="A237" s="196" t="s">
        <v>214</v>
      </c>
      <c r="B237" s="197">
        <v>563.08896000000004</v>
      </c>
      <c r="C237" s="197">
        <v>53.423999999999999</v>
      </c>
      <c r="D237" s="198">
        <v>45687</v>
      </c>
      <c r="E237" s="197">
        <v>325</v>
      </c>
      <c r="F237" s="197">
        <v>1526.4</v>
      </c>
      <c r="G237" s="197">
        <v>36.89</v>
      </c>
      <c r="H237" s="197">
        <v>3.5</v>
      </c>
      <c r="I237" s="197">
        <v>40.39</v>
      </c>
      <c r="J237" s="199"/>
      <c r="K237" s="197">
        <v>616.62400000000002</v>
      </c>
      <c r="L237" s="197">
        <v>17362.8</v>
      </c>
      <c r="M237" s="197">
        <v>200403.8</v>
      </c>
      <c r="N237" s="196"/>
      <c r="O237" s="192"/>
    </row>
    <row r="238" spans="1:15" s="53" customFormat="1" x14ac:dyDescent="0.2">
      <c r="A238" s="196" t="s">
        <v>214</v>
      </c>
      <c r="B238" s="197">
        <v>563.08896000000004</v>
      </c>
      <c r="C238" s="197">
        <v>53.423999999999999</v>
      </c>
      <c r="D238" s="198">
        <v>45715</v>
      </c>
      <c r="E238" s="197">
        <v>325</v>
      </c>
      <c r="F238" s="197">
        <v>1526.4</v>
      </c>
      <c r="G238" s="197">
        <v>36.89</v>
      </c>
      <c r="H238" s="197">
        <v>3.5</v>
      </c>
      <c r="I238" s="197">
        <v>40.39</v>
      </c>
      <c r="J238" s="199"/>
      <c r="K238" s="197">
        <v>616.62400000000002</v>
      </c>
      <c r="L238" s="197">
        <v>17362.8</v>
      </c>
      <c r="M238" s="197">
        <v>200403.8</v>
      </c>
      <c r="N238" s="196"/>
      <c r="O238" s="192"/>
    </row>
    <row r="239" spans="1:15" s="53" customFormat="1" x14ac:dyDescent="0.2">
      <c r="A239" s="196" t="s">
        <v>214</v>
      </c>
      <c r="B239" s="197">
        <v>252.47</v>
      </c>
      <c r="C239" s="197">
        <v>53.423999999999999</v>
      </c>
      <c r="D239" s="198">
        <v>45652</v>
      </c>
      <c r="E239" s="197">
        <v>725</v>
      </c>
      <c r="F239" s="197">
        <v>1526.4</v>
      </c>
      <c r="G239" s="197">
        <v>16.54</v>
      </c>
      <c r="H239" s="197">
        <v>3.5</v>
      </c>
      <c r="I239" s="197">
        <v>20.04</v>
      </c>
      <c r="J239" s="199"/>
      <c r="K239" s="197">
        <v>305.89400000000001</v>
      </c>
      <c r="L239" s="197">
        <v>38732.400000000001</v>
      </c>
      <c r="M239" s="197">
        <v>221773.4</v>
      </c>
      <c r="N239" s="196"/>
      <c r="O239" s="192"/>
    </row>
    <row r="240" spans="1:15" s="53" customFormat="1" x14ac:dyDescent="0.2">
      <c r="A240" s="196" t="s">
        <v>631</v>
      </c>
      <c r="B240" s="197">
        <v>18.079999999999998</v>
      </c>
      <c r="C240" s="197">
        <v>2.9904000000000002</v>
      </c>
      <c r="D240" s="198">
        <v>45652</v>
      </c>
      <c r="E240" s="197">
        <v>5625</v>
      </c>
      <c r="F240" s="197">
        <v>85.44</v>
      </c>
      <c r="G240" s="197">
        <v>21.16</v>
      </c>
      <c r="H240" s="197">
        <v>3.5</v>
      </c>
      <c r="I240" s="197">
        <v>24.66</v>
      </c>
      <c r="J240" s="199"/>
      <c r="K240" s="197">
        <v>21.070399999999999</v>
      </c>
      <c r="L240" s="197">
        <v>16821</v>
      </c>
      <c r="M240" s="197">
        <v>118521</v>
      </c>
      <c r="N240" s="196"/>
      <c r="O240" s="192"/>
    </row>
    <row r="241" spans="1:15" s="53" customFormat="1" x14ac:dyDescent="0.2">
      <c r="A241" s="196" t="s">
        <v>631</v>
      </c>
      <c r="B241" s="197">
        <v>18.079104000000001</v>
      </c>
      <c r="C241" s="197">
        <v>2.9904000000000002</v>
      </c>
      <c r="D241" s="198">
        <v>45687</v>
      </c>
      <c r="E241" s="197">
        <v>5625</v>
      </c>
      <c r="F241" s="197">
        <v>85.44</v>
      </c>
      <c r="G241" s="197">
        <v>21.16</v>
      </c>
      <c r="H241" s="197">
        <v>3.5</v>
      </c>
      <c r="I241" s="197">
        <v>24.66</v>
      </c>
      <c r="J241" s="199"/>
      <c r="K241" s="197">
        <v>21.070399999999999</v>
      </c>
      <c r="L241" s="197">
        <v>16821</v>
      </c>
      <c r="M241" s="197">
        <v>118521</v>
      </c>
      <c r="N241" s="196"/>
      <c r="O241" s="192"/>
    </row>
    <row r="242" spans="1:15" s="53" customFormat="1" x14ac:dyDescent="0.2">
      <c r="A242" s="196" t="s">
        <v>631</v>
      </c>
      <c r="B242" s="197">
        <v>18.079104000000001</v>
      </c>
      <c r="C242" s="197">
        <v>2.9904000000000002</v>
      </c>
      <c r="D242" s="198">
        <v>45715</v>
      </c>
      <c r="E242" s="197">
        <v>5625</v>
      </c>
      <c r="F242" s="197">
        <v>85.44</v>
      </c>
      <c r="G242" s="197">
        <v>21.16</v>
      </c>
      <c r="H242" s="197">
        <v>3.5</v>
      </c>
      <c r="I242" s="197">
        <v>24.66</v>
      </c>
      <c r="J242" s="199"/>
      <c r="K242" s="197">
        <v>21.070399999999999</v>
      </c>
      <c r="L242" s="197">
        <v>16821</v>
      </c>
      <c r="M242" s="197">
        <v>118521</v>
      </c>
      <c r="N242" s="196"/>
      <c r="O242" s="192"/>
    </row>
    <row r="243" spans="1:15" s="53" customFormat="1" x14ac:dyDescent="0.2">
      <c r="A243" s="196" t="s">
        <v>546</v>
      </c>
      <c r="B243" s="197">
        <v>118.36</v>
      </c>
      <c r="C243" s="197">
        <v>32.796799999999998</v>
      </c>
      <c r="D243" s="198">
        <v>45652</v>
      </c>
      <c r="E243" s="197">
        <v>1300</v>
      </c>
      <c r="F243" s="197">
        <v>624.70000000000005</v>
      </c>
      <c r="G243" s="197">
        <v>18.940000000000001</v>
      </c>
      <c r="H243" s="197">
        <v>5.25</v>
      </c>
      <c r="I243" s="197">
        <v>24.19</v>
      </c>
      <c r="J243" s="199"/>
      <c r="K243" s="197">
        <v>151.1568</v>
      </c>
      <c r="L243" s="197">
        <v>42635.775000000001</v>
      </c>
      <c r="M243" s="197">
        <v>196503.77499999999</v>
      </c>
      <c r="N243" s="196"/>
      <c r="O243" s="192"/>
    </row>
    <row r="244" spans="1:15" s="53" customFormat="1" x14ac:dyDescent="0.2">
      <c r="A244" s="196" t="s">
        <v>546</v>
      </c>
      <c r="B244" s="197">
        <v>118.31818</v>
      </c>
      <c r="C244" s="197">
        <v>32.796799999999998</v>
      </c>
      <c r="D244" s="198">
        <v>45687</v>
      </c>
      <c r="E244" s="197">
        <v>1300</v>
      </c>
      <c r="F244" s="197">
        <v>624.70000000000005</v>
      </c>
      <c r="G244" s="197">
        <v>18.940000000000001</v>
      </c>
      <c r="H244" s="197">
        <v>5.25</v>
      </c>
      <c r="I244" s="197">
        <v>24.19</v>
      </c>
      <c r="J244" s="199"/>
      <c r="K244" s="197">
        <v>151.1568</v>
      </c>
      <c r="L244" s="197">
        <v>42635.775000000001</v>
      </c>
      <c r="M244" s="197">
        <v>196503.77499999999</v>
      </c>
      <c r="N244" s="196"/>
      <c r="O244" s="192"/>
    </row>
    <row r="245" spans="1:15" s="53" customFormat="1" x14ac:dyDescent="0.2">
      <c r="A245" s="196" t="s">
        <v>546</v>
      </c>
      <c r="B245" s="197">
        <v>118.31818</v>
      </c>
      <c r="C245" s="197">
        <v>32.796799999999998</v>
      </c>
      <c r="D245" s="198">
        <v>45715</v>
      </c>
      <c r="E245" s="197">
        <v>1300</v>
      </c>
      <c r="F245" s="197">
        <v>624.70000000000005</v>
      </c>
      <c r="G245" s="197">
        <v>18.940000000000001</v>
      </c>
      <c r="H245" s="197">
        <v>5.25</v>
      </c>
      <c r="I245" s="197">
        <v>24.19</v>
      </c>
      <c r="J245" s="199"/>
      <c r="K245" s="197">
        <v>151.1568</v>
      </c>
      <c r="L245" s="197">
        <v>42635.775000000001</v>
      </c>
      <c r="M245" s="197">
        <v>196503.77499999999</v>
      </c>
      <c r="N245" s="196"/>
      <c r="O245" s="192"/>
    </row>
    <row r="246" spans="1:15" s="53" customFormat="1" x14ac:dyDescent="0.2">
      <c r="A246" s="196" t="s">
        <v>217</v>
      </c>
      <c r="B246" s="197">
        <v>164.28</v>
      </c>
      <c r="C246" s="197">
        <v>39.735500000000002</v>
      </c>
      <c r="D246" s="198">
        <v>45652</v>
      </c>
      <c r="E246" s="197">
        <v>500</v>
      </c>
      <c r="F246" s="197">
        <v>1135.3</v>
      </c>
      <c r="G246" s="197">
        <v>14.47</v>
      </c>
      <c r="H246" s="197">
        <v>3.5</v>
      </c>
      <c r="I246" s="197">
        <v>17.97</v>
      </c>
      <c r="J246" s="199"/>
      <c r="K246" s="197">
        <v>204.0155</v>
      </c>
      <c r="L246" s="197">
        <v>19867.75</v>
      </c>
      <c r="M246" s="197">
        <v>102007.75</v>
      </c>
      <c r="N246" s="196"/>
      <c r="O246" s="192"/>
    </row>
    <row r="247" spans="1:15" s="53" customFormat="1" x14ac:dyDescent="0.2">
      <c r="A247" s="196" t="s">
        <v>217</v>
      </c>
      <c r="B247" s="197">
        <v>164.27790999999999</v>
      </c>
      <c r="C247" s="197">
        <v>39.735500000000002</v>
      </c>
      <c r="D247" s="198">
        <v>45687</v>
      </c>
      <c r="E247" s="197">
        <v>500</v>
      </c>
      <c r="F247" s="197">
        <v>1135.3</v>
      </c>
      <c r="G247" s="197">
        <v>14.47</v>
      </c>
      <c r="H247" s="197">
        <v>3.5</v>
      </c>
      <c r="I247" s="197">
        <v>17.97</v>
      </c>
      <c r="J247" s="199"/>
      <c r="K247" s="197">
        <v>204.0155</v>
      </c>
      <c r="L247" s="197">
        <v>19867.75</v>
      </c>
      <c r="M247" s="197">
        <v>102007.75</v>
      </c>
      <c r="N247" s="196"/>
      <c r="O247" s="192"/>
    </row>
    <row r="248" spans="1:15" s="53" customFormat="1" x14ac:dyDescent="0.2">
      <c r="A248" s="196" t="s">
        <v>217</v>
      </c>
      <c r="B248" s="197">
        <v>164.27790999999999</v>
      </c>
      <c r="C248" s="197">
        <v>39.735500000000002</v>
      </c>
      <c r="D248" s="198">
        <v>45715</v>
      </c>
      <c r="E248" s="197">
        <v>500</v>
      </c>
      <c r="F248" s="197">
        <v>1135.3</v>
      </c>
      <c r="G248" s="197">
        <v>14.47</v>
      </c>
      <c r="H248" s="197">
        <v>3.5</v>
      </c>
      <c r="I248" s="197">
        <v>17.97</v>
      </c>
      <c r="J248" s="199"/>
      <c r="K248" s="197">
        <v>204.0155</v>
      </c>
      <c r="L248" s="197">
        <v>19867.75</v>
      </c>
      <c r="M248" s="197">
        <v>102007.75</v>
      </c>
      <c r="N248" s="196"/>
      <c r="O248" s="192"/>
    </row>
    <row r="249" spans="1:15" s="53" customFormat="1" x14ac:dyDescent="0.2">
      <c r="A249" s="196" t="s">
        <v>218</v>
      </c>
      <c r="B249" s="197">
        <v>599.22</v>
      </c>
      <c r="C249" s="197">
        <v>101.9498</v>
      </c>
      <c r="D249" s="198">
        <v>45652</v>
      </c>
      <c r="E249" s="197">
        <v>225</v>
      </c>
      <c r="F249" s="197">
        <v>2912.85</v>
      </c>
      <c r="G249" s="197">
        <v>20.57</v>
      </c>
      <c r="H249" s="197">
        <v>3.5</v>
      </c>
      <c r="I249" s="197">
        <v>24.07</v>
      </c>
      <c r="J249" s="199"/>
      <c r="K249" s="197">
        <v>701.16980000000001</v>
      </c>
      <c r="L249" s="197">
        <v>22938.693800000001</v>
      </c>
      <c r="M249" s="197">
        <v>157763.69380000001</v>
      </c>
      <c r="N249" s="196"/>
      <c r="O249" s="192"/>
    </row>
    <row r="250" spans="1:15" s="53" customFormat="1" x14ac:dyDescent="0.2">
      <c r="A250" s="196" t="s">
        <v>218</v>
      </c>
      <c r="B250" s="197">
        <v>599.17324499999995</v>
      </c>
      <c r="C250" s="197">
        <v>101.9498</v>
      </c>
      <c r="D250" s="198">
        <v>45687</v>
      </c>
      <c r="E250" s="197">
        <v>225</v>
      </c>
      <c r="F250" s="197">
        <v>2912.85</v>
      </c>
      <c r="G250" s="197">
        <v>20.57</v>
      </c>
      <c r="H250" s="197">
        <v>3.5</v>
      </c>
      <c r="I250" s="197">
        <v>24.07</v>
      </c>
      <c r="J250" s="199"/>
      <c r="K250" s="197">
        <v>701.16980000000001</v>
      </c>
      <c r="L250" s="197">
        <v>22938.693800000001</v>
      </c>
      <c r="M250" s="197">
        <v>157763.69380000001</v>
      </c>
      <c r="N250" s="196"/>
      <c r="O250" s="192"/>
    </row>
    <row r="251" spans="1:15" s="53" customFormat="1" x14ac:dyDescent="0.2">
      <c r="A251" s="196" t="s">
        <v>218</v>
      </c>
      <c r="B251" s="197">
        <v>599.17324499999995</v>
      </c>
      <c r="C251" s="197">
        <v>101.9498</v>
      </c>
      <c r="D251" s="198">
        <v>45715</v>
      </c>
      <c r="E251" s="197">
        <v>225</v>
      </c>
      <c r="F251" s="197">
        <v>2912.85</v>
      </c>
      <c r="G251" s="197">
        <v>20.57</v>
      </c>
      <c r="H251" s="197">
        <v>3.5</v>
      </c>
      <c r="I251" s="197">
        <v>24.07</v>
      </c>
      <c r="J251" s="199"/>
      <c r="K251" s="197">
        <v>701.16980000000001</v>
      </c>
      <c r="L251" s="197">
        <v>22938.693800000001</v>
      </c>
      <c r="M251" s="197">
        <v>157763.69380000001</v>
      </c>
      <c r="N251" s="196"/>
      <c r="O251" s="192"/>
    </row>
    <row r="252" spans="1:15" s="53" customFormat="1" x14ac:dyDescent="0.2">
      <c r="A252" s="196" t="s">
        <v>492</v>
      </c>
      <c r="B252" s="197">
        <v>127.47</v>
      </c>
      <c r="C252" s="197">
        <v>81.941999999999993</v>
      </c>
      <c r="D252" s="198">
        <v>45652</v>
      </c>
      <c r="E252" s="197">
        <v>1000</v>
      </c>
      <c r="F252" s="197">
        <v>585.29999999999995</v>
      </c>
      <c r="G252" s="197">
        <v>21.77</v>
      </c>
      <c r="H252" s="197">
        <v>14</v>
      </c>
      <c r="I252" s="197">
        <v>35.770000000000003</v>
      </c>
      <c r="J252" s="199"/>
      <c r="K252" s="197">
        <v>209.41200000000001</v>
      </c>
      <c r="L252" s="197">
        <v>81942</v>
      </c>
      <c r="M252" s="197">
        <v>209412</v>
      </c>
      <c r="N252" s="196"/>
      <c r="O252" s="192"/>
    </row>
    <row r="253" spans="1:15" s="53" customFormat="1" x14ac:dyDescent="0.2">
      <c r="A253" s="196" t="s">
        <v>492</v>
      </c>
      <c r="B253" s="197">
        <v>127.41981</v>
      </c>
      <c r="C253" s="197">
        <v>81.941999999999993</v>
      </c>
      <c r="D253" s="198">
        <v>45687</v>
      </c>
      <c r="E253" s="197">
        <v>1000</v>
      </c>
      <c r="F253" s="197">
        <v>585.29999999999995</v>
      </c>
      <c r="G253" s="197">
        <v>21.77</v>
      </c>
      <c r="H253" s="197">
        <v>14</v>
      </c>
      <c r="I253" s="197">
        <v>35.769999999999996</v>
      </c>
      <c r="J253" s="199"/>
      <c r="K253" s="197">
        <v>209.41200000000001</v>
      </c>
      <c r="L253" s="197">
        <v>81942</v>
      </c>
      <c r="M253" s="197">
        <v>209412</v>
      </c>
      <c r="N253" s="196"/>
      <c r="O253" s="192"/>
    </row>
    <row r="254" spans="1:15" s="53" customFormat="1" x14ac:dyDescent="0.2">
      <c r="A254" s="196" t="s">
        <v>492</v>
      </c>
      <c r="B254" s="197">
        <v>127.41981</v>
      </c>
      <c r="C254" s="197">
        <v>81.941999999999993</v>
      </c>
      <c r="D254" s="198">
        <v>45715</v>
      </c>
      <c r="E254" s="197">
        <v>1000</v>
      </c>
      <c r="F254" s="197">
        <v>585.29999999999995</v>
      </c>
      <c r="G254" s="197">
        <v>21.77</v>
      </c>
      <c r="H254" s="197">
        <v>14</v>
      </c>
      <c r="I254" s="197">
        <v>35.769999999999996</v>
      </c>
      <c r="J254" s="199"/>
      <c r="K254" s="197">
        <v>209.41200000000001</v>
      </c>
      <c r="L254" s="197">
        <v>81942</v>
      </c>
      <c r="M254" s="197">
        <v>209412</v>
      </c>
      <c r="N254" s="196"/>
      <c r="O254" s="192"/>
    </row>
    <row r="255" spans="1:15" s="53" customFormat="1" x14ac:dyDescent="0.2">
      <c r="A255" s="196" t="s">
        <v>219</v>
      </c>
      <c r="B255" s="197">
        <v>381.31</v>
      </c>
      <c r="C255" s="197">
        <v>93.476299999999995</v>
      </c>
      <c r="D255" s="198">
        <v>45652</v>
      </c>
      <c r="E255" s="197">
        <v>250</v>
      </c>
      <c r="F255" s="197">
        <v>2670.75</v>
      </c>
      <c r="G255" s="197">
        <v>14.27</v>
      </c>
      <c r="H255" s="197">
        <v>3.5</v>
      </c>
      <c r="I255" s="197">
        <v>17.77</v>
      </c>
      <c r="J255" s="199"/>
      <c r="K255" s="197">
        <v>474.78629999999998</v>
      </c>
      <c r="L255" s="197">
        <v>23369.0625</v>
      </c>
      <c r="M255" s="197">
        <v>118697.0625</v>
      </c>
      <c r="N255" s="196"/>
      <c r="O255" s="192"/>
    </row>
    <row r="256" spans="1:15" s="53" customFormat="1" x14ac:dyDescent="0.2">
      <c r="A256" s="196" t="s">
        <v>219</v>
      </c>
      <c r="B256" s="197">
        <v>381.11602499999998</v>
      </c>
      <c r="C256" s="197">
        <v>93.476299999999995</v>
      </c>
      <c r="D256" s="198">
        <v>45687</v>
      </c>
      <c r="E256" s="197">
        <v>250</v>
      </c>
      <c r="F256" s="197">
        <v>2670.75</v>
      </c>
      <c r="G256" s="197">
        <v>14.27</v>
      </c>
      <c r="H256" s="197">
        <v>3.5</v>
      </c>
      <c r="I256" s="197">
        <v>17.77</v>
      </c>
      <c r="J256" s="199"/>
      <c r="K256" s="197">
        <v>474.78629999999998</v>
      </c>
      <c r="L256" s="197">
        <v>23369.0625</v>
      </c>
      <c r="M256" s="197">
        <v>118697.0625</v>
      </c>
      <c r="N256" s="196"/>
      <c r="O256" s="192"/>
    </row>
    <row r="257" spans="1:15" s="53" customFormat="1" x14ac:dyDescent="0.2">
      <c r="A257" s="196" t="s">
        <v>219</v>
      </c>
      <c r="B257" s="197">
        <v>381.11602499999998</v>
      </c>
      <c r="C257" s="197">
        <v>93.476299999999995</v>
      </c>
      <c r="D257" s="198">
        <v>45715</v>
      </c>
      <c r="E257" s="197">
        <v>250</v>
      </c>
      <c r="F257" s="197">
        <v>2670.75</v>
      </c>
      <c r="G257" s="197">
        <v>14.27</v>
      </c>
      <c r="H257" s="197">
        <v>3.5</v>
      </c>
      <c r="I257" s="197">
        <v>17.77</v>
      </c>
      <c r="J257" s="199"/>
      <c r="K257" s="197">
        <v>474.78629999999998</v>
      </c>
      <c r="L257" s="197">
        <v>23369.0625</v>
      </c>
      <c r="M257" s="197">
        <v>118697.0625</v>
      </c>
      <c r="N257" s="196"/>
      <c r="O257" s="192"/>
    </row>
    <row r="258" spans="1:15" s="53" customFormat="1" x14ac:dyDescent="0.2">
      <c r="A258" s="196" t="s">
        <v>491</v>
      </c>
      <c r="B258" s="197">
        <v>89.44</v>
      </c>
      <c r="C258" s="197">
        <v>18.143999999999998</v>
      </c>
      <c r="D258" s="198">
        <v>45652</v>
      </c>
      <c r="E258" s="197">
        <v>1250</v>
      </c>
      <c r="F258" s="197">
        <v>518.4</v>
      </c>
      <c r="G258" s="197">
        <v>17.25</v>
      </c>
      <c r="H258" s="197">
        <v>3.5</v>
      </c>
      <c r="I258" s="197">
        <v>20.75</v>
      </c>
      <c r="J258" s="199"/>
      <c r="K258" s="197">
        <v>107.584</v>
      </c>
      <c r="L258" s="197">
        <v>22680</v>
      </c>
      <c r="M258" s="197">
        <v>134480</v>
      </c>
      <c r="N258" s="196"/>
      <c r="O258" s="192"/>
    </row>
    <row r="259" spans="1:15" s="53" customFormat="1" x14ac:dyDescent="0.2">
      <c r="A259" s="196" t="s">
        <v>491</v>
      </c>
      <c r="B259" s="197">
        <v>89.424000000000007</v>
      </c>
      <c r="C259" s="197">
        <v>18.143999999999998</v>
      </c>
      <c r="D259" s="198">
        <v>45687</v>
      </c>
      <c r="E259" s="197">
        <v>1250</v>
      </c>
      <c r="F259" s="197">
        <v>518.4</v>
      </c>
      <c r="G259" s="197">
        <v>17.25</v>
      </c>
      <c r="H259" s="197">
        <v>3.5</v>
      </c>
      <c r="I259" s="197">
        <v>20.75</v>
      </c>
      <c r="J259" s="199"/>
      <c r="K259" s="197">
        <v>107.584</v>
      </c>
      <c r="L259" s="197">
        <v>22680</v>
      </c>
      <c r="M259" s="197">
        <v>134480</v>
      </c>
      <c r="N259" s="196"/>
      <c r="O259" s="192"/>
    </row>
    <row r="260" spans="1:15" s="53" customFormat="1" x14ac:dyDescent="0.2">
      <c r="A260" s="196" t="s">
        <v>491</v>
      </c>
      <c r="B260" s="197">
        <v>89.424000000000007</v>
      </c>
      <c r="C260" s="197">
        <v>18.143999999999998</v>
      </c>
      <c r="D260" s="198">
        <v>45715</v>
      </c>
      <c r="E260" s="197">
        <v>1250</v>
      </c>
      <c r="F260" s="197">
        <v>518.4</v>
      </c>
      <c r="G260" s="197">
        <v>17.25</v>
      </c>
      <c r="H260" s="197">
        <v>3.5</v>
      </c>
      <c r="I260" s="197">
        <v>20.75</v>
      </c>
      <c r="J260" s="199"/>
      <c r="K260" s="197">
        <v>107.584</v>
      </c>
      <c r="L260" s="197">
        <v>22680</v>
      </c>
      <c r="M260" s="197">
        <v>134480</v>
      </c>
      <c r="N260" s="196"/>
      <c r="O260" s="192"/>
    </row>
    <row r="261" spans="1:15" s="53" customFormat="1" x14ac:dyDescent="0.2">
      <c r="A261" s="196" t="s">
        <v>513</v>
      </c>
      <c r="B261" s="197">
        <v>937.19</v>
      </c>
      <c r="C261" s="197">
        <v>162.73949999999999</v>
      </c>
      <c r="D261" s="198">
        <v>45652</v>
      </c>
      <c r="E261" s="197">
        <v>150</v>
      </c>
      <c r="F261" s="197">
        <v>4649.7</v>
      </c>
      <c r="G261" s="197">
        <v>20.149999999999999</v>
      </c>
      <c r="H261" s="197">
        <v>3.5</v>
      </c>
      <c r="I261" s="197">
        <v>23.65</v>
      </c>
      <c r="J261" s="199"/>
      <c r="K261" s="197">
        <v>1099.9295</v>
      </c>
      <c r="L261" s="197">
        <v>24410.924999999999</v>
      </c>
      <c r="M261" s="197">
        <v>164989.92499999999</v>
      </c>
      <c r="N261" s="196"/>
      <c r="O261" s="192"/>
    </row>
    <row r="262" spans="1:15" s="53" customFormat="1" x14ac:dyDescent="0.2">
      <c r="A262" s="196" t="s">
        <v>513</v>
      </c>
      <c r="B262" s="197">
        <v>936.91454999999996</v>
      </c>
      <c r="C262" s="197">
        <v>162.73949999999999</v>
      </c>
      <c r="D262" s="198">
        <v>45687</v>
      </c>
      <c r="E262" s="197">
        <v>150</v>
      </c>
      <c r="F262" s="197">
        <v>4649.7</v>
      </c>
      <c r="G262" s="197">
        <v>20.149999999999999</v>
      </c>
      <c r="H262" s="197">
        <v>3.5</v>
      </c>
      <c r="I262" s="197">
        <v>23.65</v>
      </c>
      <c r="J262" s="199"/>
      <c r="K262" s="197">
        <v>1099.9295</v>
      </c>
      <c r="L262" s="197">
        <v>24410.924999999999</v>
      </c>
      <c r="M262" s="197">
        <v>164989.92499999999</v>
      </c>
      <c r="N262" s="196"/>
      <c r="O262" s="192"/>
    </row>
    <row r="263" spans="1:15" s="53" customFormat="1" x14ac:dyDescent="0.2">
      <c r="A263" s="196" t="s">
        <v>513</v>
      </c>
      <c r="B263" s="197">
        <v>936.91454999999996</v>
      </c>
      <c r="C263" s="197">
        <v>162.73949999999999</v>
      </c>
      <c r="D263" s="198">
        <v>45715</v>
      </c>
      <c r="E263" s="197">
        <v>150</v>
      </c>
      <c r="F263" s="197">
        <v>4649.7</v>
      </c>
      <c r="G263" s="197">
        <v>20.149999999999999</v>
      </c>
      <c r="H263" s="197">
        <v>3.5</v>
      </c>
      <c r="I263" s="197">
        <v>23.65</v>
      </c>
      <c r="J263" s="199"/>
      <c r="K263" s="197">
        <v>1099.9295</v>
      </c>
      <c r="L263" s="197">
        <v>24410.924999999999</v>
      </c>
      <c r="M263" s="197">
        <v>164989.92499999999</v>
      </c>
      <c r="N263" s="196"/>
      <c r="O263" s="192"/>
    </row>
    <row r="264" spans="1:15" s="53" customFormat="1" x14ac:dyDescent="0.2">
      <c r="A264" s="196" t="s">
        <v>220</v>
      </c>
      <c r="B264" s="197">
        <v>250.17</v>
      </c>
      <c r="C264" s="197">
        <v>61.328800000000001</v>
      </c>
      <c r="D264" s="198">
        <v>45652</v>
      </c>
      <c r="E264" s="197">
        <v>500</v>
      </c>
      <c r="F264" s="197">
        <v>1752.25</v>
      </c>
      <c r="G264" s="197">
        <v>14.27</v>
      </c>
      <c r="H264" s="197">
        <v>3.5</v>
      </c>
      <c r="I264" s="197">
        <v>17.77</v>
      </c>
      <c r="J264" s="199"/>
      <c r="K264" s="197">
        <v>311.49880000000002</v>
      </c>
      <c r="L264" s="197">
        <v>30664.375</v>
      </c>
      <c r="M264" s="197">
        <v>155749.375</v>
      </c>
      <c r="N264" s="196"/>
      <c r="O264" s="192"/>
    </row>
    <row r="265" spans="1:15" s="53" customFormat="1" x14ac:dyDescent="0.2">
      <c r="A265" s="196" t="s">
        <v>220</v>
      </c>
      <c r="B265" s="197">
        <v>250.046075</v>
      </c>
      <c r="C265" s="197">
        <v>61.328800000000001</v>
      </c>
      <c r="D265" s="198">
        <v>45687</v>
      </c>
      <c r="E265" s="197">
        <v>500</v>
      </c>
      <c r="F265" s="197">
        <v>1752.25</v>
      </c>
      <c r="G265" s="197">
        <v>14.27</v>
      </c>
      <c r="H265" s="197">
        <v>3.5</v>
      </c>
      <c r="I265" s="197">
        <v>17.77</v>
      </c>
      <c r="J265" s="199"/>
      <c r="K265" s="197">
        <v>311.49880000000002</v>
      </c>
      <c r="L265" s="197">
        <v>30664.375</v>
      </c>
      <c r="M265" s="197">
        <v>155749.375</v>
      </c>
      <c r="N265" s="196"/>
      <c r="O265" s="192"/>
    </row>
    <row r="266" spans="1:15" s="53" customFormat="1" x14ac:dyDescent="0.2">
      <c r="A266" s="196" t="s">
        <v>220</v>
      </c>
      <c r="B266" s="197">
        <v>250.046075</v>
      </c>
      <c r="C266" s="197">
        <v>61.328800000000001</v>
      </c>
      <c r="D266" s="198">
        <v>45715</v>
      </c>
      <c r="E266" s="197">
        <v>500</v>
      </c>
      <c r="F266" s="197">
        <v>1752.25</v>
      </c>
      <c r="G266" s="197">
        <v>14.27</v>
      </c>
      <c r="H266" s="197">
        <v>3.5</v>
      </c>
      <c r="I266" s="197">
        <v>17.77</v>
      </c>
      <c r="J266" s="199"/>
      <c r="K266" s="197">
        <v>311.49880000000002</v>
      </c>
      <c r="L266" s="197">
        <v>30664.375</v>
      </c>
      <c r="M266" s="197">
        <v>155749.375</v>
      </c>
      <c r="N266" s="196"/>
      <c r="O266" s="192"/>
    </row>
    <row r="267" spans="1:15" s="53" customFormat="1" x14ac:dyDescent="0.2">
      <c r="A267" s="196" t="s">
        <v>222</v>
      </c>
      <c r="B267" s="197">
        <v>275.68</v>
      </c>
      <c r="C267" s="197">
        <v>67.581500000000005</v>
      </c>
      <c r="D267" s="198">
        <v>45652</v>
      </c>
      <c r="E267" s="197">
        <v>350</v>
      </c>
      <c r="F267" s="197">
        <v>1930.9</v>
      </c>
      <c r="G267" s="197">
        <v>14.27</v>
      </c>
      <c r="H267" s="197">
        <v>3.5</v>
      </c>
      <c r="I267" s="197">
        <v>17.77</v>
      </c>
      <c r="J267" s="199"/>
      <c r="K267" s="197">
        <v>343.26150000000001</v>
      </c>
      <c r="L267" s="197">
        <v>23653.525000000001</v>
      </c>
      <c r="M267" s="197">
        <v>120141.52499999999</v>
      </c>
      <c r="N267" s="196"/>
      <c r="O267" s="192"/>
    </row>
    <row r="268" spans="1:15" s="53" customFormat="1" x14ac:dyDescent="0.2">
      <c r="A268" s="196" t="s">
        <v>222</v>
      </c>
      <c r="B268" s="197">
        <v>275.53942999999998</v>
      </c>
      <c r="C268" s="197">
        <v>67.581500000000005</v>
      </c>
      <c r="D268" s="198">
        <v>45687</v>
      </c>
      <c r="E268" s="197">
        <v>350</v>
      </c>
      <c r="F268" s="197">
        <v>1930.9</v>
      </c>
      <c r="G268" s="197">
        <v>14.27</v>
      </c>
      <c r="H268" s="197">
        <v>3.5</v>
      </c>
      <c r="I268" s="197">
        <v>17.77</v>
      </c>
      <c r="J268" s="199"/>
      <c r="K268" s="197">
        <v>343.26150000000001</v>
      </c>
      <c r="L268" s="197">
        <v>23653.525000000001</v>
      </c>
      <c r="M268" s="197">
        <v>120141.52499999999</v>
      </c>
      <c r="N268" s="196"/>
      <c r="O268" s="192"/>
    </row>
    <row r="269" spans="1:15" s="53" customFormat="1" x14ac:dyDescent="0.2">
      <c r="A269" s="196" t="s">
        <v>222</v>
      </c>
      <c r="B269" s="197">
        <v>275.53942999999998</v>
      </c>
      <c r="C269" s="197">
        <v>67.581500000000005</v>
      </c>
      <c r="D269" s="198">
        <v>45715</v>
      </c>
      <c r="E269" s="197">
        <v>350</v>
      </c>
      <c r="F269" s="197">
        <v>1930.9</v>
      </c>
      <c r="G269" s="197">
        <v>14.27</v>
      </c>
      <c r="H269" s="197">
        <v>3.5</v>
      </c>
      <c r="I269" s="197">
        <v>17.77</v>
      </c>
      <c r="J269" s="199"/>
      <c r="K269" s="197">
        <v>343.26150000000001</v>
      </c>
      <c r="L269" s="197">
        <v>23653.525000000001</v>
      </c>
      <c r="M269" s="197">
        <v>120141.52499999999</v>
      </c>
      <c r="N269" s="196"/>
      <c r="O269" s="192"/>
    </row>
    <row r="270" spans="1:15" s="53" customFormat="1" x14ac:dyDescent="0.2">
      <c r="A270" s="196" t="s">
        <v>475</v>
      </c>
      <c r="B270" s="197">
        <v>762.7</v>
      </c>
      <c r="C270" s="197">
        <v>159.03479999999999</v>
      </c>
      <c r="D270" s="198">
        <v>45652</v>
      </c>
      <c r="E270" s="197">
        <v>150</v>
      </c>
      <c r="F270" s="197">
        <v>4543.8500000000004</v>
      </c>
      <c r="G270" s="197">
        <v>16.78</v>
      </c>
      <c r="H270" s="197">
        <v>3.5</v>
      </c>
      <c r="I270" s="197">
        <v>20.28</v>
      </c>
      <c r="J270" s="199"/>
      <c r="K270" s="197">
        <v>921.73479999999995</v>
      </c>
      <c r="L270" s="197">
        <v>23855.212500000001</v>
      </c>
      <c r="M270" s="197">
        <v>138260.21249999999</v>
      </c>
      <c r="N270" s="196"/>
      <c r="O270" s="192"/>
    </row>
    <row r="271" spans="1:15" s="53" customFormat="1" x14ac:dyDescent="0.2">
      <c r="A271" s="196" t="s">
        <v>475</v>
      </c>
      <c r="B271" s="197">
        <v>762.45803000000001</v>
      </c>
      <c r="C271" s="197">
        <v>159.03479999999999</v>
      </c>
      <c r="D271" s="198">
        <v>45687</v>
      </c>
      <c r="E271" s="197">
        <v>150</v>
      </c>
      <c r="F271" s="197">
        <v>4543.8500000000004</v>
      </c>
      <c r="G271" s="197">
        <v>16.78</v>
      </c>
      <c r="H271" s="197">
        <v>3.5</v>
      </c>
      <c r="I271" s="197">
        <v>20.28</v>
      </c>
      <c r="J271" s="199"/>
      <c r="K271" s="197">
        <v>921.73479999999995</v>
      </c>
      <c r="L271" s="197">
        <v>23855.212500000001</v>
      </c>
      <c r="M271" s="197">
        <v>138260.21249999999</v>
      </c>
      <c r="N271" s="196"/>
      <c r="O271" s="192"/>
    </row>
    <row r="272" spans="1:15" s="53" customFormat="1" x14ac:dyDescent="0.2">
      <c r="A272" s="196" t="s">
        <v>475</v>
      </c>
      <c r="B272" s="197">
        <v>762.45803000000001</v>
      </c>
      <c r="C272" s="197">
        <v>159.03479999999999</v>
      </c>
      <c r="D272" s="198">
        <v>45715</v>
      </c>
      <c r="E272" s="197">
        <v>150</v>
      </c>
      <c r="F272" s="197">
        <v>4543.8500000000004</v>
      </c>
      <c r="G272" s="197">
        <v>16.78</v>
      </c>
      <c r="H272" s="197">
        <v>3.5</v>
      </c>
      <c r="I272" s="197">
        <v>20.28</v>
      </c>
      <c r="J272" s="199"/>
      <c r="K272" s="197">
        <v>921.73479999999995</v>
      </c>
      <c r="L272" s="197">
        <v>23855.212500000001</v>
      </c>
      <c r="M272" s="197">
        <v>138260.21249999999</v>
      </c>
      <c r="N272" s="196"/>
      <c r="O272" s="192"/>
    </row>
    <row r="273" spans="1:15" s="53" customFormat="1" x14ac:dyDescent="0.2">
      <c r="A273" s="196" t="s">
        <v>224</v>
      </c>
      <c r="B273" s="197">
        <v>266</v>
      </c>
      <c r="C273" s="197">
        <v>65.208500000000001</v>
      </c>
      <c r="D273" s="198">
        <v>45652</v>
      </c>
      <c r="E273" s="197">
        <v>550</v>
      </c>
      <c r="F273" s="197">
        <v>1863.1</v>
      </c>
      <c r="G273" s="197">
        <v>14.27</v>
      </c>
      <c r="H273" s="197">
        <v>3.5</v>
      </c>
      <c r="I273" s="197">
        <v>17.77</v>
      </c>
      <c r="J273" s="199"/>
      <c r="K273" s="197">
        <v>331.20850000000002</v>
      </c>
      <c r="L273" s="197">
        <v>35864.675000000003</v>
      </c>
      <c r="M273" s="197">
        <v>182164.67499999999</v>
      </c>
      <c r="N273" s="196"/>
      <c r="O273" s="192"/>
    </row>
    <row r="274" spans="1:15" s="53" customFormat="1" x14ac:dyDescent="0.2">
      <c r="A274" s="196" t="s">
        <v>224</v>
      </c>
      <c r="B274" s="197">
        <v>265.86437000000001</v>
      </c>
      <c r="C274" s="197">
        <v>65.208500000000001</v>
      </c>
      <c r="D274" s="198">
        <v>45687</v>
      </c>
      <c r="E274" s="197">
        <v>550</v>
      </c>
      <c r="F274" s="197">
        <v>1863.1</v>
      </c>
      <c r="G274" s="197">
        <v>14.27</v>
      </c>
      <c r="H274" s="197">
        <v>3.5</v>
      </c>
      <c r="I274" s="197">
        <v>17.77</v>
      </c>
      <c r="J274" s="199"/>
      <c r="K274" s="197">
        <v>331.20850000000002</v>
      </c>
      <c r="L274" s="197">
        <v>35864.675000000003</v>
      </c>
      <c r="M274" s="197">
        <v>182164.67499999999</v>
      </c>
      <c r="N274" s="196"/>
      <c r="O274" s="192"/>
    </row>
    <row r="275" spans="1:15" s="53" customFormat="1" x14ac:dyDescent="0.2">
      <c r="A275" s="196" t="s">
        <v>224</v>
      </c>
      <c r="B275" s="197">
        <v>265.86437000000001</v>
      </c>
      <c r="C275" s="197">
        <v>65.208500000000001</v>
      </c>
      <c r="D275" s="198">
        <v>45715</v>
      </c>
      <c r="E275" s="197">
        <v>550</v>
      </c>
      <c r="F275" s="197">
        <v>1863.1</v>
      </c>
      <c r="G275" s="197">
        <v>14.27</v>
      </c>
      <c r="H275" s="197">
        <v>3.5</v>
      </c>
      <c r="I275" s="197">
        <v>17.77</v>
      </c>
      <c r="J275" s="199"/>
      <c r="K275" s="197">
        <v>331.20850000000002</v>
      </c>
      <c r="L275" s="197">
        <v>35864.675000000003</v>
      </c>
      <c r="M275" s="197">
        <v>182164.67499999999</v>
      </c>
      <c r="N275" s="196"/>
      <c r="O275" s="192"/>
    </row>
    <row r="276" spans="1:15" s="53" customFormat="1" x14ac:dyDescent="0.2">
      <c r="A276" s="196" t="s">
        <v>225</v>
      </c>
      <c r="B276" s="197">
        <v>90.61</v>
      </c>
      <c r="C276" s="197">
        <v>22.212800000000001</v>
      </c>
      <c r="D276" s="198">
        <v>45652</v>
      </c>
      <c r="E276" s="197">
        <v>1100</v>
      </c>
      <c r="F276" s="197">
        <v>634.65</v>
      </c>
      <c r="G276" s="197">
        <v>14.27</v>
      </c>
      <c r="H276" s="197">
        <v>3.5</v>
      </c>
      <c r="I276" s="197">
        <v>17.77</v>
      </c>
      <c r="J276" s="199"/>
      <c r="K276" s="197">
        <v>112.8228</v>
      </c>
      <c r="L276" s="197">
        <v>24434.025000000001</v>
      </c>
      <c r="M276" s="197">
        <v>124105.02499999999</v>
      </c>
      <c r="N276" s="196"/>
      <c r="O276" s="192"/>
    </row>
    <row r="277" spans="1:15" s="53" customFormat="1" x14ac:dyDescent="0.2">
      <c r="A277" s="196" t="s">
        <v>225</v>
      </c>
      <c r="B277" s="197">
        <v>90.564554999999999</v>
      </c>
      <c r="C277" s="197">
        <v>22.212800000000001</v>
      </c>
      <c r="D277" s="198">
        <v>45687</v>
      </c>
      <c r="E277" s="197">
        <v>1100</v>
      </c>
      <c r="F277" s="197">
        <v>634.65</v>
      </c>
      <c r="G277" s="197">
        <v>14.27</v>
      </c>
      <c r="H277" s="197">
        <v>3.5</v>
      </c>
      <c r="I277" s="197">
        <v>17.77</v>
      </c>
      <c r="J277" s="199"/>
      <c r="K277" s="197">
        <v>112.8228</v>
      </c>
      <c r="L277" s="197">
        <v>24434.025000000001</v>
      </c>
      <c r="M277" s="197">
        <v>124105.02499999999</v>
      </c>
      <c r="N277" s="196"/>
      <c r="O277" s="192"/>
    </row>
    <row r="278" spans="1:15" s="53" customFormat="1" x14ac:dyDescent="0.2">
      <c r="A278" s="196" t="s">
        <v>225</v>
      </c>
      <c r="B278" s="197">
        <v>90.564554999999999</v>
      </c>
      <c r="C278" s="197">
        <v>22.212800000000001</v>
      </c>
      <c r="D278" s="198">
        <v>45715</v>
      </c>
      <c r="E278" s="197">
        <v>1100</v>
      </c>
      <c r="F278" s="197">
        <v>634.65</v>
      </c>
      <c r="G278" s="197">
        <v>14.27</v>
      </c>
      <c r="H278" s="197">
        <v>3.5</v>
      </c>
      <c r="I278" s="197">
        <v>17.77</v>
      </c>
      <c r="J278" s="199"/>
      <c r="K278" s="197">
        <v>112.8228</v>
      </c>
      <c r="L278" s="197">
        <v>24434.025000000001</v>
      </c>
      <c r="M278" s="197">
        <v>124105.02499999999</v>
      </c>
      <c r="N278" s="196"/>
      <c r="O278" s="192"/>
    </row>
    <row r="279" spans="1:15" s="53" customFormat="1" x14ac:dyDescent="0.2">
      <c r="A279" s="196" t="s">
        <v>226</v>
      </c>
      <c r="B279" s="197">
        <v>663.95</v>
      </c>
      <c r="C279" s="197">
        <v>162.76580000000001</v>
      </c>
      <c r="D279" s="198">
        <v>45652</v>
      </c>
      <c r="E279" s="197">
        <v>150</v>
      </c>
      <c r="F279" s="197">
        <v>4650.45</v>
      </c>
      <c r="G279" s="197">
        <v>14.27</v>
      </c>
      <c r="H279" s="197">
        <v>3.5</v>
      </c>
      <c r="I279" s="197">
        <v>17.77</v>
      </c>
      <c r="J279" s="199"/>
      <c r="K279" s="197">
        <v>826.71579999999994</v>
      </c>
      <c r="L279" s="197">
        <v>24414.862499999999</v>
      </c>
      <c r="M279" s="197">
        <v>124007.8625</v>
      </c>
      <c r="N279" s="196"/>
      <c r="O279" s="192"/>
    </row>
    <row r="280" spans="1:15" s="53" customFormat="1" x14ac:dyDescent="0.2">
      <c r="A280" s="196" t="s">
        <v>226</v>
      </c>
      <c r="B280" s="197">
        <v>663.61921500000005</v>
      </c>
      <c r="C280" s="197">
        <v>162.76580000000001</v>
      </c>
      <c r="D280" s="198">
        <v>45687</v>
      </c>
      <c r="E280" s="197">
        <v>150</v>
      </c>
      <c r="F280" s="197">
        <v>4650.45</v>
      </c>
      <c r="G280" s="197">
        <v>14.27</v>
      </c>
      <c r="H280" s="197">
        <v>3.5</v>
      </c>
      <c r="I280" s="197">
        <v>17.77</v>
      </c>
      <c r="J280" s="199"/>
      <c r="K280" s="197">
        <v>826.71579999999994</v>
      </c>
      <c r="L280" s="197">
        <v>24414.862499999999</v>
      </c>
      <c r="M280" s="197">
        <v>124007.8625</v>
      </c>
      <c r="N280" s="196"/>
      <c r="O280" s="192"/>
    </row>
    <row r="281" spans="1:15" s="53" customFormat="1" x14ac:dyDescent="0.2">
      <c r="A281" s="196" t="s">
        <v>226</v>
      </c>
      <c r="B281" s="197">
        <v>663.61921500000005</v>
      </c>
      <c r="C281" s="197">
        <v>162.76580000000001</v>
      </c>
      <c r="D281" s="198">
        <v>45715</v>
      </c>
      <c r="E281" s="197">
        <v>150</v>
      </c>
      <c r="F281" s="197">
        <v>4650.45</v>
      </c>
      <c r="G281" s="197">
        <v>14.27</v>
      </c>
      <c r="H281" s="197">
        <v>3.5</v>
      </c>
      <c r="I281" s="197">
        <v>17.77</v>
      </c>
      <c r="J281" s="199"/>
      <c r="K281" s="197">
        <v>826.71579999999994</v>
      </c>
      <c r="L281" s="197">
        <v>24414.862499999999</v>
      </c>
      <c r="M281" s="197">
        <v>124007.8625</v>
      </c>
      <c r="N281" s="196"/>
      <c r="O281" s="192"/>
    </row>
    <row r="282" spans="1:15" s="53" customFormat="1" x14ac:dyDescent="0.2">
      <c r="A282" s="196" t="s">
        <v>576</v>
      </c>
      <c r="B282" s="197">
        <v>35.54</v>
      </c>
      <c r="C282" s="197">
        <v>4.4275000000000002</v>
      </c>
      <c r="D282" s="198">
        <v>45652</v>
      </c>
      <c r="E282" s="197">
        <v>4150</v>
      </c>
      <c r="F282" s="197">
        <v>126.5</v>
      </c>
      <c r="G282" s="197">
        <v>28.09</v>
      </c>
      <c r="H282" s="197">
        <v>3.5</v>
      </c>
      <c r="I282" s="197">
        <v>31.59</v>
      </c>
      <c r="J282" s="199"/>
      <c r="K282" s="197">
        <v>39.967500000000001</v>
      </c>
      <c r="L282" s="197">
        <v>18374.125</v>
      </c>
      <c r="M282" s="197">
        <v>165865.125</v>
      </c>
      <c r="N282" s="196"/>
      <c r="O282" s="192"/>
    </row>
    <row r="283" spans="1:15" s="53" customFormat="1" x14ac:dyDescent="0.2">
      <c r="A283" s="196" t="s">
        <v>576</v>
      </c>
      <c r="B283" s="197">
        <v>35.533850000000001</v>
      </c>
      <c r="C283" s="197">
        <v>4.4275000000000002</v>
      </c>
      <c r="D283" s="198">
        <v>45687</v>
      </c>
      <c r="E283" s="197">
        <v>4150</v>
      </c>
      <c r="F283" s="197">
        <v>126.5</v>
      </c>
      <c r="G283" s="197">
        <v>28.09</v>
      </c>
      <c r="H283" s="197">
        <v>3.5</v>
      </c>
      <c r="I283" s="197">
        <v>31.59</v>
      </c>
      <c r="J283" s="199"/>
      <c r="K283" s="197">
        <v>39.967500000000001</v>
      </c>
      <c r="L283" s="197">
        <v>18374.125</v>
      </c>
      <c r="M283" s="197">
        <v>165865.125</v>
      </c>
      <c r="N283" s="196"/>
      <c r="O283" s="192"/>
    </row>
    <row r="284" spans="1:15" s="53" customFormat="1" x14ac:dyDescent="0.2">
      <c r="A284" s="196" t="s">
        <v>576</v>
      </c>
      <c r="B284" s="197">
        <v>35.533850000000001</v>
      </c>
      <c r="C284" s="197">
        <v>4.4275000000000002</v>
      </c>
      <c r="D284" s="198">
        <v>45715</v>
      </c>
      <c r="E284" s="197">
        <v>4150</v>
      </c>
      <c r="F284" s="197">
        <v>126.5</v>
      </c>
      <c r="G284" s="197">
        <v>28.09</v>
      </c>
      <c r="H284" s="197">
        <v>3.5</v>
      </c>
      <c r="I284" s="197">
        <v>31.59</v>
      </c>
      <c r="J284" s="199"/>
      <c r="K284" s="197">
        <v>39.967500000000001</v>
      </c>
      <c r="L284" s="197">
        <v>18374.125</v>
      </c>
      <c r="M284" s="197">
        <v>165865.125</v>
      </c>
      <c r="N284" s="196"/>
      <c r="O284" s="192"/>
    </row>
    <row r="285" spans="1:15" s="53" customFormat="1" x14ac:dyDescent="0.2">
      <c r="A285" s="196" t="s">
        <v>228</v>
      </c>
      <c r="B285" s="197">
        <v>114.87</v>
      </c>
      <c r="C285" s="197">
        <v>23.467500000000001</v>
      </c>
      <c r="D285" s="198">
        <v>45652</v>
      </c>
      <c r="E285" s="197">
        <v>1400</v>
      </c>
      <c r="F285" s="197">
        <v>670.5</v>
      </c>
      <c r="G285" s="197">
        <v>17.13</v>
      </c>
      <c r="H285" s="197">
        <v>3.5</v>
      </c>
      <c r="I285" s="197">
        <v>20.63</v>
      </c>
      <c r="J285" s="199"/>
      <c r="K285" s="197">
        <v>138.33750000000001</v>
      </c>
      <c r="L285" s="197">
        <v>32854.5</v>
      </c>
      <c r="M285" s="197">
        <v>193672.5</v>
      </c>
      <c r="N285" s="196"/>
      <c r="O285" s="192"/>
    </row>
    <row r="286" spans="1:15" s="53" customFormat="1" x14ac:dyDescent="0.2">
      <c r="A286" s="196" t="s">
        <v>228</v>
      </c>
      <c r="B286" s="197">
        <v>114.85665</v>
      </c>
      <c r="C286" s="197">
        <v>23.467500000000001</v>
      </c>
      <c r="D286" s="198">
        <v>45687</v>
      </c>
      <c r="E286" s="197">
        <v>1400</v>
      </c>
      <c r="F286" s="197">
        <v>670.5</v>
      </c>
      <c r="G286" s="197">
        <v>17.13</v>
      </c>
      <c r="H286" s="197">
        <v>3.5</v>
      </c>
      <c r="I286" s="197">
        <v>20.63</v>
      </c>
      <c r="J286" s="199"/>
      <c r="K286" s="197">
        <v>138.33750000000001</v>
      </c>
      <c r="L286" s="197">
        <v>32854.5</v>
      </c>
      <c r="M286" s="197">
        <v>193672.5</v>
      </c>
      <c r="N286" s="196"/>
      <c r="O286" s="192"/>
    </row>
    <row r="287" spans="1:15" s="53" customFormat="1" x14ac:dyDescent="0.2">
      <c r="A287" s="196" t="s">
        <v>228</v>
      </c>
      <c r="B287" s="197">
        <v>114.85665</v>
      </c>
      <c r="C287" s="197">
        <v>23.467500000000001</v>
      </c>
      <c r="D287" s="198">
        <v>45715</v>
      </c>
      <c r="E287" s="197">
        <v>1400</v>
      </c>
      <c r="F287" s="197">
        <v>670.5</v>
      </c>
      <c r="G287" s="197">
        <v>17.13</v>
      </c>
      <c r="H287" s="197">
        <v>3.5</v>
      </c>
      <c r="I287" s="197">
        <v>20.63</v>
      </c>
      <c r="J287" s="199"/>
      <c r="K287" s="197">
        <v>138.33750000000001</v>
      </c>
      <c r="L287" s="197">
        <v>32854.5</v>
      </c>
      <c r="M287" s="197">
        <v>193672.5</v>
      </c>
      <c r="N287" s="196"/>
      <c r="O287" s="192"/>
    </row>
    <row r="288" spans="1:15" s="53" customFormat="1" x14ac:dyDescent="0.2">
      <c r="A288" s="196" t="s">
        <v>547</v>
      </c>
      <c r="B288" s="197">
        <v>75.31</v>
      </c>
      <c r="C288" s="197">
        <v>53.659300000000002</v>
      </c>
      <c r="D288" s="198">
        <v>45652</v>
      </c>
      <c r="E288" s="197">
        <v>2650</v>
      </c>
      <c r="F288" s="197">
        <v>290.05</v>
      </c>
      <c r="G288" s="197">
        <v>25.96</v>
      </c>
      <c r="H288" s="197">
        <v>18.5</v>
      </c>
      <c r="I288" s="197">
        <v>44.46</v>
      </c>
      <c r="J288" s="199"/>
      <c r="K288" s="197">
        <v>128.9693</v>
      </c>
      <c r="L288" s="197">
        <v>142197.01250000001</v>
      </c>
      <c r="M288" s="197">
        <v>341769.01250000001</v>
      </c>
      <c r="N288" s="196"/>
      <c r="O288" s="192"/>
    </row>
    <row r="289" spans="1:15" s="53" customFormat="1" x14ac:dyDescent="0.2">
      <c r="A289" s="196" t="s">
        <v>547</v>
      </c>
      <c r="B289" s="197">
        <v>75.296980000000005</v>
      </c>
      <c r="C289" s="197">
        <v>53.659300000000002</v>
      </c>
      <c r="D289" s="198">
        <v>45687</v>
      </c>
      <c r="E289" s="197">
        <v>2650</v>
      </c>
      <c r="F289" s="197">
        <v>290.05</v>
      </c>
      <c r="G289" s="197">
        <v>25.96</v>
      </c>
      <c r="H289" s="197">
        <v>18.5</v>
      </c>
      <c r="I289" s="197">
        <v>44.46</v>
      </c>
      <c r="J289" s="199"/>
      <c r="K289" s="197">
        <v>128.9693</v>
      </c>
      <c r="L289" s="197">
        <v>142197.01250000001</v>
      </c>
      <c r="M289" s="197">
        <v>341769.01250000001</v>
      </c>
      <c r="N289" s="196"/>
      <c r="O289" s="192"/>
    </row>
    <row r="290" spans="1:15" s="53" customFormat="1" x14ac:dyDescent="0.2">
      <c r="A290" s="196" t="s">
        <v>547</v>
      </c>
      <c r="B290" s="197">
        <v>75.296980000000005</v>
      </c>
      <c r="C290" s="197">
        <v>53.659300000000002</v>
      </c>
      <c r="D290" s="198">
        <v>45715</v>
      </c>
      <c r="E290" s="197">
        <v>2650</v>
      </c>
      <c r="F290" s="197">
        <v>290.05</v>
      </c>
      <c r="G290" s="197">
        <v>25.96</v>
      </c>
      <c r="H290" s="197">
        <v>18.5</v>
      </c>
      <c r="I290" s="197">
        <v>44.46</v>
      </c>
      <c r="J290" s="199"/>
      <c r="K290" s="197">
        <v>128.9693</v>
      </c>
      <c r="L290" s="197">
        <v>142197.01250000001</v>
      </c>
      <c r="M290" s="197">
        <v>341769.01250000001</v>
      </c>
      <c r="N290" s="196"/>
      <c r="O290" s="192"/>
    </row>
    <row r="291" spans="1:15" s="53" customFormat="1" x14ac:dyDescent="0.2">
      <c r="A291" s="196" t="s">
        <v>229</v>
      </c>
      <c r="B291" s="197">
        <v>87.89</v>
      </c>
      <c r="C291" s="197">
        <v>14.3553</v>
      </c>
      <c r="D291" s="198">
        <v>45652</v>
      </c>
      <c r="E291" s="197">
        <v>2025</v>
      </c>
      <c r="F291" s="197">
        <v>410.15</v>
      </c>
      <c r="G291" s="197">
        <v>21.42</v>
      </c>
      <c r="H291" s="197">
        <v>3.5</v>
      </c>
      <c r="I291" s="197">
        <v>24.92</v>
      </c>
      <c r="J291" s="199"/>
      <c r="K291" s="197">
        <v>102.2453</v>
      </c>
      <c r="L291" s="197">
        <v>29069.381300000001</v>
      </c>
      <c r="M291" s="197">
        <v>207046.38130000001</v>
      </c>
      <c r="N291" s="196"/>
      <c r="O291" s="192"/>
    </row>
    <row r="292" spans="1:15" s="53" customFormat="1" x14ac:dyDescent="0.2">
      <c r="A292" s="196" t="s">
        <v>229</v>
      </c>
      <c r="B292" s="197">
        <v>87.854129999999998</v>
      </c>
      <c r="C292" s="197">
        <v>14.3553</v>
      </c>
      <c r="D292" s="198">
        <v>45687</v>
      </c>
      <c r="E292" s="197">
        <v>2025</v>
      </c>
      <c r="F292" s="197">
        <v>410.15</v>
      </c>
      <c r="G292" s="197">
        <v>21.42</v>
      </c>
      <c r="H292" s="197">
        <v>3.5</v>
      </c>
      <c r="I292" s="197">
        <v>24.92</v>
      </c>
      <c r="J292" s="199"/>
      <c r="K292" s="197">
        <v>102.2453</v>
      </c>
      <c r="L292" s="197">
        <v>29069.381300000001</v>
      </c>
      <c r="M292" s="197">
        <v>207046.38130000001</v>
      </c>
      <c r="N292" s="196"/>
      <c r="O292" s="192"/>
    </row>
    <row r="293" spans="1:15" s="53" customFormat="1" x14ac:dyDescent="0.2">
      <c r="A293" s="196" t="s">
        <v>229</v>
      </c>
      <c r="B293" s="197">
        <v>87.854129999999998</v>
      </c>
      <c r="C293" s="197">
        <v>14.3553</v>
      </c>
      <c r="D293" s="198">
        <v>45715</v>
      </c>
      <c r="E293" s="197">
        <v>2025</v>
      </c>
      <c r="F293" s="197">
        <v>410.15</v>
      </c>
      <c r="G293" s="197">
        <v>21.42</v>
      </c>
      <c r="H293" s="197">
        <v>3.5</v>
      </c>
      <c r="I293" s="197">
        <v>24.92</v>
      </c>
      <c r="J293" s="199"/>
      <c r="K293" s="197">
        <v>102.2453</v>
      </c>
      <c r="L293" s="197">
        <v>29069.381300000001</v>
      </c>
      <c r="M293" s="197">
        <v>207046.38130000001</v>
      </c>
      <c r="N293" s="196"/>
      <c r="O293" s="192"/>
    </row>
    <row r="294" spans="1:15" s="53" customFormat="1" x14ac:dyDescent="0.2">
      <c r="A294" s="196" t="s">
        <v>230</v>
      </c>
      <c r="B294" s="197">
        <v>342.84</v>
      </c>
      <c r="C294" s="197">
        <v>84.047300000000007</v>
      </c>
      <c r="D294" s="198">
        <v>45652</v>
      </c>
      <c r="E294" s="197">
        <v>300</v>
      </c>
      <c r="F294" s="197">
        <v>2401.35</v>
      </c>
      <c r="G294" s="197">
        <v>14.27</v>
      </c>
      <c r="H294" s="197">
        <v>3.5</v>
      </c>
      <c r="I294" s="197">
        <v>17.77</v>
      </c>
      <c r="J294" s="199"/>
      <c r="K294" s="197">
        <v>426.88729999999998</v>
      </c>
      <c r="L294" s="197">
        <v>25214.174999999999</v>
      </c>
      <c r="M294" s="197">
        <v>128066.175</v>
      </c>
      <c r="N294" s="196"/>
      <c r="O294" s="192"/>
    </row>
    <row r="295" spans="1:15" s="53" customFormat="1" x14ac:dyDescent="0.2">
      <c r="A295" s="196" t="s">
        <v>230</v>
      </c>
      <c r="B295" s="197">
        <v>342.67264499999999</v>
      </c>
      <c r="C295" s="197">
        <v>84.047300000000007</v>
      </c>
      <c r="D295" s="198">
        <v>45687</v>
      </c>
      <c r="E295" s="197">
        <v>300</v>
      </c>
      <c r="F295" s="197">
        <v>2401.35</v>
      </c>
      <c r="G295" s="197">
        <v>14.27</v>
      </c>
      <c r="H295" s="197">
        <v>3.5</v>
      </c>
      <c r="I295" s="197">
        <v>17.77</v>
      </c>
      <c r="J295" s="199"/>
      <c r="K295" s="197">
        <v>426.88729999999998</v>
      </c>
      <c r="L295" s="197">
        <v>25214.174999999999</v>
      </c>
      <c r="M295" s="197">
        <v>128066.175</v>
      </c>
      <c r="N295" s="196"/>
      <c r="O295" s="192"/>
    </row>
    <row r="296" spans="1:15" s="53" customFormat="1" x14ac:dyDescent="0.2">
      <c r="A296" s="196" t="s">
        <v>230</v>
      </c>
      <c r="B296" s="197">
        <v>342.67264499999999</v>
      </c>
      <c r="C296" s="197">
        <v>84.047300000000007</v>
      </c>
      <c r="D296" s="198">
        <v>45715</v>
      </c>
      <c r="E296" s="197">
        <v>300</v>
      </c>
      <c r="F296" s="197">
        <v>2401.35</v>
      </c>
      <c r="G296" s="197">
        <v>14.27</v>
      </c>
      <c r="H296" s="197">
        <v>3.5</v>
      </c>
      <c r="I296" s="197">
        <v>17.77</v>
      </c>
      <c r="J296" s="199"/>
      <c r="K296" s="197">
        <v>426.88729999999998</v>
      </c>
      <c r="L296" s="197">
        <v>25214.174999999999</v>
      </c>
      <c r="M296" s="197">
        <v>128066.175</v>
      </c>
      <c r="N296" s="196"/>
      <c r="O296" s="192"/>
    </row>
    <row r="297" spans="1:15" s="53" customFormat="1" x14ac:dyDescent="0.2">
      <c r="A297" s="196" t="s">
        <v>608</v>
      </c>
      <c r="B297" s="197">
        <v>118.01</v>
      </c>
      <c r="C297" s="197">
        <v>8.8514999999999997</v>
      </c>
      <c r="D297" s="198">
        <v>45652</v>
      </c>
      <c r="E297" s="197">
        <v>2425</v>
      </c>
      <c r="F297" s="197">
        <v>252.9</v>
      </c>
      <c r="G297" s="197">
        <v>46.66</v>
      </c>
      <c r="H297" s="197">
        <v>3.5</v>
      </c>
      <c r="I297" s="197">
        <v>50.16</v>
      </c>
      <c r="J297" s="199"/>
      <c r="K297" s="197">
        <v>126.86150000000001</v>
      </c>
      <c r="L297" s="197">
        <v>21464.887500000001</v>
      </c>
      <c r="M297" s="197">
        <v>307638.88750000001</v>
      </c>
      <c r="N297" s="196"/>
      <c r="O297" s="192"/>
    </row>
    <row r="298" spans="1:15" s="53" customFormat="1" x14ac:dyDescent="0.2">
      <c r="A298" s="196" t="s">
        <v>608</v>
      </c>
      <c r="B298" s="197">
        <v>118.00314</v>
      </c>
      <c r="C298" s="197">
        <v>8.8514999999999997</v>
      </c>
      <c r="D298" s="198">
        <v>45687</v>
      </c>
      <c r="E298" s="197">
        <v>2425</v>
      </c>
      <c r="F298" s="197">
        <v>252.9</v>
      </c>
      <c r="G298" s="197">
        <v>46.66</v>
      </c>
      <c r="H298" s="197">
        <v>3.5</v>
      </c>
      <c r="I298" s="197">
        <v>50.16</v>
      </c>
      <c r="J298" s="199"/>
      <c r="K298" s="197">
        <v>126.86150000000001</v>
      </c>
      <c r="L298" s="197">
        <v>21464.887500000001</v>
      </c>
      <c r="M298" s="197">
        <v>307638.88750000001</v>
      </c>
      <c r="N298" s="196"/>
      <c r="O298" s="192"/>
    </row>
    <row r="299" spans="1:15" s="53" customFormat="1" x14ac:dyDescent="0.2">
      <c r="A299" s="196" t="s">
        <v>608</v>
      </c>
      <c r="B299" s="197">
        <v>118.00314</v>
      </c>
      <c r="C299" s="197">
        <v>8.8514999999999997</v>
      </c>
      <c r="D299" s="198">
        <v>45715</v>
      </c>
      <c r="E299" s="197">
        <v>2425</v>
      </c>
      <c r="F299" s="197">
        <v>252.9</v>
      </c>
      <c r="G299" s="197">
        <v>46.66</v>
      </c>
      <c r="H299" s="197">
        <v>3.5</v>
      </c>
      <c r="I299" s="197">
        <v>50.16</v>
      </c>
      <c r="J299" s="199"/>
      <c r="K299" s="197">
        <v>126.86150000000001</v>
      </c>
      <c r="L299" s="197">
        <v>21464.887500000001</v>
      </c>
      <c r="M299" s="197">
        <v>307638.88750000001</v>
      </c>
      <c r="N299" s="196"/>
      <c r="O299" s="192"/>
    </row>
    <row r="300" spans="1:15" s="53" customFormat="1" x14ac:dyDescent="0.2">
      <c r="A300" s="196" t="s">
        <v>232</v>
      </c>
      <c r="B300" s="197">
        <v>189.53</v>
      </c>
      <c r="C300" s="197">
        <v>46.462499999999999</v>
      </c>
      <c r="D300" s="198">
        <v>45652</v>
      </c>
      <c r="E300" s="197">
        <v>700</v>
      </c>
      <c r="F300" s="197">
        <v>1327.5</v>
      </c>
      <c r="G300" s="197">
        <v>14.27</v>
      </c>
      <c r="H300" s="197">
        <v>3.5</v>
      </c>
      <c r="I300" s="197">
        <v>17.77</v>
      </c>
      <c r="J300" s="199"/>
      <c r="K300" s="197">
        <v>235.99250000000001</v>
      </c>
      <c r="L300" s="197">
        <v>32523.75</v>
      </c>
      <c r="M300" s="197">
        <v>165194.75</v>
      </c>
      <c r="N300" s="196"/>
      <c r="O300" s="192"/>
    </row>
    <row r="301" spans="1:15" s="53" customFormat="1" x14ac:dyDescent="0.2">
      <c r="A301" s="196" t="s">
        <v>232</v>
      </c>
      <c r="B301" s="197">
        <v>189.43424999999999</v>
      </c>
      <c r="C301" s="197">
        <v>46.462499999999999</v>
      </c>
      <c r="D301" s="198">
        <v>45687</v>
      </c>
      <c r="E301" s="197">
        <v>700</v>
      </c>
      <c r="F301" s="197">
        <v>1327.5</v>
      </c>
      <c r="G301" s="197">
        <v>14.27</v>
      </c>
      <c r="H301" s="197">
        <v>3.5</v>
      </c>
      <c r="I301" s="197">
        <v>17.77</v>
      </c>
      <c r="J301" s="199"/>
      <c r="K301" s="197">
        <v>235.99250000000001</v>
      </c>
      <c r="L301" s="197">
        <v>32523.75</v>
      </c>
      <c r="M301" s="197">
        <v>165194.75</v>
      </c>
      <c r="N301" s="196"/>
      <c r="O301" s="192"/>
    </row>
    <row r="302" spans="1:15" s="53" customFormat="1" x14ac:dyDescent="0.2">
      <c r="A302" s="196" t="s">
        <v>232</v>
      </c>
      <c r="B302" s="197">
        <v>189.43424999999999</v>
      </c>
      <c r="C302" s="197">
        <v>46.462499999999999</v>
      </c>
      <c r="D302" s="198">
        <v>45715</v>
      </c>
      <c r="E302" s="197">
        <v>700</v>
      </c>
      <c r="F302" s="197">
        <v>1327.5</v>
      </c>
      <c r="G302" s="197">
        <v>14.27</v>
      </c>
      <c r="H302" s="197">
        <v>3.5</v>
      </c>
      <c r="I302" s="197">
        <v>17.77</v>
      </c>
      <c r="J302" s="199"/>
      <c r="K302" s="197">
        <v>235.99250000000001</v>
      </c>
      <c r="L302" s="197">
        <v>32523.75</v>
      </c>
      <c r="M302" s="197">
        <v>165194.75</v>
      </c>
      <c r="N302" s="196"/>
      <c r="O302" s="192"/>
    </row>
    <row r="303" spans="1:15" s="53" customFormat="1" x14ac:dyDescent="0.2">
      <c r="A303" s="196" t="s">
        <v>472</v>
      </c>
      <c r="B303" s="197">
        <v>278.20999999999998</v>
      </c>
      <c r="C303" s="197">
        <v>68.202799999999996</v>
      </c>
      <c r="D303" s="198">
        <v>45652</v>
      </c>
      <c r="E303" s="197">
        <v>250</v>
      </c>
      <c r="F303" s="197">
        <v>1948.65</v>
      </c>
      <c r="G303" s="197">
        <v>14.27</v>
      </c>
      <c r="H303" s="197">
        <v>3.5</v>
      </c>
      <c r="I303" s="197">
        <v>17.77</v>
      </c>
      <c r="J303" s="199"/>
      <c r="K303" s="197">
        <v>346.4128</v>
      </c>
      <c r="L303" s="197">
        <v>17050.6875</v>
      </c>
      <c r="M303" s="197">
        <v>86603.6875</v>
      </c>
      <c r="N303" s="196"/>
      <c r="O303" s="192"/>
    </row>
    <row r="304" spans="1:15" s="53" customFormat="1" x14ac:dyDescent="0.2">
      <c r="A304" s="196" t="s">
        <v>472</v>
      </c>
      <c r="B304" s="197">
        <v>278.07235500000002</v>
      </c>
      <c r="C304" s="197">
        <v>68.202799999999996</v>
      </c>
      <c r="D304" s="198">
        <v>45687</v>
      </c>
      <c r="E304" s="197">
        <v>250</v>
      </c>
      <c r="F304" s="197">
        <v>1948.65</v>
      </c>
      <c r="G304" s="197">
        <v>14.27</v>
      </c>
      <c r="H304" s="197">
        <v>3.5</v>
      </c>
      <c r="I304" s="197">
        <v>17.77</v>
      </c>
      <c r="J304" s="199"/>
      <c r="K304" s="197">
        <v>346.4128</v>
      </c>
      <c r="L304" s="197">
        <v>17050.6875</v>
      </c>
      <c r="M304" s="197">
        <v>86603.6875</v>
      </c>
      <c r="N304" s="196"/>
      <c r="O304" s="192"/>
    </row>
    <row r="305" spans="1:15" s="53" customFormat="1" x14ac:dyDescent="0.2">
      <c r="A305" s="196" t="s">
        <v>472</v>
      </c>
      <c r="B305" s="197">
        <v>278.07235500000002</v>
      </c>
      <c r="C305" s="197">
        <v>68.202799999999996</v>
      </c>
      <c r="D305" s="198">
        <v>45715</v>
      </c>
      <c r="E305" s="197">
        <v>250</v>
      </c>
      <c r="F305" s="197">
        <v>1948.65</v>
      </c>
      <c r="G305" s="197">
        <v>14.27</v>
      </c>
      <c r="H305" s="197">
        <v>3.5</v>
      </c>
      <c r="I305" s="197">
        <v>17.77</v>
      </c>
      <c r="J305" s="199"/>
      <c r="K305" s="197">
        <v>346.4128</v>
      </c>
      <c r="L305" s="197">
        <v>17050.6875</v>
      </c>
      <c r="M305" s="197">
        <v>86603.6875</v>
      </c>
      <c r="N305" s="196"/>
      <c r="O305" s="192"/>
    </row>
    <row r="306" spans="1:15" s="53" customFormat="1" x14ac:dyDescent="0.2">
      <c r="A306" s="196" t="s">
        <v>233</v>
      </c>
      <c r="B306" s="197">
        <v>99.28</v>
      </c>
      <c r="C306" s="197">
        <v>24.337299999999999</v>
      </c>
      <c r="D306" s="198">
        <v>45652</v>
      </c>
      <c r="E306" s="197">
        <v>750</v>
      </c>
      <c r="F306" s="197">
        <v>695.35</v>
      </c>
      <c r="G306" s="197">
        <v>14.27</v>
      </c>
      <c r="H306" s="197">
        <v>3.5</v>
      </c>
      <c r="I306" s="197">
        <v>17.77</v>
      </c>
      <c r="J306" s="199"/>
      <c r="K306" s="197">
        <v>123.6173</v>
      </c>
      <c r="L306" s="197">
        <v>18252.9375</v>
      </c>
      <c r="M306" s="197">
        <v>92712.9375</v>
      </c>
      <c r="N306" s="196"/>
      <c r="O306" s="192"/>
    </row>
    <row r="307" spans="1:15" s="53" customFormat="1" x14ac:dyDescent="0.2">
      <c r="A307" s="196" t="s">
        <v>233</v>
      </c>
      <c r="B307" s="197">
        <v>99.226444999999998</v>
      </c>
      <c r="C307" s="197">
        <v>24.337299999999999</v>
      </c>
      <c r="D307" s="198">
        <v>45687</v>
      </c>
      <c r="E307" s="197">
        <v>750</v>
      </c>
      <c r="F307" s="197">
        <v>695.35</v>
      </c>
      <c r="G307" s="197">
        <v>14.27</v>
      </c>
      <c r="H307" s="197">
        <v>3.5</v>
      </c>
      <c r="I307" s="197">
        <v>17.77</v>
      </c>
      <c r="J307" s="199"/>
      <c r="K307" s="197">
        <v>123.6173</v>
      </c>
      <c r="L307" s="197">
        <v>18252.9375</v>
      </c>
      <c r="M307" s="197">
        <v>92712.9375</v>
      </c>
      <c r="N307" s="196"/>
      <c r="O307" s="192"/>
    </row>
    <row r="308" spans="1:15" s="53" customFormat="1" x14ac:dyDescent="0.2">
      <c r="A308" s="196" t="s">
        <v>233</v>
      </c>
      <c r="B308" s="197">
        <v>99.226444999999998</v>
      </c>
      <c r="C308" s="197">
        <v>24.337299999999999</v>
      </c>
      <c r="D308" s="198">
        <v>45715</v>
      </c>
      <c r="E308" s="197">
        <v>750</v>
      </c>
      <c r="F308" s="197">
        <v>695.35</v>
      </c>
      <c r="G308" s="197">
        <v>14.27</v>
      </c>
      <c r="H308" s="197">
        <v>3.5</v>
      </c>
      <c r="I308" s="197">
        <v>17.77</v>
      </c>
      <c r="J308" s="199"/>
      <c r="K308" s="197">
        <v>123.6173</v>
      </c>
      <c r="L308" s="197">
        <v>18252.9375</v>
      </c>
      <c r="M308" s="197">
        <v>92712.9375</v>
      </c>
      <c r="N308" s="196"/>
      <c r="O308" s="192"/>
    </row>
    <row r="309" spans="1:15" s="53" customFormat="1" x14ac:dyDescent="0.2">
      <c r="A309" s="196" t="s">
        <v>234</v>
      </c>
      <c r="B309" s="197">
        <v>2.71</v>
      </c>
      <c r="C309" s="197">
        <v>0.28110000000000002</v>
      </c>
      <c r="D309" s="198">
        <v>45652</v>
      </c>
      <c r="E309" s="197">
        <v>40000</v>
      </c>
      <c r="F309" s="197">
        <v>8.0299999999999994</v>
      </c>
      <c r="G309" s="197">
        <v>33.74</v>
      </c>
      <c r="H309" s="197">
        <v>3.5</v>
      </c>
      <c r="I309" s="197">
        <v>37.24</v>
      </c>
      <c r="J309" s="199"/>
      <c r="K309" s="197">
        <v>2.9910999999999999</v>
      </c>
      <c r="L309" s="197">
        <v>11242</v>
      </c>
      <c r="M309" s="197">
        <v>119642</v>
      </c>
      <c r="N309" s="196"/>
      <c r="O309" s="192"/>
    </row>
    <row r="310" spans="1:15" s="53" customFormat="1" x14ac:dyDescent="0.2">
      <c r="A310" s="196" t="s">
        <v>234</v>
      </c>
      <c r="B310" s="197">
        <v>2.7093219999999998</v>
      </c>
      <c r="C310" s="197">
        <v>0.28110000000000002</v>
      </c>
      <c r="D310" s="198">
        <v>45687</v>
      </c>
      <c r="E310" s="197">
        <v>40000</v>
      </c>
      <c r="F310" s="197">
        <v>8.0299999999999994</v>
      </c>
      <c r="G310" s="197">
        <v>33.74</v>
      </c>
      <c r="H310" s="197">
        <v>3.5</v>
      </c>
      <c r="I310" s="197">
        <v>37.24</v>
      </c>
      <c r="J310" s="199"/>
      <c r="K310" s="197">
        <v>2.9910999999999999</v>
      </c>
      <c r="L310" s="197">
        <v>11242</v>
      </c>
      <c r="M310" s="197">
        <v>119642</v>
      </c>
      <c r="N310" s="196"/>
      <c r="O310" s="192"/>
    </row>
    <row r="311" spans="1:15" s="53" customFormat="1" x14ac:dyDescent="0.2">
      <c r="A311" s="196" t="s">
        <v>234</v>
      </c>
      <c r="B311" s="197">
        <v>2.7093219999999998</v>
      </c>
      <c r="C311" s="197">
        <v>0.28110000000000002</v>
      </c>
      <c r="D311" s="198">
        <v>45715</v>
      </c>
      <c r="E311" s="197">
        <v>40000</v>
      </c>
      <c r="F311" s="197">
        <v>8.0299999999999994</v>
      </c>
      <c r="G311" s="197">
        <v>33.74</v>
      </c>
      <c r="H311" s="197">
        <v>3.5</v>
      </c>
      <c r="I311" s="197">
        <v>37.24</v>
      </c>
      <c r="J311" s="199"/>
      <c r="K311" s="197">
        <v>2.9910999999999999</v>
      </c>
      <c r="L311" s="197">
        <v>11242</v>
      </c>
      <c r="M311" s="197">
        <v>119642</v>
      </c>
      <c r="N311" s="196"/>
      <c r="O311" s="192"/>
    </row>
    <row r="312" spans="1:15" s="53" customFormat="1" x14ac:dyDescent="0.2">
      <c r="A312" s="196" t="s">
        <v>235</v>
      </c>
      <c r="B312" s="197">
        <v>10.050000000000001</v>
      </c>
      <c r="C312" s="197">
        <v>2.282</v>
      </c>
      <c r="D312" s="198">
        <v>45652</v>
      </c>
      <c r="E312" s="197">
        <v>7500</v>
      </c>
      <c r="F312" s="197">
        <v>65.2</v>
      </c>
      <c r="G312" s="197">
        <v>15.41</v>
      </c>
      <c r="H312" s="197">
        <v>3.5</v>
      </c>
      <c r="I312" s="197">
        <v>18.91</v>
      </c>
      <c r="J312" s="199"/>
      <c r="K312" s="197">
        <v>12.332000000000001</v>
      </c>
      <c r="L312" s="197">
        <v>17115</v>
      </c>
      <c r="M312" s="197">
        <v>92490</v>
      </c>
      <c r="N312" s="196"/>
      <c r="O312" s="192"/>
    </row>
    <row r="313" spans="1:15" s="53" customFormat="1" x14ac:dyDescent="0.2">
      <c r="A313" s="196" t="s">
        <v>235</v>
      </c>
      <c r="B313" s="197">
        <v>10.047319999999999</v>
      </c>
      <c r="C313" s="197">
        <v>2.282</v>
      </c>
      <c r="D313" s="198">
        <v>45687</v>
      </c>
      <c r="E313" s="197">
        <v>7500</v>
      </c>
      <c r="F313" s="197">
        <v>65.2</v>
      </c>
      <c r="G313" s="197">
        <v>15.41</v>
      </c>
      <c r="H313" s="197">
        <v>3.5</v>
      </c>
      <c r="I313" s="197">
        <v>18.91</v>
      </c>
      <c r="J313" s="199"/>
      <c r="K313" s="197">
        <v>12.332000000000001</v>
      </c>
      <c r="L313" s="197">
        <v>17115</v>
      </c>
      <c r="M313" s="197">
        <v>92490</v>
      </c>
      <c r="N313" s="196"/>
      <c r="O313" s="192"/>
    </row>
    <row r="314" spans="1:15" s="53" customFormat="1" x14ac:dyDescent="0.2">
      <c r="A314" s="196" t="s">
        <v>235</v>
      </c>
      <c r="B314" s="197">
        <v>10.047319999999999</v>
      </c>
      <c r="C314" s="197">
        <v>2.282</v>
      </c>
      <c r="D314" s="198">
        <v>45715</v>
      </c>
      <c r="E314" s="197">
        <v>7500</v>
      </c>
      <c r="F314" s="197">
        <v>65.2</v>
      </c>
      <c r="G314" s="197">
        <v>15.41</v>
      </c>
      <c r="H314" s="197">
        <v>3.5</v>
      </c>
      <c r="I314" s="197">
        <v>18.91</v>
      </c>
      <c r="J314" s="199"/>
      <c r="K314" s="197">
        <v>12.332000000000001</v>
      </c>
      <c r="L314" s="197">
        <v>17115</v>
      </c>
      <c r="M314" s="197">
        <v>92490</v>
      </c>
      <c r="N314" s="196"/>
      <c r="O314" s="192"/>
    </row>
    <row r="315" spans="1:15" s="53" customFormat="1" x14ac:dyDescent="0.2">
      <c r="A315" s="196" t="s">
        <v>514</v>
      </c>
      <c r="B315" s="197">
        <v>38.58</v>
      </c>
      <c r="C315" s="197">
        <v>6.6604999999999999</v>
      </c>
      <c r="D315" s="198">
        <v>45652</v>
      </c>
      <c r="E315" s="197">
        <v>3750</v>
      </c>
      <c r="F315" s="197">
        <v>190.3</v>
      </c>
      <c r="G315" s="197">
        <v>20.27</v>
      </c>
      <c r="H315" s="197">
        <v>3.5</v>
      </c>
      <c r="I315" s="197">
        <v>23.77</v>
      </c>
      <c r="J315" s="199"/>
      <c r="K315" s="197">
        <v>45.240499999999997</v>
      </c>
      <c r="L315" s="197">
        <v>24976.875</v>
      </c>
      <c r="M315" s="197">
        <v>169651.875</v>
      </c>
      <c r="N315" s="196"/>
      <c r="O315" s="192"/>
    </row>
    <row r="316" spans="1:15" s="53" customFormat="1" x14ac:dyDescent="0.2">
      <c r="A316" s="196" t="s">
        <v>514</v>
      </c>
      <c r="B316" s="197">
        <v>38.573810000000002</v>
      </c>
      <c r="C316" s="197">
        <v>6.6604999999999999</v>
      </c>
      <c r="D316" s="198">
        <v>45687</v>
      </c>
      <c r="E316" s="197">
        <v>3750</v>
      </c>
      <c r="F316" s="197">
        <v>190.3</v>
      </c>
      <c r="G316" s="197">
        <v>20.27</v>
      </c>
      <c r="H316" s="197">
        <v>3.5</v>
      </c>
      <c r="I316" s="197">
        <v>23.77</v>
      </c>
      <c r="J316" s="199"/>
      <c r="K316" s="197">
        <v>45.240499999999997</v>
      </c>
      <c r="L316" s="197">
        <v>24976.875</v>
      </c>
      <c r="M316" s="197">
        <v>169651.875</v>
      </c>
      <c r="N316" s="196"/>
      <c r="O316" s="192"/>
    </row>
    <row r="317" spans="1:15" s="53" customFormat="1" x14ac:dyDescent="0.2">
      <c r="A317" s="196" t="s">
        <v>514</v>
      </c>
      <c r="B317" s="197">
        <v>38.573810000000002</v>
      </c>
      <c r="C317" s="197">
        <v>6.6604999999999999</v>
      </c>
      <c r="D317" s="198">
        <v>45715</v>
      </c>
      <c r="E317" s="197">
        <v>3750</v>
      </c>
      <c r="F317" s="197">
        <v>190.3</v>
      </c>
      <c r="G317" s="197">
        <v>20.27</v>
      </c>
      <c r="H317" s="197">
        <v>3.5</v>
      </c>
      <c r="I317" s="197">
        <v>23.77</v>
      </c>
      <c r="J317" s="199"/>
      <c r="K317" s="197">
        <v>45.240499999999997</v>
      </c>
      <c r="L317" s="197">
        <v>24976.875</v>
      </c>
      <c r="M317" s="197">
        <v>169651.875</v>
      </c>
      <c r="N317" s="196"/>
      <c r="O317" s="192"/>
    </row>
    <row r="318" spans="1:15" s="53" customFormat="1" x14ac:dyDescent="0.2">
      <c r="A318" s="196" t="s">
        <v>236</v>
      </c>
      <c r="B318" s="197">
        <v>86.28</v>
      </c>
      <c r="C318" s="197">
        <v>34.369999999999997</v>
      </c>
      <c r="D318" s="198">
        <v>45652</v>
      </c>
      <c r="E318" s="197">
        <v>1375</v>
      </c>
      <c r="F318" s="197">
        <v>392.8</v>
      </c>
      <c r="G318" s="197">
        <v>21.96</v>
      </c>
      <c r="H318" s="197">
        <v>8.75</v>
      </c>
      <c r="I318" s="197">
        <v>30.71</v>
      </c>
      <c r="J318" s="199"/>
      <c r="K318" s="197">
        <v>120.65</v>
      </c>
      <c r="L318" s="197">
        <v>47258.75</v>
      </c>
      <c r="M318" s="197">
        <v>165893.75</v>
      </c>
      <c r="N318" s="196"/>
      <c r="O318" s="192"/>
    </row>
    <row r="319" spans="1:15" s="53" customFormat="1" x14ac:dyDescent="0.2">
      <c r="A319" s="196" t="s">
        <v>236</v>
      </c>
      <c r="B319" s="197">
        <v>86.258880000000005</v>
      </c>
      <c r="C319" s="197">
        <v>34.369999999999997</v>
      </c>
      <c r="D319" s="198">
        <v>45687</v>
      </c>
      <c r="E319" s="197">
        <v>1375</v>
      </c>
      <c r="F319" s="197">
        <v>392.8</v>
      </c>
      <c r="G319" s="197">
        <v>21.96</v>
      </c>
      <c r="H319" s="197">
        <v>8.75</v>
      </c>
      <c r="I319" s="197">
        <v>30.71</v>
      </c>
      <c r="J319" s="199"/>
      <c r="K319" s="197">
        <v>120.65</v>
      </c>
      <c r="L319" s="197">
        <v>47258.75</v>
      </c>
      <c r="M319" s="197">
        <v>165893.75</v>
      </c>
      <c r="N319" s="196"/>
      <c r="O319" s="192"/>
    </row>
    <row r="320" spans="1:15" s="53" customFormat="1" x14ac:dyDescent="0.2">
      <c r="A320" s="196" t="s">
        <v>236</v>
      </c>
      <c r="B320" s="197">
        <v>86.258880000000005</v>
      </c>
      <c r="C320" s="197">
        <v>34.369999999999997</v>
      </c>
      <c r="D320" s="198">
        <v>45715</v>
      </c>
      <c r="E320" s="197">
        <v>1375</v>
      </c>
      <c r="F320" s="197">
        <v>392.8</v>
      </c>
      <c r="G320" s="197">
        <v>21.96</v>
      </c>
      <c r="H320" s="197">
        <v>8.75</v>
      </c>
      <c r="I320" s="197">
        <v>30.71</v>
      </c>
      <c r="J320" s="199"/>
      <c r="K320" s="197">
        <v>120.65</v>
      </c>
      <c r="L320" s="197">
        <v>47258.75</v>
      </c>
      <c r="M320" s="197">
        <v>165893.75</v>
      </c>
      <c r="N320" s="196"/>
      <c r="O320" s="192"/>
    </row>
    <row r="321" spans="1:15" s="53" customFormat="1" x14ac:dyDescent="0.2">
      <c r="A321" s="196" t="s">
        <v>501</v>
      </c>
      <c r="B321" s="197">
        <v>139.19999999999999</v>
      </c>
      <c r="C321" s="197">
        <v>29.274000000000001</v>
      </c>
      <c r="D321" s="198">
        <v>45652</v>
      </c>
      <c r="E321" s="197">
        <v>1000</v>
      </c>
      <c r="F321" s="197">
        <v>836.4</v>
      </c>
      <c r="G321" s="197">
        <v>16.64</v>
      </c>
      <c r="H321" s="197">
        <v>3.5</v>
      </c>
      <c r="I321" s="197">
        <v>20.14</v>
      </c>
      <c r="J321" s="199"/>
      <c r="K321" s="197">
        <v>168.47399999999999</v>
      </c>
      <c r="L321" s="197">
        <v>29274</v>
      </c>
      <c r="M321" s="197">
        <v>168474</v>
      </c>
      <c r="N321" s="196"/>
      <c r="O321" s="192"/>
    </row>
    <row r="322" spans="1:15" s="53" customFormat="1" x14ac:dyDescent="0.2">
      <c r="A322" s="196" t="s">
        <v>501</v>
      </c>
      <c r="B322" s="197">
        <v>139.17696000000001</v>
      </c>
      <c r="C322" s="197">
        <v>29.274000000000001</v>
      </c>
      <c r="D322" s="198">
        <v>45687</v>
      </c>
      <c r="E322" s="197">
        <v>1000</v>
      </c>
      <c r="F322" s="197">
        <v>836.4</v>
      </c>
      <c r="G322" s="197">
        <v>16.64</v>
      </c>
      <c r="H322" s="197">
        <v>3.5</v>
      </c>
      <c r="I322" s="197">
        <v>20.14</v>
      </c>
      <c r="J322" s="199"/>
      <c r="K322" s="197">
        <v>168.47399999999999</v>
      </c>
      <c r="L322" s="197">
        <v>29274</v>
      </c>
      <c r="M322" s="197">
        <v>168474</v>
      </c>
      <c r="N322" s="196"/>
      <c r="O322" s="192"/>
    </row>
    <row r="323" spans="1:15" s="53" customFormat="1" x14ac:dyDescent="0.2">
      <c r="A323" s="196" t="s">
        <v>501</v>
      </c>
      <c r="B323" s="197">
        <v>139.17696000000001</v>
      </c>
      <c r="C323" s="197">
        <v>29.274000000000001</v>
      </c>
      <c r="D323" s="198">
        <v>45715</v>
      </c>
      <c r="E323" s="197">
        <v>1000</v>
      </c>
      <c r="F323" s="197">
        <v>836.4</v>
      </c>
      <c r="G323" s="197">
        <v>16.64</v>
      </c>
      <c r="H323" s="197">
        <v>3.5</v>
      </c>
      <c r="I323" s="197">
        <v>20.14</v>
      </c>
      <c r="J323" s="199"/>
      <c r="K323" s="197">
        <v>168.47399999999999</v>
      </c>
      <c r="L323" s="197">
        <v>29274</v>
      </c>
      <c r="M323" s="197">
        <v>168474</v>
      </c>
      <c r="N323" s="196"/>
      <c r="O323" s="192"/>
    </row>
    <row r="324" spans="1:15" s="53" customFormat="1" x14ac:dyDescent="0.2">
      <c r="A324" s="196" t="s">
        <v>515</v>
      </c>
      <c r="B324" s="197">
        <v>474.19</v>
      </c>
      <c r="C324" s="197">
        <v>83.954499999999996</v>
      </c>
      <c r="D324" s="198">
        <v>45652</v>
      </c>
      <c r="E324" s="197">
        <v>300</v>
      </c>
      <c r="F324" s="197">
        <v>2398.6999999999998</v>
      </c>
      <c r="G324" s="197">
        <v>19.760000000000002</v>
      </c>
      <c r="H324" s="197">
        <v>3.5</v>
      </c>
      <c r="I324" s="197">
        <v>23.26</v>
      </c>
      <c r="J324" s="199"/>
      <c r="K324" s="197">
        <v>558.14449999999999</v>
      </c>
      <c r="L324" s="197">
        <v>25186.35</v>
      </c>
      <c r="M324" s="197">
        <v>167443.35</v>
      </c>
      <c r="N324" s="196"/>
      <c r="O324" s="192"/>
    </row>
    <row r="325" spans="1:15" s="53" customFormat="1" x14ac:dyDescent="0.2">
      <c r="A325" s="196" t="s">
        <v>515</v>
      </c>
      <c r="B325" s="197">
        <v>473.98311999999999</v>
      </c>
      <c r="C325" s="197">
        <v>83.954499999999996</v>
      </c>
      <c r="D325" s="198">
        <v>45687</v>
      </c>
      <c r="E325" s="197">
        <v>300</v>
      </c>
      <c r="F325" s="197">
        <v>2398.6999999999998</v>
      </c>
      <c r="G325" s="197">
        <v>19.760000000000002</v>
      </c>
      <c r="H325" s="197">
        <v>3.5</v>
      </c>
      <c r="I325" s="197">
        <v>23.26</v>
      </c>
      <c r="J325" s="199"/>
      <c r="K325" s="197">
        <v>558.14449999999999</v>
      </c>
      <c r="L325" s="197">
        <v>25186.35</v>
      </c>
      <c r="M325" s="197">
        <v>167443.35</v>
      </c>
      <c r="N325" s="196"/>
      <c r="O325" s="192"/>
    </row>
    <row r="326" spans="1:15" s="53" customFormat="1" x14ac:dyDescent="0.2">
      <c r="A326" s="196" t="s">
        <v>515</v>
      </c>
      <c r="B326" s="197">
        <v>473.98311999999999</v>
      </c>
      <c r="C326" s="197">
        <v>83.954499999999996</v>
      </c>
      <c r="D326" s="198">
        <v>45715</v>
      </c>
      <c r="E326" s="197">
        <v>300</v>
      </c>
      <c r="F326" s="197">
        <v>2398.6999999999998</v>
      </c>
      <c r="G326" s="197">
        <v>19.760000000000002</v>
      </c>
      <c r="H326" s="197">
        <v>3.5</v>
      </c>
      <c r="I326" s="197">
        <v>23.26</v>
      </c>
      <c r="J326" s="199"/>
      <c r="K326" s="197">
        <v>558.14449999999999</v>
      </c>
      <c r="L326" s="197">
        <v>25186.35</v>
      </c>
      <c r="M326" s="197">
        <v>167443.35</v>
      </c>
      <c r="N326" s="196"/>
      <c r="O326" s="192"/>
    </row>
    <row r="327" spans="1:15" s="53" customFormat="1" x14ac:dyDescent="0.2">
      <c r="A327" s="196" t="s">
        <v>578</v>
      </c>
      <c r="B327" s="197">
        <v>120.65</v>
      </c>
      <c r="C327" s="197">
        <v>20.410299999999999</v>
      </c>
      <c r="D327" s="198">
        <v>45652</v>
      </c>
      <c r="E327" s="197">
        <v>950</v>
      </c>
      <c r="F327" s="197">
        <v>583.15</v>
      </c>
      <c r="G327" s="197">
        <v>20.68</v>
      </c>
      <c r="H327" s="197">
        <v>3.5</v>
      </c>
      <c r="I327" s="197">
        <v>24.18</v>
      </c>
      <c r="J327" s="199"/>
      <c r="K327" s="197">
        <v>141.06030000000001</v>
      </c>
      <c r="L327" s="197">
        <v>19389.737499999999</v>
      </c>
      <c r="M327" s="197">
        <v>134007.73749999999</v>
      </c>
      <c r="N327" s="196"/>
      <c r="O327" s="192"/>
    </row>
    <row r="328" spans="1:15" s="53" customFormat="1" x14ac:dyDescent="0.2">
      <c r="A328" s="196" t="s">
        <v>578</v>
      </c>
      <c r="B328" s="197">
        <v>120.59542</v>
      </c>
      <c r="C328" s="197">
        <v>20.410299999999999</v>
      </c>
      <c r="D328" s="198">
        <v>45687</v>
      </c>
      <c r="E328" s="197">
        <v>950</v>
      </c>
      <c r="F328" s="197">
        <v>583.15</v>
      </c>
      <c r="G328" s="197">
        <v>20.68</v>
      </c>
      <c r="H328" s="197">
        <v>3.5</v>
      </c>
      <c r="I328" s="197">
        <v>24.18</v>
      </c>
      <c r="J328" s="199"/>
      <c r="K328" s="197">
        <v>141.06030000000001</v>
      </c>
      <c r="L328" s="197">
        <v>19389.737499999999</v>
      </c>
      <c r="M328" s="197">
        <v>134007.73749999999</v>
      </c>
      <c r="N328" s="196"/>
      <c r="O328" s="192"/>
    </row>
    <row r="329" spans="1:15" s="53" customFormat="1" x14ac:dyDescent="0.2">
      <c r="A329" s="196" t="s">
        <v>578</v>
      </c>
      <c r="B329" s="197">
        <v>120.59542</v>
      </c>
      <c r="C329" s="197">
        <v>20.410299999999999</v>
      </c>
      <c r="D329" s="198">
        <v>45715</v>
      </c>
      <c r="E329" s="197">
        <v>950</v>
      </c>
      <c r="F329" s="197">
        <v>583.15</v>
      </c>
      <c r="G329" s="197">
        <v>20.68</v>
      </c>
      <c r="H329" s="197">
        <v>3.5</v>
      </c>
      <c r="I329" s="197">
        <v>24.18</v>
      </c>
      <c r="J329" s="199"/>
      <c r="K329" s="197">
        <v>141.06030000000001</v>
      </c>
      <c r="L329" s="197">
        <v>19389.737499999999</v>
      </c>
      <c r="M329" s="197">
        <v>134007.73749999999</v>
      </c>
      <c r="N329" s="196"/>
      <c r="O329" s="192"/>
    </row>
    <row r="330" spans="1:15" s="53" customFormat="1" x14ac:dyDescent="0.2">
      <c r="A330" s="196" t="s">
        <v>238</v>
      </c>
      <c r="B330" s="197">
        <v>706.52</v>
      </c>
      <c r="C330" s="197">
        <v>156.29429999999999</v>
      </c>
      <c r="D330" s="198">
        <v>45652</v>
      </c>
      <c r="E330" s="197">
        <v>150</v>
      </c>
      <c r="F330" s="197">
        <v>4465.55</v>
      </c>
      <c r="G330" s="197">
        <v>15.82</v>
      </c>
      <c r="H330" s="197">
        <v>3.5</v>
      </c>
      <c r="I330" s="197">
        <v>19.32</v>
      </c>
      <c r="J330" s="199"/>
      <c r="K330" s="197">
        <v>862.8143</v>
      </c>
      <c r="L330" s="197">
        <v>23444.137500000001</v>
      </c>
      <c r="M330" s="197">
        <v>129422.1375</v>
      </c>
      <c r="N330" s="196"/>
      <c r="O330" s="192"/>
    </row>
    <row r="331" spans="1:15" s="53" customFormat="1" x14ac:dyDescent="0.2">
      <c r="A331" s="196" t="s">
        <v>238</v>
      </c>
      <c r="B331" s="197">
        <v>706.45001000000002</v>
      </c>
      <c r="C331" s="197">
        <v>156.29429999999999</v>
      </c>
      <c r="D331" s="198">
        <v>45687</v>
      </c>
      <c r="E331" s="197">
        <v>150</v>
      </c>
      <c r="F331" s="197">
        <v>4465.55</v>
      </c>
      <c r="G331" s="197">
        <v>15.82</v>
      </c>
      <c r="H331" s="197">
        <v>3.5</v>
      </c>
      <c r="I331" s="197">
        <v>19.32</v>
      </c>
      <c r="J331" s="199"/>
      <c r="K331" s="197">
        <v>862.8143</v>
      </c>
      <c r="L331" s="197">
        <v>23444.137500000001</v>
      </c>
      <c r="M331" s="197">
        <v>129422.1375</v>
      </c>
      <c r="N331" s="196"/>
      <c r="O331" s="192"/>
    </row>
    <row r="332" spans="1:15" s="53" customFormat="1" x14ac:dyDescent="0.2">
      <c r="A332" s="196" t="s">
        <v>238</v>
      </c>
      <c r="B332" s="197">
        <v>706.45001000000002</v>
      </c>
      <c r="C332" s="197">
        <v>156.29429999999999</v>
      </c>
      <c r="D332" s="198">
        <v>45715</v>
      </c>
      <c r="E332" s="197">
        <v>150</v>
      </c>
      <c r="F332" s="197">
        <v>4465.55</v>
      </c>
      <c r="G332" s="197">
        <v>15.82</v>
      </c>
      <c r="H332" s="197">
        <v>3.5</v>
      </c>
      <c r="I332" s="197">
        <v>19.32</v>
      </c>
      <c r="J332" s="199"/>
      <c r="K332" s="197">
        <v>862.8143</v>
      </c>
      <c r="L332" s="197">
        <v>23444.137500000001</v>
      </c>
      <c r="M332" s="197">
        <v>129422.1375</v>
      </c>
      <c r="N332" s="196"/>
      <c r="O332" s="192"/>
    </row>
    <row r="333" spans="1:15" s="53" customFormat="1" x14ac:dyDescent="0.2">
      <c r="A333" s="196" t="s">
        <v>239</v>
      </c>
      <c r="B333" s="197">
        <v>176.05</v>
      </c>
      <c r="C333" s="197">
        <v>68.939499999999995</v>
      </c>
      <c r="D333" s="198">
        <v>45652</v>
      </c>
      <c r="E333" s="197">
        <v>500</v>
      </c>
      <c r="F333" s="197">
        <v>984.85</v>
      </c>
      <c r="G333" s="197">
        <v>17.87</v>
      </c>
      <c r="H333" s="197">
        <v>7</v>
      </c>
      <c r="I333" s="197">
        <v>24.87</v>
      </c>
      <c r="J333" s="199"/>
      <c r="K333" s="197">
        <v>244.98949999999999</v>
      </c>
      <c r="L333" s="197">
        <v>34469.75</v>
      </c>
      <c r="M333" s="197">
        <v>122494.75</v>
      </c>
      <c r="N333" s="196"/>
      <c r="O333" s="192"/>
    </row>
    <row r="334" spans="1:15" s="53" customFormat="1" x14ac:dyDescent="0.2">
      <c r="A334" s="196" t="s">
        <v>239</v>
      </c>
      <c r="B334" s="197">
        <v>175.992695</v>
      </c>
      <c r="C334" s="197">
        <v>68.939499999999995</v>
      </c>
      <c r="D334" s="198">
        <v>45687</v>
      </c>
      <c r="E334" s="197">
        <v>500</v>
      </c>
      <c r="F334" s="197">
        <v>984.85</v>
      </c>
      <c r="G334" s="197">
        <v>17.87</v>
      </c>
      <c r="H334" s="197">
        <v>7</v>
      </c>
      <c r="I334" s="197">
        <v>24.87</v>
      </c>
      <c r="J334" s="199"/>
      <c r="K334" s="197">
        <v>244.98949999999999</v>
      </c>
      <c r="L334" s="197">
        <v>34469.75</v>
      </c>
      <c r="M334" s="197">
        <v>122494.75</v>
      </c>
      <c r="N334" s="196"/>
      <c r="O334" s="192"/>
    </row>
    <row r="335" spans="1:15" s="53" customFormat="1" x14ac:dyDescent="0.2">
      <c r="A335" s="196" t="s">
        <v>239</v>
      </c>
      <c r="B335" s="197">
        <v>175.992695</v>
      </c>
      <c r="C335" s="197">
        <v>68.939499999999995</v>
      </c>
      <c r="D335" s="198">
        <v>45715</v>
      </c>
      <c r="E335" s="197">
        <v>500</v>
      </c>
      <c r="F335" s="197">
        <v>984.85</v>
      </c>
      <c r="G335" s="197">
        <v>17.87</v>
      </c>
      <c r="H335" s="197">
        <v>7</v>
      </c>
      <c r="I335" s="197">
        <v>24.87</v>
      </c>
      <c r="J335" s="199"/>
      <c r="K335" s="197">
        <v>244.98949999999999</v>
      </c>
      <c r="L335" s="197">
        <v>34469.75</v>
      </c>
      <c r="M335" s="197">
        <v>122494.75</v>
      </c>
      <c r="N335" s="196"/>
      <c r="O335" s="192"/>
    </row>
    <row r="336" spans="1:15" s="53" customFormat="1" x14ac:dyDescent="0.2">
      <c r="A336" s="196" t="s">
        <v>473</v>
      </c>
      <c r="B336" s="197">
        <v>74.94</v>
      </c>
      <c r="C336" s="197">
        <v>12.586</v>
      </c>
      <c r="D336" s="198">
        <v>45652</v>
      </c>
      <c r="E336" s="197">
        <v>1700</v>
      </c>
      <c r="F336" s="197">
        <v>359.6</v>
      </c>
      <c r="G336" s="197">
        <v>20.83</v>
      </c>
      <c r="H336" s="197">
        <v>3.5</v>
      </c>
      <c r="I336" s="197">
        <v>24.33</v>
      </c>
      <c r="J336" s="199"/>
      <c r="K336" s="197">
        <v>87.525999999999996</v>
      </c>
      <c r="L336" s="197">
        <v>21396.2</v>
      </c>
      <c r="M336" s="197">
        <v>148794.20000000001</v>
      </c>
      <c r="N336" s="196"/>
      <c r="O336" s="192"/>
    </row>
    <row r="337" spans="1:15" s="53" customFormat="1" x14ac:dyDescent="0.2">
      <c r="A337" s="196" t="s">
        <v>473</v>
      </c>
      <c r="B337" s="197">
        <v>74.904679999999999</v>
      </c>
      <c r="C337" s="197">
        <v>12.586</v>
      </c>
      <c r="D337" s="198">
        <v>45687</v>
      </c>
      <c r="E337" s="197">
        <v>1700</v>
      </c>
      <c r="F337" s="197">
        <v>359.6</v>
      </c>
      <c r="G337" s="197">
        <v>20.83</v>
      </c>
      <c r="H337" s="197">
        <v>3.5</v>
      </c>
      <c r="I337" s="197">
        <v>24.33</v>
      </c>
      <c r="J337" s="199"/>
      <c r="K337" s="197">
        <v>87.525999999999996</v>
      </c>
      <c r="L337" s="197">
        <v>21396.2</v>
      </c>
      <c r="M337" s="197">
        <v>148794.20000000001</v>
      </c>
      <c r="N337" s="196"/>
      <c r="O337" s="192"/>
    </row>
    <row r="338" spans="1:15" s="53" customFormat="1" x14ac:dyDescent="0.2">
      <c r="A338" s="196" t="s">
        <v>473</v>
      </c>
      <c r="B338" s="197">
        <v>74.904679999999999</v>
      </c>
      <c r="C338" s="197">
        <v>12.586</v>
      </c>
      <c r="D338" s="198">
        <v>45715</v>
      </c>
      <c r="E338" s="197">
        <v>1700</v>
      </c>
      <c r="F338" s="197">
        <v>359.6</v>
      </c>
      <c r="G338" s="197">
        <v>20.83</v>
      </c>
      <c r="H338" s="197">
        <v>3.5</v>
      </c>
      <c r="I338" s="197">
        <v>24.33</v>
      </c>
      <c r="J338" s="199"/>
      <c r="K338" s="197">
        <v>87.525999999999996</v>
      </c>
      <c r="L338" s="197">
        <v>21396.2</v>
      </c>
      <c r="M338" s="197">
        <v>148794.20000000001</v>
      </c>
      <c r="N338" s="196"/>
      <c r="O338" s="192"/>
    </row>
    <row r="339" spans="1:15" s="53" customFormat="1" x14ac:dyDescent="0.2">
      <c r="A339" s="196" t="s">
        <v>240</v>
      </c>
      <c r="B339" s="197">
        <v>281.83</v>
      </c>
      <c r="C339" s="197">
        <v>69.09</v>
      </c>
      <c r="D339" s="198">
        <v>45652</v>
      </c>
      <c r="E339" s="197">
        <v>400</v>
      </c>
      <c r="F339" s="197">
        <v>1974</v>
      </c>
      <c r="G339" s="197">
        <v>14.27</v>
      </c>
      <c r="H339" s="197">
        <v>3.5</v>
      </c>
      <c r="I339" s="197">
        <v>17.77</v>
      </c>
      <c r="J339" s="199"/>
      <c r="K339" s="197">
        <v>350.92</v>
      </c>
      <c r="L339" s="197">
        <v>27636</v>
      </c>
      <c r="M339" s="197">
        <v>140368</v>
      </c>
      <c r="N339" s="196"/>
      <c r="O339" s="192"/>
    </row>
    <row r="340" spans="1:15" s="53" customFormat="1" x14ac:dyDescent="0.2">
      <c r="A340" s="196" t="s">
        <v>240</v>
      </c>
      <c r="B340" s="197">
        <v>281.68979999999999</v>
      </c>
      <c r="C340" s="197">
        <v>69.09</v>
      </c>
      <c r="D340" s="198">
        <v>45687</v>
      </c>
      <c r="E340" s="197">
        <v>400</v>
      </c>
      <c r="F340" s="197">
        <v>1974</v>
      </c>
      <c r="G340" s="197">
        <v>14.27</v>
      </c>
      <c r="H340" s="197">
        <v>3.5</v>
      </c>
      <c r="I340" s="197">
        <v>17.77</v>
      </c>
      <c r="J340" s="199"/>
      <c r="K340" s="197">
        <v>350.92</v>
      </c>
      <c r="L340" s="197">
        <v>27636</v>
      </c>
      <c r="M340" s="197">
        <v>140368</v>
      </c>
      <c r="N340" s="196"/>
      <c r="O340" s="192"/>
    </row>
    <row r="341" spans="1:15" s="53" customFormat="1" x14ac:dyDescent="0.2">
      <c r="A341" s="196" t="s">
        <v>240</v>
      </c>
      <c r="B341" s="197">
        <v>281.68979999999999</v>
      </c>
      <c r="C341" s="197">
        <v>69.09</v>
      </c>
      <c r="D341" s="198">
        <v>45715</v>
      </c>
      <c r="E341" s="197">
        <v>400</v>
      </c>
      <c r="F341" s="197">
        <v>1974</v>
      </c>
      <c r="G341" s="197">
        <v>14.27</v>
      </c>
      <c r="H341" s="197">
        <v>3.5</v>
      </c>
      <c r="I341" s="197">
        <v>17.77</v>
      </c>
      <c r="J341" s="199"/>
      <c r="K341" s="197">
        <v>350.92</v>
      </c>
      <c r="L341" s="197">
        <v>27636</v>
      </c>
      <c r="M341" s="197">
        <v>140368</v>
      </c>
      <c r="N341" s="196"/>
      <c r="O341" s="192"/>
    </row>
    <row r="342" spans="1:15" s="53" customFormat="1" x14ac:dyDescent="0.2">
      <c r="A342" s="196" t="s">
        <v>241</v>
      </c>
      <c r="B342" s="197">
        <v>24.42</v>
      </c>
      <c r="C342" s="197">
        <v>5.0119999999999996</v>
      </c>
      <c r="D342" s="198">
        <v>45652</v>
      </c>
      <c r="E342" s="197">
        <v>4875</v>
      </c>
      <c r="F342" s="197">
        <v>143.19999999999999</v>
      </c>
      <c r="G342" s="197">
        <v>17.05</v>
      </c>
      <c r="H342" s="197">
        <v>3.5</v>
      </c>
      <c r="I342" s="197">
        <v>20.55</v>
      </c>
      <c r="J342" s="199"/>
      <c r="K342" s="197">
        <v>29.431999999999999</v>
      </c>
      <c r="L342" s="197">
        <v>24433.5</v>
      </c>
      <c r="M342" s="197">
        <v>143481.5</v>
      </c>
      <c r="N342" s="196"/>
      <c r="O342" s="192"/>
    </row>
    <row r="343" spans="1:15" s="53" customFormat="1" x14ac:dyDescent="0.2">
      <c r="A343" s="196" t="s">
        <v>241</v>
      </c>
      <c r="B343" s="197">
        <v>24.415600000000001</v>
      </c>
      <c r="C343" s="197">
        <v>5.0119999999999996</v>
      </c>
      <c r="D343" s="198">
        <v>45687</v>
      </c>
      <c r="E343" s="197">
        <v>4875</v>
      </c>
      <c r="F343" s="197">
        <v>143.19999999999999</v>
      </c>
      <c r="G343" s="197">
        <v>17.05</v>
      </c>
      <c r="H343" s="197">
        <v>3.5</v>
      </c>
      <c r="I343" s="197">
        <v>20.55</v>
      </c>
      <c r="J343" s="199"/>
      <c r="K343" s="197">
        <v>29.431999999999999</v>
      </c>
      <c r="L343" s="197">
        <v>24433.5</v>
      </c>
      <c r="M343" s="197">
        <v>143481.5</v>
      </c>
      <c r="N343" s="196"/>
      <c r="O343" s="192"/>
    </row>
    <row r="344" spans="1:15" s="53" customFormat="1" x14ac:dyDescent="0.2">
      <c r="A344" s="196" t="s">
        <v>241</v>
      </c>
      <c r="B344" s="197">
        <v>24.415600000000001</v>
      </c>
      <c r="C344" s="197">
        <v>5.0119999999999996</v>
      </c>
      <c r="D344" s="198">
        <v>45715</v>
      </c>
      <c r="E344" s="197">
        <v>4875</v>
      </c>
      <c r="F344" s="197">
        <v>143.19999999999999</v>
      </c>
      <c r="G344" s="197">
        <v>17.05</v>
      </c>
      <c r="H344" s="197">
        <v>3.5</v>
      </c>
      <c r="I344" s="197">
        <v>20.55</v>
      </c>
      <c r="J344" s="199"/>
      <c r="K344" s="197">
        <v>29.431999999999999</v>
      </c>
      <c r="L344" s="197">
        <v>24433.5</v>
      </c>
      <c r="M344" s="197">
        <v>143481.5</v>
      </c>
      <c r="N344" s="196"/>
      <c r="O344" s="192"/>
    </row>
    <row r="345" spans="1:15" s="53" customFormat="1" x14ac:dyDescent="0.2">
      <c r="A345" s="196" t="s">
        <v>516</v>
      </c>
      <c r="B345" s="197">
        <v>223.6</v>
      </c>
      <c r="C345" s="197">
        <v>54.326999999999998</v>
      </c>
      <c r="D345" s="198">
        <v>45652</v>
      </c>
      <c r="E345" s="197">
        <v>650</v>
      </c>
      <c r="F345" s="197">
        <v>1552.2</v>
      </c>
      <c r="G345" s="197">
        <v>14.4</v>
      </c>
      <c r="H345" s="197">
        <v>3.5</v>
      </c>
      <c r="I345" s="197">
        <v>17.899999999999999</v>
      </c>
      <c r="J345" s="199"/>
      <c r="K345" s="197">
        <v>277.92700000000002</v>
      </c>
      <c r="L345" s="197">
        <v>35312.550000000003</v>
      </c>
      <c r="M345" s="197">
        <v>180652.55</v>
      </c>
      <c r="N345" s="196"/>
      <c r="O345" s="192"/>
    </row>
    <row r="346" spans="1:15" s="53" customFormat="1" x14ac:dyDescent="0.2">
      <c r="A346" s="196" t="s">
        <v>516</v>
      </c>
      <c r="B346" s="197">
        <v>223.51679999999999</v>
      </c>
      <c r="C346" s="197">
        <v>54.326999999999998</v>
      </c>
      <c r="D346" s="198">
        <v>45687</v>
      </c>
      <c r="E346" s="197">
        <v>650</v>
      </c>
      <c r="F346" s="197">
        <v>1552.2</v>
      </c>
      <c r="G346" s="197">
        <v>14.4</v>
      </c>
      <c r="H346" s="197">
        <v>3.5</v>
      </c>
      <c r="I346" s="197">
        <v>17.899999999999999</v>
      </c>
      <c r="J346" s="199"/>
      <c r="K346" s="197">
        <v>277.92700000000002</v>
      </c>
      <c r="L346" s="197">
        <v>35312.550000000003</v>
      </c>
      <c r="M346" s="197">
        <v>180652.55</v>
      </c>
      <c r="N346" s="196"/>
      <c r="O346" s="192"/>
    </row>
    <row r="347" spans="1:15" s="53" customFormat="1" x14ac:dyDescent="0.2">
      <c r="A347" s="196" t="s">
        <v>516</v>
      </c>
      <c r="B347" s="197">
        <v>223.51679999999999</v>
      </c>
      <c r="C347" s="197">
        <v>54.326999999999998</v>
      </c>
      <c r="D347" s="198">
        <v>45715</v>
      </c>
      <c r="E347" s="197">
        <v>650</v>
      </c>
      <c r="F347" s="197">
        <v>1552.2</v>
      </c>
      <c r="G347" s="197">
        <v>14.4</v>
      </c>
      <c r="H347" s="197">
        <v>3.5</v>
      </c>
      <c r="I347" s="197">
        <v>17.899999999999999</v>
      </c>
      <c r="J347" s="199"/>
      <c r="K347" s="197">
        <v>277.92700000000002</v>
      </c>
      <c r="L347" s="197">
        <v>35312.550000000003</v>
      </c>
      <c r="M347" s="197">
        <v>180652.55</v>
      </c>
      <c r="N347" s="196"/>
      <c r="O347" s="192"/>
    </row>
    <row r="348" spans="1:15" s="53" customFormat="1" x14ac:dyDescent="0.2">
      <c r="A348" s="196" t="s">
        <v>594</v>
      </c>
      <c r="B348" s="197">
        <v>15.36</v>
      </c>
      <c r="C348" s="197">
        <v>2.0615000000000001</v>
      </c>
      <c r="D348" s="198">
        <v>45652</v>
      </c>
      <c r="E348" s="197">
        <v>10250</v>
      </c>
      <c r="F348" s="197">
        <v>58.9</v>
      </c>
      <c r="G348" s="197">
        <v>26.07</v>
      </c>
      <c r="H348" s="197">
        <v>3.5</v>
      </c>
      <c r="I348" s="197">
        <v>29.57</v>
      </c>
      <c r="J348" s="199"/>
      <c r="K348" s="197">
        <v>17.421500000000002</v>
      </c>
      <c r="L348" s="197">
        <v>21130.375</v>
      </c>
      <c r="M348" s="197">
        <v>178570.375</v>
      </c>
      <c r="N348" s="196"/>
      <c r="O348" s="192"/>
    </row>
    <row r="349" spans="1:15" s="53" customFormat="1" x14ac:dyDescent="0.2">
      <c r="A349" s="196" t="s">
        <v>594</v>
      </c>
      <c r="B349" s="197">
        <v>15.355230000000001</v>
      </c>
      <c r="C349" s="197">
        <v>2.0615000000000001</v>
      </c>
      <c r="D349" s="198">
        <v>45687</v>
      </c>
      <c r="E349" s="197">
        <v>10250</v>
      </c>
      <c r="F349" s="197">
        <v>58.9</v>
      </c>
      <c r="G349" s="197">
        <v>26.07</v>
      </c>
      <c r="H349" s="197">
        <v>3.5</v>
      </c>
      <c r="I349" s="197">
        <v>29.57</v>
      </c>
      <c r="J349" s="199"/>
      <c r="K349" s="197">
        <v>17.421500000000002</v>
      </c>
      <c r="L349" s="197">
        <v>21130.375</v>
      </c>
      <c r="M349" s="197">
        <v>178570.375</v>
      </c>
      <c r="N349" s="196"/>
      <c r="O349" s="192"/>
    </row>
    <row r="350" spans="1:15" s="53" customFormat="1" x14ac:dyDescent="0.2">
      <c r="A350" s="196" t="s">
        <v>594</v>
      </c>
      <c r="B350" s="197">
        <v>15.355230000000001</v>
      </c>
      <c r="C350" s="197">
        <v>2.0615000000000001</v>
      </c>
      <c r="D350" s="198">
        <v>45715</v>
      </c>
      <c r="E350" s="197">
        <v>10250</v>
      </c>
      <c r="F350" s="197">
        <v>58.9</v>
      </c>
      <c r="G350" s="197">
        <v>26.07</v>
      </c>
      <c r="H350" s="197">
        <v>3.5</v>
      </c>
      <c r="I350" s="197">
        <v>29.57</v>
      </c>
      <c r="J350" s="199"/>
      <c r="K350" s="197">
        <v>17.421500000000002</v>
      </c>
      <c r="L350" s="197">
        <v>21130.375</v>
      </c>
      <c r="M350" s="197">
        <v>178570.375</v>
      </c>
      <c r="N350" s="196"/>
      <c r="O350" s="192"/>
    </row>
    <row r="351" spans="1:15" s="53" customFormat="1" x14ac:dyDescent="0.2">
      <c r="A351" s="196" t="s">
        <v>490</v>
      </c>
      <c r="B351" s="197">
        <v>145.41999999999999</v>
      </c>
      <c r="C351" s="197">
        <v>29.940799999999999</v>
      </c>
      <c r="D351" s="198">
        <v>45652</v>
      </c>
      <c r="E351" s="197">
        <v>875</v>
      </c>
      <c r="F351" s="197">
        <v>855.45</v>
      </c>
      <c r="G351" s="197">
        <v>16.989999999999998</v>
      </c>
      <c r="H351" s="197">
        <v>3.5</v>
      </c>
      <c r="I351" s="197">
        <v>20.49</v>
      </c>
      <c r="J351" s="199"/>
      <c r="K351" s="197">
        <v>175.36080000000001</v>
      </c>
      <c r="L351" s="197">
        <v>26198.156299999999</v>
      </c>
      <c r="M351" s="197">
        <v>153441.1563</v>
      </c>
      <c r="N351" s="196"/>
      <c r="O351" s="192"/>
    </row>
    <row r="352" spans="1:15" s="53" customFormat="1" x14ac:dyDescent="0.2">
      <c r="A352" s="196" t="s">
        <v>490</v>
      </c>
      <c r="B352" s="197">
        <v>145.34095500000001</v>
      </c>
      <c r="C352" s="197">
        <v>29.940799999999999</v>
      </c>
      <c r="D352" s="198">
        <v>45687</v>
      </c>
      <c r="E352" s="197">
        <v>875</v>
      </c>
      <c r="F352" s="197">
        <v>855.45</v>
      </c>
      <c r="G352" s="197">
        <v>16.989999999999998</v>
      </c>
      <c r="H352" s="197">
        <v>3.5</v>
      </c>
      <c r="I352" s="197">
        <v>20.49</v>
      </c>
      <c r="J352" s="199"/>
      <c r="K352" s="197">
        <v>175.36080000000001</v>
      </c>
      <c r="L352" s="197">
        <v>26198.156299999999</v>
      </c>
      <c r="M352" s="197">
        <v>153441.1563</v>
      </c>
      <c r="N352" s="196"/>
      <c r="O352" s="192"/>
    </row>
    <row r="353" spans="1:15" s="53" customFormat="1" x14ac:dyDescent="0.2">
      <c r="A353" s="196" t="s">
        <v>490</v>
      </c>
      <c r="B353" s="197">
        <v>145.34095500000001</v>
      </c>
      <c r="C353" s="197">
        <v>29.940799999999999</v>
      </c>
      <c r="D353" s="198">
        <v>45715</v>
      </c>
      <c r="E353" s="197">
        <v>875</v>
      </c>
      <c r="F353" s="197">
        <v>855.45</v>
      </c>
      <c r="G353" s="197">
        <v>16.989999999999998</v>
      </c>
      <c r="H353" s="197">
        <v>3.5</v>
      </c>
      <c r="I353" s="197">
        <v>20.49</v>
      </c>
      <c r="J353" s="199"/>
      <c r="K353" s="197">
        <v>175.36080000000001</v>
      </c>
      <c r="L353" s="197">
        <v>26198.156299999999</v>
      </c>
      <c r="M353" s="197">
        <v>153441.1563</v>
      </c>
      <c r="N353" s="196"/>
      <c r="O353" s="192"/>
    </row>
    <row r="354" spans="1:15" s="53" customFormat="1" x14ac:dyDescent="0.2">
      <c r="A354" s="196" t="s">
        <v>592</v>
      </c>
      <c r="B354" s="197">
        <v>43.88</v>
      </c>
      <c r="C354" s="197">
        <v>5.7714999999999996</v>
      </c>
      <c r="D354" s="198">
        <v>45652</v>
      </c>
      <c r="E354" s="197">
        <v>3525</v>
      </c>
      <c r="F354" s="197">
        <v>164.9</v>
      </c>
      <c r="G354" s="197">
        <v>26.61</v>
      </c>
      <c r="H354" s="197">
        <v>3.5</v>
      </c>
      <c r="I354" s="197">
        <v>30.11</v>
      </c>
      <c r="J354" s="199"/>
      <c r="K354" s="197">
        <v>49.651499999999999</v>
      </c>
      <c r="L354" s="197">
        <v>20344.537499999999</v>
      </c>
      <c r="M354" s="197">
        <v>175021.53750000001</v>
      </c>
      <c r="N354" s="196"/>
      <c r="O354" s="192"/>
    </row>
    <row r="355" spans="1:15" s="53" customFormat="1" x14ac:dyDescent="0.2">
      <c r="A355" s="196" t="s">
        <v>592</v>
      </c>
      <c r="B355" s="197">
        <v>43.879890000000003</v>
      </c>
      <c r="C355" s="197">
        <v>5.7714999999999996</v>
      </c>
      <c r="D355" s="198">
        <v>45687</v>
      </c>
      <c r="E355" s="197">
        <v>3525</v>
      </c>
      <c r="F355" s="197">
        <v>164.9</v>
      </c>
      <c r="G355" s="197">
        <v>26.61</v>
      </c>
      <c r="H355" s="197">
        <v>3.5</v>
      </c>
      <c r="I355" s="197">
        <v>30.11</v>
      </c>
      <c r="J355" s="199"/>
      <c r="K355" s="197">
        <v>49.651499999999999</v>
      </c>
      <c r="L355" s="197">
        <v>20344.537499999999</v>
      </c>
      <c r="M355" s="197">
        <v>175021.53750000001</v>
      </c>
      <c r="N355" s="196"/>
      <c r="O355" s="192"/>
    </row>
    <row r="356" spans="1:15" s="53" customFormat="1" x14ac:dyDescent="0.2">
      <c r="A356" s="196" t="s">
        <v>592</v>
      </c>
      <c r="B356" s="197">
        <v>43.879890000000003</v>
      </c>
      <c r="C356" s="197">
        <v>5.7714999999999996</v>
      </c>
      <c r="D356" s="198">
        <v>45715</v>
      </c>
      <c r="E356" s="197">
        <v>3525</v>
      </c>
      <c r="F356" s="197">
        <v>164.9</v>
      </c>
      <c r="G356" s="197">
        <v>26.61</v>
      </c>
      <c r="H356" s="197">
        <v>3.5</v>
      </c>
      <c r="I356" s="197">
        <v>30.11</v>
      </c>
      <c r="J356" s="199"/>
      <c r="K356" s="197">
        <v>49.651499999999999</v>
      </c>
      <c r="L356" s="197">
        <v>20344.537499999999</v>
      </c>
      <c r="M356" s="197">
        <v>175021.53750000001</v>
      </c>
      <c r="N356" s="196"/>
      <c r="O356" s="192"/>
    </row>
    <row r="357" spans="1:15" s="53" customFormat="1" x14ac:dyDescent="0.2">
      <c r="A357" s="196" t="s">
        <v>242</v>
      </c>
      <c r="B357" s="197">
        <v>66.42</v>
      </c>
      <c r="C357" s="197">
        <v>16.283799999999999</v>
      </c>
      <c r="D357" s="198">
        <v>45652</v>
      </c>
      <c r="E357" s="197">
        <v>1600</v>
      </c>
      <c r="F357" s="197">
        <v>465.25</v>
      </c>
      <c r="G357" s="197">
        <v>14.27</v>
      </c>
      <c r="H357" s="197">
        <v>3.5</v>
      </c>
      <c r="I357" s="197">
        <v>17.77</v>
      </c>
      <c r="J357" s="199"/>
      <c r="K357" s="197">
        <v>82.703800000000001</v>
      </c>
      <c r="L357" s="197">
        <v>26054</v>
      </c>
      <c r="M357" s="197">
        <v>132326</v>
      </c>
      <c r="N357" s="196"/>
      <c r="O357" s="192"/>
    </row>
    <row r="358" spans="1:15" s="53" customFormat="1" x14ac:dyDescent="0.2">
      <c r="A358" s="196" t="s">
        <v>242</v>
      </c>
      <c r="B358" s="197">
        <v>66.391175000000004</v>
      </c>
      <c r="C358" s="197">
        <v>16.283799999999999</v>
      </c>
      <c r="D358" s="198">
        <v>45687</v>
      </c>
      <c r="E358" s="197">
        <v>1600</v>
      </c>
      <c r="F358" s="197">
        <v>465.25</v>
      </c>
      <c r="G358" s="197">
        <v>14.27</v>
      </c>
      <c r="H358" s="197">
        <v>3.5</v>
      </c>
      <c r="I358" s="197">
        <v>17.77</v>
      </c>
      <c r="J358" s="199"/>
      <c r="K358" s="197">
        <v>82.703800000000001</v>
      </c>
      <c r="L358" s="197">
        <v>26054</v>
      </c>
      <c r="M358" s="197">
        <v>132326</v>
      </c>
      <c r="N358" s="196"/>
      <c r="O358" s="192"/>
    </row>
    <row r="359" spans="1:15" s="53" customFormat="1" x14ac:dyDescent="0.2">
      <c r="A359" s="196" t="s">
        <v>242</v>
      </c>
      <c r="B359" s="197">
        <v>66.391175000000004</v>
      </c>
      <c r="C359" s="197">
        <v>16.283799999999999</v>
      </c>
      <c r="D359" s="198">
        <v>45715</v>
      </c>
      <c r="E359" s="197">
        <v>1600</v>
      </c>
      <c r="F359" s="197">
        <v>465.25</v>
      </c>
      <c r="G359" s="197">
        <v>14.27</v>
      </c>
      <c r="H359" s="197">
        <v>3.5</v>
      </c>
      <c r="I359" s="197">
        <v>17.77</v>
      </c>
      <c r="J359" s="199"/>
      <c r="K359" s="197">
        <v>82.703800000000001</v>
      </c>
      <c r="L359" s="197">
        <v>26054</v>
      </c>
      <c r="M359" s="197">
        <v>132326</v>
      </c>
      <c r="N359" s="196"/>
      <c r="O359" s="192"/>
    </row>
    <row r="360" spans="1:15" s="53" customFormat="1" x14ac:dyDescent="0.2">
      <c r="A360" s="196" t="s">
        <v>243</v>
      </c>
      <c r="B360" s="197">
        <v>173.55</v>
      </c>
      <c r="C360" s="197">
        <v>34.812800000000003</v>
      </c>
      <c r="D360" s="198">
        <v>45652</v>
      </c>
      <c r="E360" s="197">
        <v>625</v>
      </c>
      <c r="F360" s="197">
        <v>994.65</v>
      </c>
      <c r="G360" s="197">
        <v>17.440000000000001</v>
      </c>
      <c r="H360" s="197">
        <v>3.5</v>
      </c>
      <c r="I360" s="197">
        <v>20.94</v>
      </c>
      <c r="J360" s="199"/>
      <c r="K360" s="197">
        <v>208.36279999999999</v>
      </c>
      <c r="L360" s="197">
        <v>21757.968799999999</v>
      </c>
      <c r="M360" s="197">
        <v>130226.9688</v>
      </c>
      <c r="N360" s="196"/>
      <c r="O360" s="192"/>
    </row>
    <row r="361" spans="1:15" s="53" customFormat="1" x14ac:dyDescent="0.2">
      <c r="A361" s="196" t="s">
        <v>243</v>
      </c>
      <c r="B361" s="197">
        <v>173.46696</v>
      </c>
      <c r="C361" s="197">
        <v>34.812800000000003</v>
      </c>
      <c r="D361" s="198">
        <v>45687</v>
      </c>
      <c r="E361" s="197">
        <v>625</v>
      </c>
      <c r="F361" s="197">
        <v>994.65</v>
      </c>
      <c r="G361" s="197">
        <v>17.440000000000001</v>
      </c>
      <c r="H361" s="197">
        <v>3.5</v>
      </c>
      <c r="I361" s="197">
        <v>20.94</v>
      </c>
      <c r="J361" s="199"/>
      <c r="K361" s="197">
        <v>208.36279999999999</v>
      </c>
      <c r="L361" s="197">
        <v>21757.968799999999</v>
      </c>
      <c r="M361" s="197">
        <v>130226.9688</v>
      </c>
      <c r="N361" s="196"/>
      <c r="O361" s="192"/>
    </row>
    <row r="362" spans="1:15" s="53" customFormat="1" x14ac:dyDescent="0.2">
      <c r="A362" s="196" t="s">
        <v>243</v>
      </c>
      <c r="B362" s="197">
        <v>173.46696</v>
      </c>
      <c r="C362" s="197">
        <v>34.812800000000003</v>
      </c>
      <c r="D362" s="198">
        <v>45715</v>
      </c>
      <c r="E362" s="197">
        <v>625</v>
      </c>
      <c r="F362" s="197">
        <v>994.65</v>
      </c>
      <c r="G362" s="197">
        <v>17.440000000000001</v>
      </c>
      <c r="H362" s="197">
        <v>3.5</v>
      </c>
      <c r="I362" s="197">
        <v>20.94</v>
      </c>
      <c r="J362" s="199"/>
      <c r="K362" s="197">
        <v>208.36279999999999</v>
      </c>
      <c r="L362" s="197">
        <v>21757.968799999999</v>
      </c>
      <c r="M362" s="197">
        <v>130226.9688</v>
      </c>
      <c r="N362" s="196"/>
      <c r="O362" s="192"/>
    </row>
    <row r="363" spans="1:15" s="53" customFormat="1" x14ac:dyDescent="0.2">
      <c r="A363" s="196" t="s">
        <v>570</v>
      </c>
      <c r="B363" s="197">
        <v>56.38</v>
      </c>
      <c r="C363" s="197">
        <v>12.005000000000001</v>
      </c>
      <c r="D363" s="198">
        <v>45652</v>
      </c>
      <c r="E363" s="197">
        <v>1650</v>
      </c>
      <c r="F363" s="197">
        <v>343</v>
      </c>
      <c r="G363" s="197">
        <v>16.43</v>
      </c>
      <c r="H363" s="197">
        <v>3.5</v>
      </c>
      <c r="I363" s="197">
        <v>19.93</v>
      </c>
      <c r="J363" s="199"/>
      <c r="K363" s="197">
        <v>68.385000000000005</v>
      </c>
      <c r="L363" s="197">
        <v>19808.25</v>
      </c>
      <c r="M363" s="197">
        <v>112835.25</v>
      </c>
      <c r="N363" s="196"/>
      <c r="O363" s="192"/>
    </row>
    <row r="364" spans="1:15" s="53" customFormat="1" x14ac:dyDescent="0.2">
      <c r="A364" s="196" t="s">
        <v>570</v>
      </c>
      <c r="B364" s="197">
        <v>56.354900000000001</v>
      </c>
      <c r="C364" s="197">
        <v>12.005000000000001</v>
      </c>
      <c r="D364" s="198">
        <v>45687</v>
      </c>
      <c r="E364" s="197">
        <v>1650</v>
      </c>
      <c r="F364" s="197">
        <v>343</v>
      </c>
      <c r="G364" s="197">
        <v>16.43</v>
      </c>
      <c r="H364" s="197">
        <v>3.5</v>
      </c>
      <c r="I364" s="197">
        <v>19.93</v>
      </c>
      <c r="J364" s="199"/>
      <c r="K364" s="197">
        <v>68.385000000000005</v>
      </c>
      <c r="L364" s="197">
        <v>19808.25</v>
      </c>
      <c r="M364" s="197">
        <v>112835.25</v>
      </c>
      <c r="N364" s="196"/>
      <c r="O364" s="192"/>
    </row>
    <row r="365" spans="1:15" s="53" customFormat="1" x14ac:dyDescent="0.2">
      <c r="A365" s="196" t="s">
        <v>570</v>
      </c>
      <c r="B365" s="197">
        <v>56.354900000000001</v>
      </c>
      <c r="C365" s="197">
        <v>12.005000000000001</v>
      </c>
      <c r="D365" s="198">
        <v>45715</v>
      </c>
      <c r="E365" s="197">
        <v>1650</v>
      </c>
      <c r="F365" s="197">
        <v>343</v>
      </c>
      <c r="G365" s="197">
        <v>16.43</v>
      </c>
      <c r="H365" s="197">
        <v>3.5</v>
      </c>
      <c r="I365" s="197">
        <v>19.93</v>
      </c>
      <c r="J365" s="199"/>
      <c r="K365" s="197">
        <v>68.385000000000005</v>
      </c>
      <c r="L365" s="197">
        <v>19808.25</v>
      </c>
      <c r="M365" s="197">
        <v>112835.25</v>
      </c>
      <c r="N365" s="196"/>
      <c r="O365" s="192"/>
    </row>
    <row r="366" spans="1:15" s="53" customFormat="1" x14ac:dyDescent="0.2">
      <c r="A366" s="196" t="s">
        <v>527</v>
      </c>
      <c r="B366" s="197">
        <v>700.9</v>
      </c>
      <c r="C366" s="197">
        <v>164.4948</v>
      </c>
      <c r="D366" s="198">
        <v>45652</v>
      </c>
      <c r="E366" s="197">
        <v>125</v>
      </c>
      <c r="F366" s="197">
        <v>4699.8500000000004</v>
      </c>
      <c r="G366" s="197">
        <v>14.91</v>
      </c>
      <c r="H366" s="197">
        <v>3.5</v>
      </c>
      <c r="I366" s="197">
        <v>18.41</v>
      </c>
      <c r="J366" s="199"/>
      <c r="K366" s="197">
        <v>865.39480000000003</v>
      </c>
      <c r="L366" s="197">
        <v>20561.843799999999</v>
      </c>
      <c r="M366" s="197">
        <v>108174.8438</v>
      </c>
      <c r="N366" s="196"/>
      <c r="O366" s="192"/>
    </row>
    <row r="367" spans="1:15" s="53" customFormat="1" x14ac:dyDescent="0.2">
      <c r="A367" s="196" t="s">
        <v>527</v>
      </c>
      <c r="B367" s="197">
        <v>700.74763499999995</v>
      </c>
      <c r="C367" s="197">
        <v>164.4948</v>
      </c>
      <c r="D367" s="198">
        <v>45687</v>
      </c>
      <c r="E367" s="197">
        <v>125</v>
      </c>
      <c r="F367" s="197">
        <v>4699.8500000000004</v>
      </c>
      <c r="G367" s="197">
        <v>14.91</v>
      </c>
      <c r="H367" s="197">
        <v>3.5</v>
      </c>
      <c r="I367" s="197">
        <v>18.41</v>
      </c>
      <c r="J367" s="199"/>
      <c r="K367" s="197">
        <v>865.39480000000003</v>
      </c>
      <c r="L367" s="197">
        <v>20561.843799999999</v>
      </c>
      <c r="M367" s="197">
        <v>108174.8438</v>
      </c>
      <c r="N367" s="196"/>
      <c r="O367" s="192"/>
    </row>
    <row r="368" spans="1:15" s="53" customFormat="1" x14ac:dyDescent="0.2">
      <c r="A368" s="196" t="s">
        <v>527</v>
      </c>
      <c r="B368" s="197">
        <v>700.74763499999995</v>
      </c>
      <c r="C368" s="197">
        <v>164.4948</v>
      </c>
      <c r="D368" s="198">
        <v>45715</v>
      </c>
      <c r="E368" s="197">
        <v>125</v>
      </c>
      <c r="F368" s="197">
        <v>4699.8500000000004</v>
      </c>
      <c r="G368" s="197">
        <v>14.91</v>
      </c>
      <c r="H368" s="197">
        <v>3.5</v>
      </c>
      <c r="I368" s="197">
        <v>18.41</v>
      </c>
      <c r="J368" s="199"/>
      <c r="K368" s="197">
        <v>865.39480000000003</v>
      </c>
      <c r="L368" s="197">
        <v>20561.843799999999</v>
      </c>
      <c r="M368" s="197">
        <v>108174.8438</v>
      </c>
      <c r="N368" s="196"/>
      <c r="O368" s="192"/>
    </row>
    <row r="369" spans="1:15" s="53" customFormat="1" x14ac:dyDescent="0.2">
      <c r="A369" s="196" t="s">
        <v>581</v>
      </c>
      <c r="B369" s="197">
        <v>157.21</v>
      </c>
      <c r="C369" s="197">
        <v>26.148499999999999</v>
      </c>
      <c r="D369" s="198">
        <v>45652</v>
      </c>
      <c r="E369" s="197">
        <v>775</v>
      </c>
      <c r="F369" s="197">
        <v>747.1</v>
      </c>
      <c r="G369" s="197">
        <v>21.04</v>
      </c>
      <c r="H369" s="197">
        <v>3.5</v>
      </c>
      <c r="I369" s="197">
        <v>24.54</v>
      </c>
      <c r="J369" s="199"/>
      <c r="K369" s="197">
        <v>183.35849999999999</v>
      </c>
      <c r="L369" s="197">
        <v>20265.087500000001</v>
      </c>
      <c r="M369" s="197">
        <v>142103.08749999999</v>
      </c>
      <c r="N369" s="196"/>
      <c r="O369" s="192"/>
    </row>
    <row r="370" spans="1:15" s="53" customFormat="1" x14ac:dyDescent="0.2">
      <c r="A370" s="196" t="s">
        <v>581</v>
      </c>
      <c r="B370" s="197">
        <v>157.18984</v>
      </c>
      <c r="C370" s="197">
        <v>26.148499999999999</v>
      </c>
      <c r="D370" s="198">
        <v>45687</v>
      </c>
      <c r="E370" s="197">
        <v>775</v>
      </c>
      <c r="F370" s="197">
        <v>747.1</v>
      </c>
      <c r="G370" s="197">
        <v>21.04</v>
      </c>
      <c r="H370" s="197">
        <v>3.5</v>
      </c>
      <c r="I370" s="197">
        <v>24.54</v>
      </c>
      <c r="J370" s="199"/>
      <c r="K370" s="197">
        <v>183.35849999999999</v>
      </c>
      <c r="L370" s="197">
        <v>20265.087500000001</v>
      </c>
      <c r="M370" s="197">
        <v>142103.08749999999</v>
      </c>
      <c r="N370" s="196"/>
      <c r="O370" s="192"/>
    </row>
    <row r="371" spans="1:15" s="53" customFormat="1" x14ac:dyDescent="0.2">
      <c r="A371" s="196" t="s">
        <v>581</v>
      </c>
      <c r="B371" s="197">
        <v>157.18984</v>
      </c>
      <c r="C371" s="197">
        <v>26.148499999999999</v>
      </c>
      <c r="D371" s="198">
        <v>45715</v>
      </c>
      <c r="E371" s="197">
        <v>775</v>
      </c>
      <c r="F371" s="197">
        <v>747.1</v>
      </c>
      <c r="G371" s="197">
        <v>21.04</v>
      </c>
      <c r="H371" s="197">
        <v>3.5</v>
      </c>
      <c r="I371" s="197">
        <v>24.54</v>
      </c>
      <c r="J371" s="199"/>
      <c r="K371" s="197">
        <v>183.35849999999999</v>
      </c>
      <c r="L371" s="197">
        <v>20265.087500000001</v>
      </c>
      <c r="M371" s="197">
        <v>142103.08749999999</v>
      </c>
      <c r="N371" s="196"/>
      <c r="O371" s="192"/>
    </row>
    <row r="372" spans="1:15" s="53" customFormat="1" x14ac:dyDescent="0.2">
      <c r="A372" s="196" t="s">
        <v>580</v>
      </c>
      <c r="B372" s="197">
        <v>160.09</v>
      </c>
      <c r="C372" s="197">
        <v>23.714300000000001</v>
      </c>
      <c r="D372" s="198">
        <v>45652</v>
      </c>
      <c r="E372" s="197">
        <v>750</v>
      </c>
      <c r="F372" s="197">
        <v>677.55</v>
      </c>
      <c r="G372" s="197">
        <v>23.62</v>
      </c>
      <c r="H372" s="197">
        <v>3.5</v>
      </c>
      <c r="I372" s="197">
        <v>27.12</v>
      </c>
      <c r="J372" s="199"/>
      <c r="K372" s="197">
        <v>183.80430000000001</v>
      </c>
      <c r="L372" s="197">
        <v>17785.6875</v>
      </c>
      <c r="M372" s="197">
        <v>137853.6875</v>
      </c>
      <c r="N372" s="196"/>
      <c r="O372" s="192"/>
    </row>
    <row r="373" spans="1:15" s="53" customFormat="1" x14ac:dyDescent="0.2">
      <c r="A373" s="196" t="s">
        <v>580</v>
      </c>
      <c r="B373" s="197">
        <v>160.03730999999999</v>
      </c>
      <c r="C373" s="197">
        <v>23.714300000000001</v>
      </c>
      <c r="D373" s="198">
        <v>45687</v>
      </c>
      <c r="E373" s="197">
        <v>750</v>
      </c>
      <c r="F373" s="197">
        <v>677.55</v>
      </c>
      <c r="G373" s="197">
        <v>23.62</v>
      </c>
      <c r="H373" s="197">
        <v>3.5</v>
      </c>
      <c r="I373" s="197">
        <v>27.12</v>
      </c>
      <c r="J373" s="199"/>
      <c r="K373" s="197">
        <v>183.80430000000001</v>
      </c>
      <c r="L373" s="197">
        <v>17785.6875</v>
      </c>
      <c r="M373" s="197">
        <v>137853.6875</v>
      </c>
      <c r="N373" s="196"/>
      <c r="O373" s="192"/>
    </row>
    <row r="374" spans="1:15" s="53" customFormat="1" x14ac:dyDescent="0.2">
      <c r="A374" s="196" t="s">
        <v>580</v>
      </c>
      <c r="B374" s="197">
        <v>160.03730999999999</v>
      </c>
      <c r="C374" s="197">
        <v>23.714300000000001</v>
      </c>
      <c r="D374" s="198">
        <v>45715</v>
      </c>
      <c r="E374" s="197">
        <v>750</v>
      </c>
      <c r="F374" s="197">
        <v>677.55</v>
      </c>
      <c r="G374" s="197">
        <v>23.62</v>
      </c>
      <c r="H374" s="197">
        <v>3.5</v>
      </c>
      <c r="I374" s="197">
        <v>27.12</v>
      </c>
      <c r="J374" s="199"/>
      <c r="K374" s="197">
        <v>183.80430000000001</v>
      </c>
      <c r="L374" s="197">
        <v>17785.6875</v>
      </c>
      <c r="M374" s="197">
        <v>137853.6875</v>
      </c>
      <c r="N374" s="196"/>
      <c r="O374" s="192"/>
    </row>
    <row r="375" spans="1:15" s="53" customFormat="1" x14ac:dyDescent="0.2">
      <c r="A375" s="196" t="s">
        <v>244</v>
      </c>
      <c r="B375" s="197">
        <v>142.80000000000001</v>
      </c>
      <c r="C375" s="197">
        <v>35.006999999999998</v>
      </c>
      <c r="D375" s="198">
        <v>45652</v>
      </c>
      <c r="E375" s="197">
        <v>675</v>
      </c>
      <c r="F375" s="197">
        <v>1000.2</v>
      </c>
      <c r="G375" s="197">
        <v>14.27</v>
      </c>
      <c r="H375" s="197">
        <v>3.5</v>
      </c>
      <c r="I375" s="197">
        <v>17.77</v>
      </c>
      <c r="J375" s="199"/>
      <c r="K375" s="197">
        <v>177.80699999999999</v>
      </c>
      <c r="L375" s="197">
        <v>23629.724999999999</v>
      </c>
      <c r="M375" s="197">
        <v>120019.72500000001</v>
      </c>
      <c r="N375" s="196"/>
      <c r="O375" s="192"/>
    </row>
    <row r="376" spans="1:15" s="53" customFormat="1" x14ac:dyDescent="0.2">
      <c r="A376" s="196" t="s">
        <v>244</v>
      </c>
      <c r="B376" s="197">
        <v>142.72854000000001</v>
      </c>
      <c r="C376" s="197">
        <v>35.006999999999998</v>
      </c>
      <c r="D376" s="198">
        <v>45687</v>
      </c>
      <c r="E376" s="197">
        <v>675</v>
      </c>
      <c r="F376" s="197">
        <v>1000.2</v>
      </c>
      <c r="G376" s="197">
        <v>14.27</v>
      </c>
      <c r="H376" s="197">
        <v>3.5</v>
      </c>
      <c r="I376" s="197">
        <v>17.77</v>
      </c>
      <c r="J376" s="199"/>
      <c r="K376" s="197">
        <v>177.80699999999999</v>
      </c>
      <c r="L376" s="197">
        <v>23629.724999999999</v>
      </c>
      <c r="M376" s="197">
        <v>120019.72500000001</v>
      </c>
      <c r="N376" s="196"/>
      <c r="O376" s="192"/>
    </row>
    <row r="377" spans="1:15" s="53" customFormat="1" x14ac:dyDescent="0.2">
      <c r="A377" s="196" t="s">
        <v>244</v>
      </c>
      <c r="B377" s="197">
        <v>142.72854000000001</v>
      </c>
      <c r="C377" s="197">
        <v>35.006999999999998</v>
      </c>
      <c r="D377" s="198">
        <v>45715</v>
      </c>
      <c r="E377" s="197">
        <v>675</v>
      </c>
      <c r="F377" s="197">
        <v>1000.2</v>
      </c>
      <c r="G377" s="197">
        <v>14.27</v>
      </c>
      <c r="H377" s="197">
        <v>3.5</v>
      </c>
      <c r="I377" s="197">
        <v>17.77</v>
      </c>
      <c r="J377" s="199"/>
      <c r="K377" s="197">
        <v>177.80699999999999</v>
      </c>
      <c r="L377" s="197">
        <v>23629.724999999999</v>
      </c>
      <c r="M377" s="197">
        <v>120019.72500000001</v>
      </c>
      <c r="N377" s="196"/>
      <c r="O377" s="192"/>
    </row>
    <row r="378" spans="1:15" s="53" customFormat="1" x14ac:dyDescent="0.2">
      <c r="A378" s="196" t="s">
        <v>245</v>
      </c>
      <c r="B378" s="197">
        <v>111.37</v>
      </c>
      <c r="C378" s="197">
        <v>24.773</v>
      </c>
      <c r="D378" s="198">
        <v>45652</v>
      </c>
      <c r="E378" s="197">
        <v>1250</v>
      </c>
      <c r="F378" s="197">
        <v>707.8</v>
      </c>
      <c r="G378" s="197">
        <v>15.73</v>
      </c>
      <c r="H378" s="197">
        <v>3.5</v>
      </c>
      <c r="I378" s="197">
        <v>19.23</v>
      </c>
      <c r="J378" s="199"/>
      <c r="K378" s="197">
        <v>136.143</v>
      </c>
      <c r="L378" s="197">
        <v>30966.25</v>
      </c>
      <c r="M378" s="197">
        <v>170179.25</v>
      </c>
      <c r="N378" s="196"/>
      <c r="O378" s="192"/>
    </row>
    <row r="379" spans="1:15" s="53" customFormat="1" x14ac:dyDescent="0.2">
      <c r="A379" s="196" t="s">
        <v>245</v>
      </c>
      <c r="B379" s="197">
        <v>111.33694</v>
      </c>
      <c r="C379" s="197">
        <v>24.773</v>
      </c>
      <c r="D379" s="198">
        <v>45687</v>
      </c>
      <c r="E379" s="197">
        <v>1250</v>
      </c>
      <c r="F379" s="197">
        <v>707.8</v>
      </c>
      <c r="G379" s="197">
        <v>15.73</v>
      </c>
      <c r="H379" s="197">
        <v>3.5</v>
      </c>
      <c r="I379" s="197">
        <v>19.23</v>
      </c>
      <c r="J379" s="199"/>
      <c r="K379" s="197">
        <v>136.143</v>
      </c>
      <c r="L379" s="197">
        <v>30966.25</v>
      </c>
      <c r="M379" s="197">
        <v>170179.25</v>
      </c>
      <c r="N379" s="196"/>
      <c r="O379" s="192"/>
    </row>
    <row r="380" spans="1:15" s="53" customFormat="1" x14ac:dyDescent="0.2">
      <c r="A380" s="196" t="s">
        <v>245</v>
      </c>
      <c r="B380" s="197">
        <v>111.33694</v>
      </c>
      <c r="C380" s="197">
        <v>24.773</v>
      </c>
      <c r="D380" s="198">
        <v>45715</v>
      </c>
      <c r="E380" s="197">
        <v>1250</v>
      </c>
      <c r="F380" s="197">
        <v>707.8</v>
      </c>
      <c r="G380" s="197">
        <v>15.73</v>
      </c>
      <c r="H380" s="197">
        <v>3.5</v>
      </c>
      <c r="I380" s="197">
        <v>19.23</v>
      </c>
      <c r="J380" s="199"/>
      <c r="K380" s="197">
        <v>136.143</v>
      </c>
      <c r="L380" s="197">
        <v>30966.25</v>
      </c>
      <c r="M380" s="197">
        <v>170179.25</v>
      </c>
      <c r="N380" s="196"/>
      <c r="O380" s="192"/>
    </row>
    <row r="381" spans="1:15" s="53" customFormat="1" x14ac:dyDescent="0.2">
      <c r="A381" s="196" t="s">
        <v>582</v>
      </c>
      <c r="B381" s="197">
        <v>170.35</v>
      </c>
      <c r="C381" s="197">
        <v>26.703299999999999</v>
      </c>
      <c r="D381" s="198">
        <v>45652</v>
      </c>
      <c r="E381" s="197">
        <v>775</v>
      </c>
      <c r="F381" s="197">
        <v>762.95</v>
      </c>
      <c r="G381" s="197">
        <v>22.32</v>
      </c>
      <c r="H381" s="197">
        <v>3.5</v>
      </c>
      <c r="I381" s="197">
        <v>25.82</v>
      </c>
      <c r="J381" s="199"/>
      <c r="K381" s="197">
        <v>197.05330000000001</v>
      </c>
      <c r="L381" s="197">
        <v>20695.018800000002</v>
      </c>
      <c r="M381" s="197">
        <v>152716.01879999999</v>
      </c>
      <c r="N381" s="196"/>
      <c r="O381" s="192"/>
    </row>
    <row r="382" spans="1:15" s="53" customFormat="1" x14ac:dyDescent="0.2">
      <c r="A382" s="196" t="s">
        <v>582</v>
      </c>
      <c r="B382" s="197">
        <v>170.29043999999999</v>
      </c>
      <c r="C382" s="197">
        <v>26.703299999999999</v>
      </c>
      <c r="D382" s="198">
        <v>45687</v>
      </c>
      <c r="E382" s="197">
        <v>775</v>
      </c>
      <c r="F382" s="197">
        <v>762.95</v>
      </c>
      <c r="G382" s="197">
        <v>22.32</v>
      </c>
      <c r="H382" s="197">
        <v>3.5</v>
      </c>
      <c r="I382" s="197">
        <v>25.82</v>
      </c>
      <c r="J382" s="199"/>
      <c r="K382" s="197">
        <v>197.05330000000001</v>
      </c>
      <c r="L382" s="197">
        <v>20695.018800000002</v>
      </c>
      <c r="M382" s="197">
        <v>152716.01879999999</v>
      </c>
      <c r="N382" s="196"/>
      <c r="O382" s="192"/>
    </row>
    <row r="383" spans="1:15" s="53" customFormat="1" x14ac:dyDescent="0.2">
      <c r="A383" s="196" t="s">
        <v>582</v>
      </c>
      <c r="B383" s="197">
        <v>170.29043999999999</v>
      </c>
      <c r="C383" s="197">
        <v>26.703299999999999</v>
      </c>
      <c r="D383" s="198">
        <v>45715</v>
      </c>
      <c r="E383" s="197">
        <v>775</v>
      </c>
      <c r="F383" s="197">
        <v>762.95</v>
      </c>
      <c r="G383" s="197">
        <v>22.32</v>
      </c>
      <c r="H383" s="197">
        <v>3.5</v>
      </c>
      <c r="I383" s="197">
        <v>25.82</v>
      </c>
      <c r="J383" s="199"/>
      <c r="K383" s="197">
        <v>197.05330000000001</v>
      </c>
      <c r="L383" s="197">
        <v>20695.018800000002</v>
      </c>
      <c r="M383" s="197">
        <v>152716.01879999999</v>
      </c>
      <c r="N383" s="196"/>
      <c r="O383" s="192"/>
    </row>
    <row r="384" spans="1:15" s="53" customFormat="1" x14ac:dyDescent="0.2">
      <c r="A384" s="196" t="s">
        <v>610</v>
      </c>
      <c r="B384" s="197">
        <v>944.51</v>
      </c>
      <c r="C384" s="197">
        <v>162.1095</v>
      </c>
      <c r="D384" s="198">
        <v>45652</v>
      </c>
      <c r="E384" s="197">
        <v>150</v>
      </c>
      <c r="F384" s="197">
        <v>4631.7</v>
      </c>
      <c r="G384" s="197">
        <v>20.39</v>
      </c>
      <c r="H384" s="197">
        <v>3.5</v>
      </c>
      <c r="I384" s="197">
        <v>23.89</v>
      </c>
      <c r="J384" s="199"/>
      <c r="K384" s="197">
        <v>1106.6195</v>
      </c>
      <c r="L384" s="197">
        <v>24316.424999999999</v>
      </c>
      <c r="M384" s="197">
        <v>165993.42499999999</v>
      </c>
      <c r="N384" s="196"/>
      <c r="O384" s="192"/>
    </row>
    <row r="385" spans="1:15" s="53" customFormat="1" x14ac:dyDescent="0.2">
      <c r="A385" s="196" t="s">
        <v>610</v>
      </c>
      <c r="B385" s="197">
        <v>944.40363000000002</v>
      </c>
      <c r="C385" s="197">
        <v>162.1095</v>
      </c>
      <c r="D385" s="198">
        <v>45687</v>
      </c>
      <c r="E385" s="197">
        <v>150</v>
      </c>
      <c r="F385" s="197">
        <v>4631.7</v>
      </c>
      <c r="G385" s="197">
        <v>20.39</v>
      </c>
      <c r="H385" s="197">
        <v>3.5</v>
      </c>
      <c r="I385" s="197">
        <v>23.89</v>
      </c>
      <c r="J385" s="199"/>
      <c r="K385" s="197">
        <v>1106.6195</v>
      </c>
      <c r="L385" s="197">
        <v>24316.424999999999</v>
      </c>
      <c r="M385" s="197">
        <v>165993.42499999999</v>
      </c>
      <c r="N385" s="196"/>
      <c r="O385" s="192"/>
    </row>
    <row r="386" spans="1:15" s="53" customFormat="1" x14ac:dyDescent="0.2">
      <c r="A386" s="196" t="s">
        <v>610</v>
      </c>
      <c r="B386" s="197">
        <v>944.40363000000002</v>
      </c>
      <c r="C386" s="197">
        <v>162.1095</v>
      </c>
      <c r="D386" s="198">
        <v>45715</v>
      </c>
      <c r="E386" s="197">
        <v>150</v>
      </c>
      <c r="F386" s="197">
        <v>4631.7</v>
      </c>
      <c r="G386" s="197">
        <v>20.39</v>
      </c>
      <c r="H386" s="197">
        <v>3.5</v>
      </c>
      <c r="I386" s="197">
        <v>23.89</v>
      </c>
      <c r="J386" s="199"/>
      <c r="K386" s="197">
        <v>1106.6195</v>
      </c>
      <c r="L386" s="197">
        <v>24316.424999999999</v>
      </c>
      <c r="M386" s="197">
        <v>165993.42499999999</v>
      </c>
      <c r="N386" s="196"/>
      <c r="O386" s="192"/>
    </row>
    <row r="387" spans="1:15" s="53" customFormat="1" x14ac:dyDescent="0.2">
      <c r="A387" s="196" t="s">
        <v>246</v>
      </c>
      <c r="B387" s="197">
        <v>256.23</v>
      </c>
      <c r="C387" s="197">
        <v>62.814500000000002</v>
      </c>
      <c r="D387" s="198">
        <v>45652</v>
      </c>
      <c r="E387" s="197">
        <v>400</v>
      </c>
      <c r="F387" s="197">
        <v>1794.7</v>
      </c>
      <c r="G387" s="197">
        <v>14.27</v>
      </c>
      <c r="H387" s="197">
        <v>3.5</v>
      </c>
      <c r="I387" s="197">
        <v>17.77</v>
      </c>
      <c r="J387" s="199"/>
      <c r="K387" s="197">
        <v>319.04450000000003</v>
      </c>
      <c r="L387" s="197">
        <v>25125.8</v>
      </c>
      <c r="M387" s="197">
        <v>127617.8</v>
      </c>
      <c r="N387" s="196"/>
      <c r="O387" s="192"/>
    </row>
    <row r="388" spans="1:15" s="53" customFormat="1" x14ac:dyDescent="0.2">
      <c r="A388" s="196" t="s">
        <v>246</v>
      </c>
      <c r="B388" s="197">
        <v>256.10368999999997</v>
      </c>
      <c r="C388" s="197">
        <v>62.814500000000002</v>
      </c>
      <c r="D388" s="198">
        <v>45687</v>
      </c>
      <c r="E388" s="197">
        <v>400</v>
      </c>
      <c r="F388" s="197">
        <v>1794.7</v>
      </c>
      <c r="G388" s="197">
        <v>14.27</v>
      </c>
      <c r="H388" s="197">
        <v>3.5</v>
      </c>
      <c r="I388" s="197">
        <v>17.77</v>
      </c>
      <c r="J388" s="199"/>
      <c r="K388" s="197">
        <v>319.04450000000003</v>
      </c>
      <c r="L388" s="197">
        <v>25125.8</v>
      </c>
      <c r="M388" s="197">
        <v>127617.8</v>
      </c>
      <c r="N388" s="196"/>
      <c r="O388" s="192"/>
    </row>
    <row r="389" spans="1:15" s="53" customFormat="1" x14ac:dyDescent="0.2">
      <c r="A389" s="196" t="s">
        <v>246</v>
      </c>
      <c r="B389" s="197">
        <v>256.10368999999997</v>
      </c>
      <c r="C389" s="197">
        <v>62.814500000000002</v>
      </c>
      <c r="D389" s="198">
        <v>45715</v>
      </c>
      <c r="E389" s="197">
        <v>400</v>
      </c>
      <c r="F389" s="197">
        <v>1794.7</v>
      </c>
      <c r="G389" s="197">
        <v>14.27</v>
      </c>
      <c r="H389" s="197">
        <v>3.5</v>
      </c>
      <c r="I389" s="197">
        <v>17.77</v>
      </c>
      <c r="J389" s="199"/>
      <c r="K389" s="197">
        <v>319.04450000000003</v>
      </c>
      <c r="L389" s="197">
        <v>25125.8</v>
      </c>
      <c r="M389" s="197">
        <v>127617.8</v>
      </c>
      <c r="N389" s="196"/>
      <c r="O389" s="192"/>
    </row>
    <row r="390" spans="1:15" s="53" customFormat="1" x14ac:dyDescent="0.2">
      <c r="A390" s="196" t="s">
        <v>577</v>
      </c>
      <c r="B390" s="197">
        <v>330.58</v>
      </c>
      <c r="C390" s="197">
        <v>54.209800000000001</v>
      </c>
      <c r="D390" s="198">
        <v>45652</v>
      </c>
      <c r="E390" s="197">
        <v>400</v>
      </c>
      <c r="F390" s="197">
        <v>1548.85</v>
      </c>
      <c r="G390" s="197">
        <v>21.34</v>
      </c>
      <c r="H390" s="197">
        <v>3.5</v>
      </c>
      <c r="I390" s="197">
        <v>24.84</v>
      </c>
      <c r="J390" s="199"/>
      <c r="K390" s="197">
        <v>384.78980000000001</v>
      </c>
      <c r="L390" s="197">
        <v>21683.9</v>
      </c>
      <c r="M390" s="197">
        <v>153915.9</v>
      </c>
      <c r="N390" s="196"/>
      <c r="O390" s="192"/>
    </row>
    <row r="391" spans="1:15" s="53" customFormat="1" x14ac:dyDescent="0.2">
      <c r="A391" s="196" t="s">
        <v>577</v>
      </c>
      <c r="B391" s="197">
        <v>330.52458999999999</v>
      </c>
      <c r="C391" s="197">
        <v>54.209800000000001</v>
      </c>
      <c r="D391" s="198">
        <v>45687</v>
      </c>
      <c r="E391" s="197">
        <v>400</v>
      </c>
      <c r="F391" s="197">
        <v>1548.85</v>
      </c>
      <c r="G391" s="197">
        <v>21.34</v>
      </c>
      <c r="H391" s="197">
        <v>3.5</v>
      </c>
      <c r="I391" s="197">
        <v>24.84</v>
      </c>
      <c r="J391" s="199"/>
      <c r="K391" s="197">
        <v>384.78980000000001</v>
      </c>
      <c r="L391" s="197">
        <v>21683.9</v>
      </c>
      <c r="M391" s="197">
        <v>153915.9</v>
      </c>
      <c r="N391" s="196"/>
      <c r="O391" s="192"/>
    </row>
    <row r="392" spans="1:15" s="53" customFormat="1" x14ac:dyDescent="0.2">
      <c r="A392" s="196" t="s">
        <v>577</v>
      </c>
      <c r="B392" s="197">
        <v>330.52458999999999</v>
      </c>
      <c r="C392" s="197">
        <v>54.209800000000001</v>
      </c>
      <c r="D392" s="198">
        <v>45715</v>
      </c>
      <c r="E392" s="197">
        <v>400</v>
      </c>
      <c r="F392" s="197">
        <v>1548.85</v>
      </c>
      <c r="G392" s="197">
        <v>21.34</v>
      </c>
      <c r="H392" s="197">
        <v>3.5</v>
      </c>
      <c r="I392" s="197">
        <v>24.84</v>
      </c>
      <c r="J392" s="199"/>
      <c r="K392" s="197">
        <v>384.78980000000001</v>
      </c>
      <c r="L392" s="197">
        <v>21683.9</v>
      </c>
      <c r="M392" s="197">
        <v>153915.9</v>
      </c>
      <c r="N392" s="196"/>
      <c r="O392" s="192"/>
    </row>
    <row r="393" spans="1:15" s="53" customFormat="1" x14ac:dyDescent="0.2">
      <c r="A393" s="196" t="s">
        <v>474</v>
      </c>
      <c r="B393" s="197">
        <v>472.89</v>
      </c>
      <c r="C393" s="197">
        <v>110.3708</v>
      </c>
      <c r="D393" s="198">
        <v>45652</v>
      </c>
      <c r="E393" s="197">
        <v>150</v>
      </c>
      <c r="F393" s="197">
        <v>3153.45</v>
      </c>
      <c r="G393" s="197">
        <v>14.99</v>
      </c>
      <c r="H393" s="197">
        <v>3.5</v>
      </c>
      <c r="I393" s="197">
        <v>18.489999999999998</v>
      </c>
      <c r="J393" s="199"/>
      <c r="K393" s="197">
        <v>583.26080000000002</v>
      </c>
      <c r="L393" s="197">
        <v>16555.612499999999</v>
      </c>
      <c r="M393" s="197">
        <v>87489.612500000003</v>
      </c>
      <c r="N393" s="196"/>
      <c r="O393" s="192"/>
    </row>
    <row r="394" spans="1:15" s="53" customFormat="1" x14ac:dyDescent="0.2">
      <c r="A394" s="196" t="s">
        <v>474</v>
      </c>
      <c r="B394" s="197">
        <v>472.702155</v>
      </c>
      <c r="C394" s="197">
        <v>110.3708</v>
      </c>
      <c r="D394" s="198">
        <v>45687</v>
      </c>
      <c r="E394" s="197">
        <v>150</v>
      </c>
      <c r="F394" s="197">
        <v>3153.45</v>
      </c>
      <c r="G394" s="197">
        <v>14.99</v>
      </c>
      <c r="H394" s="197">
        <v>3.5</v>
      </c>
      <c r="I394" s="197">
        <v>18.490000000000002</v>
      </c>
      <c r="J394" s="199"/>
      <c r="K394" s="197">
        <v>583.26080000000002</v>
      </c>
      <c r="L394" s="197">
        <v>16555.612499999999</v>
      </c>
      <c r="M394" s="197">
        <v>87489.612500000003</v>
      </c>
      <c r="N394" s="196"/>
      <c r="O394" s="192"/>
    </row>
    <row r="395" spans="1:15" s="53" customFormat="1" x14ac:dyDescent="0.2">
      <c r="A395" s="196" t="s">
        <v>474</v>
      </c>
      <c r="B395" s="197">
        <v>472.702155</v>
      </c>
      <c r="C395" s="197">
        <v>110.3708</v>
      </c>
      <c r="D395" s="198">
        <v>45715</v>
      </c>
      <c r="E395" s="197">
        <v>150</v>
      </c>
      <c r="F395" s="197">
        <v>3153.45</v>
      </c>
      <c r="G395" s="197">
        <v>14.99</v>
      </c>
      <c r="H395" s="197">
        <v>3.5</v>
      </c>
      <c r="I395" s="197">
        <v>18.490000000000002</v>
      </c>
      <c r="J395" s="199"/>
      <c r="K395" s="197">
        <v>583.26080000000002</v>
      </c>
      <c r="L395" s="197">
        <v>16555.612499999999</v>
      </c>
      <c r="M395" s="197">
        <v>87489.612500000003</v>
      </c>
      <c r="N395" s="196"/>
      <c r="O395" s="192"/>
    </row>
    <row r="396" spans="1:15" s="53" customFormat="1" x14ac:dyDescent="0.2">
      <c r="A396" s="196" t="s">
        <v>535</v>
      </c>
      <c r="B396" s="197">
        <v>95.98</v>
      </c>
      <c r="C396" s="197">
        <v>20.046299999999999</v>
      </c>
      <c r="D396" s="198">
        <v>45652</v>
      </c>
      <c r="E396" s="197">
        <v>1700</v>
      </c>
      <c r="F396" s="197">
        <v>572.75</v>
      </c>
      <c r="G396" s="197">
        <v>16.75</v>
      </c>
      <c r="H396" s="197">
        <v>3.5</v>
      </c>
      <c r="I396" s="197">
        <v>20.25</v>
      </c>
      <c r="J396" s="199"/>
      <c r="K396" s="197">
        <v>116.02630000000001</v>
      </c>
      <c r="L396" s="197">
        <v>34078.625</v>
      </c>
      <c r="M396" s="197">
        <v>197244.625</v>
      </c>
      <c r="N396" s="196"/>
      <c r="O396" s="192"/>
    </row>
    <row r="397" spans="1:15" s="53" customFormat="1" x14ac:dyDescent="0.2">
      <c r="A397" s="196" t="s">
        <v>535</v>
      </c>
      <c r="B397" s="197">
        <v>95.935625000000002</v>
      </c>
      <c r="C397" s="197">
        <v>20.046299999999999</v>
      </c>
      <c r="D397" s="198">
        <v>45687</v>
      </c>
      <c r="E397" s="197">
        <v>1700</v>
      </c>
      <c r="F397" s="197">
        <v>572.75</v>
      </c>
      <c r="G397" s="197">
        <v>16.75</v>
      </c>
      <c r="H397" s="197">
        <v>3.5</v>
      </c>
      <c r="I397" s="197">
        <v>20.25</v>
      </c>
      <c r="J397" s="199"/>
      <c r="K397" s="197">
        <v>116.02630000000001</v>
      </c>
      <c r="L397" s="197">
        <v>34078.625</v>
      </c>
      <c r="M397" s="197">
        <v>197244.625</v>
      </c>
      <c r="N397" s="196"/>
      <c r="O397" s="192"/>
    </row>
    <row r="398" spans="1:15" s="53" customFormat="1" x14ac:dyDescent="0.2">
      <c r="A398" s="196" t="s">
        <v>535</v>
      </c>
      <c r="B398" s="197">
        <v>95.935625000000002</v>
      </c>
      <c r="C398" s="197">
        <v>20.046299999999999</v>
      </c>
      <c r="D398" s="198">
        <v>45715</v>
      </c>
      <c r="E398" s="197">
        <v>1700</v>
      </c>
      <c r="F398" s="197">
        <v>572.75</v>
      </c>
      <c r="G398" s="197">
        <v>16.75</v>
      </c>
      <c r="H398" s="197">
        <v>3.5</v>
      </c>
      <c r="I398" s="197">
        <v>20.25</v>
      </c>
      <c r="J398" s="199"/>
      <c r="K398" s="197">
        <v>116.02630000000001</v>
      </c>
      <c r="L398" s="197">
        <v>34078.625</v>
      </c>
      <c r="M398" s="197">
        <v>197244.625</v>
      </c>
      <c r="N398" s="196"/>
      <c r="O398" s="192"/>
    </row>
    <row r="399" spans="1:15" s="53" customFormat="1" x14ac:dyDescent="0.2">
      <c r="A399" s="196" t="s">
        <v>248</v>
      </c>
      <c r="B399" s="197">
        <v>115.55</v>
      </c>
      <c r="C399" s="197">
        <v>22.2898</v>
      </c>
      <c r="D399" s="198">
        <v>45652</v>
      </c>
      <c r="E399" s="197">
        <v>1000</v>
      </c>
      <c r="F399" s="197">
        <v>636.85</v>
      </c>
      <c r="G399" s="197">
        <v>18.14</v>
      </c>
      <c r="H399" s="197">
        <v>3.5</v>
      </c>
      <c r="I399" s="197">
        <v>21.64</v>
      </c>
      <c r="J399" s="199"/>
      <c r="K399" s="197">
        <v>137.8398</v>
      </c>
      <c r="L399" s="197">
        <v>22289.75</v>
      </c>
      <c r="M399" s="197">
        <v>137839.75</v>
      </c>
      <c r="N399" s="196"/>
      <c r="O399" s="192"/>
    </row>
    <row r="400" spans="1:15" s="53" customFormat="1" x14ac:dyDescent="0.2">
      <c r="A400" s="196" t="s">
        <v>248</v>
      </c>
      <c r="B400" s="197">
        <v>115.52459</v>
      </c>
      <c r="C400" s="197">
        <v>22.2898</v>
      </c>
      <c r="D400" s="198">
        <v>45687</v>
      </c>
      <c r="E400" s="197">
        <v>1000</v>
      </c>
      <c r="F400" s="197">
        <v>636.85</v>
      </c>
      <c r="G400" s="197">
        <v>18.14</v>
      </c>
      <c r="H400" s="197">
        <v>3.5</v>
      </c>
      <c r="I400" s="197">
        <v>21.64</v>
      </c>
      <c r="J400" s="199"/>
      <c r="K400" s="197">
        <v>137.8398</v>
      </c>
      <c r="L400" s="197">
        <v>22289.75</v>
      </c>
      <c r="M400" s="197">
        <v>137839.75</v>
      </c>
      <c r="N400" s="196"/>
      <c r="O400" s="192"/>
    </row>
    <row r="401" spans="1:15" s="53" customFormat="1" x14ac:dyDescent="0.2">
      <c r="A401" s="196" t="s">
        <v>248</v>
      </c>
      <c r="B401" s="197">
        <v>115.52459</v>
      </c>
      <c r="C401" s="197">
        <v>22.2898</v>
      </c>
      <c r="D401" s="198">
        <v>45715</v>
      </c>
      <c r="E401" s="197">
        <v>1000</v>
      </c>
      <c r="F401" s="197">
        <v>636.85</v>
      </c>
      <c r="G401" s="197">
        <v>18.14</v>
      </c>
      <c r="H401" s="197">
        <v>3.5</v>
      </c>
      <c r="I401" s="197">
        <v>21.64</v>
      </c>
      <c r="J401" s="199"/>
      <c r="K401" s="197">
        <v>137.8398</v>
      </c>
      <c r="L401" s="197">
        <v>22289.75</v>
      </c>
      <c r="M401" s="197">
        <v>137839.75</v>
      </c>
      <c r="N401" s="196"/>
      <c r="O401" s="192"/>
    </row>
    <row r="402" spans="1:15" s="53" customFormat="1" x14ac:dyDescent="0.2">
      <c r="A402" s="196" t="s">
        <v>607</v>
      </c>
      <c r="B402" s="197">
        <v>167.81</v>
      </c>
      <c r="C402" s="197">
        <v>32.857999999999997</v>
      </c>
      <c r="D402" s="198">
        <v>45652</v>
      </c>
      <c r="E402" s="197">
        <v>575</v>
      </c>
      <c r="F402" s="197">
        <v>938.8</v>
      </c>
      <c r="G402" s="197">
        <v>17.87</v>
      </c>
      <c r="H402" s="197">
        <v>3.5</v>
      </c>
      <c r="I402" s="197">
        <v>21.37</v>
      </c>
      <c r="J402" s="199"/>
      <c r="K402" s="197">
        <v>200.66800000000001</v>
      </c>
      <c r="L402" s="197">
        <v>18893.349999999999</v>
      </c>
      <c r="M402" s="197">
        <v>115384.35</v>
      </c>
      <c r="N402" s="196"/>
      <c r="O402" s="192"/>
    </row>
    <row r="403" spans="1:15" s="53" customFormat="1" x14ac:dyDescent="0.2">
      <c r="A403" s="196" t="s">
        <v>607</v>
      </c>
      <c r="B403" s="197">
        <v>167.76356000000001</v>
      </c>
      <c r="C403" s="197">
        <v>32.857999999999997</v>
      </c>
      <c r="D403" s="198">
        <v>45687</v>
      </c>
      <c r="E403" s="197">
        <v>575</v>
      </c>
      <c r="F403" s="197">
        <v>938.8</v>
      </c>
      <c r="G403" s="197">
        <v>17.87</v>
      </c>
      <c r="H403" s="197">
        <v>3.5</v>
      </c>
      <c r="I403" s="197">
        <v>21.37</v>
      </c>
      <c r="J403" s="199"/>
      <c r="K403" s="197">
        <v>200.66800000000001</v>
      </c>
      <c r="L403" s="197">
        <v>18893.349999999999</v>
      </c>
      <c r="M403" s="197">
        <v>115384.35</v>
      </c>
      <c r="N403" s="196"/>
      <c r="O403" s="192"/>
    </row>
    <row r="404" spans="1:15" s="53" customFormat="1" x14ac:dyDescent="0.2">
      <c r="A404" s="196" t="s">
        <v>607</v>
      </c>
      <c r="B404" s="197">
        <v>167.76356000000001</v>
      </c>
      <c r="C404" s="197">
        <v>32.857999999999997</v>
      </c>
      <c r="D404" s="198">
        <v>45715</v>
      </c>
      <c r="E404" s="197">
        <v>575</v>
      </c>
      <c r="F404" s="197">
        <v>938.8</v>
      </c>
      <c r="G404" s="197">
        <v>17.87</v>
      </c>
      <c r="H404" s="197">
        <v>3.5</v>
      </c>
      <c r="I404" s="197">
        <v>21.37</v>
      </c>
      <c r="J404" s="199"/>
      <c r="K404" s="197">
        <v>200.66800000000001</v>
      </c>
      <c r="L404" s="197">
        <v>18893.349999999999</v>
      </c>
      <c r="M404" s="197">
        <v>115384.35</v>
      </c>
      <c r="N404" s="196"/>
      <c r="O404" s="192"/>
    </row>
    <row r="405" spans="1:15" s="53" customFormat="1" x14ac:dyDescent="0.2">
      <c r="A405" s="196" t="s">
        <v>588</v>
      </c>
      <c r="B405" s="197">
        <v>330.22</v>
      </c>
      <c r="C405" s="197">
        <v>49.384999999999998</v>
      </c>
      <c r="D405" s="198">
        <v>45652</v>
      </c>
      <c r="E405" s="197">
        <v>450</v>
      </c>
      <c r="F405" s="197">
        <v>1411</v>
      </c>
      <c r="G405" s="197">
        <v>23.4</v>
      </c>
      <c r="H405" s="197">
        <v>3.5</v>
      </c>
      <c r="I405" s="197">
        <v>26.9</v>
      </c>
      <c r="J405" s="199"/>
      <c r="K405" s="197">
        <v>379.60500000000002</v>
      </c>
      <c r="L405" s="197">
        <v>22223.25</v>
      </c>
      <c r="M405" s="197">
        <v>170822.25</v>
      </c>
      <c r="N405" s="196"/>
      <c r="O405" s="192"/>
    </row>
    <row r="406" spans="1:15" s="53" customFormat="1" x14ac:dyDescent="0.2">
      <c r="A406" s="196" t="s">
        <v>588</v>
      </c>
      <c r="B406" s="197">
        <v>330.17399999999998</v>
      </c>
      <c r="C406" s="197">
        <v>49.384999999999998</v>
      </c>
      <c r="D406" s="198">
        <v>45687</v>
      </c>
      <c r="E406" s="197">
        <v>450</v>
      </c>
      <c r="F406" s="197">
        <v>1411</v>
      </c>
      <c r="G406" s="197">
        <v>23.4</v>
      </c>
      <c r="H406" s="197">
        <v>3.5</v>
      </c>
      <c r="I406" s="197">
        <v>26.9</v>
      </c>
      <c r="J406" s="199"/>
      <c r="K406" s="197">
        <v>379.60500000000002</v>
      </c>
      <c r="L406" s="197">
        <v>22223.25</v>
      </c>
      <c r="M406" s="197">
        <v>170822.25</v>
      </c>
      <c r="N406" s="196"/>
      <c r="O406" s="192"/>
    </row>
    <row r="407" spans="1:15" s="53" customFormat="1" x14ac:dyDescent="0.2">
      <c r="A407" s="196" t="s">
        <v>588</v>
      </c>
      <c r="B407" s="197">
        <v>330.17399999999998</v>
      </c>
      <c r="C407" s="197">
        <v>49.384999999999998</v>
      </c>
      <c r="D407" s="198">
        <v>45715</v>
      </c>
      <c r="E407" s="197">
        <v>450</v>
      </c>
      <c r="F407" s="197">
        <v>1411</v>
      </c>
      <c r="G407" s="197">
        <v>23.4</v>
      </c>
      <c r="H407" s="197">
        <v>3.5</v>
      </c>
      <c r="I407" s="197">
        <v>26.9</v>
      </c>
      <c r="J407" s="199"/>
      <c r="K407" s="197">
        <v>379.60500000000002</v>
      </c>
      <c r="L407" s="197">
        <v>22223.25</v>
      </c>
      <c r="M407" s="197">
        <v>170822.25</v>
      </c>
      <c r="N407" s="196"/>
      <c r="O407" s="192"/>
    </row>
    <row r="408" spans="1:15" s="53" customFormat="1" x14ac:dyDescent="0.2">
      <c r="A408" s="196" t="s">
        <v>249</v>
      </c>
      <c r="B408" s="197">
        <v>559.20000000000005</v>
      </c>
      <c r="C408" s="197">
        <v>137.08629999999999</v>
      </c>
      <c r="D408" s="198">
        <v>45652</v>
      </c>
      <c r="E408" s="197">
        <v>150</v>
      </c>
      <c r="F408" s="197">
        <v>3916.75</v>
      </c>
      <c r="G408" s="197">
        <v>14.27</v>
      </c>
      <c r="H408" s="197">
        <v>3.5</v>
      </c>
      <c r="I408" s="197">
        <v>17.77</v>
      </c>
      <c r="J408" s="199"/>
      <c r="K408" s="197">
        <v>696.28629999999998</v>
      </c>
      <c r="L408" s="197">
        <v>20562.9375</v>
      </c>
      <c r="M408" s="197">
        <v>104442.9375</v>
      </c>
      <c r="N408" s="196"/>
      <c r="O408" s="192"/>
    </row>
    <row r="409" spans="1:15" s="53" customFormat="1" x14ac:dyDescent="0.2">
      <c r="A409" s="196" t="s">
        <v>249</v>
      </c>
      <c r="B409" s="197">
        <v>558.92022499999996</v>
      </c>
      <c r="C409" s="197">
        <v>137.08629999999999</v>
      </c>
      <c r="D409" s="198">
        <v>45687</v>
      </c>
      <c r="E409" s="197">
        <v>150</v>
      </c>
      <c r="F409" s="197">
        <v>3916.75</v>
      </c>
      <c r="G409" s="197">
        <v>14.27</v>
      </c>
      <c r="H409" s="197">
        <v>3.5</v>
      </c>
      <c r="I409" s="197">
        <v>17.77</v>
      </c>
      <c r="J409" s="199"/>
      <c r="K409" s="197">
        <v>696.28629999999998</v>
      </c>
      <c r="L409" s="197">
        <v>20562.9375</v>
      </c>
      <c r="M409" s="197">
        <v>104442.9375</v>
      </c>
      <c r="N409" s="196"/>
      <c r="O409" s="192"/>
    </row>
    <row r="410" spans="1:15" s="53" customFormat="1" x14ac:dyDescent="0.2">
      <c r="A410" s="196" t="s">
        <v>249</v>
      </c>
      <c r="B410" s="197">
        <v>558.92022499999996</v>
      </c>
      <c r="C410" s="197">
        <v>137.08629999999999</v>
      </c>
      <c r="D410" s="198">
        <v>45715</v>
      </c>
      <c r="E410" s="197">
        <v>150</v>
      </c>
      <c r="F410" s="197">
        <v>3916.75</v>
      </c>
      <c r="G410" s="197">
        <v>14.27</v>
      </c>
      <c r="H410" s="197">
        <v>3.5</v>
      </c>
      <c r="I410" s="197">
        <v>17.77</v>
      </c>
      <c r="J410" s="199"/>
      <c r="K410" s="197">
        <v>696.28629999999998</v>
      </c>
      <c r="L410" s="197">
        <v>20562.9375</v>
      </c>
      <c r="M410" s="197">
        <v>104442.9375</v>
      </c>
      <c r="N410" s="196"/>
      <c r="O410" s="192"/>
    </row>
    <row r="411" spans="1:15" s="53" customFormat="1" x14ac:dyDescent="0.2">
      <c r="A411" s="196" t="s">
        <v>565</v>
      </c>
      <c r="B411" s="197">
        <v>27.13</v>
      </c>
      <c r="C411" s="197">
        <v>5.2518000000000002</v>
      </c>
      <c r="D411" s="198">
        <v>45652</v>
      </c>
      <c r="E411" s="197">
        <v>4462</v>
      </c>
      <c r="F411" s="197">
        <v>150.05000000000001</v>
      </c>
      <c r="G411" s="197">
        <v>18.079999999999998</v>
      </c>
      <c r="H411" s="197">
        <v>3.5</v>
      </c>
      <c r="I411" s="197">
        <v>21.58</v>
      </c>
      <c r="J411" s="199"/>
      <c r="K411" s="197">
        <v>32.381799999999998</v>
      </c>
      <c r="L411" s="197">
        <v>23433.308499999999</v>
      </c>
      <c r="M411" s="197">
        <v>144487.30850000001</v>
      </c>
      <c r="N411" s="196"/>
      <c r="O411" s="192"/>
    </row>
    <row r="412" spans="1:15" s="53" customFormat="1" x14ac:dyDescent="0.2">
      <c r="A412" s="196" t="s">
        <v>565</v>
      </c>
      <c r="B412" s="197">
        <v>27.12904</v>
      </c>
      <c r="C412" s="197">
        <v>5.2518000000000002</v>
      </c>
      <c r="D412" s="198">
        <v>45687</v>
      </c>
      <c r="E412" s="197">
        <v>4462</v>
      </c>
      <c r="F412" s="197">
        <v>150.05000000000001</v>
      </c>
      <c r="G412" s="197">
        <v>18.079999999999998</v>
      </c>
      <c r="H412" s="197">
        <v>3.5</v>
      </c>
      <c r="I412" s="197">
        <v>21.58</v>
      </c>
      <c r="J412" s="199"/>
      <c r="K412" s="197">
        <v>32.381799999999998</v>
      </c>
      <c r="L412" s="197">
        <v>23433.308499999999</v>
      </c>
      <c r="M412" s="197">
        <v>144487.30850000001</v>
      </c>
      <c r="N412" s="196"/>
      <c r="O412" s="192"/>
    </row>
    <row r="413" spans="1:15" s="53" customFormat="1" x14ac:dyDescent="0.2">
      <c r="A413" s="196" t="s">
        <v>565</v>
      </c>
      <c r="B413" s="197">
        <v>27.12904</v>
      </c>
      <c r="C413" s="197">
        <v>5.2518000000000002</v>
      </c>
      <c r="D413" s="198">
        <v>45715</v>
      </c>
      <c r="E413" s="197">
        <v>4462</v>
      </c>
      <c r="F413" s="197">
        <v>150.05000000000001</v>
      </c>
      <c r="G413" s="197">
        <v>18.079999999999998</v>
      </c>
      <c r="H413" s="197">
        <v>3.5</v>
      </c>
      <c r="I413" s="197">
        <v>21.58</v>
      </c>
      <c r="J413" s="199"/>
      <c r="K413" s="197">
        <v>32.381799999999998</v>
      </c>
      <c r="L413" s="197">
        <v>23433.308499999999</v>
      </c>
      <c r="M413" s="197">
        <v>144487.30850000001</v>
      </c>
      <c r="N413" s="196"/>
      <c r="O413" s="192"/>
    </row>
    <row r="414" spans="1:15" s="53" customFormat="1" x14ac:dyDescent="0.2">
      <c r="A414" s="196" t="s">
        <v>561</v>
      </c>
      <c r="B414" s="197">
        <v>950.61</v>
      </c>
      <c r="C414" s="197">
        <v>230.95099999999999</v>
      </c>
      <c r="D414" s="198">
        <v>45652</v>
      </c>
      <c r="E414" s="197">
        <v>150</v>
      </c>
      <c r="F414" s="197">
        <v>6598.6</v>
      </c>
      <c r="G414" s="197">
        <v>14.4</v>
      </c>
      <c r="H414" s="197">
        <v>3.5</v>
      </c>
      <c r="I414" s="197">
        <v>17.899999999999999</v>
      </c>
      <c r="J414" s="199"/>
      <c r="K414" s="197">
        <v>1181.5609999999999</v>
      </c>
      <c r="L414" s="197">
        <v>34642.65</v>
      </c>
      <c r="M414" s="197">
        <v>177234.65</v>
      </c>
      <c r="N414" s="196"/>
      <c r="O414" s="192"/>
    </row>
    <row r="415" spans="1:15" s="53" customFormat="1" x14ac:dyDescent="0.2">
      <c r="A415" s="196" t="s">
        <v>561</v>
      </c>
      <c r="B415" s="197">
        <v>950.19839999999999</v>
      </c>
      <c r="C415" s="197">
        <v>230.95099999999999</v>
      </c>
      <c r="D415" s="198">
        <v>45687</v>
      </c>
      <c r="E415" s="197">
        <v>150</v>
      </c>
      <c r="F415" s="197">
        <v>6598.6</v>
      </c>
      <c r="G415" s="197">
        <v>14.4</v>
      </c>
      <c r="H415" s="197">
        <v>3.5</v>
      </c>
      <c r="I415" s="197">
        <v>17.899999999999999</v>
      </c>
      <c r="J415" s="199"/>
      <c r="K415" s="197">
        <v>1181.5609999999999</v>
      </c>
      <c r="L415" s="197">
        <v>34642.65</v>
      </c>
      <c r="M415" s="197">
        <v>177234.65</v>
      </c>
      <c r="N415" s="196"/>
      <c r="O415" s="192"/>
    </row>
    <row r="416" spans="1:15" s="53" customFormat="1" x14ac:dyDescent="0.2">
      <c r="A416" s="196" t="s">
        <v>561</v>
      </c>
      <c r="B416" s="197">
        <v>950.19839999999999</v>
      </c>
      <c r="C416" s="197">
        <v>230.95099999999999</v>
      </c>
      <c r="D416" s="198">
        <v>45715</v>
      </c>
      <c r="E416" s="197">
        <v>150</v>
      </c>
      <c r="F416" s="197">
        <v>6598.6</v>
      </c>
      <c r="G416" s="197">
        <v>14.4</v>
      </c>
      <c r="H416" s="197">
        <v>3.5</v>
      </c>
      <c r="I416" s="197">
        <v>17.899999999999999</v>
      </c>
      <c r="J416" s="199"/>
      <c r="K416" s="197">
        <v>1181.5609999999999</v>
      </c>
      <c r="L416" s="197">
        <v>34642.65</v>
      </c>
      <c r="M416" s="197">
        <v>177234.65</v>
      </c>
      <c r="N416" s="196"/>
      <c r="O416" s="192"/>
    </row>
    <row r="417" spans="1:15" s="53" customFormat="1" x14ac:dyDescent="0.2">
      <c r="A417" s="196" t="s">
        <v>488</v>
      </c>
      <c r="B417" s="197">
        <v>829.6</v>
      </c>
      <c r="C417" s="197">
        <v>187.95349999999999</v>
      </c>
      <c r="D417" s="198">
        <v>45652</v>
      </c>
      <c r="E417" s="197">
        <v>100</v>
      </c>
      <c r="F417" s="197">
        <v>5370.1</v>
      </c>
      <c r="G417" s="197">
        <v>15.44</v>
      </c>
      <c r="H417" s="197">
        <v>3.5</v>
      </c>
      <c r="I417" s="197">
        <v>18.940000000000001</v>
      </c>
      <c r="J417" s="199"/>
      <c r="K417" s="197">
        <v>1017.5535</v>
      </c>
      <c r="L417" s="197">
        <v>18795.349999999999</v>
      </c>
      <c r="M417" s="197">
        <v>101755.35</v>
      </c>
      <c r="N417" s="196"/>
      <c r="O417" s="192"/>
    </row>
    <row r="418" spans="1:15" s="53" customFormat="1" x14ac:dyDescent="0.2">
      <c r="A418" s="196" t="s">
        <v>488</v>
      </c>
      <c r="B418" s="197">
        <v>829.14344000000006</v>
      </c>
      <c r="C418" s="197">
        <v>187.95349999999999</v>
      </c>
      <c r="D418" s="198">
        <v>45687</v>
      </c>
      <c r="E418" s="197">
        <v>100</v>
      </c>
      <c r="F418" s="197">
        <v>5370.1</v>
      </c>
      <c r="G418" s="197">
        <v>15.44</v>
      </c>
      <c r="H418" s="197">
        <v>3.5</v>
      </c>
      <c r="I418" s="197">
        <v>18.939999999999998</v>
      </c>
      <c r="J418" s="199"/>
      <c r="K418" s="197">
        <v>1017.5535</v>
      </c>
      <c r="L418" s="197">
        <v>18795.349999999999</v>
      </c>
      <c r="M418" s="197">
        <v>101755.35</v>
      </c>
      <c r="N418" s="196"/>
      <c r="O418" s="192"/>
    </row>
    <row r="419" spans="1:15" s="53" customFormat="1" x14ac:dyDescent="0.2">
      <c r="A419" s="196" t="s">
        <v>488</v>
      </c>
      <c r="B419" s="197">
        <v>829.14344000000006</v>
      </c>
      <c r="C419" s="197">
        <v>187.95349999999999</v>
      </c>
      <c r="D419" s="198">
        <v>45715</v>
      </c>
      <c r="E419" s="197">
        <v>100</v>
      </c>
      <c r="F419" s="197">
        <v>5370.1</v>
      </c>
      <c r="G419" s="197">
        <v>15.44</v>
      </c>
      <c r="H419" s="197">
        <v>3.5</v>
      </c>
      <c r="I419" s="197">
        <v>18.939999999999998</v>
      </c>
      <c r="J419" s="199"/>
      <c r="K419" s="197">
        <v>1017.5535</v>
      </c>
      <c r="L419" s="197">
        <v>18795.349999999999</v>
      </c>
      <c r="M419" s="197">
        <v>101755.35</v>
      </c>
      <c r="N419" s="196"/>
      <c r="O419" s="192"/>
    </row>
    <row r="420" spans="1:15" s="53" customFormat="1" x14ac:dyDescent="0.2">
      <c r="A420" s="196" t="s">
        <v>250</v>
      </c>
      <c r="B420" s="197">
        <v>307.01</v>
      </c>
      <c r="C420" s="197">
        <v>75.263999999999996</v>
      </c>
      <c r="D420" s="198">
        <v>45652</v>
      </c>
      <c r="E420" s="197">
        <v>425</v>
      </c>
      <c r="F420" s="197">
        <v>2150.4</v>
      </c>
      <c r="G420" s="197">
        <v>14.27</v>
      </c>
      <c r="H420" s="197">
        <v>3.5</v>
      </c>
      <c r="I420" s="197">
        <v>17.77</v>
      </c>
      <c r="J420" s="199"/>
      <c r="K420" s="197">
        <v>382.274</v>
      </c>
      <c r="L420" s="197">
        <v>31987.200000000001</v>
      </c>
      <c r="M420" s="197">
        <v>162466.20000000001</v>
      </c>
      <c r="N420" s="196"/>
      <c r="O420" s="192"/>
    </row>
    <row r="421" spans="1:15" s="53" customFormat="1" x14ac:dyDescent="0.2">
      <c r="A421" s="196" t="s">
        <v>250</v>
      </c>
      <c r="B421" s="197">
        <v>306.86207999999999</v>
      </c>
      <c r="C421" s="197">
        <v>75.263999999999996</v>
      </c>
      <c r="D421" s="198">
        <v>45687</v>
      </c>
      <c r="E421" s="197">
        <v>425</v>
      </c>
      <c r="F421" s="197">
        <v>2150.4</v>
      </c>
      <c r="G421" s="197">
        <v>14.27</v>
      </c>
      <c r="H421" s="197">
        <v>3.5</v>
      </c>
      <c r="I421" s="197">
        <v>17.77</v>
      </c>
      <c r="J421" s="199"/>
      <c r="K421" s="197">
        <v>382.274</v>
      </c>
      <c r="L421" s="197">
        <v>31987.200000000001</v>
      </c>
      <c r="M421" s="197">
        <v>162466.20000000001</v>
      </c>
      <c r="N421" s="196"/>
      <c r="O421" s="192"/>
    </row>
    <row r="422" spans="1:15" s="53" customFormat="1" x14ac:dyDescent="0.2">
      <c r="A422" s="196" t="s">
        <v>250</v>
      </c>
      <c r="B422" s="197">
        <v>306.86207999999999</v>
      </c>
      <c r="C422" s="197">
        <v>75.263999999999996</v>
      </c>
      <c r="D422" s="198">
        <v>45715</v>
      </c>
      <c r="E422" s="197">
        <v>425</v>
      </c>
      <c r="F422" s="197">
        <v>2150.4</v>
      </c>
      <c r="G422" s="197">
        <v>14.27</v>
      </c>
      <c r="H422" s="197">
        <v>3.5</v>
      </c>
      <c r="I422" s="197">
        <v>17.77</v>
      </c>
      <c r="J422" s="199"/>
      <c r="K422" s="197">
        <v>382.274</v>
      </c>
      <c r="L422" s="197">
        <v>31987.200000000001</v>
      </c>
      <c r="M422" s="197">
        <v>162466.20000000001</v>
      </c>
      <c r="N422" s="196"/>
      <c r="O422" s="192"/>
    </row>
    <row r="423" spans="1:15" s="53" customFormat="1" x14ac:dyDescent="0.2">
      <c r="A423" s="196" t="s">
        <v>251</v>
      </c>
      <c r="B423" s="197">
        <v>494.41</v>
      </c>
      <c r="C423" s="197">
        <v>107.5218</v>
      </c>
      <c r="D423" s="198">
        <v>45652</v>
      </c>
      <c r="E423" s="197">
        <v>175</v>
      </c>
      <c r="F423" s="197">
        <v>3072.05</v>
      </c>
      <c r="G423" s="197">
        <v>16.09</v>
      </c>
      <c r="H423" s="197">
        <v>3.5</v>
      </c>
      <c r="I423" s="197">
        <v>19.59</v>
      </c>
      <c r="J423" s="199"/>
      <c r="K423" s="197">
        <v>601.93179999999995</v>
      </c>
      <c r="L423" s="197">
        <v>18816.3063</v>
      </c>
      <c r="M423" s="197">
        <v>105338.3063</v>
      </c>
      <c r="N423" s="196"/>
      <c r="O423" s="192"/>
    </row>
    <row r="424" spans="1:15" s="53" customFormat="1" x14ac:dyDescent="0.2">
      <c r="A424" s="196" t="s">
        <v>251</v>
      </c>
      <c r="B424" s="197">
        <v>494.292845</v>
      </c>
      <c r="C424" s="197">
        <v>107.5218</v>
      </c>
      <c r="D424" s="198">
        <v>45687</v>
      </c>
      <c r="E424" s="197">
        <v>175</v>
      </c>
      <c r="F424" s="197">
        <v>3072.05</v>
      </c>
      <c r="G424" s="197">
        <v>16.09</v>
      </c>
      <c r="H424" s="197">
        <v>3.5</v>
      </c>
      <c r="I424" s="197">
        <v>19.59</v>
      </c>
      <c r="J424" s="199"/>
      <c r="K424" s="197">
        <v>601.93179999999995</v>
      </c>
      <c r="L424" s="197">
        <v>18816.3063</v>
      </c>
      <c r="M424" s="197">
        <v>105338.3063</v>
      </c>
      <c r="N424" s="196"/>
      <c r="O424" s="192"/>
    </row>
    <row r="425" spans="1:15" s="53" customFormat="1" x14ac:dyDescent="0.2">
      <c r="A425" s="196" t="s">
        <v>251</v>
      </c>
      <c r="B425" s="197">
        <v>494.292845</v>
      </c>
      <c r="C425" s="197">
        <v>107.5218</v>
      </c>
      <c r="D425" s="198">
        <v>45715</v>
      </c>
      <c r="E425" s="197">
        <v>175</v>
      </c>
      <c r="F425" s="197">
        <v>3072.05</v>
      </c>
      <c r="G425" s="197">
        <v>16.09</v>
      </c>
      <c r="H425" s="197">
        <v>3.5</v>
      </c>
      <c r="I425" s="197">
        <v>19.59</v>
      </c>
      <c r="J425" s="199"/>
      <c r="K425" s="197">
        <v>601.93179999999995</v>
      </c>
      <c r="L425" s="197">
        <v>18816.3063</v>
      </c>
      <c r="M425" s="197">
        <v>105338.3063</v>
      </c>
      <c r="N425" s="196"/>
      <c r="O425" s="192"/>
    </row>
    <row r="426" spans="1:15" s="53" customFormat="1" x14ac:dyDescent="0.2">
      <c r="A426" s="196" t="s">
        <v>252</v>
      </c>
      <c r="B426" s="197">
        <v>48.44</v>
      </c>
      <c r="C426" s="197">
        <v>9.9068000000000005</v>
      </c>
      <c r="D426" s="198">
        <v>45652</v>
      </c>
      <c r="E426" s="197">
        <v>2000</v>
      </c>
      <c r="F426" s="197">
        <v>283.05</v>
      </c>
      <c r="G426" s="197">
        <v>17.11</v>
      </c>
      <c r="H426" s="197">
        <v>3.5</v>
      </c>
      <c r="I426" s="197">
        <v>20.61</v>
      </c>
      <c r="J426" s="199"/>
      <c r="K426" s="197">
        <v>58.346800000000002</v>
      </c>
      <c r="L426" s="197">
        <v>19813.5</v>
      </c>
      <c r="M426" s="197">
        <v>116693.5</v>
      </c>
      <c r="N426" s="196"/>
      <c r="O426" s="192"/>
    </row>
    <row r="427" spans="1:15" s="53" customFormat="1" x14ac:dyDescent="0.2">
      <c r="A427" s="196" t="s">
        <v>252</v>
      </c>
      <c r="B427" s="197">
        <v>48.429855000000003</v>
      </c>
      <c r="C427" s="197">
        <v>9.9068000000000005</v>
      </c>
      <c r="D427" s="198">
        <v>45687</v>
      </c>
      <c r="E427" s="197">
        <v>2000</v>
      </c>
      <c r="F427" s="197">
        <v>283.05</v>
      </c>
      <c r="G427" s="197">
        <v>17.11</v>
      </c>
      <c r="H427" s="197">
        <v>3.5</v>
      </c>
      <c r="I427" s="197">
        <v>20.61</v>
      </c>
      <c r="J427" s="199"/>
      <c r="K427" s="197">
        <v>58.346800000000002</v>
      </c>
      <c r="L427" s="197">
        <v>19813.5</v>
      </c>
      <c r="M427" s="197">
        <v>116693.5</v>
      </c>
      <c r="N427" s="196"/>
      <c r="O427" s="192"/>
    </row>
    <row r="428" spans="1:15" s="53" customFormat="1" x14ac:dyDescent="0.2">
      <c r="A428" s="196" t="s">
        <v>252</v>
      </c>
      <c r="B428" s="197">
        <v>48.429855000000003</v>
      </c>
      <c r="C428" s="197">
        <v>9.9068000000000005</v>
      </c>
      <c r="D428" s="198">
        <v>45715</v>
      </c>
      <c r="E428" s="197">
        <v>2000</v>
      </c>
      <c r="F428" s="197">
        <v>283.05</v>
      </c>
      <c r="G428" s="197">
        <v>17.11</v>
      </c>
      <c r="H428" s="197">
        <v>3.5</v>
      </c>
      <c r="I428" s="197">
        <v>20.61</v>
      </c>
      <c r="J428" s="199"/>
      <c r="K428" s="197">
        <v>58.346800000000002</v>
      </c>
      <c r="L428" s="197">
        <v>19813.5</v>
      </c>
      <c r="M428" s="197">
        <v>116693.5</v>
      </c>
      <c r="N428" s="196"/>
      <c r="O428" s="192"/>
    </row>
    <row r="429" spans="1:15" s="53" customFormat="1" x14ac:dyDescent="0.2">
      <c r="A429" s="196" t="s">
        <v>253</v>
      </c>
      <c r="B429" s="197">
        <v>40.18</v>
      </c>
      <c r="C429" s="197">
        <v>15.54</v>
      </c>
      <c r="D429" s="198">
        <v>45652</v>
      </c>
      <c r="E429" s="197">
        <v>3000</v>
      </c>
      <c r="F429" s="197">
        <v>177.6</v>
      </c>
      <c r="G429" s="197">
        <v>22.62</v>
      </c>
      <c r="H429" s="197">
        <v>8.75</v>
      </c>
      <c r="I429" s="197">
        <v>31.37</v>
      </c>
      <c r="J429" s="199"/>
      <c r="K429" s="197">
        <v>55.72</v>
      </c>
      <c r="L429" s="197">
        <v>46620</v>
      </c>
      <c r="M429" s="197">
        <v>167160</v>
      </c>
      <c r="N429" s="196"/>
      <c r="O429" s="192"/>
    </row>
    <row r="430" spans="1:15" s="53" customFormat="1" x14ac:dyDescent="0.2">
      <c r="A430" s="196" t="s">
        <v>253</v>
      </c>
      <c r="B430" s="197">
        <v>40.173119999999997</v>
      </c>
      <c r="C430" s="197">
        <v>15.54</v>
      </c>
      <c r="D430" s="198">
        <v>45687</v>
      </c>
      <c r="E430" s="197">
        <v>3000</v>
      </c>
      <c r="F430" s="197">
        <v>177.6</v>
      </c>
      <c r="G430" s="197">
        <v>22.62</v>
      </c>
      <c r="H430" s="197">
        <v>8.75</v>
      </c>
      <c r="I430" s="197">
        <v>31.37</v>
      </c>
      <c r="J430" s="199"/>
      <c r="K430" s="197">
        <v>55.72</v>
      </c>
      <c r="L430" s="197">
        <v>46620</v>
      </c>
      <c r="M430" s="197">
        <v>167160</v>
      </c>
      <c r="N430" s="196"/>
      <c r="O430" s="192"/>
    </row>
    <row r="431" spans="1:15" s="53" customFormat="1" x14ac:dyDescent="0.2">
      <c r="A431" s="196" t="s">
        <v>253</v>
      </c>
      <c r="B431" s="197">
        <v>40.173119999999997</v>
      </c>
      <c r="C431" s="197">
        <v>15.54</v>
      </c>
      <c r="D431" s="198">
        <v>45715</v>
      </c>
      <c r="E431" s="197">
        <v>3000</v>
      </c>
      <c r="F431" s="197">
        <v>177.6</v>
      </c>
      <c r="G431" s="197">
        <v>22.62</v>
      </c>
      <c r="H431" s="197">
        <v>8.75</v>
      </c>
      <c r="I431" s="197">
        <v>31.37</v>
      </c>
      <c r="J431" s="199"/>
      <c r="K431" s="197">
        <v>55.72</v>
      </c>
      <c r="L431" s="197">
        <v>46620</v>
      </c>
      <c r="M431" s="197">
        <v>167160</v>
      </c>
      <c r="N431" s="196"/>
      <c r="O431" s="192"/>
    </row>
    <row r="432" spans="1:15" s="53" customFormat="1" x14ac:dyDescent="0.2">
      <c r="A432" s="196" t="s">
        <v>254</v>
      </c>
      <c r="B432" s="197">
        <v>90.36</v>
      </c>
      <c r="C432" s="197">
        <v>22.151499999999999</v>
      </c>
      <c r="D432" s="198">
        <v>45652</v>
      </c>
      <c r="E432" s="197">
        <v>1200</v>
      </c>
      <c r="F432" s="197">
        <v>632.9</v>
      </c>
      <c r="G432" s="197">
        <v>14.27</v>
      </c>
      <c r="H432" s="197">
        <v>3.5</v>
      </c>
      <c r="I432" s="197">
        <v>17.77</v>
      </c>
      <c r="J432" s="199"/>
      <c r="K432" s="197">
        <v>112.5115</v>
      </c>
      <c r="L432" s="197">
        <v>26581.8</v>
      </c>
      <c r="M432" s="197">
        <v>135013.79999999999</v>
      </c>
      <c r="N432" s="196"/>
      <c r="O432" s="192"/>
    </row>
    <row r="433" spans="1:15" s="53" customFormat="1" x14ac:dyDescent="0.2">
      <c r="A433" s="196" t="s">
        <v>254</v>
      </c>
      <c r="B433" s="197">
        <v>90.314830000000001</v>
      </c>
      <c r="C433" s="197">
        <v>22.151499999999999</v>
      </c>
      <c r="D433" s="198">
        <v>45687</v>
      </c>
      <c r="E433" s="197">
        <v>1200</v>
      </c>
      <c r="F433" s="197">
        <v>632.9</v>
      </c>
      <c r="G433" s="197">
        <v>14.27</v>
      </c>
      <c r="H433" s="197">
        <v>3.5</v>
      </c>
      <c r="I433" s="197">
        <v>17.77</v>
      </c>
      <c r="J433" s="199"/>
      <c r="K433" s="197">
        <v>112.5115</v>
      </c>
      <c r="L433" s="197">
        <v>26581.8</v>
      </c>
      <c r="M433" s="197">
        <v>135013.79999999999</v>
      </c>
      <c r="N433" s="196"/>
      <c r="O433" s="192"/>
    </row>
    <row r="434" spans="1:15" s="53" customFormat="1" x14ac:dyDescent="0.2">
      <c r="A434" s="196" t="s">
        <v>254</v>
      </c>
      <c r="B434" s="197">
        <v>90.314830000000001</v>
      </c>
      <c r="C434" s="197">
        <v>22.151499999999999</v>
      </c>
      <c r="D434" s="198">
        <v>45715</v>
      </c>
      <c r="E434" s="197">
        <v>1200</v>
      </c>
      <c r="F434" s="197">
        <v>632.9</v>
      </c>
      <c r="G434" s="197">
        <v>14.27</v>
      </c>
      <c r="H434" s="197">
        <v>3.5</v>
      </c>
      <c r="I434" s="197">
        <v>17.77</v>
      </c>
      <c r="J434" s="199"/>
      <c r="K434" s="197">
        <v>112.5115</v>
      </c>
      <c r="L434" s="197">
        <v>26581.8</v>
      </c>
      <c r="M434" s="197">
        <v>135013.79999999999</v>
      </c>
      <c r="N434" s="196"/>
      <c r="O434" s="192"/>
    </row>
    <row r="435" spans="1:15" s="53" customFormat="1" x14ac:dyDescent="0.2">
      <c r="A435" s="196" t="s">
        <v>255</v>
      </c>
      <c r="B435" s="197">
        <v>1610.14</v>
      </c>
      <c r="C435" s="197">
        <v>394.72300000000001</v>
      </c>
      <c r="D435" s="198">
        <v>45652</v>
      </c>
      <c r="E435" s="197">
        <v>50</v>
      </c>
      <c r="F435" s="197">
        <v>11277.8</v>
      </c>
      <c r="G435" s="197">
        <v>14.27</v>
      </c>
      <c r="H435" s="197">
        <v>3.5</v>
      </c>
      <c r="I435" s="197">
        <v>17.77</v>
      </c>
      <c r="J435" s="199"/>
      <c r="K435" s="197">
        <v>2004.8630000000001</v>
      </c>
      <c r="L435" s="197">
        <v>19736.150000000001</v>
      </c>
      <c r="M435" s="197">
        <v>100243.15</v>
      </c>
      <c r="N435" s="196"/>
      <c r="O435" s="192"/>
    </row>
    <row r="436" spans="1:15" s="53" customFormat="1" x14ac:dyDescent="0.2">
      <c r="A436" s="196" t="s">
        <v>255</v>
      </c>
      <c r="B436" s="197">
        <v>1609.3420599999999</v>
      </c>
      <c r="C436" s="197">
        <v>394.72300000000001</v>
      </c>
      <c r="D436" s="198">
        <v>45687</v>
      </c>
      <c r="E436" s="197">
        <v>50</v>
      </c>
      <c r="F436" s="197">
        <v>11277.8</v>
      </c>
      <c r="G436" s="197">
        <v>14.27</v>
      </c>
      <c r="H436" s="197">
        <v>3.5</v>
      </c>
      <c r="I436" s="197">
        <v>17.77</v>
      </c>
      <c r="J436" s="199"/>
      <c r="K436" s="197">
        <v>2004.8630000000001</v>
      </c>
      <c r="L436" s="197">
        <v>19736.150000000001</v>
      </c>
      <c r="M436" s="197">
        <v>100243.15</v>
      </c>
      <c r="N436" s="196"/>
      <c r="O436" s="192"/>
    </row>
    <row r="437" spans="1:15" x14ac:dyDescent="0.2">
      <c r="A437" s="196" t="s">
        <v>255</v>
      </c>
      <c r="B437" s="197">
        <v>1609.3420599999999</v>
      </c>
      <c r="C437" s="197">
        <v>394.72300000000001</v>
      </c>
      <c r="D437" s="198">
        <v>45715</v>
      </c>
      <c r="E437" s="197">
        <v>50</v>
      </c>
      <c r="F437" s="197">
        <v>11277.8</v>
      </c>
      <c r="G437" s="197">
        <v>14.27</v>
      </c>
      <c r="H437" s="197">
        <v>3.5</v>
      </c>
      <c r="I437" s="197">
        <v>17.77</v>
      </c>
      <c r="J437" s="199"/>
      <c r="K437" s="197">
        <v>2004.8630000000001</v>
      </c>
      <c r="L437" s="197">
        <v>19736.150000000001</v>
      </c>
      <c r="M437" s="197">
        <v>100243.15</v>
      </c>
      <c r="N437" s="196"/>
      <c r="O437" s="194"/>
    </row>
    <row r="438" spans="1:15" x14ac:dyDescent="0.2">
      <c r="A438" s="196" t="s">
        <v>603</v>
      </c>
      <c r="B438" s="197">
        <v>221.33</v>
      </c>
      <c r="C438" s="197">
        <v>39.627000000000002</v>
      </c>
      <c r="D438" s="198">
        <v>45652</v>
      </c>
      <c r="E438" s="197">
        <v>525</v>
      </c>
      <c r="F438" s="197">
        <v>1132.2</v>
      </c>
      <c r="G438" s="197">
        <v>19.54</v>
      </c>
      <c r="H438" s="197">
        <v>3.5</v>
      </c>
      <c r="I438" s="197">
        <v>23.04</v>
      </c>
      <c r="J438" s="199"/>
      <c r="K438" s="197">
        <v>260.95699999999999</v>
      </c>
      <c r="L438" s="197">
        <v>20804.174999999999</v>
      </c>
      <c r="M438" s="197">
        <v>137002.17499999999</v>
      </c>
      <c r="N438" s="196"/>
      <c r="O438" s="194"/>
    </row>
    <row r="439" spans="1:15" x14ac:dyDescent="0.2">
      <c r="A439" s="196" t="s">
        <v>603</v>
      </c>
      <c r="B439" s="197">
        <v>221.23187999999999</v>
      </c>
      <c r="C439" s="197">
        <v>39.627000000000002</v>
      </c>
      <c r="D439" s="198">
        <v>45687</v>
      </c>
      <c r="E439" s="197">
        <v>525</v>
      </c>
      <c r="F439" s="197">
        <v>1132.2</v>
      </c>
      <c r="G439" s="197">
        <v>19.54</v>
      </c>
      <c r="H439" s="197">
        <v>3.5</v>
      </c>
      <c r="I439" s="197">
        <v>23.04</v>
      </c>
      <c r="J439" s="199"/>
      <c r="K439" s="197">
        <v>260.95699999999999</v>
      </c>
      <c r="L439" s="197">
        <v>20804.174999999999</v>
      </c>
      <c r="M439" s="197">
        <v>137002.17499999999</v>
      </c>
      <c r="N439" s="196"/>
      <c r="O439" s="194"/>
    </row>
    <row r="440" spans="1:15" x14ac:dyDescent="0.2">
      <c r="A440" s="196" t="s">
        <v>603</v>
      </c>
      <c r="B440" s="197">
        <v>221.23187999999999</v>
      </c>
      <c r="C440" s="197">
        <v>39.627000000000002</v>
      </c>
      <c r="D440" s="198">
        <v>45715</v>
      </c>
      <c r="E440" s="197">
        <v>525</v>
      </c>
      <c r="F440" s="197">
        <v>1132.2</v>
      </c>
      <c r="G440" s="197">
        <v>19.54</v>
      </c>
      <c r="H440" s="197">
        <v>3.5</v>
      </c>
      <c r="I440" s="197">
        <v>23.04</v>
      </c>
      <c r="J440" s="199"/>
      <c r="K440" s="197">
        <v>260.95699999999999</v>
      </c>
      <c r="L440" s="197">
        <v>20804.174999999999</v>
      </c>
      <c r="M440" s="197">
        <v>137002.17499999999</v>
      </c>
      <c r="N440" s="196"/>
      <c r="O440" s="194"/>
    </row>
    <row r="441" spans="1:15" x14ac:dyDescent="0.2">
      <c r="A441" s="196" t="s">
        <v>517</v>
      </c>
      <c r="B441" s="197">
        <v>3129.24</v>
      </c>
      <c r="C441" s="197">
        <v>234.72049999999999</v>
      </c>
      <c r="D441" s="198">
        <v>45652</v>
      </c>
      <c r="E441" s="197">
        <v>100</v>
      </c>
      <c r="F441" s="197">
        <v>6706.3</v>
      </c>
      <c r="G441" s="197">
        <v>46.66</v>
      </c>
      <c r="H441" s="197">
        <v>3.5</v>
      </c>
      <c r="I441" s="197">
        <v>50.16</v>
      </c>
      <c r="J441" s="199"/>
      <c r="K441" s="197">
        <v>3363.9605000000001</v>
      </c>
      <c r="L441" s="197">
        <v>23472.05</v>
      </c>
      <c r="M441" s="197">
        <v>336396.05</v>
      </c>
      <c r="N441" s="196"/>
      <c r="O441" s="194"/>
    </row>
    <row r="442" spans="1:15" x14ac:dyDescent="0.2">
      <c r="A442" s="196" t="s">
        <v>517</v>
      </c>
      <c r="B442" s="197">
        <v>3129.15958</v>
      </c>
      <c r="C442" s="197">
        <v>234.72049999999999</v>
      </c>
      <c r="D442" s="198">
        <v>45687</v>
      </c>
      <c r="E442" s="197">
        <v>100</v>
      </c>
      <c r="F442" s="197">
        <v>6706.3</v>
      </c>
      <c r="G442" s="197">
        <v>46.66</v>
      </c>
      <c r="H442" s="197">
        <v>3.5</v>
      </c>
      <c r="I442" s="197">
        <v>50.16</v>
      </c>
      <c r="J442" s="199"/>
      <c r="K442" s="197">
        <v>3363.9605000000001</v>
      </c>
      <c r="L442" s="197">
        <v>23472.05</v>
      </c>
      <c r="M442" s="197">
        <v>336396.05</v>
      </c>
      <c r="N442" s="196"/>
      <c r="O442" s="194"/>
    </row>
    <row r="443" spans="1:15" x14ac:dyDescent="0.2">
      <c r="A443" s="196" t="s">
        <v>517</v>
      </c>
      <c r="B443" s="197">
        <v>3129.15958</v>
      </c>
      <c r="C443" s="197">
        <v>234.72049999999999</v>
      </c>
      <c r="D443" s="198">
        <v>45715</v>
      </c>
      <c r="E443" s="197">
        <v>100</v>
      </c>
      <c r="F443" s="197">
        <v>6706.3</v>
      </c>
      <c r="G443" s="197">
        <v>46.66</v>
      </c>
      <c r="H443" s="197">
        <v>3.5</v>
      </c>
      <c r="I443" s="197">
        <v>50.16</v>
      </c>
      <c r="J443" s="199"/>
      <c r="K443" s="197">
        <v>3363.9605000000001</v>
      </c>
      <c r="L443" s="197">
        <v>23472.05</v>
      </c>
      <c r="M443" s="197">
        <v>336396.05</v>
      </c>
      <c r="N443" s="196"/>
      <c r="O443" s="194"/>
    </row>
    <row r="444" spans="1:15" x14ac:dyDescent="0.2">
      <c r="A444" s="196" t="s">
        <v>502</v>
      </c>
      <c r="B444" s="197">
        <v>375.36</v>
      </c>
      <c r="C444" s="197">
        <v>311.14299999999997</v>
      </c>
      <c r="D444" s="198">
        <v>45652</v>
      </c>
      <c r="E444" s="197">
        <v>400</v>
      </c>
      <c r="F444" s="197">
        <v>2222.4499999999998</v>
      </c>
      <c r="G444" s="197">
        <v>16.88</v>
      </c>
      <c r="H444" s="197">
        <v>14</v>
      </c>
      <c r="I444" s="197">
        <v>30.88</v>
      </c>
      <c r="J444" s="199"/>
      <c r="K444" s="197">
        <v>686.50300000000004</v>
      </c>
      <c r="L444" s="197">
        <v>124457.2</v>
      </c>
      <c r="M444" s="197">
        <v>274601.2</v>
      </c>
      <c r="N444" s="196"/>
      <c r="O444" s="194"/>
    </row>
    <row r="445" spans="1:15" x14ac:dyDescent="0.2">
      <c r="A445" s="196" t="s">
        <v>502</v>
      </c>
      <c r="B445" s="197">
        <v>375.14956000000001</v>
      </c>
      <c r="C445" s="197">
        <v>311.14299999999997</v>
      </c>
      <c r="D445" s="198">
        <v>45687</v>
      </c>
      <c r="E445" s="197">
        <v>400</v>
      </c>
      <c r="F445" s="197">
        <v>2222.4499999999998</v>
      </c>
      <c r="G445" s="197">
        <v>16.88</v>
      </c>
      <c r="H445" s="197">
        <v>14</v>
      </c>
      <c r="I445" s="197">
        <v>30.88</v>
      </c>
      <c r="J445" s="199"/>
      <c r="K445" s="197">
        <v>686.50300000000004</v>
      </c>
      <c r="L445" s="197">
        <v>124457.2</v>
      </c>
      <c r="M445" s="197">
        <v>274601.2</v>
      </c>
      <c r="N445" s="196"/>
      <c r="O445" s="194"/>
    </row>
    <row r="446" spans="1:15" x14ac:dyDescent="0.2">
      <c r="A446" s="196" t="s">
        <v>502</v>
      </c>
      <c r="B446" s="197">
        <v>375.14956000000001</v>
      </c>
      <c r="C446" s="197">
        <v>311.14299999999997</v>
      </c>
      <c r="D446" s="198">
        <v>45715</v>
      </c>
      <c r="E446" s="197">
        <v>400</v>
      </c>
      <c r="F446" s="197">
        <v>2222.4499999999998</v>
      </c>
      <c r="G446" s="197">
        <v>16.88</v>
      </c>
      <c r="H446" s="197">
        <v>14</v>
      </c>
      <c r="I446" s="197">
        <v>30.88</v>
      </c>
      <c r="J446" s="199"/>
      <c r="K446" s="197">
        <v>686.50300000000004</v>
      </c>
      <c r="L446" s="197">
        <v>124457.2</v>
      </c>
      <c r="M446" s="197">
        <v>274601.2</v>
      </c>
      <c r="N446" s="196"/>
      <c r="O446" s="194"/>
    </row>
    <row r="447" spans="1:15" x14ac:dyDescent="0.2">
      <c r="A447" s="196" t="s">
        <v>257</v>
      </c>
      <c r="B447" s="197">
        <v>184.54</v>
      </c>
      <c r="C447" s="197">
        <v>40.0715</v>
      </c>
      <c r="D447" s="198">
        <v>45652</v>
      </c>
      <c r="E447" s="197">
        <v>800</v>
      </c>
      <c r="F447" s="197">
        <v>1144.9000000000001</v>
      </c>
      <c r="G447" s="197">
        <v>16.11</v>
      </c>
      <c r="H447" s="197">
        <v>3.5</v>
      </c>
      <c r="I447" s="197">
        <v>19.61</v>
      </c>
      <c r="J447" s="199"/>
      <c r="K447" s="197">
        <v>224.61150000000001</v>
      </c>
      <c r="L447" s="197">
        <v>32057.200000000001</v>
      </c>
      <c r="M447" s="197">
        <v>179689.2</v>
      </c>
      <c r="N447" s="196"/>
      <c r="O447" s="194"/>
    </row>
    <row r="448" spans="1:15" x14ac:dyDescent="0.2">
      <c r="A448" s="196" t="s">
        <v>257</v>
      </c>
      <c r="B448" s="197">
        <v>184.44338999999999</v>
      </c>
      <c r="C448" s="197">
        <v>40.0715</v>
      </c>
      <c r="D448" s="198">
        <v>45687</v>
      </c>
      <c r="E448" s="197">
        <v>800</v>
      </c>
      <c r="F448" s="197">
        <v>1144.9000000000001</v>
      </c>
      <c r="G448" s="197">
        <v>16.11</v>
      </c>
      <c r="H448" s="197">
        <v>3.5</v>
      </c>
      <c r="I448" s="197">
        <v>19.61</v>
      </c>
      <c r="J448" s="199"/>
      <c r="K448" s="197">
        <v>224.61150000000001</v>
      </c>
      <c r="L448" s="197">
        <v>32057.200000000001</v>
      </c>
      <c r="M448" s="197">
        <v>179689.2</v>
      </c>
      <c r="N448" s="196"/>
      <c r="O448" s="194"/>
    </row>
    <row r="449" spans="1:15" x14ac:dyDescent="0.2">
      <c r="A449" s="196" t="s">
        <v>257</v>
      </c>
      <c r="B449" s="197">
        <v>184.44338999999999</v>
      </c>
      <c r="C449" s="197">
        <v>40.0715</v>
      </c>
      <c r="D449" s="198">
        <v>45715</v>
      </c>
      <c r="E449" s="197">
        <v>800</v>
      </c>
      <c r="F449" s="197">
        <v>1144.9000000000001</v>
      </c>
      <c r="G449" s="197">
        <v>16.11</v>
      </c>
      <c r="H449" s="197">
        <v>3.5</v>
      </c>
      <c r="I449" s="197">
        <v>19.61</v>
      </c>
      <c r="J449" s="199"/>
      <c r="K449" s="197">
        <v>224.61150000000001</v>
      </c>
      <c r="L449" s="197">
        <v>32057.200000000001</v>
      </c>
      <c r="M449" s="197">
        <v>179689.2</v>
      </c>
      <c r="N449" s="196"/>
      <c r="O449" s="194"/>
    </row>
    <row r="450" spans="1:15" x14ac:dyDescent="0.2">
      <c r="A450" s="196" t="s">
        <v>258</v>
      </c>
      <c r="B450" s="197">
        <v>280.95</v>
      </c>
      <c r="C450" s="197">
        <v>45.505299999999998</v>
      </c>
      <c r="D450" s="198">
        <v>45652</v>
      </c>
      <c r="E450" s="197">
        <v>400</v>
      </c>
      <c r="F450" s="197">
        <v>1300.1500000000001</v>
      </c>
      <c r="G450" s="197">
        <v>21.6</v>
      </c>
      <c r="H450" s="197">
        <v>3.5</v>
      </c>
      <c r="I450" s="197">
        <v>25.1</v>
      </c>
      <c r="J450" s="199"/>
      <c r="K450" s="197">
        <v>326.45530000000002</v>
      </c>
      <c r="L450" s="197">
        <v>18202.099999999999</v>
      </c>
      <c r="M450" s="197">
        <v>130582.1</v>
      </c>
      <c r="N450" s="196"/>
      <c r="O450" s="194"/>
    </row>
    <row r="451" spans="1:15" x14ac:dyDescent="0.2">
      <c r="A451" s="196" t="s">
        <v>258</v>
      </c>
      <c r="B451" s="197">
        <v>280.83240000000001</v>
      </c>
      <c r="C451" s="197">
        <v>45.505299999999998</v>
      </c>
      <c r="D451" s="198">
        <v>45687</v>
      </c>
      <c r="E451" s="197">
        <v>400</v>
      </c>
      <c r="F451" s="197">
        <v>1300.1500000000001</v>
      </c>
      <c r="G451" s="197">
        <v>21.6</v>
      </c>
      <c r="H451" s="197">
        <v>3.5</v>
      </c>
      <c r="I451" s="197">
        <v>25.1</v>
      </c>
      <c r="J451" s="199"/>
      <c r="K451" s="197">
        <v>326.45530000000002</v>
      </c>
      <c r="L451" s="197">
        <v>18202.099999999999</v>
      </c>
      <c r="M451" s="197">
        <v>130582.1</v>
      </c>
      <c r="N451" s="196"/>
      <c r="O451" s="194"/>
    </row>
    <row r="452" spans="1:15" x14ac:dyDescent="0.2">
      <c r="A452" s="196" t="s">
        <v>258</v>
      </c>
      <c r="B452" s="197">
        <v>280.83240000000001</v>
      </c>
      <c r="C452" s="197">
        <v>45.505299999999998</v>
      </c>
      <c r="D452" s="198">
        <v>45715</v>
      </c>
      <c r="E452" s="197">
        <v>400</v>
      </c>
      <c r="F452" s="197">
        <v>1300.1500000000001</v>
      </c>
      <c r="G452" s="197">
        <v>21.6</v>
      </c>
      <c r="H452" s="197">
        <v>3.5</v>
      </c>
      <c r="I452" s="197">
        <v>25.1</v>
      </c>
      <c r="J452" s="199"/>
      <c r="K452" s="197">
        <v>326.45530000000002</v>
      </c>
      <c r="L452" s="197">
        <v>18202.099999999999</v>
      </c>
      <c r="M452" s="197">
        <v>130582.1</v>
      </c>
      <c r="N452" s="196"/>
      <c r="O452" s="194"/>
    </row>
    <row r="453" spans="1:15" x14ac:dyDescent="0.2">
      <c r="A453" s="196" t="s">
        <v>563</v>
      </c>
      <c r="B453" s="197">
        <v>1309.4000000000001</v>
      </c>
      <c r="C453" s="197">
        <v>262.67599999999999</v>
      </c>
      <c r="D453" s="198">
        <v>45656</v>
      </c>
      <c r="E453" s="197">
        <v>50</v>
      </c>
      <c r="F453" s="197">
        <v>13133.8</v>
      </c>
      <c r="G453" s="197">
        <v>9.9600000000000009</v>
      </c>
      <c r="H453" s="197">
        <v>2</v>
      </c>
      <c r="I453" s="197">
        <v>11.96</v>
      </c>
      <c r="J453" s="199"/>
      <c r="K453" s="197">
        <v>1572.076</v>
      </c>
      <c r="L453" s="197">
        <v>13133.8</v>
      </c>
      <c r="M453" s="197">
        <v>78603.8</v>
      </c>
      <c r="N453" s="196"/>
      <c r="O453" s="194"/>
    </row>
    <row r="454" spans="1:15" x14ac:dyDescent="0.2">
      <c r="A454" s="196" t="s">
        <v>563</v>
      </c>
      <c r="B454" s="197">
        <v>1308.1264799999999</v>
      </c>
      <c r="C454" s="197">
        <v>262.67599999999999</v>
      </c>
      <c r="D454" s="198">
        <v>45684</v>
      </c>
      <c r="E454" s="197">
        <v>50</v>
      </c>
      <c r="F454" s="197">
        <v>13133.8</v>
      </c>
      <c r="G454" s="197">
        <v>9.9600000000000009</v>
      </c>
      <c r="H454" s="197">
        <v>2</v>
      </c>
      <c r="I454" s="197">
        <v>11.96</v>
      </c>
      <c r="J454" s="199"/>
      <c r="K454" s="197">
        <v>1572.076</v>
      </c>
      <c r="L454" s="197">
        <v>13133.8</v>
      </c>
      <c r="M454" s="197">
        <v>78603.8</v>
      </c>
      <c r="N454" s="196"/>
      <c r="O454" s="194"/>
    </row>
    <row r="455" spans="1:15" x14ac:dyDescent="0.2">
      <c r="A455" s="196" t="s">
        <v>563</v>
      </c>
      <c r="B455" s="197">
        <v>1308.1264799999999</v>
      </c>
      <c r="C455" s="197">
        <v>262.67599999999999</v>
      </c>
      <c r="D455" s="198">
        <v>45712</v>
      </c>
      <c r="E455" s="197">
        <v>50</v>
      </c>
      <c r="F455" s="197">
        <v>13133.8</v>
      </c>
      <c r="G455" s="197">
        <v>9.9600000000000009</v>
      </c>
      <c r="H455" s="197">
        <v>2</v>
      </c>
      <c r="I455" s="197">
        <v>11.96</v>
      </c>
      <c r="J455" s="199"/>
      <c r="K455" s="197">
        <v>1572.076</v>
      </c>
      <c r="L455" s="197">
        <v>13133.8</v>
      </c>
      <c r="M455" s="197">
        <v>78603.8</v>
      </c>
      <c r="N455" s="196"/>
      <c r="O455" s="194"/>
    </row>
    <row r="456" spans="1:15" x14ac:dyDescent="0.2">
      <c r="A456" s="196" t="s">
        <v>559</v>
      </c>
      <c r="B456" s="197">
        <v>29.74</v>
      </c>
      <c r="C456" s="197">
        <v>5.8380000000000001</v>
      </c>
      <c r="D456" s="198">
        <v>45652</v>
      </c>
      <c r="E456" s="197">
        <v>3550</v>
      </c>
      <c r="F456" s="197">
        <v>166.8</v>
      </c>
      <c r="G456" s="197">
        <v>17.82</v>
      </c>
      <c r="H456" s="197">
        <v>3.5</v>
      </c>
      <c r="I456" s="197">
        <v>21.32</v>
      </c>
      <c r="J456" s="199"/>
      <c r="K456" s="197">
        <v>35.578000000000003</v>
      </c>
      <c r="L456" s="197">
        <v>20724.900000000001</v>
      </c>
      <c r="M456" s="197">
        <v>126301.9</v>
      </c>
      <c r="N456" s="196"/>
      <c r="O456" s="194"/>
    </row>
    <row r="457" spans="1:15" x14ac:dyDescent="0.2">
      <c r="A457" s="196" t="s">
        <v>559</v>
      </c>
      <c r="B457" s="197">
        <v>29.723759999999999</v>
      </c>
      <c r="C457" s="197">
        <v>5.8380000000000001</v>
      </c>
      <c r="D457" s="198">
        <v>45687</v>
      </c>
      <c r="E457" s="197">
        <v>3550</v>
      </c>
      <c r="F457" s="197">
        <v>166.8</v>
      </c>
      <c r="G457" s="197">
        <v>17.82</v>
      </c>
      <c r="H457" s="197">
        <v>3.5</v>
      </c>
      <c r="I457" s="197">
        <v>21.32</v>
      </c>
      <c r="J457" s="199"/>
      <c r="K457" s="197">
        <v>35.578000000000003</v>
      </c>
      <c r="L457" s="197">
        <v>20724.900000000001</v>
      </c>
      <c r="M457" s="197">
        <v>126301.9</v>
      </c>
      <c r="N457" s="196"/>
      <c r="O457" s="194"/>
    </row>
    <row r="458" spans="1:15" x14ac:dyDescent="0.2">
      <c r="A458" s="196" t="s">
        <v>559</v>
      </c>
      <c r="B458" s="197">
        <v>29.723759999999999</v>
      </c>
      <c r="C458" s="197">
        <v>5.8380000000000001</v>
      </c>
      <c r="D458" s="198">
        <v>45715</v>
      </c>
      <c r="E458" s="197">
        <v>3550</v>
      </c>
      <c r="F458" s="197">
        <v>166.8</v>
      </c>
      <c r="G458" s="197">
        <v>17.82</v>
      </c>
      <c r="H458" s="197">
        <v>3.5</v>
      </c>
      <c r="I458" s="197">
        <v>21.32</v>
      </c>
      <c r="J458" s="199"/>
      <c r="K458" s="197">
        <v>35.578000000000003</v>
      </c>
      <c r="L458" s="197">
        <v>20724.900000000001</v>
      </c>
      <c r="M458" s="197">
        <v>126301.9</v>
      </c>
      <c r="N458" s="196"/>
      <c r="O458" s="194"/>
    </row>
    <row r="459" spans="1:15" x14ac:dyDescent="0.2">
      <c r="A459" s="196" t="s">
        <v>487</v>
      </c>
      <c r="B459" s="197">
        <v>531.25</v>
      </c>
      <c r="C459" s="197">
        <v>111.4575</v>
      </c>
      <c r="D459" s="198">
        <v>45652</v>
      </c>
      <c r="E459" s="197">
        <v>275</v>
      </c>
      <c r="F459" s="197">
        <v>3184.5</v>
      </c>
      <c r="G459" s="197">
        <v>16.68</v>
      </c>
      <c r="H459" s="197">
        <v>3.5</v>
      </c>
      <c r="I459" s="197">
        <v>20.18</v>
      </c>
      <c r="J459" s="199"/>
      <c r="K459" s="197">
        <v>642.70749999999998</v>
      </c>
      <c r="L459" s="197">
        <v>30650.8125</v>
      </c>
      <c r="M459" s="197">
        <v>176744.8125</v>
      </c>
      <c r="N459" s="196"/>
      <c r="O459" s="194"/>
    </row>
    <row r="460" spans="1:15" x14ac:dyDescent="0.2">
      <c r="A460" s="196" t="s">
        <v>487</v>
      </c>
      <c r="B460" s="197">
        <v>531.17460000000005</v>
      </c>
      <c r="C460" s="197">
        <v>111.4575</v>
      </c>
      <c r="D460" s="198">
        <v>45687</v>
      </c>
      <c r="E460" s="197">
        <v>275</v>
      </c>
      <c r="F460" s="197">
        <v>3184.5</v>
      </c>
      <c r="G460" s="197">
        <v>16.68</v>
      </c>
      <c r="H460" s="197">
        <v>3.5</v>
      </c>
      <c r="I460" s="197">
        <v>20.18</v>
      </c>
      <c r="J460" s="199"/>
      <c r="K460" s="197">
        <v>642.70749999999998</v>
      </c>
      <c r="L460" s="197">
        <v>30650.8125</v>
      </c>
      <c r="M460" s="197">
        <v>176744.8125</v>
      </c>
      <c r="N460" s="196"/>
      <c r="O460" s="194"/>
    </row>
    <row r="461" spans="1:15" x14ac:dyDescent="0.2">
      <c r="A461" s="196" t="s">
        <v>487</v>
      </c>
      <c r="B461" s="197">
        <v>531.17460000000005</v>
      </c>
      <c r="C461" s="197">
        <v>111.4575</v>
      </c>
      <c r="D461" s="198">
        <v>45715</v>
      </c>
      <c r="E461" s="197">
        <v>275</v>
      </c>
      <c r="F461" s="197">
        <v>3184.5</v>
      </c>
      <c r="G461" s="197">
        <v>16.68</v>
      </c>
      <c r="H461" s="197">
        <v>3.5</v>
      </c>
      <c r="I461" s="197">
        <v>20.18</v>
      </c>
      <c r="J461" s="199"/>
      <c r="K461" s="197">
        <v>642.70749999999998</v>
      </c>
      <c r="L461" s="197">
        <v>30650.8125</v>
      </c>
      <c r="M461" s="197">
        <v>176744.8125</v>
      </c>
      <c r="N461" s="196"/>
      <c r="O461" s="194"/>
    </row>
    <row r="462" spans="1:15" x14ac:dyDescent="0.2">
      <c r="A462" s="196" t="s">
        <v>261</v>
      </c>
      <c r="B462" s="197">
        <v>18919.2</v>
      </c>
      <c r="C462" s="197">
        <v>4638.0214999999998</v>
      </c>
      <c r="D462" s="198">
        <v>45652</v>
      </c>
      <c r="E462" s="197">
        <v>5</v>
      </c>
      <c r="F462" s="197">
        <v>132514.9</v>
      </c>
      <c r="G462" s="197">
        <v>14.27</v>
      </c>
      <c r="H462" s="197">
        <v>3.5</v>
      </c>
      <c r="I462" s="197">
        <v>17.77</v>
      </c>
      <c r="J462" s="199"/>
      <c r="K462" s="197">
        <v>23557.2215</v>
      </c>
      <c r="L462" s="197">
        <v>23190.107499999998</v>
      </c>
      <c r="M462" s="197">
        <v>117786.1075</v>
      </c>
      <c r="N462" s="196"/>
      <c r="O462" s="194"/>
    </row>
    <row r="463" spans="1:15" x14ac:dyDescent="0.2">
      <c r="A463" s="196" t="s">
        <v>261</v>
      </c>
      <c r="B463" s="197">
        <v>18909.876230000002</v>
      </c>
      <c r="C463" s="197">
        <v>4638.0214999999998</v>
      </c>
      <c r="D463" s="198">
        <v>45687</v>
      </c>
      <c r="E463" s="197">
        <v>5</v>
      </c>
      <c r="F463" s="197">
        <v>132514.9</v>
      </c>
      <c r="G463" s="197">
        <v>14.27</v>
      </c>
      <c r="H463" s="197">
        <v>3.5</v>
      </c>
      <c r="I463" s="197">
        <v>17.77</v>
      </c>
      <c r="J463" s="199"/>
      <c r="K463" s="197">
        <v>23557.2215</v>
      </c>
      <c r="L463" s="197">
        <v>23190.107499999998</v>
      </c>
      <c r="M463" s="197">
        <v>117786.1075</v>
      </c>
      <c r="N463" s="196"/>
      <c r="O463" s="194"/>
    </row>
    <row r="464" spans="1:15" x14ac:dyDescent="0.2">
      <c r="A464" s="196" t="s">
        <v>261</v>
      </c>
      <c r="B464" s="197">
        <v>18909.876230000002</v>
      </c>
      <c r="C464" s="197">
        <v>4638.0214999999998</v>
      </c>
      <c r="D464" s="198">
        <v>45715</v>
      </c>
      <c r="E464" s="197">
        <v>5</v>
      </c>
      <c r="F464" s="197">
        <v>132514.9</v>
      </c>
      <c r="G464" s="197">
        <v>14.27</v>
      </c>
      <c r="H464" s="197">
        <v>3.5</v>
      </c>
      <c r="I464" s="197">
        <v>17.77</v>
      </c>
      <c r="J464" s="199"/>
      <c r="K464" s="197">
        <v>23557.2215</v>
      </c>
      <c r="L464" s="197">
        <v>23190.107499999998</v>
      </c>
      <c r="M464" s="197">
        <v>117786.1075</v>
      </c>
      <c r="N464" s="196"/>
      <c r="O464" s="194"/>
    </row>
    <row r="465" spans="1:15" x14ac:dyDescent="0.2">
      <c r="A465" s="196" t="s">
        <v>262</v>
      </c>
      <c r="B465" s="197">
        <v>303.70999999999998</v>
      </c>
      <c r="C465" s="197">
        <v>72.257499999999993</v>
      </c>
      <c r="D465" s="198">
        <v>45652</v>
      </c>
      <c r="E465" s="197">
        <v>275</v>
      </c>
      <c r="F465" s="197">
        <v>2064.5</v>
      </c>
      <c r="G465" s="197">
        <v>14.71</v>
      </c>
      <c r="H465" s="197">
        <v>3.5</v>
      </c>
      <c r="I465" s="197">
        <v>18.21</v>
      </c>
      <c r="J465" s="199"/>
      <c r="K465" s="197">
        <v>375.96749999999997</v>
      </c>
      <c r="L465" s="197">
        <v>19870.8125</v>
      </c>
      <c r="M465" s="197">
        <v>103390.8125</v>
      </c>
      <c r="N465" s="196"/>
      <c r="O465" s="194"/>
    </row>
    <row r="466" spans="1:15" x14ac:dyDescent="0.2">
      <c r="A466" s="196" t="s">
        <v>262</v>
      </c>
      <c r="B466" s="197">
        <v>303.68795</v>
      </c>
      <c r="C466" s="197">
        <v>72.257499999999993</v>
      </c>
      <c r="D466" s="198">
        <v>45687</v>
      </c>
      <c r="E466" s="197">
        <v>275</v>
      </c>
      <c r="F466" s="197">
        <v>2064.5</v>
      </c>
      <c r="G466" s="197">
        <v>14.71</v>
      </c>
      <c r="H466" s="197">
        <v>3.5</v>
      </c>
      <c r="I466" s="197">
        <v>18.21</v>
      </c>
      <c r="J466" s="199"/>
      <c r="K466" s="197">
        <v>375.96749999999997</v>
      </c>
      <c r="L466" s="197">
        <v>19870.8125</v>
      </c>
      <c r="M466" s="197">
        <v>103390.8125</v>
      </c>
      <c r="N466" s="196"/>
      <c r="O466" s="194"/>
    </row>
    <row r="467" spans="1:15" x14ac:dyDescent="0.2">
      <c r="A467" s="196" t="s">
        <v>262</v>
      </c>
      <c r="B467" s="197">
        <v>303.68795</v>
      </c>
      <c r="C467" s="197">
        <v>72.257499999999993</v>
      </c>
      <c r="D467" s="198">
        <v>45715</v>
      </c>
      <c r="E467" s="197">
        <v>275</v>
      </c>
      <c r="F467" s="197">
        <v>2064.5</v>
      </c>
      <c r="G467" s="197">
        <v>14.71</v>
      </c>
      <c r="H467" s="197">
        <v>3.5</v>
      </c>
      <c r="I467" s="197">
        <v>18.21</v>
      </c>
      <c r="J467" s="199"/>
      <c r="K467" s="197">
        <v>375.96749999999997</v>
      </c>
      <c r="L467" s="197">
        <v>19870.8125</v>
      </c>
      <c r="M467" s="197">
        <v>103390.8125</v>
      </c>
      <c r="N467" s="196"/>
      <c r="O467" s="194"/>
    </row>
    <row r="468" spans="1:15" x14ac:dyDescent="0.2">
      <c r="A468" s="196" t="s">
        <v>263</v>
      </c>
      <c r="B468" s="197">
        <v>60.46</v>
      </c>
      <c r="C468" s="197">
        <v>8.7342999999999993</v>
      </c>
      <c r="D468" s="198">
        <v>45652</v>
      </c>
      <c r="E468" s="197">
        <v>3750</v>
      </c>
      <c r="F468" s="197">
        <v>249.55</v>
      </c>
      <c r="G468" s="197">
        <v>24.22</v>
      </c>
      <c r="H468" s="197">
        <v>3.5</v>
      </c>
      <c r="I468" s="197">
        <v>27.72</v>
      </c>
      <c r="J468" s="199"/>
      <c r="K468" s="197">
        <v>69.194299999999998</v>
      </c>
      <c r="L468" s="197">
        <v>32753.4375</v>
      </c>
      <c r="M468" s="197">
        <v>259478.4375</v>
      </c>
      <c r="N468" s="196"/>
      <c r="O468" s="194"/>
    </row>
    <row r="469" spans="1:15" x14ac:dyDescent="0.2">
      <c r="A469" s="196" t="s">
        <v>263</v>
      </c>
      <c r="B469" s="197">
        <v>60.441009999999999</v>
      </c>
      <c r="C469" s="197">
        <v>8.7342999999999993</v>
      </c>
      <c r="D469" s="198">
        <v>45687</v>
      </c>
      <c r="E469" s="197">
        <v>3750</v>
      </c>
      <c r="F469" s="197">
        <v>249.55</v>
      </c>
      <c r="G469" s="197">
        <v>24.22</v>
      </c>
      <c r="H469" s="197">
        <v>3.5</v>
      </c>
      <c r="I469" s="197">
        <v>27.72</v>
      </c>
      <c r="J469" s="199"/>
      <c r="K469" s="197">
        <v>69.194299999999998</v>
      </c>
      <c r="L469" s="197">
        <v>32753.4375</v>
      </c>
      <c r="M469" s="197">
        <v>259478.4375</v>
      </c>
      <c r="N469" s="196"/>
      <c r="O469" s="194"/>
    </row>
    <row r="470" spans="1:15" x14ac:dyDescent="0.2">
      <c r="A470" s="196" t="s">
        <v>263</v>
      </c>
      <c r="B470" s="197">
        <v>60.441009999999999</v>
      </c>
      <c r="C470" s="197">
        <v>8.7342999999999993</v>
      </c>
      <c r="D470" s="198">
        <v>45715</v>
      </c>
      <c r="E470" s="197">
        <v>3750</v>
      </c>
      <c r="F470" s="197">
        <v>249.55</v>
      </c>
      <c r="G470" s="197">
        <v>24.22</v>
      </c>
      <c r="H470" s="197">
        <v>3.5</v>
      </c>
      <c r="I470" s="197">
        <v>27.72</v>
      </c>
      <c r="J470" s="199"/>
      <c r="K470" s="197">
        <v>69.194299999999998</v>
      </c>
      <c r="L470" s="197">
        <v>32753.4375</v>
      </c>
      <c r="M470" s="197">
        <v>259478.4375</v>
      </c>
      <c r="N470" s="196"/>
      <c r="O470" s="194"/>
    </row>
    <row r="471" spans="1:15" x14ac:dyDescent="0.2">
      <c r="A471" s="196" t="s">
        <v>264</v>
      </c>
      <c r="B471" s="197">
        <v>1438.76</v>
      </c>
      <c r="C471" s="197">
        <v>299.47579999999999</v>
      </c>
      <c r="D471" s="198">
        <v>45652</v>
      </c>
      <c r="E471" s="197">
        <v>75</v>
      </c>
      <c r="F471" s="197">
        <v>8556.4500000000007</v>
      </c>
      <c r="G471" s="197">
        <v>16.809999999999999</v>
      </c>
      <c r="H471" s="197">
        <v>3.5</v>
      </c>
      <c r="I471" s="197">
        <v>20.309999999999999</v>
      </c>
      <c r="J471" s="199"/>
      <c r="K471" s="197">
        <v>1738.2357999999999</v>
      </c>
      <c r="L471" s="197">
        <v>22460.6813</v>
      </c>
      <c r="M471" s="197">
        <v>130367.6813</v>
      </c>
      <c r="N471" s="196"/>
      <c r="O471" s="194"/>
    </row>
    <row r="472" spans="1:15" x14ac:dyDescent="0.2">
      <c r="A472" s="196" t="s">
        <v>264</v>
      </c>
      <c r="B472" s="197">
        <v>1438.3392449999999</v>
      </c>
      <c r="C472" s="197">
        <v>299.47579999999999</v>
      </c>
      <c r="D472" s="198">
        <v>45687</v>
      </c>
      <c r="E472" s="197">
        <v>75</v>
      </c>
      <c r="F472" s="197">
        <v>8556.4500000000007</v>
      </c>
      <c r="G472" s="197">
        <v>16.809999999999999</v>
      </c>
      <c r="H472" s="197">
        <v>3.5</v>
      </c>
      <c r="I472" s="197">
        <v>20.309999999999999</v>
      </c>
      <c r="J472" s="199"/>
      <c r="K472" s="197">
        <v>1738.2357999999999</v>
      </c>
      <c r="L472" s="197">
        <v>22460.6813</v>
      </c>
      <c r="M472" s="197">
        <v>130367.6813</v>
      </c>
      <c r="N472" s="196"/>
      <c r="O472" s="194"/>
    </row>
    <row r="473" spans="1:15" x14ac:dyDescent="0.2">
      <c r="A473" s="196" t="s">
        <v>264</v>
      </c>
      <c r="B473" s="197">
        <v>1438.3392449999999</v>
      </c>
      <c r="C473" s="197">
        <v>299.47579999999999</v>
      </c>
      <c r="D473" s="198">
        <v>45715</v>
      </c>
      <c r="E473" s="197">
        <v>75</v>
      </c>
      <c r="F473" s="197">
        <v>8556.4500000000007</v>
      </c>
      <c r="G473" s="197">
        <v>16.809999999999999</v>
      </c>
      <c r="H473" s="197">
        <v>3.5</v>
      </c>
      <c r="I473" s="197">
        <v>20.309999999999999</v>
      </c>
      <c r="J473" s="199"/>
      <c r="K473" s="197">
        <v>1738.2357999999999</v>
      </c>
      <c r="L473" s="197">
        <v>22460.6813</v>
      </c>
      <c r="M473" s="197">
        <v>130367.6813</v>
      </c>
      <c r="N473" s="196"/>
      <c r="O473" s="194"/>
    </row>
    <row r="474" spans="1:15" x14ac:dyDescent="0.2">
      <c r="A474" s="196" t="s">
        <v>485</v>
      </c>
      <c r="B474" s="197">
        <v>605.51</v>
      </c>
      <c r="C474" s="197">
        <v>125.7533</v>
      </c>
      <c r="D474" s="198">
        <v>45652</v>
      </c>
      <c r="E474" s="197">
        <v>175</v>
      </c>
      <c r="F474" s="197">
        <v>3592.95</v>
      </c>
      <c r="G474" s="197">
        <v>16.850000000000001</v>
      </c>
      <c r="H474" s="197">
        <v>3.5</v>
      </c>
      <c r="I474" s="197">
        <v>20.350000000000001</v>
      </c>
      <c r="J474" s="199"/>
      <c r="K474" s="197">
        <v>731.26329999999996</v>
      </c>
      <c r="L474" s="197">
        <v>22006.818800000001</v>
      </c>
      <c r="M474" s="197">
        <v>127970.81879999999</v>
      </c>
      <c r="N474" s="196"/>
      <c r="O474" s="194"/>
    </row>
    <row r="475" spans="1:15" x14ac:dyDescent="0.2">
      <c r="A475" s="196" t="s">
        <v>485</v>
      </c>
      <c r="B475" s="197">
        <v>605.41207499999996</v>
      </c>
      <c r="C475" s="197">
        <v>125.7533</v>
      </c>
      <c r="D475" s="198">
        <v>45687</v>
      </c>
      <c r="E475" s="197">
        <v>175</v>
      </c>
      <c r="F475" s="197">
        <v>3592.95</v>
      </c>
      <c r="G475" s="197">
        <v>16.850000000000001</v>
      </c>
      <c r="H475" s="197">
        <v>3.5</v>
      </c>
      <c r="I475" s="197">
        <v>20.350000000000001</v>
      </c>
      <c r="J475" s="199"/>
      <c r="K475" s="197">
        <v>731.26329999999996</v>
      </c>
      <c r="L475" s="197">
        <v>22006.818800000001</v>
      </c>
      <c r="M475" s="197">
        <v>127970.81879999999</v>
      </c>
      <c r="N475" s="196"/>
      <c r="O475" s="194"/>
    </row>
    <row r="476" spans="1:15" x14ac:dyDescent="0.2">
      <c r="A476" s="196" t="s">
        <v>485</v>
      </c>
      <c r="B476" s="197">
        <v>605.41207499999996</v>
      </c>
      <c r="C476" s="197">
        <v>125.7533</v>
      </c>
      <c r="D476" s="198">
        <v>45715</v>
      </c>
      <c r="E476" s="197">
        <v>175</v>
      </c>
      <c r="F476" s="197">
        <v>3592.95</v>
      </c>
      <c r="G476" s="197">
        <v>16.850000000000001</v>
      </c>
      <c r="H476" s="197">
        <v>3.5</v>
      </c>
      <c r="I476" s="197">
        <v>20.350000000000001</v>
      </c>
      <c r="J476" s="199"/>
      <c r="K476" s="197">
        <v>731.26329999999996</v>
      </c>
      <c r="L476" s="197">
        <v>22006.818800000001</v>
      </c>
      <c r="M476" s="197">
        <v>127970.81879999999</v>
      </c>
      <c r="N476" s="196"/>
      <c r="O476" s="194"/>
    </row>
    <row r="477" spans="1:15" x14ac:dyDescent="0.2">
      <c r="A477" s="196" t="s">
        <v>591</v>
      </c>
      <c r="B477" s="197">
        <v>74.42</v>
      </c>
      <c r="C477" s="197">
        <v>10.7258</v>
      </c>
      <c r="D477" s="198">
        <v>45652</v>
      </c>
      <c r="E477" s="197">
        <v>1775</v>
      </c>
      <c r="F477" s="197">
        <v>306.45</v>
      </c>
      <c r="G477" s="197">
        <v>24.28</v>
      </c>
      <c r="H477" s="197">
        <v>3.5</v>
      </c>
      <c r="I477" s="197">
        <v>27.78</v>
      </c>
      <c r="J477" s="199"/>
      <c r="K477" s="197">
        <v>85.145799999999994</v>
      </c>
      <c r="L477" s="197">
        <v>19038.206300000002</v>
      </c>
      <c r="M477" s="197">
        <v>151134.20629999999</v>
      </c>
      <c r="N477" s="196"/>
      <c r="O477" s="194"/>
    </row>
    <row r="478" spans="1:15" x14ac:dyDescent="0.2">
      <c r="A478" s="196" t="s">
        <v>591</v>
      </c>
      <c r="B478" s="197">
        <v>74.406059999999997</v>
      </c>
      <c r="C478" s="197">
        <v>10.7258</v>
      </c>
      <c r="D478" s="198">
        <v>45687</v>
      </c>
      <c r="E478" s="197">
        <v>1775</v>
      </c>
      <c r="F478" s="197">
        <v>306.45</v>
      </c>
      <c r="G478" s="197">
        <v>24.28</v>
      </c>
      <c r="H478" s="197">
        <v>3.5</v>
      </c>
      <c r="I478" s="197">
        <v>27.78</v>
      </c>
      <c r="J478" s="199"/>
      <c r="K478" s="197">
        <v>85.145799999999994</v>
      </c>
      <c r="L478" s="197">
        <v>19038.206300000002</v>
      </c>
      <c r="M478" s="197">
        <v>151134.20629999999</v>
      </c>
      <c r="N478" s="196"/>
      <c r="O478" s="194"/>
    </row>
    <row r="479" spans="1:15" x14ac:dyDescent="0.2">
      <c r="A479" s="196" t="s">
        <v>591</v>
      </c>
      <c r="B479" s="197">
        <v>74.406059999999997</v>
      </c>
      <c r="C479" s="197">
        <v>10.7258</v>
      </c>
      <c r="D479" s="198">
        <v>45715</v>
      </c>
      <c r="E479" s="197">
        <v>1775</v>
      </c>
      <c r="F479" s="197">
        <v>306.45</v>
      </c>
      <c r="G479" s="197">
        <v>24.28</v>
      </c>
      <c r="H479" s="197">
        <v>3.5</v>
      </c>
      <c r="I479" s="197">
        <v>27.78</v>
      </c>
      <c r="J479" s="199"/>
      <c r="K479" s="197">
        <v>85.145799999999994</v>
      </c>
      <c r="L479" s="197">
        <v>19038.206300000002</v>
      </c>
      <c r="M479" s="197">
        <v>151134.20629999999</v>
      </c>
      <c r="N479" s="196"/>
      <c r="O479" s="194"/>
    </row>
    <row r="480" spans="1:15" x14ac:dyDescent="0.2">
      <c r="A480" s="196" t="s">
        <v>265</v>
      </c>
      <c r="B480" s="197">
        <v>320</v>
      </c>
      <c r="C480" s="197">
        <v>78.447299999999998</v>
      </c>
      <c r="D480" s="198">
        <v>45652</v>
      </c>
      <c r="E480" s="197">
        <v>200</v>
      </c>
      <c r="F480" s="197">
        <v>2241.35</v>
      </c>
      <c r="G480" s="197">
        <v>14.27</v>
      </c>
      <c r="H480" s="197">
        <v>3.5</v>
      </c>
      <c r="I480" s="197">
        <v>17.77</v>
      </c>
      <c r="J480" s="199"/>
      <c r="K480" s="197">
        <v>398.44729999999998</v>
      </c>
      <c r="L480" s="197">
        <v>15689.45</v>
      </c>
      <c r="M480" s="197">
        <v>79689.45</v>
      </c>
      <c r="N480" s="196"/>
      <c r="O480" s="194"/>
    </row>
    <row r="481" spans="1:15" x14ac:dyDescent="0.2">
      <c r="A481" s="196" t="s">
        <v>265</v>
      </c>
      <c r="B481" s="197">
        <v>319.84064499999999</v>
      </c>
      <c r="C481" s="197">
        <v>78.447299999999998</v>
      </c>
      <c r="D481" s="198">
        <v>45687</v>
      </c>
      <c r="E481" s="197">
        <v>200</v>
      </c>
      <c r="F481" s="197">
        <v>2241.35</v>
      </c>
      <c r="G481" s="197">
        <v>14.27</v>
      </c>
      <c r="H481" s="197">
        <v>3.5</v>
      </c>
      <c r="I481" s="197">
        <v>17.77</v>
      </c>
      <c r="J481" s="199"/>
      <c r="K481" s="197">
        <v>398.44729999999998</v>
      </c>
      <c r="L481" s="197">
        <v>15689.45</v>
      </c>
      <c r="M481" s="197">
        <v>79689.45</v>
      </c>
      <c r="N481" s="196"/>
      <c r="O481" s="194"/>
    </row>
    <row r="482" spans="1:15" x14ac:dyDescent="0.2">
      <c r="A482" s="196" t="s">
        <v>265</v>
      </c>
      <c r="B482" s="197">
        <v>319.84064499999999</v>
      </c>
      <c r="C482" s="197">
        <v>78.447299999999998</v>
      </c>
      <c r="D482" s="198">
        <v>45715</v>
      </c>
      <c r="E482" s="197">
        <v>200</v>
      </c>
      <c r="F482" s="197">
        <v>2241.35</v>
      </c>
      <c r="G482" s="197">
        <v>14.27</v>
      </c>
      <c r="H482" s="197">
        <v>3.5</v>
      </c>
      <c r="I482" s="197">
        <v>17.77</v>
      </c>
      <c r="J482" s="199"/>
      <c r="K482" s="197">
        <v>398.44729999999998</v>
      </c>
      <c r="L482" s="197">
        <v>15689.45</v>
      </c>
      <c r="M482" s="197">
        <v>79689.45</v>
      </c>
      <c r="N482" s="196"/>
      <c r="O482" s="194"/>
    </row>
    <row r="483" spans="1:15" x14ac:dyDescent="0.2">
      <c r="A483" s="196" t="s">
        <v>585</v>
      </c>
      <c r="B483" s="197">
        <v>18.18</v>
      </c>
      <c r="C483" s="197">
        <v>3.0139</v>
      </c>
      <c r="D483" s="198">
        <v>45652</v>
      </c>
      <c r="E483" s="197">
        <v>6400</v>
      </c>
      <c r="F483" s="197">
        <v>86.11</v>
      </c>
      <c r="G483" s="197">
        <v>21.11</v>
      </c>
      <c r="H483" s="197">
        <v>3.5</v>
      </c>
      <c r="I483" s="197">
        <v>24.61</v>
      </c>
      <c r="J483" s="199"/>
      <c r="K483" s="197">
        <v>21.193899999999999</v>
      </c>
      <c r="L483" s="197">
        <v>19288.64</v>
      </c>
      <c r="M483" s="197">
        <v>135640.64000000001</v>
      </c>
      <c r="N483" s="196"/>
      <c r="O483" s="194"/>
    </row>
    <row r="484" spans="1:15" x14ac:dyDescent="0.2">
      <c r="A484" s="196" t="s">
        <v>585</v>
      </c>
      <c r="B484" s="197">
        <v>18.177821000000002</v>
      </c>
      <c r="C484" s="197">
        <v>3.0139</v>
      </c>
      <c r="D484" s="198">
        <v>45687</v>
      </c>
      <c r="E484" s="197">
        <v>6400</v>
      </c>
      <c r="F484" s="197">
        <v>86.11</v>
      </c>
      <c r="G484" s="197">
        <v>21.11</v>
      </c>
      <c r="H484" s="197">
        <v>3.5</v>
      </c>
      <c r="I484" s="197">
        <v>24.61</v>
      </c>
      <c r="J484" s="199"/>
      <c r="K484" s="197">
        <v>21.193899999999999</v>
      </c>
      <c r="L484" s="197">
        <v>19288.64</v>
      </c>
      <c r="M484" s="197">
        <v>135640.64000000001</v>
      </c>
      <c r="N484" s="196"/>
      <c r="O484" s="194"/>
    </row>
    <row r="485" spans="1:15" x14ac:dyDescent="0.2">
      <c r="A485" s="196" t="s">
        <v>585</v>
      </c>
      <c r="B485" s="197">
        <v>18.177821000000002</v>
      </c>
      <c r="C485" s="197">
        <v>3.0139</v>
      </c>
      <c r="D485" s="198">
        <v>45715</v>
      </c>
      <c r="E485" s="197">
        <v>6400</v>
      </c>
      <c r="F485" s="197">
        <v>86.11</v>
      </c>
      <c r="G485" s="197">
        <v>21.11</v>
      </c>
      <c r="H485" s="197">
        <v>3.5</v>
      </c>
      <c r="I485" s="197">
        <v>24.61</v>
      </c>
      <c r="J485" s="199"/>
      <c r="K485" s="197">
        <v>21.193899999999999</v>
      </c>
      <c r="L485" s="197">
        <v>19288.64</v>
      </c>
      <c r="M485" s="197">
        <v>135640.64000000001</v>
      </c>
      <c r="N485" s="196"/>
      <c r="O485" s="194"/>
    </row>
    <row r="486" spans="1:15" x14ac:dyDescent="0.2">
      <c r="A486" s="196" t="s">
        <v>266</v>
      </c>
      <c r="B486" s="197">
        <v>2307.56</v>
      </c>
      <c r="C486" s="197">
        <v>492.83600000000001</v>
      </c>
      <c r="D486" s="198">
        <v>45652</v>
      </c>
      <c r="E486" s="197">
        <v>25</v>
      </c>
      <c r="F486" s="197">
        <v>24641.8</v>
      </c>
      <c r="G486" s="197">
        <v>9.36</v>
      </c>
      <c r="H486" s="197">
        <v>2</v>
      </c>
      <c r="I486" s="197">
        <v>11.36</v>
      </c>
      <c r="J486" s="199"/>
      <c r="K486" s="197">
        <v>2800.3960000000002</v>
      </c>
      <c r="L486" s="197">
        <v>12320.9</v>
      </c>
      <c r="M486" s="197">
        <v>70009.899999999994</v>
      </c>
      <c r="N486" s="196"/>
      <c r="O486" s="194"/>
    </row>
    <row r="487" spans="1:15" x14ac:dyDescent="0.2">
      <c r="A487" s="196" t="s">
        <v>266</v>
      </c>
      <c r="B487" s="197">
        <v>2306.4724799999999</v>
      </c>
      <c r="C487" s="197">
        <v>492.83600000000001</v>
      </c>
      <c r="D487" s="198">
        <v>45687</v>
      </c>
      <c r="E487" s="197">
        <v>25</v>
      </c>
      <c r="F487" s="197">
        <v>24641.8</v>
      </c>
      <c r="G487" s="197">
        <v>9.36</v>
      </c>
      <c r="H487" s="197">
        <v>2</v>
      </c>
      <c r="I487" s="197">
        <v>11.36</v>
      </c>
      <c r="J487" s="199"/>
      <c r="K487" s="197">
        <v>2800.3960000000002</v>
      </c>
      <c r="L487" s="197">
        <v>12320.9</v>
      </c>
      <c r="M487" s="197">
        <v>70009.899999999994</v>
      </c>
      <c r="N487" s="196"/>
      <c r="O487" s="194"/>
    </row>
    <row r="488" spans="1:15" x14ac:dyDescent="0.2">
      <c r="A488" s="196" t="s">
        <v>266</v>
      </c>
      <c r="B488" s="197">
        <v>2306.4724799999999</v>
      </c>
      <c r="C488" s="197">
        <v>492.83600000000001</v>
      </c>
      <c r="D488" s="198">
        <v>45715</v>
      </c>
      <c r="E488" s="197">
        <v>25</v>
      </c>
      <c r="F488" s="197">
        <v>24641.8</v>
      </c>
      <c r="G488" s="197">
        <v>9.36</v>
      </c>
      <c r="H488" s="197">
        <v>2</v>
      </c>
      <c r="I488" s="197">
        <v>11.36</v>
      </c>
      <c r="J488" s="199"/>
      <c r="K488" s="197">
        <v>2800.3960000000002</v>
      </c>
      <c r="L488" s="197">
        <v>12320.9</v>
      </c>
      <c r="M488" s="197">
        <v>70009.899999999994</v>
      </c>
      <c r="N488" s="196"/>
      <c r="O488" s="194"/>
    </row>
    <row r="489" spans="1:15" x14ac:dyDescent="0.2">
      <c r="A489" s="196" t="s">
        <v>566</v>
      </c>
      <c r="B489" s="197">
        <v>7400.3</v>
      </c>
      <c r="C489" s="197">
        <v>1465.8430000000001</v>
      </c>
      <c r="D489" s="198">
        <v>45653</v>
      </c>
      <c r="E489" s="197">
        <v>10</v>
      </c>
      <c r="F489" s="197">
        <v>73292.149999999994</v>
      </c>
      <c r="G489" s="197">
        <v>10.09</v>
      </c>
      <c r="H489" s="197">
        <v>2</v>
      </c>
      <c r="I489" s="197">
        <v>12.09</v>
      </c>
      <c r="J489" s="199"/>
      <c r="K489" s="197">
        <v>8866.143</v>
      </c>
      <c r="L489" s="197">
        <v>14658.43</v>
      </c>
      <c r="M489" s="197">
        <v>88661.43</v>
      </c>
      <c r="N489" s="196"/>
      <c r="O489" s="194"/>
    </row>
    <row r="490" spans="1:15" x14ac:dyDescent="0.2">
      <c r="A490" s="196" t="s">
        <v>566</v>
      </c>
      <c r="B490" s="197">
        <v>7395.1779349999997</v>
      </c>
      <c r="C490" s="197">
        <v>1465.8430000000001</v>
      </c>
      <c r="D490" s="198">
        <v>45688</v>
      </c>
      <c r="E490" s="197">
        <v>10</v>
      </c>
      <c r="F490" s="197">
        <v>73292.149999999994</v>
      </c>
      <c r="G490" s="197">
        <v>10.09</v>
      </c>
      <c r="H490" s="197">
        <v>2</v>
      </c>
      <c r="I490" s="197">
        <v>12.09</v>
      </c>
      <c r="J490" s="199"/>
      <c r="K490" s="197">
        <v>8866.143</v>
      </c>
      <c r="L490" s="197">
        <v>14658.43</v>
      </c>
      <c r="M490" s="197">
        <v>88661.43</v>
      </c>
      <c r="N490" s="196"/>
      <c r="O490" s="194"/>
    </row>
    <row r="491" spans="1:15" x14ac:dyDescent="0.2">
      <c r="A491" s="196" t="s">
        <v>566</v>
      </c>
      <c r="B491" s="197">
        <v>7395.1779349999997</v>
      </c>
      <c r="C491" s="197">
        <v>1465.8430000000001</v>
      </c>
      <c r="D491" s="198">
        <v>45716</v>
      </c>
      <c r="E491" s="197">
        <v>10</v>
      </c>
      <c r="F491" s="197">
        <v>73292.149999999994</v>
      </c>
      <c r="G491" s="197">
        <v>10.09</v>
      </c>
      <c r="H491" s="197">
        <v>2</v>
      </c>
      <c r="I491" s="197">
        <v>12.09</v>
      </c>
      <c r="J491" s="199"/>
      <c r="K491" s="197">
        <v>8866.143</v>
      </c>
      <c r="L491" s="197">
        <v>14658.43</v>
      </c>
      <c r="M491" s="197">
        <v>88661.43</v>
      </c>
      <c r="N491" s="196"/>
      <c r="O491" s="194"/>
    </row>
    <row r="492" spans="1:15" x14ac:dyDescent="0.2">
      <c r="A492" s="196" t="s">
        <v>267</v>
      </c>
      <c r="B492" s="197">
        <v>47.62</v>
      </c>
      <c r="C492" s="197">
        <v>8.4403000000000006</v>
      </c>
      <c r="D492" s="198">
        <v>45652</v>
      </c>
      <c r="E492" s="197">
        <v>4500</v>
      </c>
      <c r="F492" s="197">
        <v>241.15</v>
      </c>
      <c r="G492" s="197">
        <v>19.739999999999998</v>
      </c>
      <c r="H492" s="197">
        <v>3.5</v>
      </c>
      <c r="I492" s="197">
        <v>23.24</v>
      </c>
      <c r="J492" s="199"/>
      <c r="K492" s="197">
        <v>56.060299999999998</v>
      </c>
      <c r="L492" s="197">
        <v>37981.125</v>
      </c>
      <c r="M492" s="197">
        <v>252271.125</v>
      </c>
      <c r="N492" s="196"/>
      <c r="O492" s="194"/>
    </row>
    <row r="493" spans="1:15" x14ac:dyDescent="0.2">
      <c r="A493" s="196" t="s">
        <v>267</v>
      </c>
      <c r="B493" s="197">
        <v>47.603009999999998</v>
      </c>
      <c r="C493" s="197">
        <v>8.4403000000000006</v>
      </c>
      <c r="D493" s="198">
        <v>45687</v>
      </c>
      <c r="E493" s="197">
        <v>4500</v>
      </c>
      <c r="F493" s="197">
        <v>241.15</v>
      </c>
      <c r="G493" s="197">
        <v>19.739999999999998</v>
      </c>
      <c r="H493" s="197">
        <v>3.5</v>
      </c>
      <c r="I493" s="197">
        <v>23.24</v>
      </c>
      <c r="J493" s="199"/>
      <c r="K493" s="197">
        <v>56.060299999999998</v>
      </c>
      <c r="L493" s="197">
        <v>37981.125</v>
      </c>
      <c r="M493" s="197">
        <v>252271.125</v>
      </c>
      <c r="N493" s="196"/>
      <c r="O493" s="194"/>
    </row>
    <row r="494" spans="1:15" x14ac:dyDescent="0.2">
      <c r="A494" s="196" t="s">
        <v>267</v>
      </c>
      <c r="B494" s="197">
        <v>47.603009999999998</v>
      </c>
      <c r="C494" s="197">
        <v>8.4403000000000006</v>
      </c>
      <c r="D494" s="198">
        <v>45715</v>
      </c>
      <c r="E494" s="197">
        <v>4500</v>
      </c>
      <c r="F494" s="197">
        <v>241.15</v>
      </c>
      <c r="G494" s="197">
        <v>19.739999999999998</v>
      </c>
      <c r="H494" s="197">
        <v>3.5</v>
      </c>
      <c r="I494" s="197">
        <v>23.24</v>
      </c>
      <c r="J494" s="199"/>
      <c r="K494" s="197">
        <v>56.060299999999998</v>
      </c>
      <c r="L494" s="197">
        <v>37981.125</v>
      </c>
      <c r="M494" s="197">
        <v>252271.125</v>
      </c>
      <c r="N494" s="196"/>
      <c r="O494" s="194"/>
    </row>
    <row r="495" spans="1:15" x14ac:dyDescent="0.2">
      <c r="A495" s="196" t="s">
        <v>268</v>
      </c>
      <c r="B495" s="197">
        <v>57.7</v>
      </c>
      <c r="C495" s="197">
        <v>12.7925</v>
      </c>
      <c r="D495" s="198">
        <v>45652</v>
      </c>
      <c r="E495" s="197">
        <v>1500</v>
      </c>
      <c r="F495" s="197">
        <v>365.5</v>
      </c>
      <c r="G495" s="197">
        <v>15.78</v>
      </c>
      <c r="H495" s="197">
        <v>3.5</v>
      </c>
      <c r="I495" s="197">
        <v>19.28</v>
      </c>
      <c r="J495" s="199"/>
      <c r="K495" s="197">
        <v>70.492500000000007</v>
      </c>
      <c r="L495" s="197">
        <v>19188.75</v>
      </c>
      <c r="M495" s="197">
        <v>105738.75</v>
      </c>
      <c r="N495" s="196"/>
      <c r="O495" s="194"/>
    </row>
    <row r="496" spans="1:15" x14ac:dyDescent="0.2">
      <c r="A496" s="196" t="s">
        <v>268</v>
      </c>
      <c r="B496" s="197">
        <v>57.675899999999999</v>
      </c>
      <c r="C496" s="197">
        <v>12.7925</v>
      </c>
      <c r="D496" s="198">
        <v>45687</v>
      </c>
      <c r="E496" s="197">
        <v>1500</v>
      </c>
      <c r="F496" s="197">
        <v>365.5</v>
      </c>
      <c r="G496" s="197">
        <v>15.78</v>
      </c>
      <c r="H496" s="197">
        <v>3.5</v>
      </c>
      <c r="I496" s="197">
        <v>19.28</v>
      </c>
      <c r="J496" s="199"/>
      <c r="K496" s="197">
        <v>70.492500000000007</v>
      </c>
      <c r="L496" s="197">
        <v>19188.75</v>
      </c>
      <c r="M496" s="197">
        <v>105738.75</v>
      </c>
      <c r="N496" s="196"/>
      <c r="O496" s="194"/>
    </row>
    <row r="497" spans="1:15" x14ac:dyDescent="0.2">
      <c r="A497" s="196" t="s">
        <v>268</v>
      </c>
      <c r="B497" s="197">
        <v>57.675899999999999</v>
      </c>
      <c r="C497" s="197">
        <v>12.7925</v>
      </c>
      <c r="D497" s="198">
        <v>45715</v>
      </c>
      <c r="E497" s="197">
        <v>1500</v>
      </c>
      <c r="F497" s="197">
        <v>365.5</v>
      </c>
      <c r="G497" s="197">
        <v>15.78</v>
      </c>
      <c r="H497" s="197">
        <v>3.5</v>
      </c>
      <c r="I497" s="197">
        <v>19.28</v>
      </c>
      <c r="J497" s="199"/>
      <c r="K497" s="197">
        <v>70.492500000000007</v>
      </c>
      <c r="L497" s="197">
        <v>19188.75</v>
      </c>
      <c r="M497" s="197">
        <v>105738.75</v>
      </c>
      <c r="N497" s="196"/>
      <c r="O497" s="194"/>
    </row>
    <row r="498" spans="1:15" x14ac:dyDescent="0.2">
      <c r="A498" s="196" t="s">
        <v>613</v>
      </c>
      <c r="B498" s="197">
        <v>31.85</v>
      </c>
      <c r="C498" s="197">
        <v>5.9465000000000003</v>
      </c>
      <c r="D498" s="198">
        <v>45652</v>
      </c>
      <c r="E498" s="197">
        <v>2950</v>
      </c>
      <c r="F498" s="197">
        <v>169.9</v>
      </c>
      <c r="G498" s="197">
        <v>18.739999999999998</v>
      </c>
      <c r="H498" s="197">
        <v>3.5</v>
      </c>
      <c r="I498" s="197">
        <v>22.24</v>
      </c>
      <c r="J498" s="199"/>
      <c r="K498" s="197">
        <v>37.796500000000002</v>
      </c>
      <c r="L498" s="197">
        <v>17542.174999999999</v>
      </c>
      <c r="M498" s="197">
        <v>111500.175</v>
      </c>
      <c r="N498" s="196"/>
      <c r="O498" s="194"/>
    </row>
    <row r="499" spans="1:15" x14ac:dyDescent="0.2">
      <c r="A499" s="196" t="s">
        <v>613</v>
      </c>
      <c r="B499" s="197">
        <v>31.839259999999999</v>
      </c>
      <c r="C499" s="197">
        <v>5.9465000000000003</v>
      </c>
      <c r="D499" s="198">
        <v>45687</v>
      </c>
      <c r="E499" s="197">
        <v>2950</v>
      </c>
      <c r="F499" s="197">
        <v>169.9</v>
      </c>
      <c r="G499" s="197">
        <v>18.739999999999998</v>
      </c>
      <c r="H499" s="197">
        <v>3.5</v>
      </c>
      <c r="I499" s="197">
        <v>22.24</v>
      </c>
      <c r="J499" s="199"/>
      <c r="K499" s="197">
        <v>37.796500000000002</v>
      </c>
      <c r="L499" s="197">
        <v>17542.174999999999</v>
      </c>
      <c r="M499" s="197">
        <v>111500.175</v>
      </c>
      <c r="N499" s="196"/>
      <c r="O499" s="194"/>
    </row>
    <row r="500" spans="1:15" x14ac:dyDescent="0.2">
      <c r="A500" s="196" t="s">
        <v>613</v>
      </c>
      <c r="B500" s="197">
        <v>31.839259999999999</v>
      </c>
      <c r="C500" s="197">
        <v>5.9465000000000003</v>
      </c>
      <c r="D500" s="198">
        <v>45715</v>
      </c>
      <c r="E500" s="197">
        <v>2950</v>
      </c>
      <c r="F500" s="197">
        <v>169.9</v>
      </c>
      <c r="G500" s="197">
        <v>18.739999999999998</v>
      </c>
      <c r="H500" s="197">
        <v>3.5</v>
      </c>
      <c r="I500" s="197">
        <v>22.24</v>
      </c>
      <c r="J500" s="199"/>
      <c r="K500" s="197">
        <v>37.796500000000002</v>
      </c>
      <c r="L500" s="197">
        <v>17542.174999999999</v>
      </c>
      <c r="M500" s="197">
        <v>111500.175</v>
      </c>
      <c r="N500" s="196"/>
      <c r="O500" s="194"/>
    </row>
    <row r="501" spans="1:15" x14ac:dyDescent="0.2">
      <c r="A501" s="196" t="s">
        <v>528</v>
      </c>
      <c r="B501" s="197">
        <v>381.34</v>
      </c>
      <c r="C501" s="197">
        <v>74.709299999999999</v>
      </c>
      <c r="D501" s="198">
        <v>45652</v>
      </c>
      <c r="E501" s="197">
        <v>350</v>
      </c>
      <c r="F501" s="197">
        <v>2134.5500000000002</v>
      </c>
      <c r="G501" s="197">
        <v>17.86</v>
      </c>
      <c r="H501" s="197">
        <v>3.5</v>
      </c>
      <c r="I501" s="197">
        <v>21.36</v>
      </c>
      <c r="J501" s="199"/>
      <c r="K501" s="197">
        <v>456.04930000000002</v>
      </c>
      <c r="L501" s="197">
        <v>26148.237499999999</v>
      </c>
      <c r="M501" s="197">
        <v>159617.23749999999</v>
      </c>
      <c r="N501" s="196"/>
      <c r="O501" s="194"/>
    </row>
    <row r="502" spans="1:15" x14ac:dyDescent="0.2">
      <c r="A502" s="196" t="s">
        <v>528</v>
      </c>
      <c r="B502" s="197">
        <v>381.23063000000002</v>
      </c>
      <c r="C502" s="197">
        <v>74.709299999999999</v>
      </c>
      <c r="D502" s="198">
        <v>45687</v>
      </c>
      <c r="E502" s="197">
        <v>350</v>
      </c>
      <c r="F502" s="197">
        <v>2134.5500000000002</v>
      </c>
      <c r="G502" s="197">
        <v>17.86</v>
      </c>
      <c r="H502" s="197">
        <v>3.5</v>
      </c>
      <c r="I502" s="197">
        <v>21.36</v>
      </c>
      <c r="J502" s="199"/>
      <c r="K502" s="197">
        <v>456.04930000000002</v>
      </c>
      <c r="L502" s="197">
        <v>26148.237499999999</v>
      </c>
      <c r="M502" s="197">
        <v>159617.23749999999</v>
      </c>
      <c r="N502" s="196"/>
      <c r="O502" s="194"/>
    </row>
    <row r="503" spans="1:15" x14ac:dyDescent="0.2">
      <c r="A503" s="196" t="s">
        <v>528</v>
      </c>
      <c r="B503" s="197">
        <v>381.23063000000002</v>
      </c>
      <c r="C503" s="197">
        <v>74.709299999999999</v>
      </c>
      <c r="D503" s="198">
        <v>45715</v>
      </c>
      <c r="E503" s="197">
        <v>350</v>
      </c>
      <c r="F503" s="197">
        <v>2134.5500000000002</v>
      </c>
      <c r="G503" s="197">
        <v>17.86</v>
      </c>
      <c r="H503" s="197">
        <v>3.5</v>
      </c>
      <c r="I503" s="197">
        <v>21.36</v>
      </c>
      <c r="J503" s="199"/>
      <c r="K503" s="197">
        <v>456.04930000000002</v>
      </c>
      <c r="L503" s="197">
        <v>26148.237499999999</v>
      </c>
      <c r="M503" s="197">
        <v>159617.23749999999</v>
      </c>
      <c r="N503" s="196"/>
      <c r="O503" s="194"/>
    </row>
    <row r="504" spans="1:15" x14ac:dyDescent="0.2">
      <c r="A504" s="196" t="s">
        <v>518</v>
      </c>
      <c r="B504" s="197">
        <v>5714.14</v>
      </c>
      <c r="C504" s="197">
        <v>428.61</v>
      </c>
      <c r="D504" s="198">
        <v>45652</v>
      </c>
      <c r="E504" s="197">
        <v>50</v>
      </c>
      <c r="F504" s="197">
        <v>12246</v>
      </c>
      <c r="G504" s="197">
        <v>46.66</v>
      </c>
      <c r="H504" s="197">
        <v>3.5</v>
      </c>
      <c r="I504" s="197">
        <v>50.16</v>
      </c>
      <c r="J504" s="199"/>
      <c r="K504" s="197">
        <v>6142.75</v>
      </c>
      <c r="L504" s="197">
        <v>21430.5</v>
      </c>
      <c r="M504" s="197">
        <v>307137.5</v>
      </c>
      <c r="N504" s="196"/>
      <c r="O504" s="194"/>
    </row>
    <row r="505" spans="1:15" x14ac:dyDescent="0.2">
      <c r="A505" s="196" t="s">
        <v>518</v>
      </c>
      <c r="B505" s="197">
        <v>5713.9835999999996</v>
      </c>
      <c r="C505" s="197">
        <v>428.61</v>
      </c>
      <c r="D505" s="198">
        <v>45687</v>
      </c>
      <c r="E505" s="197">
        <v>50</v>
      </c>
      <c r="F505" s="197">
        <v>12246</v>
      </c>
      <c r="G505" s="197">
        <v>46.66</v>
      </c>
      <c r="H505" s="197">
        <v>3.5</v>
      </c>
      <c r="I505" s="197">
        <v>50.16</v>
      </c>
      <c r="J505" s="199"/>
      <c r="K505" s="197">
        <v>6142.75</v>
      </c>
      <c r="L505" s="197">
        <v>21430.5</v>
      </c>
      <c r="M505" s="197">
        <v>307137.5</v>
      </c>
      <c r="N505" s="196"/>
      <c r="O505" s="194"/>
    </row>
    <row r="506" spans="1:15" x14ac:dyDescent="0.2">
      <c r="A506" s="196" t="s">
        <v>518</v>
      </c>
      <c r="B506" s="197">
        <v>5713.9835999999996</v>
      </c>
      <c r="C506" s="197">
        <v>428.61</v>
      </c>
      <c r="D506" s="198">
        <v>45715</v>
      </c>
      <c r="E506" s="197">
        <v>50</v>
      </c>
      <c r="F506" s="197">
        <v>12246</v>
      </c>
      <c r="G506" s="197">
        <v>46.66</v>
      </c>
      <c r="H506" s="197">
        <v>3.5</v>
      </c>
      <c r="I506" s="197">
        <v>50.16</v>
      </c>
      <c r="J506" s="199"/>
      <c r="K506" s="197">
        <v>6142.75</v>
      </c>
      <c r="L506" s="197">
        <v>21430.5</v>
      </c>
      <c r="M506" s="197">
        <v>307137.5</v>
      </c>
      <c r="N506" s="196"/>
      <c r="O506" s="194"/>
    </row>
    <row r="507" spans="1:15" x14ac:dyDescent="0.2">
      <c r="A507" s="196" t="s">
        <v>587</v>
      </c>
      <c r="B507" s="197">
        <v>219.1</v>
      </c>
      <c r="C507" s="197">
        <v>16.4343</v>
      </c>
      <c r="D507" s="198">
        <v>45652</v>
      </c>
      <c r="E507" s="197">
        <v>1075</v>
      </c>
      <c r="F507" s="197">
        <v>469.55</v>
      </c>
      <c r="G507" s="197">
        <v>46.66</v>
      </c>
      <c r="H507" s="197">
        <v>3.5</v>
      </c>
      <c r="I507" s="197">
        <v>50.16</v>
      </c>
      <c r="J507" s="199"/>
      <c r="K507" s="197">
        <v>235.5343</v>
      </c>
      <c r="L507" s="197">
        <v>17666.818800000001</v>
      </c>
      <c r="M507" s="197">
        <v>253199.81880000001</v>
      </c>
      <c r="N507" s="196"/>
      <c r="O507" s="194"/>
    </row>
    <row r="508" spans="1:15" x14ac:dyDescent="0.2">
      <c r="A508" s="196" t="s">
        <v>587</v>
      </c>
      <c r="B508" s="197">
        <v>219.09202999999999</v>
      </c>
      <c r="C508" s="197">
        <v>16.4343</v>
      </c>
      <c r="D508" s="198">
        <v>45687</v>
      </c>
      <c r="E508" s="197">
        <v>1075</v>
      </c>
      <c r="F508" s="197">
        <v>469.55</v>
      </c>
      <c r="G508" s="197">
        <v>46.66</v>
      </c>
      <c r="H508" s="197">
        <v>3.5</v>
      </c>
      <c r="I508" s="197">
        <v>50.16</v>
      </c>
      <c r="J508" s="199"/>
      <c r="K508" s="197">
        <v>235.5343</v>
      </c>
      <c r="L508" s="197">
        <v>17666.818800000001</v>
      </c>
      <c r="M508" s="197">
        <v>253199.81880000001</v>
      </c>
      <c r="N508" s="196"/>
      <c r="O508" s="194"/>
    </row>
    <row r="509" spans="1:15" x14ac:dyDescent="0.2">
      <c r="A509" s="196" t="s">
        <v>587</v>
      </c>
      <c r="B509" s="197">
        <v>219.09202999999999</v>
      </c>
      <c r="C509" s="197">
        <v>16.4343</v>
      </c>
      <c r="D509" s="198">
        <v>45715</v>
      </c>
      <c r="E509" s="197">
        <v>1075</v>
      </c>
      <c r="F509" s="197">
        <v>469.55</v>
      </c>
      <c r="G509" s="197">
        <v>46.66</v>
      </c>
      <c r="H509" s="197">
        <v>3.5</v>
      </c>
      <c r="I509" s="197">
        <v>50.16</v>
      </c>
      <c r="J509" s="199"/>
      <c r="K509" s="197">
        <v>235.5343</v>
      </c>
      <c r="L509" s="197">
        <v>17666.818800000001</v>
      </c>
      <c r="M509" s="197">
        <v>253199.81880000001</v>
      </c>
      <c r="N509" s="196"/>
      <c r="O509" s="194"/>
    </row>
    <row r="510" spans="1:15" x14ac:dyDescent="0.2">
      <c r="A510" s="196" t="s">
        <v>269</v>
      </c>
      <c r="B510" s="197">
        <v>46.32</v>
      </c>
      <c r="C510" s="197">
        <v>8.9809999999999999</v>
      </c>
      <c r="D510" s="198">
        <v>45652</v>
      </c>
      <c r="E510" s="197">
        <v>1925</v>
      </c>
      <c r="F510" s="197">
        <v>256.60000000000002</v>
      </c>
      <c r="G510" s="197">
        <v>18.05</v>
      </c>
      <c r="H510" s="197">
        <v>3.5</v>
      </c>
      <c r="I510" s="197">
        <v>21.55</v>
      </c>
      <c r="J510" s="199"/>
      <c r="K510" s="197">
        <v>55.301000000000002</v>
      </c>
      <c r="L510" s="197">
        <v>17288.424999999999</v>
      </c>
      <c r="M510" s="197">
        <v>106454.425</v>
      </c>
      <c r="N510" s="196"/>
      <c r="O510" s="194"/>
    </row>
    <row r="511" spans="1:15" x14ac:dyDescent="0.2">
      <c r="A511" s="196" t="s">
        <v>269</v>
      </c>
      <c r="B511" s="197">
        <v>46.316299999999998</v>
      </c>
      <c r="C511" s="197">
        <v>8.9809999999999999</v>
      </c>
      <c r="D511" s="198">
        <v>45687</v>
      </c>
      <c r="E511" s="197">
        <v>1925</v>
      </c>
      <c r="F511" s="197">
        <v>256.60000000000002</v>
      </c>
      <c r="G511" s="197">
        <v>18.05</v>
      </c>
      <c r="H511" s="197">
        <v>3.5</v>
      </c>
      <c r="I511" s="197">
        <v>21.55</v>
      </c>
      <c r="J511" s="199"/>
      <c r="K511" s="197">
        <v>55.301000000000002</v>
      </c>
      <c r="L511" s="197">
        <v>17288.424999999999</v>
      </c>
      <c r="M511" s="197">
        <v>106454.425</v>
      </c>
      <c r="N511" s="196"/>
      <c r="O511" s="194"/>
    </row>
    <row r="512" spans="1:15" x14ac:dyDescent="0.2">
      <c r="A512" s="196" t="s">
        <v>269</v>
      </c>
      <c r="B512" s="197">
        <v>46.316299999999998</v>
      </c>
      <c r="C512" s="197">
        <v>8.9809999999999999</v>
      </c>
      <c r="D512" s="198">
        <v>45715</v>
      </c>
      <c r="E512" s="197">
        <v>1925</v>
      </c>
      <c r="F512" s="197">
        <v>256.60000000000002</v>
      </c>
      <c r="G512" s="197">
        <v>18.05</v>
      </c>
      <c r="H512" s="197">
        <v>3.5</v>
      </c>
      <c r="I512" s="197">
        <v>21.55</v>
      </c>
      <c r="J512" s="199"/>
      <c r="K512" s="197">
        <v>55.301000000000002</v>
      </c>
      <c r="L512" s="197">
        <v>17288.424999999999</v>
      </c>
      <c r="M512" s="197">
        <v>106454.425</v>
      </c>
      <c r="N512" s="196"/>
      <c r="O512" s="194"/>
    </row>
    <row r="513" spans="1:15" x14ac:dyDescent="0.2">
      <c r="A513" s="196" t="s">
        <v>270</v>
      </c>
      <c r="B513" s="197">
        <v>6718.8</v>
      </c>
      <c r="C513" s="197">
        <v>1647.0965000000001</v>
      </c>
      <c r="D513" s="198">
        <v>45652</v>
      </c>
      <c r="E513" s="197">
        <v>15</v>
      </c>
      <c r="F513" s="197">
        <v>47059.9</v>
      </c>
      <c r="G513" s="197">
        <v>14.27</v>
      </c>
      <c r="H513" s="197">
        <v>3.5</v>
      </c>
      <c r="I513" s="197">
        <v>17.77</v>
      </c>
      <c r="J513" s="199"/>
      <c r="K513" s="197">
        <v>8365.8965000000007</v>
      </c>
      <c r="L513" s="197">
        <v>24706.447499999998</v>
      </c>
      <c r="M513" s="197">
        <v>125488.44749999999</v>
      </c>
      <c r="N513" s="196"/>
      <c r="O513" s="194"/>
    </row>
    <row r="514" spans="1:15" x14ac:dyDescent="0.2">
      <c r="A514" s="196" t="s">
        <v>270</v>
      </c>
      <c r="B514" s="197">
        <v>6715.4477299999999</v>
      </c>
      <c r="C514" s="197">
        <v>1647.0965000000001</v>
      </c>
      <c r="D514" s="198">
        <v>45687</v>
      </c>
      <c r="E514" s="197">
        <v>15</v>
      </c>
      <c r="F514" s="197">
        <v>47059.9</v>
      </c>
      <c r="G514" s="197">
        <v>14.27</v>
      </c>
      <c r="H514" s="197">
        <v>3.5</v>
      </c>
      <c r="I514" s="197">
        <v>17.77</v>
      </c>
      <c r="J514" s="199"/>
      <c r="K514" s="197">
        <v>8365.8965000000007</v>
      </c>
      <c r="L514" s="197">
        <v>24706.447499999998</v>
      </c>
      <c r="M514" s="197">
        <v>125488.44749999999</v>
      </c>
      <c r="N514" s="196"/>
      <c r="O514" s="194"/>
    </row>
    <row r="515" spans="1:15" x14ac:dyDescent="0.2">
      <c r="A515" s="196" t="s">
        <v>270</v>
      </c>
      <c r="B515" s="197">
        <v>6715.4477299999999</v>
      </c>
      <c r="C515" s="197">
        <v>1647.0965000000001</v>
      </c>
      <c r="D515" s="198">
        <v>45715</v>
      </c>
      <c r="E515" s="197">
        <v>15</v>
      </c>
      <c r="F515" s="197">
        <v>47059.9</v>
      </c>
      <c r="G515" s="197">
        <v>14.27</v>
      </c>
      <c r="H515" s="197">
        <v>3.5</v>
      </c>
      <c r="I515" s="197">
        <v>17.77</v>
      </c>
      <c r="J515" s="199"/>
      <c r="K515" s="197">
        <v>8365.8965000000007</v>
      </c>
      <c r="L515" s="197">
        <v>24706.447499999998</v>
      </c>
      <c r="M515" s="197">
        <v>125488.44749999999</v>
      </c>
      <c r="N515" s="196"/>
      <c r="O515" s="194"/>
    </row>
    <row r="516" spans="1:15" x14ac:dyDescent="0.2">
      <c r="A516" s="196" t="s">
        <v>575</v>
      </c>
      <c r="B516" s="197">
        <v>297.25</v>
      </c>
      <c r="C516" s="197">
        <v>33.444299999999998</v>
      </c>
      <c r="D516" s="198">
        <v>45652</v>
      </c>
      <c r="E516" s="197">
        <v>650</v>
      </c>
      <c r="F516" s="197">
        <v>955.55</v>
      </c>
      <c r="G516" s="197">
        <v>31.1</v>
      </c>
      <c r="H516" s="197">
        <v>3.5</v>
      </c>
      <c r="I516" s="197">
        <v>34.6</v>
      </c>
      <c r="J516" s="199"/>
      <c r="K516" s="197">
        <v>330.6943</v>
      </c>
      <c r="L516" s="197">
        <v>21738.762500000001</v>
      </c>
      <c r="M516" s="197">
        <v>214951.76250000001</v>
      </c>
      <c r="N516" s="196"/>
      <c r="O516" s="194"/>
    </row>
    <row r="517" spans="1:15" x14ac:dyDescent="0.2">
      <c r="A517" s="196" t="s">
        <v>575</v>
      </c>
      <c r="B517" s="197">
        <v>297.17604999999998</v>
      </c>
      <c r="C517" s="197">
        <v>33.444299999999998</v>
      </c>
      <c r="D517" s="198">
        <v>45687</v>
      </c>
      <c r="E517" s="197">
        <v>650</v>
      </c>
      <c r="F517" s="197">
        <v>955.55</v>
      </c>
      <c r="G517" s="197">
        <v>31.1</v>
      </c>
      <c r="H517" s="197">
        <v>3.5</v>
      </c>
      <c r="I517" s="197">
        <v>34.6</v>
      </c>
      <c r="J517" s="199"/>
      <c r="K517" s="197">
        <v>330.6943</v>
      </c>
      <c r="L517" s="197">
        <v>21738.762500000001</v>
      </c>
      <c r="M517" s="197">
        <v>214951.76250000001</v>
      </c>
      <c r="N517" s="196"/>
      <c r="O517" s="194"/>
    </row>
    <row r="518" spans="1:15" x14ac:dyDescent="0.2">
      <c r="A518" s="196" t="s">
        <v>575</v>
      </c>
      <c r="B518" s="197">
        <v>297.17604999999998</v>
      </c>
      <c r="C518" s="197">
        <v>33.444299999999998</v>
      </c>
      <c r="D518" s="198">
        <v>45715</v>
      </c>
      <c r="E518" s="197">
        <v>650</v>
      </c>
      <c r="F518" s="197">
        <v>955.55</v>
      </c>
      <c r="G518" s="197">
        <v>31.1</v>
      </c>
      <c r="H518" s="197">
        <v>3.5</v>
      </c>
      <c r="I518" s="197">
        <v>34.6</v>
      </c>
      <c r="J518" s="199"/>
      <c r="K518" s="197">
        <v>330.6943</v>
      </c>
      <c r="L518" s="197">
        <v>21738.762500000001</v>
      </c>
      <c r="M518" s="197">
        <v>214951.76250000001</v>
      </c>
      <c r="N518" s="196"/>
      <c r="O518" s="194"/>
    </row>
    <row r="519" spans="1:15" x14ac:dyDescent="0.2">
      <c r="A519" s="196" t="s">
        <v>271</v>
      </c>
      <c r="B519" s="197">
        <v>259.98</v>
      </c>
      <c r="C519" s="197">
        <v>66.661900000000003</v>
      </c>
      <c r="D519" s="198">
        <v>45652</v>
      </c>
      <c r="E519" s="197">
        <v>750</v>
      </c>
      <c r="F519" s="197">
        <v>1269.75</v>
      </c>
      <c r="G519" s="197">
        <v>20.47</v>
      </c>
      <c r="H519" s="197">
        <v>5.25</v>
      </c>
      <c r="I519" s="197">
        <v>25.72</v>
      </c>
      <c r="J519" s="199"/>
      <c r="K519" s="197">
        <v>326.64190000000002</v>
      </c>
      <c r="L519" s="197">
        <v>49996.406300000002</v>
      </c>
      <c r="M519" s="197">
        <v>244981.4063</v>
      </c>
      <c r="N519" s="196"/>
      <c r="O519" s="194"/>
    </row>
    <row r="520" spans="1:15" x14ac:dyDescent="0.2">
      <c r="A520" s="196" t="s">
        <v>271</v>
      </c>
      <c r="B520" s="197">
        <v>259.91782499999999</v>
      </c>
      <c r="C520" s="197">
        <v>66.661900000000003</v>
      </c>
      <c r="D520" s="198">
        <v>45687</v>
      </c>
      <c r="E520" s="197">
        <v>750</v>
      </c>
      <c r="F520" s="197">
        <v>1269.75</v>
      </c>
      <c r="G520" s="197">
        <v>20.47</v>
      </c>
      <c r="H520" s="197">
        <v>5.25</v>
      </c>
      <c r="I520" s="197">
        <v>25.72</v>
      </c>
      <c r="J520" s="199"/>
      <c r="K520" s="197">
        <v>326.64190000000002</v>
      </c>
      <c r="L520" s="197">
        <v>49996.406300000002</v>
      </c>
      <c r="M520" s="197">
        <v>244981.4063</v>
      </c>
      <c r="N520" s="196"/>
      <c r="O520" s="194"/>
    </row>
    <row r="521" spans="1:15" x14ac:dyDescent="0.2">
      <c r="A521" s="196" t="s">
        <v>271</v>
      </c>
      <c r="B521" s="197">
        <v>259.91782499999999</v>
      </c>
      <c r="C521" s="197">
        <v>66.661900000000003</v>
      </c>
      <c r="D521" s="198">
        <v>45715</v>
      </c>
      <c r="E521" s="197">
        <v>750</v>
      </c>
      <c r="F521" s="197">
        <v>1269.75</v>
      </c>
      <c r="G521" s="197">
        <v>20.47</v>
      </c>
      <c r="H521" s="197">
        <v>5.25</v>
      </c>
      <c r="I521" s="197">
        <v>25.72</v>
      </c>
      <c r="J521" s="199"/>
      <c r="K521" s="197">
        <v>326.64190000000002</v>
      </c>
      <c r="L521" s="197">
        <v>49996.406300000002</v>
      </c>
      <c r="M521" s="197">
        <v>244981.4063</v>
      </c>
      <c r="N521" s="196"/>
      <c r="O521" s="194"/>
    </row>
    <row r="522" spans="1:15" x14ac:dyDescent="0.2">
      <c r="A522" s="196" t="s">
        <v>529</v>
      </c>
      <c r="B522" s="197">
        <v>1118.55</v>
      </c>
      <c r="C522" s="197">
        <v>222.5598</v>
      </c>
      <c r="D522" s="198">
        <v>45652</v>
      </c>
      <c r="E522" s="197">
        <v>100</v>
      </c>
      <c r="F522" s="197">
        <v>6358.85</v>
      </c>
      <c r="G522" s="197">
        <v>17.59</v>
      </c>
      <c r="H522" s="197">
        <v>3.5</v>
      </c>
      <c r="I522" s="197">
        <v>21.09</v>
      </c>
      <c r="J522" s="199"/>
      <c r="K522" s="197">
        <v>1341.1098</v>
      </c>
      <c r="L522" s="197">
        <v>22255.974999999999</v>
      </c>
      <c r="M522" s="197">
        <v>134110.97500000001</v>
      </c>
      <c r="N522" s="196"/>
      <c r="O522" s="194"/>
    </row>
    <row r="523" spans="1:15" x14ac:dyDescent="0.2">
      <c r="A523" s="196" t="s">
        <v>529</v>
      </c>
      <c r="B523" s="197">
        <v>1118.5217150000001</v>
      </c>
      <c r="C523" s="197">
        <v>222.5598</v>
      </c>
      <c r="D523" s="198">
        <v>45687</v>
      </c>
      <c r="E523" s="197">
        <v>100</v>
      </c>
      <c r="F523" s="197">
        <v>6358.85</v>
      </c>
      <c r="G523" s="197">
        <v>17.59</v>
      </c>
      <c r="H523" s="197">
        <v>3.5</v>
      </c>
      <c r="I523" s="197">
        <v>21.09</v>
      </c>
      <c r="J523" s="199"/>
      <c r="K523" s="197">
        <v>1341.1098</v>
      </c>
      <c r="L523" s="197">
        <v>22255.974999999999</v>
      </c>
      <c r="M523" s="197">
        <v>134110.97500000001</v>
      </c>
      <c r="N523" s="196"/>
      <c r="O523" s="194"/>
    </row>
    <row r="524" spans="1:15" x14ac:dyDescent="0.2">
      <c r="A524" s="196" t="s">
        <v>529</v>
      </c>
      <c r="B524" s="197">
        <v>1118.5217150000001</v>
      </c>
      <c r="C524" s="197">
        <v>222.5598</v>
      </c>
      <c r="D524" s="198">
        <v>45715</v>
      </c>
      <c r="E524" s="197">
        <v>100</v>
      </c>
      <c r="F524" s="197">
        <v>6358.85</v>
      </c>
      <c r="G524" s="197">
        <v>17.59</v>
      </c>
      <c r="H524" s="197">
        <v>3.5</v>
      </c>
      <c r="I524" s="197">
        <v>21.09</v>
      </c>
      <c r="J524" s="199"/>
      <c r="K524" s="197">
        <v>1341.1098</v>
      </c>
      <c r="L524" s="197">
        <v>22255.974999999999</v>
      </c>
      <c r="M524" s="197">
        <v>134110.97500000001</v>
      </c>
      <c r="N524" s="196"/>
      <c r="O524" s="194"/>
    </row>
    <row r="525" spans="1:15" x14ac:dyDescent="0.2">
      <c r="A525" s="196" t="s">
        <v>272</v>
      </c>
      <c r="B525" s="197">
        <v>54.18</v>
      </c>
      <c r="C525" s="197">
        <v>11.942</v>
      </c>
      <c r="D525" s="198">
        <v>45652</v>
      </c>
      <c r="E525" s="197">
        <v>1500</v>
      </c>
      <c r="F525" s="197">
        <v>341.2</v>
      </c>
      <c r="G525" s="197">
        <v>15.87</v>
      </c>
      <c r="H525" s="197">
        <v>3.5</v>
      </c>
      <c r="I525" s="197">
        <v>19.37</v>
      </c>
      <c r="J525" s="199"/>
      <c r="K525" s="197">
        <v>66.122</v>
      </c>
      <c r="L525" s="197">
        <v>17913</v>
      </c>
      <c r="M525" s="197">
        <v>99183</v>
      </c>
      <c r="N525" s="196"/>
      <c r="O525" s="194"/>
    </row>
    <row r="526" spans="1:15" x14ac:dyDescent="0.2">
      <c r="A526" s="196" t="s">
        <v>272</v>
      </c>
      <c r="B526" s="197">
        <v>54.148440000000001</v>
      </c>
      <c r="C526" s="197">
        <v>11.942</v>
      </c>
      <c r="D526" s="198">
        <v>45687</v>
      </c>
      <c r="E526" s="197">
        <v>1500</v>
      </c>
      <c r="F526" s="197">
        <v>341.2</v>
      </c>
      <c r="G526" s="197">
        <v>15.87</v>
      </c>
      <c r="H526" s="197">
        <v>3.5</v>
      </c>
      <c r="I526" s="197">
        <v>19.369999999999997</v>
      </c>
      <c r="J526" s="199"/>
      <c r="K526" s="197">
        <v>66.122</v>
      </c>
      <c r="L526" s="197">
        <v>17913</v>
      </c>
      <c r="M526" s="197">
        <v>99183</v>
      </c>
      <c r="N526" s="196"/>
      <c r="O526" s="194"/>
    </row>
    <row r="527" spans="1:15" x14ac:dyDescent="0.2">
      <c r="A527" s="196" t="s">
        <v>272</v>
      </c>
      <c r="B527" s="197">
        <v>54.148440000000001</v>
      </c>
      <c r="C527" s="197">
        <v>11.942</v>
      </c>
      <c r="D527" s="198">
        <v>45715</v>
      </c>
      <c r="E527" s="197">
        <v>1500</v>
      </c>
      <c r="F527" s="197">
        <v>341.2</v>
      </c>
      <c r="G527" s="197">
        <v>15.87</v>
      </c>
      <c r="H527" s="197">
        <v>3.5</v>
      </c>
      <c r="I527" s="197">
        <v>19.369999999999997</v>
      </c>
      <c r="J527" s="199"/>
      <c r="K527" s="197">
        <v>66.122</v>
      </c>
      <c r="L527" s="197">
        <v>17913</v>
      </c>
      <c r="M527" s="197">
        <v>99183</v>
      </c>
      <c r="N527" s="196"/>
      <c r="O527" s="194"/>
    </row>
    <row r="528" spans="1:15" x14ac:dyDescent="0.2">
      <c r="A528" s="196" t="s">
        <v>273</v>
      </c>
      <c r="B528" s="197">
        <v>126.73</v>
      </c>
      <c r="C528" s="197">
        <v>17.954999999999998</v>
      </c>
      <c r="D528" s="198">
        <v>45652</v>
      </c>
      <c r="E528" s="197">
        <v>1300</v>
      </c>
      <c r="F528" s="197">
        <v>513</v>
      </c>
      <c r="G528" s="197">
        <v>24.7</v>
      </c>
      <c r="H528" s="197">
        <v>3.5</v>
      </c>
      <c r="I528" s="197">
        <v>28.2</v>
      </c>
      <c r="J528" s="199"/>
      <c r="K528" s="197">
        <v>144.685</v>
      </c>
      <c r="L528" s="197">
        <v>23341.5</v>
      </c>
      <c r="M528" s="197">
        <v>188090.5</v>
      </c>
      <c r="N528" s="196"/>
      <c r="O528" s="194"/>
    </row>
    <row r="529" spans="1:15" x14ac:dyDescent="0.2">
      <c r="A529" s="196" t="s">
        <v>273</v>
      </c>
      <c r="B529" s="197">
        <v>126.711</v>
      </c>
      <c r="C529" s="197">
        <v>17.954999999999998</v>
      </c>
      <c r="D529" s="198">
        <v>45687</v>
      </c>
      <c r="E529" s="197">
        <v>1300</v>
      </c>
      <c r="F529" s="197">
        <v>513</v>
      </c>
      <c r="G529" s="197">
        <v>24.7</v>
      </c>
      <c r="H529" s="197">
        <v>3.5</v>
      </c>
      <c r="I529" s="197">
        <v>28.2</v>
      </c>
      <c r="J529" s="199"/>
      <c r="K529" s="197">
        <v>144.685</v>
      </c>
      <c r="L529" s="197">
        <v>23341.5</v>
      </c>
      <c r="M529" s="197">
        <v>188090.5</v>
      </c>
      <c r="N529" s="196"/>
      <c r="O529" s="194"/>
    </row>
    <row r="530" spans="1:15" x14ac:dyDescent="0.2">
      <c r="A530" s="196" t="s">
        <v>273</v>
      </c>
      <c r="B530" s="197">
        <v>126.711</v>
      </c>
      <c r="C530" s="197">
        <v>17.954999999999998</v>
      </c>
      <c r="D530" s="198">
        <v>45715</v>
      </c>
      <c r="E530" s="197">
        <v>1300</v>
      </c>
      <c r="F530" s="197">
        <v>513</v>
      </c>
      <c r="G530" s="197">
        <v>24.7</v>
      </c>
      <c r="H530" s="197">
        <v>3.5</v>
      </c>
      <c r="I530" s="197">
        <v>28.2</v>
      </c>
      <c r="J530" s="199"/>
      <c r="K530" s="197">
        <v>144.685</v>
      </c>
      <c r="L530" s="197">
        <v>23341.5</v>
      </c>
      <c r="M530" s="197">
        <v>188090.5</v>
      </c>
      <c r="N530" s="196"/>
      <c r="O530" s="194"/>
    </row>
    <row r="531" spans="1:15" x14ac:dyDescent="0.2">
      <c r="A531" s="196" t="s">
        <v>274</v>
      </c>
      <c r="B531" s="197">
        <v>455.61</v>
      </c>
      <c r="C531" s="197">
        <v>111.69199999999999</v>
      </c>
      <c r="D531" s="198">
        <v>45652</v>
      </c>
      <c r="E531" s="197">
        <v>250</v>
      </c>
      <c r="F531" s="197">
        <v>3191.2</v>
      </c>
      <c r="G531" s="197">
        <v>14.27</v>
      </c>
      <c r="H531" s="197">
        <v>3.5</v>
      </c>
      <c r="I531" s="197">
        <v>17.77</v>
      </c>
      <c r="J531" s="199"/>
      <c r="K531" s="197">
        <v>567.30200000000002</v>
      </c>
      <c r="L531" s="197">
        <v>27923</v>
      </c>
      <c r="M531" s="197">
        <v>141826</v>
      </c>
      <c r="N531" s="196"/>
      <c r="O531" s="194"/>
    </row>
    <row r="532" spans="1:15" x14ac:dyDescent="0.2">
      <c r="A532" s="196" t="s">
        <v>274</v>
      </c>
      <c r="B532" s="197">
        <v>455.38423999999998</v>
      </c>
      <c r="C532" s="197">
        <v>111.69199999999999</v>
      </c>
      <c r="D532" s="198">
        <v>45687</v>
      </c>
      <c r="E532" s="197">
        <v>250</v>
      </c>
      <c r="F532" s="197">
        <v>3191.2</v>
      </c>
      <c r="G532" s="197">
        <v>14.27</v>
      </c>
      <c r="H532" s="197">
        <v>3.5</v>
      </c>
      <c r="I532" s="197">
        <v>17.77</v>
      </c>
      <c r="J532" s="199"/>
      <c r="K532" s="197">
        <v>567.30200000000002</v>
      </c>
      <c r="L532" s="197">
        <v>27923</v>
      </c>
      <c r="M532" s="197">
        <v>141826</v>
      </c>
      <c r="N532" s="196"/>
      <c r="O532" s="194"/>
    </row>
    <row r="533" spans="1:15" x14ac:dyDescent="0.2">
      <c r="A533" s="196" t="s">
        <v>274</v>
      </c>
      <c r="B533" s="197">
        <v>455.38423999999998</v>
      </c>
      <c r="C533" s="197">
        <v>111.69199999999999</v>
      </c>
      <c r="D533" s="198">
        <v>45715</v>
      </c>
      <c r="E533" s="197">
        <v>250</v>
      </c>
      <c r="F533" s="197">
        <v>3191.2</v>
      </c>
      <c r="G533" s="197">
        <v>14.27</v>
      </c>
      <c r="H533" s="197">
        <v>3.5</v>
      </c>
      <c r="I533" s="197">
        <v>17.77</v>
      </c>
      <c r="J533" s="199"/>
      <c r="K533" s="197">
        <v>567.30200000000002</v>
      </c>
      <c r="L533" s="197">
        <v>27923</v>
      </c>
      <c r="M533" s="197">
        <v>141826</v>
      </c>
      <c r="N533" s="196"/>
      <c r="O533" s="194"/>
    </row>
    <row r="534" spans="1:15" x14ac:dyDescent="0.2">
      <c r="A534" s="196" t="s">
        <v>483</v>
      </c>
      <c r="B534" s="197">
        <v>585.69000000000005</v>
      </c>
      <c r="C534" s="197">
        <v>143.5805</v>
      </c>
      <c r="D534" s="198">
        <v>45652</v>
      </c>
      <c r="E534" s="197">
        <v>125</v>
      </c>
      <c r="F534" s="197">
        <v>4102.3</v>
      </c>
      <c r="G534" s="197">
        <v>14.27</v>
      </c>
      <c r="H534" s="197">
        <v>3.5</v>
      </c>
      <c r="I534" s="197">
        <v>17.77</v>
      </c>
      <c r="J534" s="199"/>
      <c r="K534" s="197">
        <v>729.27049999999997</v>
      </c>
      <c r="L534" s="197">
        <v>17947.5625</v>
      </c>
      <c r="M534" s="197">
        <v>91158.5625</v>
      </c>
      <c r="N534" s="196"/>
      <c r="O534" s="194"/>
    </row>
    <row r="535" spans="1:15" x14ac:dyDescent="0.2">
      <c r="A535" s="196" t="s">
        <v>483</v>
      </c>
      <c r="B535" s="197">
        <v>585.39820999999995</v>
      </c>
      <c r="C535" s="197">
        <v>143.5805</v>
      </c>
      <c r="D535" s="198">
        <v>45687</v>
      </c>
      <c r="E535" s="197">
        <v>125</v>
      </c>
      <c r="F535" s="197">
        <v>4102.3</v>
      </c>
      <c r="G535" s="197">
        <v>14.27</v>
      </c>
      <c r="H535" s="197">
        <v>3.5</v>
      </c>
      <c r="I535" s="197">
        <v>17.77</v>
      </c>
      <c r="J535" s="199"/>
      <c r="K535" s="197">
        <v>729.27049999999997</v>
      </c>
      <c r="L535" s="197">
        <v>17947.5625</v>
      </c>
      <c r="M535" s="197">
        <v>91158.5625</v>
      </c>
      <c r="N535" s="196"/>
      <c r="O535" s="194"/>
    </row>
    <row r="536" spans="1:15" x14ac:dyDescent="0.2">
      <c r="A536" s="196" t="s">
        <v>483</v>
      </c>
      <c r="B536" s="197">
        <v>585.39820999999995</v>
      </c>
      <c r="C536" s="197">
        <v>143.5805</v>
      </c>
      <c r="D536" s="198">
        <v>45715</v>
      </c>
      <c r="E536" s="197">
        <v>125</v>
      </c>
      <c r="F536" s="197">
        <v>4102.3</v>
      </c>
      <c r="G536" s="197">
        <v>14.27</v>
      </c>
      <c r="H536" s="197">
        <v>3.5</v>
      </c>
      <c r="I536" s="197">
        <v>17.77</v>
      </c>
      <c r="J536" s="199"/>
      <c r="K536" s="197">
        <v>729.27049999999997</v>
      </c>
      <c r="L536" s="197">
        <v>17947.5625</v>
      </c>
      <c r="M536" s="197">
        <v>91158.5625</v>
      </c>
      <c r="N536" s="196"/>
      <c r="O536" s="194"/>
    </row>
    <row r="537" spans="1:15" x14ac:dyDescent="0.2">
      <c r="A537" s="196" t="s">
        <v>275</v>
      </c>
      <c r="B537" s="197">
        <v>21.9</v>
      </c>
      <c r="C537" s="197">
        <v>9.5024999999999995</v>
      </c>
      <c r="D537" s="198">
        <v>45652</v>
      </c>
      <c r="E537" s="197">
        <v>8000</v>
      </c>
      <c r="F537" s="197">
        <v>108.6</v>
      </c>
      <c r="G537" s="197">
        <v>20.16</v>
      </c>
      <c r="H537" s="197">
        <v>8.75</v>
      </c>
      <c r="I537" s="197">
        <v>28.91</v>
      </c>
      <c r="J537" s="199"/>
      <c r="K537" s="197">
        <v>31.4025</v>
      </c>
      <c r="L537" s="197">
        <v>76020</v>
      </c>
      <c r="M537" s="197">
        <v>251220</v>
      </c>
      <c r="N537" s="196"/>
      <c r="O537" s="194"/>
    </row>
    <row r="538" spans="1:15" x14ac:dyDescent="0.2">
      <c r="A538" s="196" t="s">
        <v>275</v>
      </c>
      <c r="B538" s="197">
        <v>21.89376</v>
      </c>
      <c r="C538" s="197">
        <v>9.5024999999999995</v>
      </c>
      <c r="D538" s="198">
        <v>45687</v>
      </c>
      <c r="E538" s="197">
        <v>8000</v>
      </c>
      <c r="F538" s="197">
        <v>108.6</v>
      </c>
      <c r="G538" s="197">
        <v>20.16</v>
      </c>
      <c r="H538" s="197">
        <v>8.75</v>
      </c>
      <c r="I538" s="197">
        <v>28.91</v>
      </c>
      <c r="J538" s="199"/>
      <c r="K538" s="197">
        <v>31.4025</v>
      </c>
      <c r="L538" s="197">
        <v>76020</v>
      </c>
      <c r="M538" s="197">
        <v>251220</v>
      </c>
      <c r="N538" s="196"/>
      <c r="O538" s="194"/>
    </row>
    <row r="539" spans="1:15" x14ac:dyDescent="0.2">
      <c r="A539" s="196" t="s">
        <v>275</v>
      </c>
      <c r="B539" s="197">
        <v>21.89376</v>
      </c>
      <c r="C539" s="197">
        <v>9.5024999999999995</v>
      </c>
      <c r="D539" s="198">
        <v>45715</v>
      </c>
      <c r="E539" s="197">
        <v>8000</v>
      </c>
      <c r="F539" s="197">
        <v>108.6</v>
      </c>
      <c r="G539" s="197">
        <v>20.16</v>
      </c>
      <c r="H539" s="197">
        <v>8.75</v>
      </c>
      <c r="I539" s="197">
        <v>28.91</v>
      </c>
      <c r="J539" s="199"/>
      <c r="K539" s="197">
        <v>31.4025</v>
      </c>
      <c r="L539" s="197">
        <v>76020</v>
      </c>
      <c r="M539" s="197">
        <v>251220</v>
      </c>
      <c r="N539" s="196"/>
      <c r="O539" s="194"/>
    </row>
    <row r="540" spans="1:15" x14ac:dyDescent="0.2">
      <c r="A540" s="196" t="s">
        <v>573</v>
      </c>
      <c r="B540" s="197">
        <v>488.13</v>
      </c>
      <c r="C540" s="197">
        <v>75.778499999999994</v>
      </c>
      <c r="D540" s="198">
        <v>45652</v>
      </c>
      <c r="E540" s="197">
        <v>325</v>
      </c>
      <c r="F540" s="197">
        <v>2165.1</v>
      </c>
      <c r="G540" s="197">
        <v>22.54</v>
      </c>
      <c r="H540" s="197">
        <v>3.5</v>
      </c>
      <c r="I540" s="197">
        <v>26.04</v>
      </c>
      <c r="J540" s="199"/>
      <c r="K540" s="197">
        <v>563.9085</v>
      </c>
      <c r="L540" s="197">
        <v>24628.012500000001</v>
      </c>
      <c r="M540" s="197">
        <v>183270.01250000001</v>
      </c>
      <c r="N540" s="196"/>
      <c r="O540" s="194"/>
    </row>
    <row r="541" spans="1:15" x14ac:dyDescent="0.2">
      <c r="A541" s="196" t="s">
        <v>573</v>
      </c>
      <c r="B541" s="197">
        <v>488.01353999999998</v>
      </c>
      <c r="C541" s="197">
        <v>75.778499999999994</v>
      </c>
      <c r="D541" s="198">
        <v>45687</v>
      </c>
      <c r="E541" s="197">
        <v>325</v>
      </c>
      <c r="F541" s="197">
        <v>2165.1</v>
      </c>
      <c r="G541" s="197">
        <v>22.54</v>
      </c>
      <c r="H541" s="197">
        <v>3.5</v>
      </c>
      <c r="I541" s="197">
        <v>26.04</v>
      </c>
      <c r="J541" s="199"/>
      <c r="K541" s="197">
        <v>563.9085</v>
      </c>
      <c r="L541" s="197">
        <v>24628.012500000001</v>
      </c>
      <c r="M541" s="197">
        <v>183270.01250000001</v>
      </c>
      <c r="N541" s="196"/>
      <c r="O541" s="194"/>
    </row>
    <row r="542" spans="1:15" x14ac:dyDescent="0.2">
      <c r="A542" s="196" t="s">
        <v>573</v>
      </c>
      <c r="B542" s="197">
        <v>488.01353999999998</v>
      </c>
      <c r="C542" s="197">
        <v>75.778499999999994</v>
      </c>
      <c r="D542" s="198">
        <v>45715</v>
      </c>
      <c r="E542" s="197">
        <v>325</v>
      </c>
      <c r="F542" s="197">
        <v>2165.1</v>
      </c>
      <c r="G542" s="197">
        <v>22.54</v>
      </c>
      <c r="H542" s="197">
        <v>3.5</v>
      </c>
      <c r="I542" s="197">
        <v>26.04</v>
      </c>
      <c r="J542" s="199"/>
      <c r="K542" s="197">
        <v>563.9085</v>
      </c>
      <c r="L542" s="197">
        <v>24628.012500000001</v>
      </c>
      <c r="M542" s="197">
        <v>183270.01250000001</v>
      </c>
      <c r="N542" s="196"/>
      <c r="O542" s="194"/>
    </row>
    <row r="543" spans="1:15" x14ac:dyDescent="0.2">
      <c r="A543" s="196" t="s">
        <v>519</v>
      </c>
      <c r="B543" s="197">
        <v>1338.44</v>
      </c>
      <c r="C543" s="197">
        <v>259.04199999999997</v>
      </c>
      <c r="D543" s="198">
        <v>45652</v>
      </c>
      <c r="E543" s="197">
        <v>125</v>
      </c>
      <c r="F543" s="197">
        <v>7401.2</v>
      </c>
      <c r="G543" s="197">
        <v>18.079999999999998</v>
      </c>
      <c r="H543" s="197">
        <v>3.5</v>
      </c>
      <c r="I543" s="197">
        <v>21.58</v>
      </c>
      <c r="J543" s="199"/>
      <c r="K543" s="197">
        <v>1597.482</v>
      </c>
      <c r="L543" s="197">
        <v>32380.25</v>
      </c>
      <c r="M543" s="197">
        <v>199685.25</v>
      </c>
      <c r="N543" s="196"/>
      <c r="O543" s="194"/>
    </row>
    <row r="544" spans="1:15" x14ac:dyDescent="0.2">
      <c r="A544" s="196" t="s">
        <v>519</v>
      </c>
      <c r="B544" s="197">
        <v>1338.13696</v>
      </c>
      <c r="C544" s="197">
        <v>259.04199999999997</v>
      </c>
      <c r="D544" s="198">
        <v>45687</v>
      </c>
      <c r="E544" s="197">
        <v>125</v>
      </c>
      <c r="F544" s="197">
        <v>7401.2</v>
      </c>
      <c r="G544" s="197">
        <v>18.079999999999998</v>
      </c>
      <c r="H544" s="197">
        <v>3.5</v>
      </c>
      <c r="I544" s="197">
        <v>21.58</v>
      </c>
      <c r="J544" s="199"/>
      <c r="K544" s="197">
        <v>1597.482</v>
      </c>
      <c r="L544" s="197">
        <v>32380.25</v>
      </c>
      <c r="M544" s="197">
        <v>199685.25</v>
      </c>
      <c r="N544" s="196"/>
      <c r="O544" s="194"/>
    </row>
    <row r="545" spans="1:15" x14ac:dyDescent="0.2">
      <c r="A545" s="196" t="s">
        <v>519</v>
      </c>
      <c r="B545" s="197">
        <v>1338.13696</v>
      </c>
      <c r="C545" s="197">
        <v>259.04199999999997</v>
      </c>
      <c r="D545" s="198">
        <v>45715</v>
      </c>
      <c r="E545" s="197">
        <v>125</v>
      </c>
      <c r="F545" s="197">
        <v>7401.2</v>
      </c>
      <c r="G545" s="197">
        <v>18.079999999999998</v>
      </c>
      <c r="H545" s="197">
        <v>3.5</v>
      </c>
      <c r="I545" s="197">
        <v>21.58</v>
      </c>
      <c r="J545" s="199"/>
      <c r="K545" s="197">
        <v>1597.482</v>
      </c>
      <c r="L545" s="197">
        <v>32380.25</v>
      </c>
      <c r="M545" s="197">
        <v>199685.25</v>
      </c>
      <c r="N545" s="196"/>
      <c r="O545" s="194"/>
    </row>
    <row r="546" spans="1:15" x14ac:dyDescent="0.2">
      <c r="A546" s="196" t="s">
        <v>596</v>
      </c>
      <c r="B546" s="197">
        <v>82.36</v>
      </c>
      <c r="C546" s="197">
        <v>12.7523</v>
      </c>
      <c r="D546" s="198">
        <v>45652</v>
      </c>
      <c r="E546" s="197">
        <v>1450</v>
      </c>
      <c r="F546" s="197">
        <v>364.35</v>
      </c>
      <c r="G546" s="197">
        <v>22.6</v>
      </c>
      <c r="H546" s="197">
        <v>3.5</v>
      </c>
      <c r="I546" s="197">
        <v>26.1</v>
      </c>
      <c r="J546" s="199"/>
      <c r="K546" s="197">
        <v>95.112300000000005</v>
      </c>
      <c r="L546" s="197">
        <v>18490.762500000001</v>
      </c>
      <c r="M546" s="197">
        <v>137912.76250000001</v>
      </c>
      <c r="N546" s="196"/>
      <c r="O546" s="194"/>
    </row>
    <row r="547" spans="1:15" x14ac:dyDescent="0.2">
      <c r="A547" s="196" t="s">
        <v>596</v>
      </c>
      <c r="B547" s="197">
        <v>82.343100000000007</v>
      </c>
      <c r="C547" s="197">
        <v>12.7523</v>
      </c>
      <c r="D547" s="198">
        <v>45687</v>
      </c>
      <c r="E547" s="197">
        <v>1450</v>
      </c>
      <c r="F547" s="197">
        <v>364.35</v>
      </c>
      <c r="G547" s="197">
        <v>22.6</v>
      </c>
      <c r="H547" s="197">
        <v>3.5</v>
      </c>
      <c r="I547" s="197">
        <v>26.1</v>
      </c>
      <c r="J547" s="199"/>
      <c r="K547" s="197">
        <v>95.112300000000005</v>
      </c>
      <c r="L547" s="197">
        <v>18490.762500000001</v>
      </c>
      <c r="M547" s="197">
        <v>137912.76250000001</v>
      </c>
      <c r="N547" s="196"/>
      <c r="O547" s="194"/>
    </row>
    <row r="548" spans="1:15" x14ac:dyDescent="0.2">
      <c r="A548" s="196" t="s">
        <v>596</v>
      </c>
      <c r="B548" s="197">
        <v>82.343100000000007</v>
      </c>
      <c r="C548" s="197">
        <v>12.7523</v>
      </c>
      <c r="D548" s="198">
        <v>45715</v>
      </c>
      <c r="E548" s="197">
        <v>1450</v>
      </c>
      <c r="F548" s="197">
        <v>364.35</v>
      </c>
      <c r="G548" s="197">
        <v>22.6</v>
      </c>
      <c r="H548" s="197">
        <v>3.5</v>
      </c>
      <c r="I548" s="197">
        <v>26.1</v>
      </c>
      <c r="J548" s="199"/>
      <c r="K548" s="197">
        <v>95.112300000000005</v>
      </c>
      <c r="L548" s="197">
        <v>18490.762500000001</v>
      </c>
      <c r="M548" s="197">
        <v>137912.76250000001</v>
      </c>
      <c r="N548" s="196"/>
      <c r="O548" s="194"/>
    </row>
    <row r="549" spans="1:15" x14ac:dyDescent="0.2">
      <c r="A549" s="196" t="s">
        <v>276</v>
      </c>
      <c r="B549" s="197">
        <v>49.76</v>
      </c>
      <c r="C549" s="197">
        <v>11.4643</v>
      </c>
      <c r="D549" s="198">
        <v>45652</v>
      </c>
      <c r="E549" s="197">
        <v>1800</v>
      </c>
      <c r="F549" s="197">
        <v>327.55</v>
      </c>
      <c r="G549" s="197">
        <v>15.19</v>
      </c>
      <c r="H549" s="197">
        <v>3.5</v>
      </c>
      <c r="I549" s="197">
        <v>18.690000000000001</v>
      </c>
      <c r="J549" s="199"/>
      <c r="K549" s="197">
        <v>61.224299999999999</v>
      </c>
      <c r="L549" s="197">
        <v>20635.650000000001</v>
      </c>
      <c r="M549" s="197">
        <v>110203.65</v>
      </c>
      <c r="N549" s="196"/>
      <c r="O549" s="194"/>
    </row>
    <row r="550" spans="1:15" x14ac:dyDescent="0.2">
      <c r="A550" s="196" t="s">
        <v>276</v>
      </c>
      <c r="B550" s="197">
        <v>49.754845000000003</v>
      </c>
      <c r="C550" s="197">
        <v>11.4643</v>
      </c>
      <c r="D550" s="198">
        <v>45687</v>
      </c>
      <c r="E550" s="197">
        <v>1800</v>
      </c>
      <c r="F550" s="197">
        <v>327.55</v>
      </c>
      <c r="G550" s="197">
        <v>15.19</v>
      </c>
      <c r="H550" s="197">
        <v>3.5</v>
      </c>
      <c r="I550" s="197">
        <v>18.689999999999998</v>
      </c>
      <c r="J550" s="199"/>
      <c r="K550" s="197">
        <v>61.224299999999999</v>
      </c>
      <c r="L550" s="197">
        <v>20635.650000000001</v>
      </c>
      <c r="M550" s="197">
        <v>110203.65</v>
      </c>
      <c r="N550" s="196"/>
      <c r="O550" s="194"/>
    </row>
    <row r="551" spans="1:15" x14ac:dyDescent="0.2">
      <c r="A551" s="196" t="s">
        <v>276</v>
      </c>
      <c r="B551" s="197">
        <v>49.754845000000003</v>
      </c>
      <c r="C551" s="197">
        <v>11.4643</v>
      </c>
      <c r="D551" s="198">
        <v>45715</v>
      </c>
      <c r="E551" s="197">
        <v>1800</v>
      </c>
      <c r="F551" s="197">
        <v>327.55</v>
      </c>
      <c r="G551" s="197">
        <v>15.19</v>
      </c>
      <c r="H551" s="197">
        <v>3.5</v>
      </c>
      <c r="I551" s="197">
        <v>18.689999999999998</v>
      </c>
      <c r="J551" s="199"/>
      <c r="K551" s="197">
        <v>61.224299999999999</v>
      </c>
      <c r="L551" s="197">
        <v>20635.650000000001</v>
      </c>
      <c r="M551" s="197">
        <v>110203.65</v>
      </c>
      <c r="N551" s="196"/>
      <c r="O551" s="194"/>
    </row>
    <row r="552" spans="1:15" x14ac:dyDescent="0.2">
      <c r="A552" s="196" t="s">
        <v>605</v>
      </c>
      <c r="B552" s="197">
        <v>423.8</v>
      </c>
      <c r="C552" s="197">
        <v>61.316499999999998</v>
      </c>
      <c r="D552" s="198">
        <v>45652</v>
      </c>
      <c r="E552" s="197">
        <v>325</v>
      </c>
      <c r="F552" s="197">
        <v>1751.9</v>
      </c>
      <c r="G552" s="197">
        <v>24.19</v>
      </c>
      <c r="H552" s="197">
        <v>3.5</v>
      </c>
      <c r="I552" s="197">
        <v>27.69</v>
      </c>
      <c r="J552" s="199"/>
      <c r="K552" s="197">
        <v>485.11649999999997</v>
      </c>
      <c r="L552" s="197">
        <v>19927.862499999999</v>
      </c>
      <c r="M552" s="197">
        <v>157662.86249999999</v>
      </c>
      <c r="N552" s="196"/>
      <c r="O552" s="194"/>
    </row>
    <row r="553" spans="1:15" x14ac:dyDescent="0.2">
      <c r="A553" s="196" t="s">
        <v>605</v>
      </c>
      <c r="B553" s="197">
        <v>423.78460999999999</v>
      </c>
      <c r="C553" s="197">
        <v>61.316499999999998</v>
      </c>
      <c r="D553" s="198">
        <v>45687</v>
      </c>
      <c r="E553" s="197">
        <v>325</v>
      </c>
      <c r="F553" s="197">
        <v>1751.9</v>
      </c>
      <c r="G553" s="197">
        <v>24.19</v>
      </c>
      <c r="H553" s="197">
        <v>3.5</v>
      </c>
      <c r="I553" s="197">
        <v>27.69</v>
      </c>
      <c r="J553" s="199"/>
      <c r="K553" s="197">
        <v>485.11649999999997</v>
      </c>
      <c r="L553" s="197">
        <v>19927.862499999999</v>
      </c>
      <c r="M553" s="197">
        <v>157662.86249999999</v>
      </c>
      <c r="N553" s="196"/>
      <c r="O553" s="194"/>
    </row>
    <row r="554" spans="1:15" x14ac:dyDescent="0.2">
      <c r="A554" s="196" t="s">
        <v>605</v>
      </c>
      <c r="B554" s="197">
        <v>423.78460999999999</v>
      </c>
      <c r="C554" s="197">
        <v>61.316499999999998</v>
      </c>
      <c r="D554" s="198">
        <v>45715</v>
      </c>
      <c r="E554" s="197">
        <v>325</v>
      </c>
      <c r="F554" s="197">
        <v>1751.9</v>
      </c>
      <c r="G554" s="197">
        <v>24.19</v>
      </c>
      <c r="H554" s="197">
        <v>3.5</v>
      </c>
      <c r="I554" s="197">
        <v>27.69</v>
      </c>
      <c r="J554" s="199"/>
      <c r="K554" s="197">
        <v>485.11649999999997</v>
      </c>
      <c r="L554" s="197">
        <v>19927.862499999999</v>
      </c>
      <c r="M554" s="197">
        <v>157662.86249999999</v>
      </c>
      <c r="N554" s="196"/>
      <c r="O554" s="194"/>
    </row>
    <row r="555" spans="1:15" x14ac:dyDescent="0.2">
      <c r="A555" s="196" t="s">
        <v>564</v>
      </c>
      <c r="B555" s="197">
        <v>224.88</v>
      </c>
      <c r="C555" s="197">
        <v>52.032800000000002</v>
      </c>
      <c r="D555" s="198">
        <v>45652</v>
      </c>
      <c r="E555" s="197">
        <v>407</v>
      </c>
      <c r="F555" s="197">
        <v>1486.65</v>
      </c>
      <c r="G555" s="197">
        <v>15.12</v>
      </c>
      <c r="H555" s="197">
        <v>3.5</v>
      </c>
      <c r="I555" s="197">
        <v>18.62</v>
      </c>
      <c r="J555" s="197"/>
      <c r="K555" s="197">
        <v>276.9128</v>
      </c>
      <c r="L555" s="197">
        <v>21177.329300000001</v>
      </c>
      <c r="M555" s="197">
        <v>112703.3293</v>
      </c>
      <c r="N555" s="196"/>
      <c r="O555" s="194"/>
    </row>
    <row r="556" spans="1:15" x14ac:dyDescent="0.2">
      <c r="A556" s="196" t="s">
        <v>564</v>
      </c>
      <c r="B556" s="197">
        <v>224.78147999999999</v>
      </c>
      <c r="C556" s="197">
        <v>52.032800000000002</v>
      </c>
      <c r="D556" s="198">
        <v>45687</v>
      </c>
      <c r="E556" s="197">
        <v>407</v>
      </c>
      <c r="F556" s="197">
        <v>1486.65</v>
      </c>
      <c r="G556" s="197">
        <v>15.12</v>
      </c>
      <c r="H556" s="197">
        <v>3.5</v>
      </c>
      <c r="I556" s="197">
        <v>18.619999999999997</v>
      </c>
      <c r="J556" s="197"/>
      <c r="K556" s="197">
        <v>276.9128</v>
      </c>
      <c r="L556" s="197">
        <v>21177.329300000001</v>
      </c>
      <c r="M556" s="197">
        <v>112703.3293</v>
      </c>
      <c r="N556" s="196"/>
      <c r="O556" s="194"/>
    </row>
    <row r="557" spans="1:15" x14ac:dyDescent="0.2">
      <c r="A557" s="196" t="s">
        <v>564</v>
      </c>
      <c r="B557" s="197">
        <v>224.78147999999999</v>
      </c>
      <c r="C557" s="197">
        <v>52.032800000000002</v>
      </c>
      <c r="D557" s="198">
        <v>45715</v>
      </c>
      <c r="E557" s="197">
        <v>407</v>
      </c>
      <c r="F557" s="197">
        <v>1486.65</v>
      </c>
      <c r="G557" s="197">
        <v>15.12</v>
      </c>
      <c r="H557" s="197">
        <v>3.5</v>
      </c>
      <c r="I557" s="197">
        <v>18.619999999999997</v>
      </c>
      <c r="J557" s="197"/>
      <c r="K557" s="197">
        <v>276.9128</v>
      </c>
      <c r="L557" s="197">
        <v>21177.329300000001</v>
      </c>
      <c r="M557" s="197">
        <v>112703.3293</v>
      </c>
      <c r="N557" s="196"/>
      <c r="O557" s="194"/>
    </row>
    <row r="558" spans="1:15" x14ac:dyDescent="0.2">
      <c r="A558" s="196" t="s">
        <v>278</v>
      </c>
      <c r="B558" s="197">
        <v>145.69</v>
      </c>
      <c r="C558" s="197">
        <v>35.715800000000002</v>
      </c>
      <c r="D558" s="198">
        <v>45652</v>
      </c>
      <c r="E558" s="197">
        <v>850</v>
      </c>
      <c r="F558" s="197">
        <v>1020.45</v>
      </c>
      <c r="G558" s="197">
        <v>14.27</v>
      </c>
      <c r="H558" s="197">
        <v>3.5</v>
      </c>
      <c r="I558" s="197">
        <v>17.77</v>
      </c>
      <c r="J558" s="197"/>
      <c r="K558" s="197">
        <v>181.4058</v>
      </c>
      <c r="L558" s="197">
        <v>30358.387500000001</v>
      </c>
      <c r="M558" s="197">
        <v>154195.38750000001</v>
      </c>
      <c r="N558" s="196"/>
      <c r="O558" s="194"/>
    </row>
    <row r="559" spans="1:15" x14ac:dyDescent="0.2">
      <c r="A559" s="196" t="s">
        <v>278</v>
      </c>
      <c r="B559" s="197">
        <v>145.61821499999999</v>
      </c>
      <c r="C559" s="197">
        <v>35.715800000000002</v>
      </c>
      <c r="D559" s="198">
        <v>45687</v>
      </c>
      <c r="E559" s="197">
        <v>850</v>
      </c>
      <c r="F559" s="197">
        <v>1020.45</v>
      </c>
      <c r="G559" s="197">
        <v>14.27</v>
      </c>
      <c r="H559" s="197">
        <v>3.5</v>
      </c>
      <c r="I559" s="197">
        <v>17.77</v>
      </c>
      <c r="J559" s="197"/>
      <c r="K559" s="197">
        <v>181.4058</v>
      </c>
      <c r="L559" s="197">
        <v>30358.387500000001</v>
      </c>
      <c r="M559" s="197">
        <v>154195.38750000001</v>
      </c>
      <c r="N559" s="196"/>
      <c r="O559" s="194"/>
    </row>
    <row r="560" spans="1:15" x14ac:dyDescent="0.2">
      <c r="A560" s="196" t="s">
        <v>278</v>
      </c>
      <c r="B560" s="197">
        <v>145.61821499999999</v>
      </c>
      <c r="C560" s="197">
        <v>35.715800000000002</v>
      </c>
      <c r="D560" s="198">
        <v>45715</v>
      </c>
      <c r="E560" s="197">
        <v>850</v>
      </c>
      <c r="F560" s="197">
        <v>1020.45</v>
      </c>
      <c r="G560" s="197">
        <v>14.27</v>
      </c>
      <c r="H560" s="197">
        <v>3.5</v>
      </c>
      <c r="I560" s="197">
        <v>17.77</v>
      </c>
      <c r="J560" s="197"/>
      <c r="K560" s="197">
        <v>181.4058</v>
      </c>
      <c r="L560" s="197">
        <v>30358.387500000001</v>
      </c>
      <c r="M560" s="197">
        <v>154195.38750000001</v>
      </c>
      <c r="N560" s="196"/>
      <c r="O560" s="194"/>
    </row>
    <row r="561" spans="1:15" x14ac:dyDescent="0.2">
      <c r="A561" s="196" t="s">
        <v>279</v>
      </c>
      <c r="B561" s="197">
        <v>42.18</v>
      </c>
      <c r="C561" s="197">
        <v>25.067</v>
      </c>
      <c r="D561" s="198">
        <v>45652</v>
      </c>
      <c r="E561" s="197">
        <v>2500</v>
      </c>
      <c r="F561" s="197">
        <v>179.05</v>
      </c>
      <c r="G561" s="197">
        <v>23.55</v>
      </c>
      <c r="H561" s="197">
        <v>14</v>
      </c>
      <c r="I561" s="197">
        <v>37.549999999999997</v>
      </c>
      <c r="J561" s="197"/>
      <c r="K561" s="197">
        <v>67.247</v>
      </c>
      <c r="L561" s="197">
        <v>62667.5</v>
      </c>
      <c r="M561" s="197">
        <v>168117.5</v>
      </c>
      <c r="N561" s="196"/>
      <c r="O561" s="194"/>
    </row>
    <row r="562" spans="1:15" x14ac:dyDescent="0.2">
      <c r="A562" s="196" t="s">
        <v>279</v>
      </c>
      <c r="B562" s="197">
        <v>42.166274999999999</v>
      </c>
      <c r="C562" s="197">
        <v>25.067</v>
      </c>
      <c r="D562" s="198">
        <v>45687</v>
      </c>
      <c r="E562" s="197">
        <v>2500</v>
      </c>
      <c r="F562" s="197">
        <v>179.05</v>
      </c>
      <c r="G562" s="197">
        <v>23.55</v>
      </c>
      <c r="H562" s="197">
        <v>14</v>
      </c>
      <c r="I562" s="197">
        <v>37.549999999999997</v>
      </c>
      <c r="J562" s="197"/>
      <c r="K562" s="197">
        <v>67.247</v>
      </c>
      <c r="L562" s="197">
        <v>62667.5</v>
      </c>
      <c r="M562" s="197">
        <v>168117.5</v>
      </c>
      <c r="N562" s="196"/>
      <c r="O562" s="194"/>
    </row>
    <row r="563" spans="1:15" x14ac:dyDescent="0.2">
      <c r="A563" s="196" t="s">
        <v>279</v>
      </c>
      <c r="B563" s="197">
        <v>42.166274999999999</v>
      </c>
      <c r="C563" s="197">
        <v>25.067</v>
      </c>
      <c r="D563" s="198">
        <v>45715</v>
      </c>
      <c r="E563" s="197">
        <v>2500</v>
      </c>
      <c r="F563" s="197">
        <v>179.05</v>
      </c>
      <c r="G563" s="197">
        <v>23.55</v>
      </c>
      <c r="H563" s="197">
        <v>14</v>
      </c>
      <c r="I563" s="197">
        <v>37.549999999999997</v>
      </c>
      <c r="J563" s="197"/>
      <c r="K563" s="197">
        <v>67.247</v>
      </c>
      <c r="L563" s="197">
        <v>62667.5</v>
      </c>
      <c r="M563" s="197">
        <v>168117.5</v>
      </c>
      <c r="N563" s="196"/>
      <c r="O563" s="194"/>
    </row>
    <row r="564" spans="1:15" x14ac:dyDescent="0.2">
      <c r="A564" s="196" t="s">
        <v>280</v>
      </c>
      <c r="B564" s="197">
        <v>141.69999999999999</v>
      </c>
      <c r="C564" s="197">
        <v>19.941299999999998</v>
      </c>
      <c r="D564" s="198">
        <v>45652</v>
      </c>
      <c r="E564" s="197">
        <v>1000</v>
      </c>
      <c r="F564" s="197">
        <v>569.75</v>
      </c>
      <c r="G564" s="197">
        <v>24.87</v>
      </c>
      <c r="H564" s="197">
        <v>3.5</v>
      </c>
      <c r="I564" s="197">
        <v>28.37</v>
      </c>
      <c r="J564" s="197"/>
      <c r="K564" s="197">
        <v>161.6413</v>
      </c>
      <c r="L564" s="197">
        <v>19941.25</v>
      </c>
      <c r="M564" s="197">
        <v>161641.25</v>
      </c>
      <c r="N564" s="196"/>
      <c r="O564" s="194"/>
    </row>
    <row r="565" spans="1:15" x14ac:dyDescent="0.2">
      <c r="A565" s="196" t="s">
        <v>280</v>
      </c>
      <c r="B565" s="197">
        <v>141.69682499999999</v>
      </c>
      <c r="C565" s="197">
        <v>19.941299999999998</v>
      </c>
      <c r="D565" s="198">
        <v>45687</v>
      </c>
      <c r="E565" s="197">
        <v>1000</v>
      </c>
      <c r="F565" s="197">
        <v>569.75</v>
      </c>
      <c r="G565" s="197">
        <v>24.87</v>
      </c>
      <c r="H565" s="197">
        <v>3.5</v>
      </c>
      <c r="I565" s="197">
        <v>28.37</v>
      </c>
      <c r="J565" s="197"/>
      <c r="K565" s="197">
        <v>161.6413</v>
      </c>
      <c r="L565" s="197">
        <v>19941.25</v>
      </c>
      <c r="M565" s="197">
        <v>161641.25</v>
      </c>
      <c r="N565" s="196"/>
      <c r="O565" s="194"/>
    </row>
    <row r="566" spans="1:15" x14ac:dyDescent="0.2">
      <c r="A566" s="196" t="s">
        <v>280</v>
      </c>
      <c r="B566" s="197">
        <v>141.69682499999999</v>
      </c>
      <c r="C566" s="197">
        <v>19.941299999999998</v>
      </c>
      <c r="D566" s="198">
        <v>45715</v>
      </c>
      <c r="E566" s="197">
        <v>1000</v>
      </c>
      <c r="F566" s="197">
        <v>569.75</v>
      </c>
      <c r="G566" s="197">
        <v>24.87</v>
      </c>
      <c r="H566" s="197">
        <v>3.5</v>
      </c>
      <c r="I566" s="197">
        <v>28.37</v>
      </c>
      <c r="J566" s="197"/>
      <c r="K566" s="197">
        <v>161.6413</v>
      </c>
      <c r="L566" s="197">
        <v>19941.25</v>
      </c>
      <c r="M566" s="197">
        <v>161641.25</v>
      </c>
      <c r="N566" s="196"/>
      <c r="O566" s="194"/>
    </row>
    <row r="567" spans="1:15" x14ac:dyDescent="0.2">
      <c r="A567" s="196" t="s">
        <v>281</v>
      </c>
      <c r="B567" s="197">
        <v>182.49</v>
      </c>
      <c r="C567" s="197">
        <v>44.737000000000002</v>
      </c>
      <c r="D567" s="198">
        <v>45652</v>
      </c>
      <c r="E567" s="197">
        <v>500</v>
      </c>
      <c r="F567" s="197">
        <v>1278.2</v>
      </c>
      <c r="G567" s="197">
        <v>14.27</v>
      </c>
      <c r="H567" s="197">
        <v>3.5</v>
      </c>
      <c r="I567" s="197">
        <v>17.77</v>
      </c>
      <c r="J567" s="197"/>
      <c r="K567" s="197">
        <v>227.227</v>
      </c>
      <c r="L567" s="197">
        <v>22368.5</v>
      </c>
      <c r="M567" s="197">
        <v>113613.5</v>
      </c>
      <c r="N567" s="196"/>
      <c r="O567" s="194"/>
    </row>
    <row r="568" spans="1:15" x14ac:dyDescent="0.2">
      <c r="A568" s="196" t="s">
        <v>281</v>
      </c>
      <c r="B568" s="197">
        <v>182.39913999999999</v>
      </c>
      <c r="C568" s="197">
        <v>44.737000000000002</v>
      </c>
      <c r="D568" s="198">
        <v>45687</v>
      </c>
      <c r="E568" s="197">
        <v>500</v>
      </c>
      <c r="F568" s="197">
        <v>1278.2</v>
      </c>
      <c r="G568" s="197">
        <v>14.27</v>
      </c>
      <c r="H568" s="197">
        <v>3.5</v>
      </c>
      <c r="I568" s="197">
        <v>17.77</v>
      </c>
      <c r="J568" s="197"/>
      <c r="K568" s="197">
        <v>227.227</v>
      </c>
      <c r="L568" s="197">
        <v>22368.5</v>
      </c>
      <c r="M568" s="197">
        <v>113613.5</v>
      </c>
      <c r="N568" s="196"/>
      <c r="O568" s="194"/>
    </row>
    <row r="569" spans="1:15" x14ac:dyDescent="0.2">
      <c r="A569" s="196" t="s">
        <v>281</v>
      </c>
      <c r="B569" s="197">
        <v>182.39913999999999</v>
      </c>
      <c r="C569" s="197">
        <v>44.737000000000002</v>
      </c>
      <c r="D569" s="198">
        <v>45715</v>
      </c>
      <c r="E569" s="197">
        <v>500</v>
      </c>
      <c r="F569" s="197">
        <v>1278.2</v>
      </c>
      <c r="G569" s="197">
        <v>14.27</v>
      </c>
      <c r="H569" s="197">
        <v>3.5</v>
      </c>
      <c r="I569" s="197">
        <v>17.77</v>
      </c>
      <c r="J569" s="197"/>
      <c r="K569" s="197">
        <v>227.227</v>
      </c>
      <c r="L569" s="197">
        <v>22368.5</v>
      </c>
      <c r="M569" s="197">
        <v>113613.5</v>
      </c>
      <c r="N569" s="196"/>
      <c r="O569" s="194"/>
    </row>
    <row r="570" spans="1:15" x14ac:dyDescent="0.2">
      <c r="A570" s="196" t="s">
        <v>282</v>
      </c>
      <c r="B570" s="197">
        <v>30.03</v>
      </c>
      <c r="C570" s="197">
        <v>11.1081</v>
      </c>
      <c r="D570" s="198">
        <v>45652</v>
      </c>
      <c r="E570" s="197">
        <v>4000</v>
      </c>
      <c r="F570" s="197">
        <v>126.95</v>
      </c>
      <c r="G570" s="197">
        <v>23.65</v>
      </c>
      <c r="H570" s="197">
        <v>8.75</v>
      </c>
      <c r="I570" s="197">
        <v>32.4</v>
      </c>
      <c r="J570" s="197"/>
      <c r="K570" s="197">
        <v>41.138100000000001</v>
      </c>
      <c r="L570" s="197">
        <v>44432.5</v>
      </c>
      <c r="M570" s="197">
        <v>164552.5</v>
      </c>
      <c r="N570" s="196"/>
      <c r="O570" s="194"/>
    </row>
    <row r="571" spans="1:15" x14ac:dyDescent="0.2">
      <c r="A571" s="196" t="s">
        <v>282</v>
      </c>
      <c r="B571" s="197">
        <v>30.023675000000001</v>
      </c>
      <c r="C571" s="197">
        <v>11.1081</v>
      </c>
      <c r="D571" s="198">
        <v>45687</v>
      </c>
      <c r="E571" s="197">
        <v>4000</v>
      </c>
      <c r="F571" s="197">
        <v>126.95</v>
      </c>
      <c r="G571" s="197">
        <v>23.65</v>
      </c>
      <c r="H571" s="197">
        <v>8.75</v>
      </c>
      <c r="I571" s="197">
        <v>32.4</v>
      </c>
      <c r="J571" s="197"/>
      <c r="K571" s="197">
        <v>41.138100000000001</v>
      </c>
      <c r="L571" s="197">
        <v>44432.5</v>
      </c>
      <c r="M571" s="197">
        <v>164552.5</v>
      </c>
      <c r="N571" s="196"/>
      <c r="O571" s="194"/>
    </row>
    <row r="572" spans="1:15" x14ac:dyDescent="0.2">
      <c r="A572" s="196" t="s">
        <v>282</v>
      </c>
      <c r="B572" s="197">
        <v>30.023675000000001</v>
      </c>
      <c r="C572" s="197">
        <v>11.1081</v>
      </c>
      <c r="D572" s="198">
        <v>45715</v>
      </c>
      <c r="E572" s="197">
        <v>4000</v>
      </c>
      <c r="F572" s="197">
        <v>126.95</v>
      </c>
      <c r="G572" s="197">
        <v>23.65</v>
      </c>
      <c r="H572" s="197">
        <v>8.75</v>
      </c>
      <c r="I572" s="197">
        <v>32.4</v>
      </c>
      <c r="J572" s="197"/>
      <c r="K572" s="197">
        <v>41.138100000000001</v>
      </c>
      <c r="L572" s="197">
        <v>44432.5</v>
      </c>
      <c r="M572" s="197">
        <v>164552.5</v>
      </c>
      <c r="N572" s="196"/>
      <c r="O572" s="194"/>
    </row>
    <row r="573" spans="1:15" x14ac:dyDescent="0.2">
      <c r="A573" s="196" t="s">
        <v>536</v>
      </c>
      <c r="B573" s="197">
        <v>104.33</v>
      </c>
      <c r="C573" s="197">
        <v>25.5763</v>
      </c>
      <c r="D573" s="198">
        <v>45652</v>
      </c>
      <c r="E573" s="197">
        <v>800</v>
      </c>
      <c r="F573" s="197">
        <v>730.75</v>
      </c>
      <c r="G573" s="197">
        <v>14.27</v>
      </c>
      <c r="H573" s="197">
        <v>3.5</v>
      </c>
      <c r="I573" s="197">
        <v>17.77</v>
      </c>
      <c r="J573" s="197"/>
      <c r="K573" s="197">
        <v>129.90629999999999</v>
      </c>
      <c r="L573" s="197">
        <v>20461</v>
      </c>
      <c r="M573" s="197">
        <v>103925</v>
      </c>
      <c r="N573" s="196"/>
      <c r="O573" s="194"/>
    </row>
    <row r="574" spans="1:15" x14ac:dyDescent="0.2">
      <c r="A574" s="196" t="s">
        <v>536</v>
      </c>
      <c r="B574" s="197">
        <v>104.278025</v>
      </c>
      <c r="C574" s="197">
        <v>25.5763</v>
      </c>
      <c r="D574" s="198">
        <v>45687</v>
      </c>
      <c r="E574" s="197">
        <v>800</v>
      </c>
      <c r="F574" s="197">
        <v>730.75</v>
      </c>
      <c r="G574" s="197">
        <v>14.27</v>
      </c>
      <c r="H574" s="197">
        <v>3.5</v>
      </c>
      <c r="I574" s="197">
        <v>17.77</v>
      </c>
      <c r="J574" s="197"/>
      <c r="K574" s="197">
        <v>129.90629999999999</v>
      </c>
      <c r="L574" s="197">
        <v>20461</v>
      </c>
      <c r="M574" s="197">
        <v>103925</v>
      </c>
      <c r="N574" s="196"/>
      <c r="O574" s="194"/>
    </row>
    <row r="575" spans="1:15" x14ac:dyDescent="0.2">
      <c r="A575" s="196" t="s">
        <v>536</v>
      </c>
      <c r="B575" s="197">
        <v>104.278025</v>
      </c>
      <c r="C575" s="197">
        <v>25.5763</v>
      </c>
      <c r="D575" s="198">
        <v>45715</v>
      </c>
      <c r="E575" s="197">
        <v>800</v>
      </c>
      <c r="F575" s="197">
        <v>730.75</v>
      </c>
      <c r="G575" s="197">
        <v>14.27</v>
      </c>
      <c r="H575" s="197">
        <v>3.5</v>
      </c>
      <c r="I575" s="197">
        <v>17.77</v>
      </c>
      <c r="J575" s="197"/>
      <c r="K575" s="197">
        <v>129.90629999999999</v>
      </c>
      <c r="L575" s="197">
        <v>20461</v>
      </c>
      <c r="M575" s="197">
        <v>103925</v>
      </c>
      <c r="N575" s="196"/>
      <c r="O575" s="194"/>
    </row>
    <row r="576" spans="1:15" x14ac:dyDescent="0.2">
      <c r="A576" s="196" t="s">
        <v>462</v>
      </c>
      <c r="B576" s="197">
        <v>207.9</v>
      </c>
      <c r="C576" s="197">
        <v>50.965299999999999</v>
      </c>
      <c r="D576" s="198">
        <v>45652</v>
      </c>
      <c r="E576" s="197">
        <v>375</v>
      </c>
      <c r="F576" s="197">
        <v>1456.15</v>
      </c>
      <c r="G576" s="197">
        <v>14.27</v>
      </c>
      <c r="H576" s="197">
        <v>3.5</v>
      </c>
      <c r="I576" s="197">
        <v>17.77</v>
      </c>
      <c r="J576" s="197"/>
      <c r="K576" s="197">
        <v>258.86529999999999</v>
      </c>
      <c r="L576" s="197">
        <v>19111.968799999999</v>
      </c>
      <c r="M576" s="197">
        <v>97074.968800000002</v>
      </c>
      <c r="N576" s="196"/>
      <c r="O576" s="194"/>
    </row>
    <row r="577" spans="1:15" x14ac:dyDescent="0.2">
      <c r="A577" s="196" t="s">
        <v>462</v>
      </c>
      <c r="B577" s="197">
        <v>207.79260500000001</v>
      </c>
      <c r="C577" s="197">
        <v>50.965299999999999</v>
      </c>
      <c r="D577" s="198">
        <v>45687</v>
      </c>
      <c r="E577" s="197">
        <v>375</v>
      </c>
      <c r="F577" s="197">
        <v>1456.15</v>
      </c>
      <c r="G577" s="197">
        <v>14.27</v>
      </c>
      <c r="H577" s="197">
        <v>3.5</v>
      </c>
      <c r="I577" s="197">
        <v>17.77</v>
      </c>
      <c r="J577" s="197"/>
      <c r="K577" s="197">
        <v>258.86529999999999</v>
      </c>
      <c r="L577" s="197">
        <v>19111.968799999999</v>
      </c>
      <c r="M577" s="197">
        <v>97074.968800000002</v>
      </c>
      <c r="N577" s="196"/>
      <c r="O577" s="194"/>
    </row>
    <row r="578" spans="1:15" x14ac:dyDescent="0.2">
      <c r="A578" s="196" t="s">
        <v>462</v>
      </c>
      <c r="B578" s="197">
        <v>207.79260500000001</v>
      </c>
      <c r="C578" s="197">
        <v>50.965299999999999</v>
      </c>
      <c r="D578" s="198">
        <v>45715</v>
      </c>
      <c r="E578" s="197">
        <v>375</v>
      </c>
      <c r="F578" s="197">
        <v>1456.15</v>
      </c>
      <c r="G578" s="197">
        <v>14.27</v>
      </c>
      <c r="H578" s="197">
        <v>3.5</v>
      </c>
      <c r="I578" s="197">
        <v>17.77</v>
      </c>
      <c r="J578" s="197"/>
      <c r="K578" s="197">
        <v>258.86529999999999</v>
      </c>
      <c r="L578" s="197">
        <v>19111.968799999999</v>
      </c>
      <c r="M578" s="197">
        <v>97074.968800000002</v>
      </c>
      <c r="N578" s="196"/>
      <c r="O578" s="194"/>
    </row>
    <row r="579" spans="1:15" x14ac:dyDescent="0.2">
      <c r="A579" s="196" t="s">
        <v>283</v>
      </c>
      <c r="B579" s="197">
        <v>128.08000000000001</v>
      </c>
      <c r="C579" s="197">
        <v>30.155999999999999</v>
      </c>
      <c r="D579" s="198">
        <v>45652</v>
      </c>
      <c r="E579" s="197">
        <v>750</v>
      </c>
      <c r="F579" s="197">
        <v>861.6</v>
      </c>
      <c r="G579" s="197">
        <v>14.86</v>
      </c>
      <c r="H579" s="197">
        <v>3.5</v>
      </c>
      <c r="I579" s="197">
        <v>18.36</v>
      </c>
      <c r="J579" s="197"/>
      <c r="K579" s="197">
        <v>158.23599999999999</v>
      </c>
      <c r="L579" s="197">
        <v>22617</v>
      </c>
      <c r="M579" s="197">
        <v>118677</v>
      </c>
      <c r="N579" s="196"/>
      <c r="O579" s="194"/>
    </row>
    <row r="580" spans="1:15" x14ac:dyDescent="0.2">
      <c r="A580" s="196" t="s">
        <v>283</v>
      </c>
      <c r="B580" s="197">
        <v>128.03376</v>
      </c>
      <c r="C580" s="197">
        <v>30.155999999999999</v>
      </c>
      <c r="D580" s="198">
        <v>45687</v>
      </c>
      <c r="E580" s="197">
        <v>750</v>
      </c>
      <c r="F580" s="197">
        <v>861.6</v>
      </c>
      <c r="G580" s="197">
        <v>14.86</v>
      </c>
      <c r="H580" s="197">
        <v>3.5</v>
      </c>
      <c r="I580" s="197">
        <v>18.36</v>
      </c>
      <c r="J580" s="197"/>
      <c r="K580" s="197">
        <v>158.23599999999999</v>
      </c>
      <c r="L580" s="197">
        <v>22617</v>
      </c>
      <c r="M580" s="197">
        <v>118677</v>
      </c>
      <c r="N580" s="196"/>
      <c r="O580" s="194"/>
    </row>
    <row r="581" spans="1:15" x14ac:dyDescent="0.2">
      <c r="A581" s="196" t="s">
        <v>283</v>
      </c>
      <c r="B581" s="197">
        <v>128.03376</v>
      </c>
      <c r="C581" s="197">
        <v>30.155999999999999</v>
      </c>
      <c r="D581" s="198">
        <v>45715</v>
      </c>
      <c r="E581" s="197">
        <v>750</v>
      </c>
      <c r="F581" s="197">
        <v>861.6</v>
      </c>
      <c r="G581" s="197">
        <v>14.86</v>
      </c>
      <c r="H581" s="197">
        <v>3.5</v>
      </c>
      <c r="I581" s="197">
        <v>18.36</v>
      </c>
      <c r="J581" s="197"/>
      <c r="K581" s="197">
        <v>158.23599999999999</v>
      </c>
      <c r="L581" s="197">
        <v>22617</v>
      </c>
      <c r="M581" s="197">
        <v>118677</v>
      </c>
      <c r="N581" s="196"/>
      <c r="O581" s="194"/>
    </row>
    <row r="582" spans="1:15" x14ac:dyDescent="0.2">
      <c r="A582" s="196" t="s">
        <v>284</v>
      </c>
      <c r="B582" s="197">
        <v>3898.4</v>
      </c>
      <c r="C582" s="197">
        <v>955.68200000000002</v>
      </c>
      <c r="D582" s="198">
        <v>45652</v>
      </c>
      <c r="E582" s="197">
        <v>25</v>
      </c>
      <c r="F582" s="197">
        <v>27305.200000000001</v>
      </c>
      <c r="G582" s="197">
        <v>14.27</v>
      </c>
      <c r="H582" s="197">
        <v>3.5</v>
      </c>
      <c r="I582" s="197">
        <v>17.77</v>
      </c>
      <c r="J582" s="197"/>
      <c r="K582" s="197">
        <v>4854.0820000000003</v>
      </c>
      <c r="L582" s="197">
        <v>23892.05</v>
      </c>
      <c r="M582" s="197">
        <v>121352.05</v>
      </c>
      <c r="N582" s="196"/>
      <c r="O582" s="194"/>
    </row>
    <row r="583" spans="1:15" x14ac:dyDescent="0.2">
      <c r="A583" s="196" t="s">
        <v>284</v>
      </c>
      <c r="B583" s="197">
        <v>3896.4520400000001</v>
      </c>
      <c r="C583" s="197">
        <v>955.68200000000002</v>
      </c>
      <c r="D583" s="198">
        <v>45687</v>
      </c>
      <c r="E583" s="197">
        <v>25</v>
      </c>
      <c r="F583" s="197">
        <v>27305.200000000001</v>
      </c>
      <c r="G583" s="197">
        <v>14.27</v>
      </c>
      <c r="H583" s="197">
        <v>3.5</v>
      </c>
      <c r="I583" s="197">
        <v>17.77</v>
      </c>
      <c r="J583" s="197"/>
      <c r="K583" s="197">
        <v>4854.0820000000003</v>
      </c>
      <c r="L583" s="197">
        <v>23892.05</v>
      </c>
      <c r="M583" s="197">
        <v>121352.05</v>
      </c>
      <c r="N583" s="196"/>
      <c r="O583" s="194"/>
    </row>
    <row r="584" spans="1:15" x14ac:dyDescent="0.2">
      <c r="A584" s="196" t="s">
        <v>284</v>
      </c>
      <c r="B584" s="197">
        <v>3896.4520400000001</v>
      </c>
      <c r="C584" s="197">
        <v>955.68200000000002</v>
      </c>
      <c r="D584" s="198">
        <v>45715</v>
      </c>
      <c r="E584" s="197">
        <v>25</v>
      </c>
      <c r="F584" s="197">
        <v>27305.200000000001</v>
      </c>
      <c r="G584" s="197">
        <v>14.27</v>
      </c>
      <c r="H584" s="197">
        <v>3.5</v>
      </c>
      <c r="I584" s="197">
        <v>17.77</v>
      </c>
      <c r="J584" s="199"/>
      <c r="K584" s="197">
        <v>4854.0820000000003</v>
      </c>
      <c r="L584" s="197">
        <v>23892.05</v>
      </c>
      <c r="M584" s="197">
        <v>121352.05</v>
      </c>
      <c r="N584" s="196"/>
      <c r="O584" s="194"/>
    </row>
    <row r="585" spans="1:15" x14ac:dyDescent="0.2">
      <c r="A585" s="196" t="s">
        <v>562</v>
      </c>
      <c r="B585" s="197">
        <v>591.34</v>
      </c>
      <c r="C585" s="197">
        <v>113.6888</v>
      </c>
      <c r="D585" s="198">
        <v>45652</v>
      </c>
      <c r="E585" s="197">
        <v>150</v>
      </c>
      <c r="F585" s="197">
        <v>3248.25</v>
      </c>
      <c r="G585" s="197">
        <v>18.2</v>
      </c>
      <c r="H585" s="197">
        <v>3.5</v>
      </c>
      <c r="I585" s="197">
        <v>21.7</v>
      </c>
      <c r="J585" s="199"/>
      <c r="K585" s="197">
        <v>705.02880000000005</v>
      </c>
      <c r="L585" s="197">
        <v>17053.3125</v>
      </c>
      <c r="M585" s="197">
        <v>105754.3125</v>
      </c>
      <c r="N585" s="196"/>
      <c r="O585" s="194"/>
    </row>
    <row r="586" spans="1:15" x14ac:dyDescent="0.2">
      <c r="A586" s="196" t="s">
        <v>562</v>
      </c>
      <c r="B586" s="197">
        <v>591.18150000000003</v>
      </c>
      <c r="C586" s="197">
        <v>113.6888</v>
      </c>
      <c r="D586" s="198">
        <v>45687</v>
      </c>
      <c r="E586" s="197">
        <v>150</v>
      </c>
      <c r="F586" s="197">
        <v>3248.25</v>
      </c>
      <c r="G586" s="197">
        <v>18.2</v>
      </c>
      <c r="H586" s="197">
        <v>3.5</v>
      </c>
      <c r="I586" s="197">
        <v>21.7</v>
      </c>
      <c r="J586" s="199"/>
      <c r="K586" s="197">
        <v>705.02880000000005</v>
      </c>
      <c r="L586" s="197">
        <v>17053.3125</v>
      </c>
      <c r="M586" s="197">
        <v>105754.3125</v>
      </c>
      <c r="N586" s="196"/>
      <c r="O586" s="194"/>
    </row>
    <row r="587" spans="1:15" x14ac:dyDescent="0.2">
      <c r="A587" s="196" t="s">
        <v>562</v>
      </c>
      <c r="B587" s="197">
        <v>591.18150000000003</v>
      </c>
      <c r="C587" s="197">
        <v>113.6888</v>
      </c>
      <c r="D587" s="198">
        <v>45715</v>
      </c>
      <c r="E587" s="197">
        <v>150</v>
      </c>
      <c r="F587" s="197">
        <v>3248.25</v>
      </c>
      <c r="G587" s="197">
        <v>18.2</v>
      </c>
      <c r="H587" s="197">
        <v>3.5</v>
      </c>
      <c r="I587" s="197">
        <v>21.7</v>
      </c>
      <c r="J587" s="199"/>
      <c r="K587" s="197">
        <v>705.02880000000005</v>
      </c>
      <c r="L587" s="197">
        <v>17053.3125</v>
      </c>
      <c r="M587" s="197">
        <v>105754.3125</v>
      </c>
      <c r="N587" s="196"/>
      <c r="O587" s="194"/>
    </row>
    <row r="588" spans="1:15" x14ac:dyDescent="0.2">
      <c r="A588" s="196" t="s">
        <v>285</v>
      </c>
      <c r="B588" s="197">
        <v>1334.01</v>
      </c>
      <c r="C588" s="197">
        <v>275.48500000000001</v>
      </c>
      <c r="D588" s="198">
        <v>45652</v>
      </c>
      <c r="E588" s="197">
        <v>75</v>
      </c>
      <c r="F588" s="197">
        <v>7871</v>
      </c>
      <c r="G588" s="197">
        <v>16.940000000000001</v>
      </c>
      <c r="H588" s="197">
        <v>3.5</v>
      </c>
      <c r="I588" s="197">
        <v>20.440000000000001</v>
      </c>
      <c r="J588" s="199"/>
      <c r="K588" s="197">
        <v>1609.4949999999999</v>
      </c>
      <c r="L588" s="197">
        <v>20661.375</v>
      </c>
      <c r="M588" s="197">
        <v>120712.375</v>
      </c>
      <c r="N588" s="196"/>
      <c r="O588" s="194"/>
    </row>
    <row r="589" spans="1:15" x14ac:dyDescent="0.2">
      <c r="A589" s="196" t="s">
        <v>285</v>
      </c>
      <c r="B589" s="197">
        <v>1333.3474000000001</v>
      </c>
      <c r="C589" s="197">
        <v>275.48500000000001</v>
      </c>
      <c r="D589" s="198">
        <v>45687</v>
      </c>
      <c r="E589" s="197">
        <v>75</v>
      </c>
      <c r="F589" s="197">
        <v>7871</v>
      </c>
      <c r="G589" s="197">
        <v>16.940000000000001</v>
      </c>
      <c r="H589" s="197">
        <v>3.5</v>
      </c>
      <c r="I589" s="197">
        <v>20.440000000000001</v>
      </c>
      <c r="J589" s="199"/>
      <c r="K589" s="197">
        <v>1609.4949999999999</v>
      </c>
      <c r="L589" s="197">
        <v>20661.375</v>
      </c>
      <c r="M589" s="197">
        <v>120712.375</v>
      </c>
      <c r="N589" s="196"/>
      <c r="O589" s="194"/>
    </row>
    <row r="590" spans="1:15" x14ac:dyDescent="0.2">
      <c r="A590" s="196" t="s">
        <v>285</v>
      </c>
      <c r="B590" s="197">
        <v>1333.3474000000001</v>
      </c>
      <c r="C590" s="197">
        <v>275.48500000000001</v>
      </c>
      <c r="D590" s="198">
        <v>45715</v>
      </c>
      <c r="E590" s="197">
        <v>75</v>
      </c>
      <c r="F590" s="197">
        <v>7871</v>
      </c>
      <c r="G590" s="197">
        <v>16.940000000000001</v>
      </c>
      <c r="H590" s="197">
        <v>3.5</v>
      </c>
      <c r="I590" s="197">
        <v>20.440000000000001</v>
      </c>
      <c r="J590" s="199"/>
      <c r="K590" s="197">
        <v>1609.4949999999999</v>
      </c>
      <c r="L590" s="197">
        <v>20661.375</v>
      </c>
      <c r="M590" s="197">
        <v>120712.375</v>
      </c>
      <c r="N590" s="196"/>
      <c r="O590" s="194"/>
    </row>
    <row r="591" spans="1:15" x14ac:dyDescent="0.2">
      <c r="A591" s="196" t="s">
        <v>599</v>
      </c>
      <c r="B591" s="197">
        <v>32.43</v>
      </c>
      <c r="C591" s="197">
        <v>4.2069999999999999</v>
      </c>
      <c r="D591" s="198">
        <v>45652</v>
      </c>
      <c r="E591" s="197">
        <v>4725</v>
      </c>
      <c r="F591" s="197">
        <v>120.2</v>
      </c>
      <c r="G591" s="197">
        <v>26.98</v>
      </c>
      <c r="H591" s="197">
        <v>3.5</v>
      </c>
      <c r="I591" s="197">
        <v>30.48</v>
      </c>
      <c r="J591" s="199"/>
      <c r="K591" s="197">
        <v>36.637</v>
      </c>
      <c r="L591" s="197">
        <v>19878.075000000001</v>
      </c>
      <c r="M591" s="197">
        <v>173110.07500000001</v>
      </c>
      <c r="N591" s="196"/>
      <c r="O591" s="194"/>
    </row>
    <row r="592" spans="1:15" x14ac:dyDescent="0.2">
      <c r="A592" s="196" t="s">
        <v>599</v>
      </c>
      <c r="B592" s="197">
        <v>32.429960000000001</v>
      </c>
      <c r="C592" s="197">
        <v>4.2069999999999999</v>
      </c>
      <c r="D592" s="198">
        <v>45687</v>
      </c>
      <c r="E592" s="197">
        <v>4725</v>
      </c>
      <c r="F592" s="197">
        <v>120.2</v>
      </c>
      <c r="G592" s="197">
        <v>26.98</v>
      </c>
      <c r="H592" s="197">
        <v>3.5</v>
      </c>
      <c r="I592" s="197">
        <v>30.48</v>
      </c>
      <c r="J592" s="199"/>
      <c r="K592" s="197">
        <v>36.637</v>
      </c>
      <c r="L592" s="197">
        <v>19878.075000000001</v>
      </c>
      <c r="M592" s="197">
        <v>173110.07500000001</v>
      </c>
      <c r="N592" s="196"/>
      <c r="O592" s="194"/>
    </row>
    <row r="593" spans="1:15" x14ac:dyDescent="0.2">
      <c r="A593" s="196" t="s">
        <v>599</v>
      </c>
      <c r="B593" s="197">
        <v>32.429960000000001</v>
      </c>
      <c r="C593" s="197">
        <v>4.2069999999999999</v>
      </c>
      <c r="D593" s="198">
        <v>45715</v>
      </c>
      <c r="E593" s="197">
        <v>4725</v>
      </c>
      <c r="F593" s="197">
        <v>120.2</v>
      </c>
      <c r="G593" s="197">
        <v>26.98</v>
      </c>
      <c r="H593" s="197">
        <v>3.5</v>
      </c>
      <c r="I593" s="197">
        <v>30.48</v>
      </c>
      <c r="J593" s="199"/>
      <c r="K593" s="197">
        <v>36.637</v>
      </c>
      <c r="L593" s="197">
        <v>19878.075000000001</v>
      </c>
      <c r="M593" s="197">
        <v>173110.07500000001</v>
      </c>
      <c r="N593" s="196"/>
      <c r="O593" s="194"/>
    </row>
    <row r="594" spans="1:15" x14ac:dyDescent="0.2">
      <c r="A594" s="196" t="s">
        <v>614</v>
      </c>
      <c r="B594" s="197">
        <v>117.46</v>
      </c>
      <c r="C594" s="197">
        <v>22.461300000000001</v>
      </c>
      <c r="D594" s="198">
        <v>45652</v>
      </c>
      <c r="E594" s="197">
        <v>775</v>
      </c>
      <c r="F594" s="197">
        <v>641.75</v>
      </c>
      <c r="G594" s="197">
        <v>18.3</v>
      </c>
      <c r="H594" s="197">
        <v>3.5</v>
      </c>
      <c r="I594" s="197">
        <v>21.8</v>
      </c>
      <c r="J594" s="199"/>
      <c r="K594" s="197">
        <v>139.9213</v>
      </c>
      <c r="L594" s="197">
        <v>17407.468799999999</v>
      </c>
      <c r="M594" s="197">
        <v>108439.4688</v>
      </c>
      <c r="N594" s="196"/>
      <c r="O594" s="194"/>
    </row>
    <row r="595" spans="1:15" x14ac:dyDescent="0.2">
      <c r="A595" s="196" t="s">
        <v>614</v>
      </c>
      <c r="B595" s="197">
        <v>117.44025000000001</v>
      </c>
      <c r="C595" s="197">
        <v>22.461300000000001</v>
      </c>
      <c r="D595" s="198">
        <v>45687</v>
      </c>
      <c r="E595" s="197">
        <v>775</v>
      </c>
      <c r="F595" s="197">
        <v>641.75</v>
      </c>
      <c r="G595" s="197">
        <v>18.3</v>
      </c>
      <c r="H595" s="197">
        <v>3.5</v>
      </c>
      <c r="I595" s="197">
        <v>21.8</v>
      </c>
      <c r="J595" s="199"/>
      <c r="K595" s="197">
        <v>139.9213</v>
      </c>
      <c r="L595" s="197">
        <v>17407.468799999999</v>
      </c>
      <c r="M595" s="197">
        <v>108439.4688</v>
      </c>
      <c r="N595" s="196"/>
      <c r="O595" s="194"/>
    </row>
    <row r="596" spans="1:15" x14ac:dyDescent="0.2">
      <c r="A596" s="196" t="s">
        <v>614</v>
      </c>
      <c r="B596" s="197">
        <v>117.44025000000001</v>
      </c>
      <c r="C596" s="197">
        <v>22.461300000000001</v>
      </c>
      <c r="D596" s="198">
        <v>45715</v>
      </c>
      <c r="E596" s="197">
        <v>775</v>
      </c>
      <c r="F596" s="197">
        <v>641.75</v>
      </c>
      <c r="G596" s="197">
        <v>18.3</v>
      </c>
      <c r="H596" s="197">
        <v>3.5</v>
      </c>
      <c r="I596" s="197">
        <v>21.8</v>
      </c>
      <c r="J596" s="199"/>
      <c r="K596" s="197">
        <v>139.9213</v>
      </c>
      <c r="L596" s="197">
        <v>17407.468799999999</v>
      </c>
      <c r="M596" s="197">
        <v>108439.4688</v>
      </c>
      <c r="N596" s="196"/>
      <c r="O596" s="194"/>
    </row>
    <row r="597" spans="1:15" x14ac:dyDescent="0.2">
      <c r="A597" s="196" t="s">
        <v>286</v>
      </c>
      <c r="B597" s="197">
        <v>333.58</v>
      </c>
      <c r="C597" s="197">
        <v>81.775800000000004</v>
      </c>
      <c r="D597" s="198">
        <v>45652</v>
      </c>
      <c r="E597" s="197">
        <v>375</v>
      </c>
      <c r="F597" s="197">
        <v>2336.4499999999998</v>
      </c>
      <c r="G597" s="197">
        <v>14.27</v>
      </c>
      <c r="H597" s="197">
        <v>3.5</v>
      </c>
      <c r="I597" s="197">
        <v>17.77</v>
      </c>
      <c r="J597" s="199"/>
      <c r="K597" s="197">
        <v>415.35579999999999</v>
      </c>
      <c r="L597" s="197">
        <v>30665.906299999999</v>
      </c>
      <c r="M597" s="197">
        <v>155758.9063</v>
      </c>
      <c r="N597" s="196"/>
      <c r="O597" s="194"/>
    </row>
    <row r="598" spans="1:15" x14ac:dyDescent="0.2">
      <c r="A598" s="196" t="s">
        <v>286</v>
      </c>
      <c r="B598" s="197">
        <v>333.41141499999998</v>
      </c>
      <c r="C598" s="197">
        <v>81.775800000000004</v>
      </c>
      <c r="D598" s="198">
        <v>45687</v>
      </c>
      <c r="E598" s="197">
        <v>375</v>
      </c>
      <c r="F598" s="197">
        <v>2336.4499999999998</v>
      </c>
      <c r="G598" s="197">
        <v>14.27</v>
      </c>
      <c r="H598" s="197">
        <v>3.5</v>
      </c>
      <c r="I598" s="197">
        <v>17.77</v>
      </c>
      <c r="J598" s="199"/>
      <c r="K598" s="197">
        <v>415.35579999999999</v>
      </c>
      <c r="L598" s="197">
        <v>30665.906299999999</v>
      </c>
      <c r="M598" s="197">
        <v>155758.9063</v>
      </c>
      <c r="N598" s="196"/>
      <c r="O598" s="194"/>
    </row>
    <row r="599" spans="1:15" x14ac:dyDescent="0.2">
      <c r="A599" s="196" t="s">
        <v>286</v>
      </c>
      <c r="B599" s="197">
        <v>333.41141499999998</v>
      </c>
      <c r="C599" s="197">
        <v>81.775800000000004</v>
      </c>
      <c r="D599" s="198">
        <v>45715</v>
      </c>
      <c r="E599" s="197">
        <v>375</v>
      </c>
      <c r="F599" s="197">
        <v>2336.4499999999998</v>
      </c>
      <c r="G599" s="197">
        <v>14.27</v>
      </c>
      <c r="H599" s="197">
        <v>3.5</v>
      </c>
      <c r="I599" s="197">
        <v>17.77</v>
      </c>
      <c r="J599" s="199"/>
      <c r="K599" s="197">
        <v>415.35579999999999</v>
      </c>
      <c r="L599" s="197">
        <v>30665.906299999999</v>
      </c>
      <c r="M599" s="197">
        <v>155758.9063</v>
      </c>
      <c r="N599" s="196"/>
      <c r="O599" s="194"/>
    </row>
    <row r="600" spans="1:15" x14ac:dyDescent="0.2">
      <c r="A600" s="196" t="s">
        <v>288</v>
      </c>
      <c r="B600" s="197">
        <v>259</v>
      </c>
      <c r="C600" s="197">
        <v>63.493499999999997</v>
      </c>
      <c r="D600" s="198">
        <v>45652</v>
      </c>
      <c r="E600" s="197">
        <v>350</v>
      </c>
      <c r="F600" s="197">
        <v>1814.1</v>
      </c>
      <c r="G600" s="197">
        <v>14.27</v>
      </c>
      <c r="H600" s="197">
        <v>3.5</v>
      </c>
      <c r="I600" s="197">
        <v>17.77</v>
      </c>
      <c r="J600" s="199"/>
      <c r="K600" s="197">
        <v>322.49349999999998</v>
      </c>
      <c r="L600" s="197">
        <v>22222.724999999999</v>
      </c>
      <c r="M600" s="197">
        <v>112872.72500000001</v>
      </c>
      <c r="N600" s="196"/>
      <c r="O600" s="194"/>
    </row>
    <row r="601" spans="1:15" x14ac:dyDescent="0.2">
      <c r="A601" s="196" t="s">
        <v>288</v>
      </c>
      <c r="B601" s="197">
        <v>258.87207000000001</v>
      </c>
      <c r="C601" s="197">
        <v>63.493499999999997</v>
      </c>
      <c r="D601" s="198">
        <v>45687</v>
      </c>
      <c r="E601" s="197">
        <v>350</v>
      </c>
      <c r="F601" s="197">
        <v>1814.1</v>
      </c>
      <c r="G601" s="197">
        <v>14.27</v>
      </c>
      <c r="H601" s="197">
        <v>3.5</v>
      </c>
      <c r="I601" s="197">
        <v>17.77</v>
      </c>
      <c r="J601" s="199"/>
      <c r="K601" s="197">
        <v>322.49349999999998</v>
      </c>
      <c r="L601" s="197">
        <v>22222.724999999999</v>
      </c>
      <c r="M601" s="197">
        <v>112872.72500000001</v>
      </c>
      <c r="N601" s="196"/>
      <c r="O601" s="194"/>
    </row>
    <row r="602" spans="1:15" x14ac:dyDescent="0.2">
      <c r="A602" s="196" t="s">
        <v>288</v>
      </c>
      <c r="B602" s="197">
        <v>258.87207000000001</v>
      </c>
      <c r="C602" s="197">
        <v>63.493499999999997</v>
      </c>
      <c r="D602" s="198">
        <v>45715</v>
      </c>
      <c r="E602" s="197">
        <v>350</v>
      </c>
      <c r="F602" s="197">
        <v>1814.1</v>
      </c>
      <c r="G602" s="197">
        <v>14.27</v>
      </c>
      <c r="H602" s="197">
        <v>3.5</v>
      </c>
      <c r="I602" s="197">
        <v>17.77</v>
      </c>
      <c r="J602" s="199"/>
      <c r="K602" s="197">
        <v>322.49349999999998</v>
      </c>
      <c r="L602" s="197">
        <v>22222.724999999999</v>
      </c>
      <c r="M602" s="197">
        <v>112872.72500000001</v>
      </c>
      <c r="N602" s="196"/>
      <c r="O602" s="194"/>
    </row>
    <row r="603" spans="1:15" x14ac:dyDescent="0.2">
      <c r="A603" s="196" t="s">
        <v>289</v>
      </c>
      <c r="B603" s="197">
        <v>117.71</v>
      </c>
      <c r="C603" s="197">
        <v>26.236000000000001</v>
      </c>
      <c r="D603" s="198">
        <v>45652</v>
      </c>
      <c r="E603" s="197">
        <v>750</v>
      </c>
      <c r="F603" s="197">
        <v>749.6</v>
      </c>
      <c r="G603" s="197">
        <v>15.7</v>
      </c>
      <c r="H603" s="197">
        <v>3.5</v>
      </c>
      <c r="I603" s="197">
        <v>19.2</v>
      </c>
      <c r="J603" s="199"/>
      <c r="K603" s="197">
        <v>143.946</v>
      </c>
      <c r="L603" s="197">
        <v>19677</v>
      </c>
      <c r="M603" s="197">
        <v>107960</v>
      </c>
      <c r="N603" s="196"/>
      <c r="O603" s="194"/>
    </row>
    <row r="604" spans="1:15" x14ac:dyDescent="0.2">
      <c r="A604" s="196" t="s">
        <v>289</v>
      </c>
      <c r="B604" s="197">
        <v>117.6872</v>
      </c>
      <c r="C604" s="197">
        <v>26.236000000000001</v>
      </c>
      <c r="D604" s="198">
        <v>45687</v>
      </c>
      <c r="E604" s="197">
        <v>750</v>
      </c>
      <c r="F604" s="197">
        <v>749.6</v>
      </c>
      <c r="G604" s="197">
        <v>15.7</v>
      </c>
      <c r="H604" s="197">
        <v>3.5</v>
      </c>
      <c r="I604" s="197">
        <v>19.2</v>
      </c>
      <c r="J604" s="199"/>
      <c r="K604" s="197">
        <v>143.946</v>
      </c>
      <c r="L604" s="197">
        <v>19677</v>
      </c>
      <c r="M604" s="197">
        <v>107960</v>
      </c>
      <c r="N604" s="196"/>
      <c r="O604" s="194"/>
    </row>
    <row r="605" spans="1:15" x14ac:dyDescent="0.2">
      <c r="A605" s="196" t="s">
        <v>289</v>
      </c>
      <c r="B605" s="197">
        <v>117.6872</v>
      </c>
      <c r="C605" s="197">
        <v>26.236000000000001</v>
      </c>
      <c r="D605" s="198">
        <v>45715</v>
      </c>
      <c r="E605" s="197">
        <v>750</v>
      </c>
      <c r="F605" s="197">
        <v>749.6</v>
      </c>
      <c r="G605" s="197">
        <v>15.7</v>
      </c>
      <c r="H605" s="197">
        <v>3.5</v>
      </c>
      <c r="I605" s="197">
        <v>19.2</v>
      </c>
      <c r="J605" s="199"/>
      <c r="K605" s="197">
        <v>143.946</v>
      </c>
      <c r="L605" s="197">
        <v>19677</v>
      </c>
      <c r="M605" s="197">
        <v>107960</v>
      </c>
      <c r="N605" s="196"/>
      <c r="O605" s="194"/>
    </row>
    <row r="606" spans="1:15" x14ac:dyDescent="0.2">
      <c r="A606" s="196" t="s">
        <v>574</v>
      </c>
      <c r="B606" s="197">
        <v>1006.1</v>
      </c>
      <c r="C606" s="197">
        <v>173.523</v>
      </c>
      <c r="D606" s="198">
        <v>45652</v>
      </c>
      <c r="E606" s="197">
        <v>125</v>
      </c>
      <c r="F606" s="197">
        <v>4957.8</v>
      </c>
      <c r="G606" s="197">
        <v>20.29</v>
      </c>
      <c r="H606" s="197">
        <v>3.5</v>
      </c>
      <c r="I606" s="197">
        <v>23.79</v>
      </c>
      <c r="J606" s="199"/>
      <c r="K606" s="197">
        <v>1179.623</v>
      </c>
      <c r="L606" s="197">
        <v>21690.375</v>
      </c>
      <c r="M606" s="197">
        <v>147453.375</v>
      </c>
      <c r="N606" s="196"/>
      <c r="O606" s="194"/>
    </row>
    <row r="607" spans="1:15" x14ac:dyDescent="0.2">
      <c r="A607" s="196" t="s">
        <v>574</v>
      </c>
      <c r="B607" s="197">
        <v>1005.93762</v>
      </c>
      <c r="C607" s="197">
        <v>173.523</v>
      </c>
      <c r="D607" s="198">
        <v>45687</v>
      </c>
      <c r="E607" s="197">
        <v>125</v>
      </c>
      <c r="F607" s="197">
        <v>4957.8</v>
      </c>
      <c r="G607" s="197">
        <v>20.29</v>
      </c>
      <c r="H607" s="197">
        <v>3.5</v>
      </c>
      <c r="I607" s="197">
        <v>23.79</v>
      </c>
      <c r="J607" s="199"/>
      <c r="K607" s="197">
        <v>1179.623</v>
      </c>
      <c r="L607" s="197">
        <v>21690.375</v>
      </c>
      <c r="M607" s="197">
        <v>147453.375</v>
      </c>
      <c r="N607" s="196"/>
      <c r="O607" s="194"/>
    </row>
    <row r="608" spans="1:15" x14ac:dyDescent="0.2">
      <c r="A608" s="196" t="s">
        <v>574</v>
      </c>
      <c r="B608" s="197">
        <v>1005.93762</v>
      </c>
      <c r="C608" s="197">
        <v>173.523</v>
      </c>
      <c r="D608" s="198">
        <v>45715</v>
      </c>
      <c r="E608" s="197">
        <v>125</v>
      </c>
      <c r="F608" s="197">
        <v>4957.8</v>
      </c>
      <c r="G608" s="197">
        <v>20.29</v>
      </c>
      <c r="H608" s="197">
        <v>3.5</v>
      </c>
      <c r="I608" s="197">
        <v>23.79</v>
      </c>
      <c r="J608" s="199"/>
      <c r="K608" s="197">
        <v>1179.623</v>
      </c>
      <c r="L608" s="197">
        <v>21690.375</v>
      </c>
      <c r="M608" s="197">
        <v>147453.375</v>
      </c>
      <c r="N608" s="196"/>
      <c r="O608" s="194"/>
    </row>
    <row r="609" spans="1:15" x14ac:dyDescent="0.2">
      <c r="A609" s="196" t="s">
        <v>520</v>
      </c>
      <c r="B609" s="197">
        <v>129.16999999999999</v>
      </c>
      <c r="C609" s="197">
        <v>31.6663</v>
      </c>
      <c r="D609" s="198">
        <v>45652</v>
      </c>
      <c r="E609" s="197">
        <v>1000</v>
      </c>
      <c r="F609" s="197">
        <v>904.75</v>
      </c>
      <c r="G609" s="197">
        <v>14.27</v>
      </c>
      <c r="H609" s="197">
        <v>3.5</v>
      </c>
      <c r="I609" s="197">
        <v>17.77</v>
      </c>
      <c r="J609" s="199"/>
      <c r="K609" s="197">
        <v>160.83629999999999</v>
      </c>
      <c r="L609" s="197">
        <v>31666.25</v>
      </c>
      <c r="M609" s="197">
        <v>160836.25</v>
      </c>
      <c r="N609" s="196"/>
      <c r="O609" s="194"/>
    </row>
    <row r="610" spans="1:15" x14ac:dyDescent="0.2">
      <c r="A610" s="196" t="s">
        <v>520</v>
      </c>
      <c r="B610" s="197">
        <v>129.10782499999999</v>
      </c>
      <c r="C610" s="197">
        <v>31.6663</v>
      </c>
      <c r="D610" s="198">
        <v>45687</v>
      </c>
      <c r="E610" s="197">
        <v>1000</v>
      </c>
      <c r="F610" s="197">
        <v>904.75</v>
      </c>
      <c r="G610" s="197">
        <v>14.27</v>
      </c>
      <c r="H610" s="197">
        <v>3.5</v>
      </c>
      <c r="I610" s="197">
        <v>17.77</v>
      </c>
      <c r="J610" s="199"/>
      <c r="K610" s="197">
        <v>160.83629999999999</v>
      </c>
      <c r="L610" s="197">
        <v>31666.25</v>
      </c>
      <c r="M610" s="197">
        <v>160836.25</v>
      </c>
      <c r="N610" s="196"/>
      <c r="O610" s="194"/>
    </row>
    <row r="611" spans="1:15" x14ac:dyDescent="0.2">
      <c r="A611" s="196" t="s">
        <v>520</v>
      </c>
      <c r="B611" s="197">
        <v>129.10782499999999</v>
      </c>
      <c r="C611" s="197">
        <v>31.6663</v>
      </c>
      <c r="D611" s="198">
        <v>45715</v>
      </c>
      <c r="E611" s="197">
        <v>1000</v>
      </c>
      <c r="F611" s="197">
        <v>904.75</v>
      </c>
      <c r="G611" s="197">
        <v>14.27</v>
      </c>
      <c r="H611" s="197">
        <v>3.5</v>
      </c>
      <c r="I611" s="197">
        <v>17.77</v>
      </c>
      <c r="J611" s="199"/>
      <c r="K611" s="197">
        <v>160.83629999999999</v>
      </c>
      <c r="L611" s="197">
        <v>31666.25</v>
      </c>
      <c r="M611" s="197">
        <v>160836.25</v>
      </c>
      <c r="N611" s="196"/>
    </row>
    <row r="612" spans="1:15" x14ac:dyDescent="0.2">
      <c r="A612" s="196" t="s">
        <v>290</v>
      </c>
      <c r="B612" s="197">
        <v>205.28</v>
      </c>
      <c r="C612" s="197">
        <v>39.397799999999997</v>
      </c>
      <c r="D612" s="198">
        <v>45652</v>
      </c>
      <c r="E612" s="197">
        <v>550</v>
      </c>
      <c r="F612" s="197">
        <v>1125.6500000000001</v>
      </c>
      <c r="G612" s="197">
        <v>18.23</v>
      </c>
      <c r="H612" s="197">
        <v>3.5</v>
      </c>
      <c r="I612" s="197">
        <v>21.73</v>
      </c>
      <c r="J612" s="199"/>
      <c r="K612" s="197">
        <v>244.67779999999999</v>
      </c>
      <c r="L612" s="197">
        <v>21668.762500000001</v>
      </c>
      <c r="M612" s="197">
        <v>134572.76250000001</v>
      </c>
      <c r="N612" s="196"/>
    </row>
    <row r="613" spans="1:15" x14ac:dyDescent="0.2">
      <c r="A613" s="196" t="s">
        <v>290</v>
      </c>
      <c r="B613" s="197">
        <v>205.205995</v>
      </c>
      <c r="C613" s="197">
        <v>39.397799999999997</v>
      </c>
      <c r="D613" s="198">
        <v>45687</v>
      </c>
      <c r="E613" s="197">
        <v>550</v>
      </c>
      <c r="F613" s="197">
        <v>1125.6500000000001</v>
      </c>
      <c r="G613" s="197">
        <v>18.23</v>
      </c>
      <c r="H613" s="197">
        <v>3.5</v>
      </c>
      <c r="I613" s="197">
        <v>21.73</v>
      </c>
      <c r="J613" s="199"/>
      <c r="K613" s="197">
        <v>244.67779999999999</v>
      </c>
      <c r="L613" s="197">
        <v>21668.762500000001</v>
      </c>
      <c r="M613" s="197">
        <v>134572.76250000001</v>
      </c>
      <c r="N613" s="196"/>
    </row>
    <row r="614" spans="1:15" x14ac:dyDescent="0.2">
      <c r="A614" s="196" t="s">
        <v>290</v>
      </c>
      <c r="B614" s="197">
        <v>205.205995</v>
      </c>
      <c r="C614" s="197">
        <v>39.397799999999997</v>
      </c>
      <c r="D614" s="198">
        <v>45715</v>
      </c>
      <c r="E614" s="197">
        <v>550</v>
      </c>
      <c r="F614" s="197">
        <v>1125.6500000000001</v>
      </c>
      <c r="G614" s="197">
        <v>18.23</v>
      </c>
      <c r="H614" s="197">
        <v>3.5</v>
      </c>
      <c r="I614" s="197">
        <v>21.73</v>
      </c>
      <c r="J614" s="199"/>
      <c r="K614" s="197">
        <v>244.67779999999999</v>
      </c>
      <c r="L614" s="197">
        <v>21668.762500000001</v>
      </c>
      <c r="M614" s="197">
        <v>134572.76250000001</v>
      </c>
      <c r="N614" s="196"/>
    </row>
    <row r="615" spans="1:15" x14ac:dyDescent="0.2">
      <c r="A615" s="196" t="s">
        <v>552</v>
      </c>
      <c r="B615" s="197">
        <v>280.45999999999998</v>
      </c>
      <c r="C615" s="197">
        <v>64.398300000000006</v>
      </c>
      <c r="D615" s="198">
        <v>45652</v>
      </c>
      <c r="E615" s="197">
        <v>250</v>
      </c>
      <c r="F615" s="197">
        <v>1839.95</v>
      </c>
      <c r="G615" s="197">
        <v>15.24</v>
      </c>
      <c r="H615" s="197">
        <v>3.5</v>
      </c>
      <c r="I615" s="197">
        <v>18.739999999999998</v>
      </c>
      <c r="J615" s="199"/>
      <c r="K615" s="197">
        <v>344.85829999999999</v>
      </c>
      <c r="L615" s="197">
        <v>16099.5625</v>
      </c>
      <c r="M615" s="197">
        <v>86214.5625</v>
      </c>
      <c r="N615" s="196"/>
    </row>
    <row r="616" spans="1:15" x14ac:dyDescent="0.2">
      <c r="A616" s="196" t="s">
        <v>552</v>
      </c>
      <c r="B616" s="197">
        <v>280.40838000000002</v>
      </c>
      <c r="C616" s="197">
        <v>64.398300000000006</v>
      </c>
      <c r="D616" s="198">
        <v>45687</v>
      </c>
      <c r="E616" s="197">
        <v>250</v>
      </c>
      <c r="F616" s="197">
        <v>1839.95</v>
      </c>
      <c r="G616" s="197">
        <v>15.24</v>
      </c>
      <c r="H616" s="197">
        <v>3.5</v>
      </c>
      <c r="I616" s="197">
        <v>18.740000000000002</v>
      </c>
      <c r="J616" s="199"/>
      <c r="K616" s="197">
        <v>344.85829999999999</v>
      </c>
      <c r="L616" s="197">
        <v>16099.5625</v>
      </c>
      <c r="M616" s="197">
        <v>86214.5625</v>
      </c>
      <c r="N616" s="196"/>
    </row>
    <row r="617" spans="1:15" x14ac:dyDescent="0.2">
      <c r="A617" s="196" t="s">
        <v>552</v>
      </c>
      <c r="B617" s="197">
        <v>280.40838000000002</v>
      </c>
      <c r="C617" s="197">
        <v>64.398300000000006</v>
      </c>
      <c r="D617" s="198">
        <v>45715</v>
      </c>
      <c r="E617" s="197">
        <v>250</v>
      </c>
      <c r="F617" s="197">
        <v>1839.95</v>
      </c>
      <c r="G617" s="197">
        <v>15.24</v>
      </c>
      <c r="H617" s="197">
        <v>3.5</v>
      </c>
      <c r="I617" s="197">
        <v>18.740000000000002</v>
      </c>
      <c r="J617" s="199"/>
      <c r="K617" s="197">
        <v>344.85829999999999</v>
      </c>
      <c r="L617" s="197">
        <v>16099.5625</v>
      </c>
      <c r="M617" s="197">
        <v>86214.5625</v>
      </c>
      <c r="N617" s="196"/>
    </row>
    <row r="618" spans="1:15" x14ac:dyDescent="0.2">
      <c r="A618" s="196" t="s">
        <v>291</v>
      </c>
      <c r="B618" s="197">
        <v>133.5</v>
      </c>
      <c r="C618" s="197">
        <v>32.726799999999997</v>
      </c>
      <c r="D618" s="198">
        <v>45652</v>
      </c>
      <c r="E618" s="197">
        <v>456</v>
      </c>
      <c r="F618" s="197">
        <v>935.05</v>
      </c>
      <c r="G618" s="197">
        <v>14.27</v>
      </c>
      <c r="H618" s="197">
        <v>3.5</v>
      </c>
      <c r="I618" s="197">
        <v>17.77</v>
      </c>
      <c r="J618" s="199"/>
      <c r="K618" s="197">
        <v>166.2268</v>
      </c>
      <c r="L618" s="197">
        <v>14923.397999999999</v>
      </c>
      <c r="M618" s="197">
        <v>75799.398000000001</v>
      </c>
      <c r="N618" s="196"/>
    </row>
    <row r="619" spans="1:15" x14ac:dyDescent="0.2">
      <c r="A619" s="196" t="s">
        <v>291</v>
      </c>
      <c r="B619" s="197">
        <v>133.431635</v>
      </c>
      <c r="C619" s="197">
        <v>32.726799999999997</v>
      </c>
      <c r="D619" s="198">
        <v>45687</v>
      </c>
      <c r="E619" s="197">
        <v>456</v>
      </c>
      <c r="F619" s="197">
        <v>935.05</v>
      </c>
      <c r="G619" s="197">
        <v>14.27</v>
      </c>
      <c r="H619" s="197">
        <v>3.5</v>
      </c>
      <c r="I619" s="197">
        <v>17.77</v>
      </c>
      <c r="J619" s="199"/>
      <c r="K619" s="197">
        <v>166.2268</v>
      </c>
      <c r="L619" s="197">
        <v>14923.397999999999</v>
      </c>
      <c r="M619" s="197">
        <v>75799.398000000001</v>
      </c>
      <c r="N619" s="196"/>
    </row>
    <row r="620" spans="1:15" x14ac:dyDescent="0.2">
      <c r="A620" s="196" t="s">
        <v>291</v>
      </c>
      <c r="B620" s="197">
        <v>133.431635</v>
      </c>
      <c r="C620" s="197">
        <v>32.726799999999997</v>
      </c>
      <c r="D620" s="198">
        <v>45715</v>
      </c>
      <c r="E620" s="197">
        <v>456</v>
      </c>
      <c r="F620" s="197">
        <v>935.05</v>
      </c>
      <c r="G620" s="197">
        <v>14.27</v>
      </c>
      <c r="H620" s="197">
        <v>3.5</v>
      </c>
      <c r="I620" s="197">
        <v>17.77</v>
      </c>
      <c r="J620" s="199"/>
      <c r="K620" s="197">
        <v>166.2268</v>
      </c>
      <c r="L620" s="197">
        <v>14923.397999999999</v>
      </c>
      <c r="M620" s="197">
        <v>75799.398000000001</v>
      </c>
      <c r="N620" s="196"/>
    </row>
    <row r="621" spans="1:15" x14ac:dyDescent="0.2">
      <c r="A621" s="196" t="s">
        <v>604</v>
      </c>
      <c r="B621" s="197">
        <v>1266.33</v>
      </c>
      <c r="C621" s="197">
        <v>257.25</v>
      </c>
      <c r="D621" s="198">
        <v>45652</v>
      </c>
      <c r="E621" s="197">
        <v>100</v>
      </c>
      <c r="F621" s="197">
        <v>7350</v>
      </c>
      <c r="G621" s="197">
        <v>17.22</v>
      </c>
      <c r="H621" s="197">
        <v>3.5</v>
      </c>
      <c r="I621" s="197">
        <v>20.72</v>
      </c>
      <c r="J621" s="199"/>
      <c r="K621" s="197">
        <v>1523.58</v>
      </c>
      <c r="L621" s="197">
        <v>25725</v>
      </c>
      <c r="M621" s="197">
        <v>152358</v>
      </c>
      <c r="N621" s="196"/>
    </row>
    <row r="622" spans="1:15" x14ac:dyDescent="0.2">
      <c r="A622" s="196" t="s">
        <v>604</v>
      </c>
      <c r="B622" s="197">
        <v>1265.67</v>
      </c>
      <c r="C622" s="197">
        <v>257.25</v>
      </c>
      <c r="D622" s="198">
        <v>45687</v>
      </c>
      <c r="E622" s="197">
        <v>100</v>
      </c>
      <c r="F622" s="197">
        <v>7350</v>
      </c>
      <c r="G622" s="197">
        <v>17.22</v>
      </c>
      <c r="H622" s="197">
        <v>3.5</v>
      </c>
      <c r="I622" s="197">
        <v>20.72</v>
      </c>
      <c r="J622" s="199"/>
      <c r="K622" s="197">
        <v>1523.58</v>
      </c>
      <c r="L622" s="197">
        <v>25725</v>
      </c>
      <c r="M622" s="197">
        <v>152358</v>
      </c>
      <c r="N622" s="196"/>
    </row>
    <row r="623" spans="1:15" x14ac:dyDescent="0.2">
      <c r="A623" s="196" t="s">
        <v>604</v>
      </c>
      <c r="B623" s="197">
        <v>1265.67</v>
      </c>
      <c r="C623" s="197">
        <v>257.25</v>
      </c>
      <c r="D623" s="198">
        <v>45715</v>
      </c>
      <c r="E623" s="197">
        <v>100</v>
      </c>
      <c r="F623" s="197">
        <v>7350</v>
      </c>
      <c r="G623" s="197">
        <v>17.22</v>
      </c>
      <c r="H623" s="197">
        <v>3.5</v>
      </c>
      <c r="I623" s="197">
        <v>20.72</v>
      </c>
      <c r="J623" s="199"/>
      <c r="K623" s="197">
        <v>1523.58</v>
      </c>
      <c r="L623" s="197">
        <v>25725</v>
      </c>
      <c r="M623" s="197">
        <v>152358</v>
      </c>
      <c r="N623" s="196"/>
    </row>
    <row r="624" spans="1:15" x14ac:dyDescent="0.2">
      <c r="A624" s="196" t="s">
        <v>292</v>
      </c>
      <c r="B624" s="197">
        <v>125.04</v>
      </c>
      <c r="C624" s="197">
        <v>27.968499999999999</v>
      </c>
      <c r="D624" s="198">
        <v>45652</v>
      </c>
      <c r="E624" s="197">
        <v>550</v>
      </c>
      <c r="F624" s="197">
        <v>799.1</v>
      </c>
      <c r="G624" s="197">
        <v>15.64</v>
      </c>
      <c r="H624" s="197">
        <v>3.5</v>
      </c>
      <c r="I624" s="197">
        <v>19.14</v>
      </c>
      <c r="J624" s="199"/>
      <c r="K624" s="197">
        <v>153.0085</v>
      </c>
      <c r="L624" s="197">
        <v>15382.674999999999</v>
      </c>
      <c r="M624" s="197">
        <v>84154.675000000003</v>
      </c>
      <c r="N624" s="196"/>
    </row>
    <row r="625" spans="1:14" x14ac:dyDescent="0.2">
      <c r="A625" s="196" t="s">
        <v>292</v>
      </c>
      <c r="B625" s="197">
        <v>124.97924</v>
      </c>
      <c r="C625" s="197">
        <v>27.968499999999999</v>
      </c>
      <c r="D625" s="198">
        <v>45687</v>
      </c>
      <c r="E625" s="197">
        <v>550</v>
      </c>
      <c r="F625" s="197">
        <v>799.1</v>
      </c>
      <c r="G625" s="197">
        <v>15.64</v>
      </c>
      <c r="H625" s="197">
        <v>3.5</v>
      </c>
      <c r="I625" s="197">
        <v>19.14</v>
      </c>
      <c r="J625" s="199"/>
      <c r="K625" s="197">
        <v>153.0085</v>
      </c>
      <c r="L625" s="197">
        <v>15382.674999999999</v>
      </c>
      <c r="M625" s="197">
        <v>84154.675000000003</v>
      </c>
      <c r="N625" s="196"/>
    </row>
    <row r="626" spans="1:14" x14ac:dyDescent="0.2">
      <c r="A626" s="196" t="s">
        <v>292</v>
      </c>
      <c r="B626" s="197">
        <v>124.97924</v>
      </c>
      <c r="C626" s="197">
        <v>27.968499999999999</v>
      </c>
      <c r="D626" s="198">
        <v>45715</v>
      </c>
      <c r="E626" s="197">
        <v>550</v>
      </c>
      <c r="F626" s="197">
        <v>799.1</v>
      </c>
      <c r="G626" s="197">
        <v>15.64</v>
      </c>
      <c r="H626" s="197">
        <v>3.5</v>
      </c>
      <c r="I626" s="197">
        <v>19.14</v>
      </c>
      <c r="J626" s="199"/>
      <c r="K626" s="197">
        <v>153.0085</v>
      </c>
      <c r="L626" s="197">
        <v>15382.674999999999</v>
      </c>
      <c r="M626" s="197">
        <v>84154.675000000003</v>
      </c>
      <c r="N626" s="196"/>
    </row>
    <row r="627" spans="1:14" x14ac:dyDescent="0.2">
      <c r="A627" s="196" t="s">
        <v>293</v>
      </c>
      <c r="B627" s="197">
        <v>78.88</v>
      </c>
      <c r="C627" s="197">
        <v>15.218</v>
      </c>
      <c r="D627" s="198">
        <v>45652</v>
      </c>
      <c r="E627" s="197">
        <v>1350</v>
      </c>
      <c r="F627" s="197">
        <v>434.8</v>
      </c>
      <c r="G627" s="197">
        <v>18.14</v>
      </c>
      <c r="H627" s="197">
        <v>3.5</v>
      </c>
      <c r="I627" s="197">
        <v>21.64</v>
      </c>
      <c r="J627" s="199"/>
      <c r="K627" s="197">
        <v>94.097999999999999</v>
      </c>
      <c r="L627" s="197">
        <v>20544.3</v>
      </c>
      <c r="M627" s="197">
        <v>127032.3</v>
      </c>
      <c r="N627" s="196"/>
    </row>
    <row r="628" spans="1:14" x14ac:dyDescent="0.2">
      <c r="A628" s="196" t="s">
        <v>293</v>
      </c>
      <c r="B628" s="197">
        <v>78.872720000000001</v>
      </c>
      <c r="C628" s="197">
        <v>15.218</v>
      </c>
      <c r="D628" s="198">
        <v>45687</v>
      </c>
      <c r="E628" s="197">
        <v>1350</v>
      </c>
      <c r="F628" s="197">
        <v>434.8</v>
      </c>
      <c r="G628" s="197">
        <v>18.14</v>
      </c>
      <c r="H628" s="197">
        <v>3.5</v>
      </c>
      <c r="I628" s="197">
        <v>21.64</v>
      </c>
      <c r="J628" s="199"/>
      <c r="K628" s="197">
        <v>94.097999999999999</v>
      </c>
      <c r="L628" s="197">
        <v>20544.3</v>
      </c>
      <c r="M628" s="197">
        <v>127032.3</v>
      </c>
      <c r="N628" s="196"/>
    </row>
    <row r="629" spans="1:14" x14ac:dyDescent="0.2">
      <c r="A629" s="196" t="s">
        <v>293</v>
      </c>
      <c r="B629" s="197">
        <v>78.872720000000001</v>
      </c>
      <c r="C629" s="197">
        <v>15.218</v>
      </c>
      <c r="D629" s="198">
        <v>45715</v>
      </c>
      <c r="E629" s="197">
        <v>1350</v>
      </c>
      <c r="F629" s="197">
        <v>434.8</v>
      </c>
      <c r="G629" s="197">
        <v>18.14</v>
      </c>
      <c r="H629" s="197">
        <v>3.5</v>
      </c>
      <c r="I629" s="197">
        <v>21.64</v>
      </c>
      <c r="J629" s="199"/>
      <c r="K629" s="197">
        <v>94.097999999999999</v>
      </c>
      <c r="L629" s="197">
        <v>20544.3</v>
      </c>
      <c r="M629" s="197">
        <v>127032.3</v>
      </c>
      <c r="N629" s="196"/>
    </row>
    <row r="630" spans="1:14" x14ac:dyDescent="0.2">
      <c r="A630" s="196" t="s">
        <v>294</v>
      </c>
      <c r="B630" s="197">
        <v>23.42</v>
      </c>
      <c r="C630" s="197">
        <v>5.2709999999999999</v>
      </c>
      <c r="D630" s="198">
        <v>45652</v>
      </c>
      <c r="E630" s="197">
        <v>5500</v>
      </c>
      <c r="F630" s="197">
        <v>150.6</v>
      </c>
      <c r="G630" s="197">
        <v>15.55</v>
      </c>
      <c r="H630" s="197">
        <v>3.5</v>
      </c>
      <c r="I630" s="197">
        <v>19.05</v>
      </c>
      <c r="J630" s="199"/>
      <c r="K630" s="197">
        <v>28.690999999999999</v>
      </c>
      <c r="L630" s="197">
        <v>28990.5</v>
      </c>
      <c r="M630" s="197">
        <v>157800.5</v>
      </c>
      <c r="N630" s="196"/>
    </row>
    <row r="631" spans="1:14" x14ac:dyDescent="0.2">
      <c r="A631" s="196" t="s">
        <v>294</v>
      </c>
      <c r="B631" s="197">
        <v>23.418299999999999</v>
      </c>
      <c r="C631" s="197">
        <v>5.2709999999999999</v>
      </c>
      <c r="D631" s="198">
        <v>45687</v>
      </c>
      <c r="E631" s="197">
        <v>5500</v>
      </c>
      <c r="F631" s="197">
        <v>150.6</v>
      </c>
      <c r="G631" s="197">
        <v>15.55</v>
      </c>
      <c r="H631" s="197">
        <v>3.5</v>
      </c>
      <c r="I631" s="197">
        <v>19.05</v>
      </c>
      <c r="J631" s="199"/>
      <c r="K631" s="197">
        <v>28.690999999999999</v>
      </c>
      <c r="L631" s="197">
        <v>28990.5</v>
      </c>
      <c r="M631" s="197">
        <v>157800.5</v>
      </c>
      <c r="N631" s="196"/>
    </row>
    <row r="632" spans="1:14" x14ac:dyDescent="0.2">
      <c r="A632" s="196" t="s">
        <v>294</v>
      </c>
      <c r="B632" s="197">
        <v>23.418299999999999</v>
      </c>
      <c r="C632" s="197">
        <v>5.2709999999999999</v>
      </c>
      <c r="D632" s="198">
        <v>45715</v>
      </c>
      <c r="E632" s="197">
        <v>5500</v>
      </c>
      <c r="F632" s="197">
        <v>150.6</v>
      </c>
      <c r="G632" s="197">
        <v>15.55</v>
      </c>
      <c r="H632" s="197">
        <v>3.5</v>
      </c>
      <c r="I632" s="197">
        <v>19.05</v>
      </c>
      <c r="J632" s="199"/>
      <c r="K632" s="197">
        <v>28.690999999999999</v>
      </c>
      <c r="L632" s="197">
        <v>28990.5</v>
      </c>
      <c r="M632" s="197">
        <v>157800.5</v>
      </c>
      <c r="N632" s="196"/>
    </row>
    <row r="633" spans="1:14" x14ac:dyDescent="0.2">
      <c r="A633" s="196" t="s">
        <v>295</v>
      </c>
      <c r="B633" s="197">
        <v>632.11</v>
      </c>
      <c r="C633" s="197">
        <v>154.96080000000001</v>
      </c>
      <c r="D633" s="198">
        <v>45652</v>
      </c>
      <c r="E633" s="197">
        <v>175</v>
      </c>
      <c r="F633" s="197">
        <v>4427.45</v>
      </c>
      <c r="G633" s="197">
        <v>14.27</v>
      </c>
      <c r="H633" s="197">
        <v>3.5</v>
      </c>
      <c r="I633" s="197">
        <v>17.77</v>
      </c>
      <c r="J633" s="199"/>
      <c r="K633" s="197">
        <v>787.07079999999996</v>
      </c>
      <c r="L633" s="197">
        <v>27118.131300000001</v>
      </c>
      <c r="M633" s="197">
        <v>137737.13130000001</v>
      </c>
      <c r="N633" s="196"/>
    </row>
    <row r="634" spans="1:14" x14ac:dyDescent="0.2">
      <c r="A634" s="196" t="s">
        <v>295</v>
      </c>
      <c r="B634" s="197">
        <v>631.79711499999996</v>
      </c>
      <c r="C634" s="197">
        <v>154.96080000000001</v>
      </c>
      <c r="D634" s="198">
        <v>45687</v>
      </c>
      <c r="E634" s="197">
        <v>175</v>
      </c>
      <c r="F634" s="197">
        <v>4427.45</v>
      </c>
      <c r="G634" s="197">
        <v>14.27</v>
      </c>
      <c r="H634" s="197">
        <v>3.5</v>
      </c>
      <c r="I634" s="197">
        <v>17.77</v>
      </c>
      <c r="J634" s="199"/>
      <c r="K634" s="197">
        <v>787.07079999999996</v>
      </c>
      <c r="L634" s="197">
        <v>27118.131300000001</v>
      </c>
      <c r="M634" s="197">
        <v>137737.13130000001</v>
      </c>
      <c r="N634" s="196"/>
    </row>
    <row r="635" spans="1:14" x14ac:dyDescent="0.2">
      <c r="A635" s="196" t="s">
        <v>295</v>
      </c>
      <c r="B635" s="197">
        <v>631.79711499999996</v>
      </c>
      <c r="C635" s="197">
        <v>154.96080000000001</v>
      </c>
      <c r="D635" s="198">
        <v>45715</v>
      </c>
      <c r="E635" s="197">
        <v>175</v>
      </c>
      <c r="F635" s="197">
        <v>4427.45</v>
      </c>
      <c r="G635" s="197">
        <v>14.27</v>
      </c>
      <c r="H635" s="197">
        <v>3.5</v>
      </c>
      <c r="I635" s="197">
        <v>17.77</v>
      </c>
      <c r="J635" s="199"/>
      <c r="K635" s="197">
        <v>787.07079999999996</v>
      </c>
      <c r="L635" s="197">
        <v>27118.131300000001</v>
      </c>
      <c r="M635" s="197">
        <v>137737.13130000001</v>
      </c>
      <c r="N635" s="196"/>
    </row>
    <row r="636" spans="1:14" x14ac:dyDescent="0.2">
      <c r="A636" s="196" t="s">
        <v>296</v>
      </c>
      <c r="B636" s="197">
        <v>251.67</v>
      </c>
      <c r="C636" s="197">
        <v>61.696300000000001</v>
      </c>
      <c r="D636" s="198">
        <v>45652</v>
      </c>
      <c r="E636" s="197">
        <v>600</v>
      </c>
      <c r="F636" s="197">
        <v>1762.75</v>
      </c>
      <c r="G636" s="197">
        <v>14.27</v>
      </c>
      <c r="H636" s="197">
        <v>3.5</v>
      </c>
      <c r="I636" s="197">
        <v>17.77</v>
      </c>
      <c r="J636" s="199"/>
      <c r="K636" s="197">
        <v>313.36630000000002</v>
      </c>
      <c r="L636" s="197">
        <v>37017.75</v>
      </c>
      <c r="M636" s="197">
        <v>188019.75</v>
      </c>
      <c r="N636" s="196"/>
    </row>
    <row r="637" spans="1:14" x14ac:dyDescent="0.2">
      <c r="A637" s="196" t="s">
        <v>296</v>
      </c>
      <c r="B637" s="197">
        <v>251.54442499999999</v>
      </c>
      <c r="C637" s="197">
        <v>61.696300000000001</v>
      </c>
      <c r="D637" s="198">
        <v>45687</v>
      </c>
      <c r="E637" s="197">
        <v>600</v>
      </c>
      <c r="F637" s="197">
        <v>1762.75</v>
      </c>
      <c r="G637" s="197">
        <v>14.27</v>
      </c>
      <c r="H637" s="197">
        <v>3.5</v>
      </c>
      <c r="I637" s="197">
        <v>17.77</v>
      </c>
      <c r="J637" s="199"/>
      <c r="K637" s="197">
        <v>313.36630000000002</v>
      </c>
      <c r="L637" s="197">
        <v>37017.75</v>
      </c>
      <c r="M637" s="197">
        <v>188019.75</v>
      </c>
      <c r="N637" s="196"/>
    </row>
    <row r="638" spans="1:14" x14ac:dyDescent="0.2">
      <c r="A638" s="196" t="s">
        <v>296</v>
      </c>
      <c r="B638" s="197">
        <v>251.54442499999999</v>
      </c>
      <c r="C638" s="197">
        <v>61.696300000000001</v>
      </c>
      <c r="D638" s="198">
        <v>45715</v>
      </c>
      <c r="E638" s="197">
        <v>600</v>
      </c>
      <c r="F638" s="197">
        <v>1762.75</v>
      </c>
      <c r="G638" s="197">
        <v>14.27</v>
      </c>
      <c r="H638" s="197">
        <v>3.5</v>
      </c>
      <c r="I638" s="197">
        <v>17.77</v>
      </c>
      <c r="J638" s="199"/>
      <c r="K638" s="197">
        <v>313.36630000000002</v>
      </c>
      <c r="L638" s="197">
        <v>37017.75</v>
      </c>
      <c r="M638" s="197">
        <v>188019.75</v>
      </c>
      <c r="N638" s="196"/>
    </row>
    <row r="639" spans="1:14" x14ac:dyDescent="0.2">
      <c r="A639" s="196" t="s">
        <v>595</v>
      </c>
      <c r="B639" s="197">
        <v>763.25</v>
      </c>
      <c r="C639" s="197">
        <v>128.80529999999999</v>
      </c>
      <c r="D639" s="198">
        <v>45652</v>
      </c>
      <c r="E639" s="197">
        <v>150</v>
      </c>
      <c r="F639" s="197">
        <v>3680.15</v>
      </c>
      <c r="G639" s="197">
        <v>20.73</v>
      </c>
      <c r="H639" s="197">
        <v>3.5</v>
      </c>
      <c r="I639" s="197">
        <v>24.23</v>
      </c>
      <c r="J639" s="199"/>
      <c r="K639" s="197">
        <v>892.05529999999999</v>
      </c>
      <c r="L639" s="197">
        <v>19320.787499999999</v>
      </c>
      <c r="M639" s="197">
        <v>133808.78750000001</v>
      </c>
      <c r="N639" s="196"/>
    </row>
    <row r="640" spans="1:14" x14ac:dyDescent="0.2">
      <c r="A640" s="196" t="s">
        <v>595</v>
      </c>
      <c r="B640" s="197">
        <v>762.89509499999997</v>
      </c>
      <c r="C640" s="197">
        <v>128.80529999999999</v>
      </c>
      <c r="D640" s="198">
        <v>45687</v>
      </c>
      <c r="E640" s="197">
        <v>150</v>
      </c>
      <c r="F640" s="197">
        <v>3680.15</v>
      </c>
      <c r="G640" s="197">
        <v>20.73</v>
      </c>
      <c r="H640" s="197">
        <v>3.5</v>
      </c>
      <c r="I640" s="197">
        <v>24.23</v>
      </c>
      <c r="J640" s="199"/>
      <c r="K640" s="197">
        <v>892.05529999999999</v>
      </c>
      <c r="L640" s="197">
        <v>19320.787499999999</v>
      </c>
      <c r="M640" s="197">
        <v>133808.78750000001</v>
      </c>
      <c r="N640" s="196"/>
    </row>
    <row r="641" spans="1:14" x14ac:dyDescent="0.2">
      <c r="A641" s="196" t="s">
        <v>595</v>
      </c>
      <c r="B641" s="197">
        <v>762.89509499999997</v>
      </c>
      <c r="C641" s="197">
        <v>128.80529999999999</v>
      </c>
      <c r="D641" s="198">
        <v>45715</v>
      </c>
      <c r="E641" s="197">
        <v>150</v>
      </c>
      <c r="F641" s="197">
        <v>3680.15</v>
      </c>
      <c r="G641" s="197">
        <v>20.73</v>
      </c>
      <c r="H641" s="197">
        <v>3.5</v>
      </c>
      <c r="I641" s="197">
        <v>24.23</v>
      </c>
      <c r="J641" s="199"/>
      <c r="K641" s="197">
        <v>892.05529999999999</v>
      </c>
      <c r="L641" s="197">
        <v>19320.787499999999</v>
      </c>
      <c r="M641" s="197">
        <v>133808.78750000001</v>
      </c>
      <c r="N641" s="196"/>
    </row>
    <row r="642" spans="1:14" x14ac:dyDescent="0.2">
      <c r="A642" s="196" t="s">
        <v>297</v>
      </c>
      <c r="B642" s="197">
        <v>495.85</v>
      </c>
      <c r="C642" s="197">
        <v>121.5568</v>
      </c>
      <c r="D642" s="198">
        <v>45652</v>
      </c>
      <c r="E642" s="197">
        <v>175</v>
      </c>
      <c r="F642" s="197">
        <v>3473.05</v>
      </c>
      <c r="G642" s="197">
        <v>14.27</v>
      </c>
      <c r="H642" s="197">
        <v>3.5</v>
      </c>
      <c r="I642" s="197">
        <v>17.77</v>
      </c>
      <c r="J642" s="199"/>
      <c r="K642" s="197">
        <v>617.40679999999998</v>
      </c>
      <c r="L642" s="197">
        <v>21272.4313</v>
      </c>
      <c r="M642" s="197">
        <v>108046.4313</v>
      </c>
      <c r="N642" s="196"/>
    </row>
    <row r="643" spans="1:14" x14ac:dyDescent="0.2">
      <c r="A643" s="196" t="s">
        <v>297</v>
      </c>
      <c r="B643" s="197">
        <v>495.60423500000002</v>
      </c>
      <c r="C643" s="197">
        <v>121.5568</v>
      </c>
      <c r="D643" s="198">
        <v>45687</v>
      </c>
      <c r="E643" s="197">
        <v>175</v>
      </c>
      <c r="F643" s="197">
        <v>3473.05</v>
      </c>
      <c r="G643" s="197">
        <v>14.27</v>
      </c>
      <c r="H643" s="197">
        <v>3.5</v>
      </c>
      <c r="I643" s="197">
        <v>17.77</v>
      </c>
      <c r="J643" s="199"/>
      <c r="K643" s="197">
        <v>617.40679999999998</v>
      </c>
      <c r="L643" s="197">
        <v>21272.4313</v>
      </c>
      <c r="M643" s="197">
        <v>108046.4313</v>
      </c>
      <c r="N643" s="196"/>
    </row>
    <row r="644" spans="1:14" x14ac:dyDescent="0.2">
      <c r="A644" s="196" t="s">
        <v>297</v>
      </c>
      <c r="B644" s="197">
        <v>495.60423500000002</v>
      </c>
      <c r="C644" s="197">
        <v>121.5568</v>
      </c>
      <c r="D644" s="198">
        <v>45715</v>
      </c>
      <c r="E644" s="197">
        <v>175</v>
      </c>
      <c r="F644" s="197">
        <v>3473.05</v>
      </c>
      <c r="G644" s="197">
        <v>14.27</v>
      </c>
      <c r="H644" s="197">
        <v>3.5</v>
      </c>
      <c r="I644" s="197">
        <v>17.77</v>
      </c>
      <c r="J644" s="199"/>
      <c r="K644" s="197">
        <v>617.40679999999998</v>
      </c>
      <c r="L644" s="197">
        <v>21272.4313</v>
      </c>
      <c r="M644" s="197">
        <v>108046.4313</v>
      </c>
      <c r="N644" s="196"/>
    </row>
    <row r="645" spans="1:14" x14ac:dyDescent="0.2">
      <c r="A645" s="196" t="s">
        <v>298</v>
      </c>
      <c r="B645" s="197">
        <v>481.83</v>
      </c>
      <c r="C645" s="197">
        <v>118.1198</v>
      </c>
      <c r="D645" s="198">
        <v>45652</v>
      </c>
      <c r="E645" s="197">
        <v>250</v>
      </c>
      <c r="F645" s="197">
        <v>3374.85</v>
      </c>
      <c r="G645" s="197">
        <v>14.27</v>
      </c>
      <c r="H645" s="197">
        <v>3.5</v>
      </c>
      <c r="I645" s="197">
        <v>17.77</v>
      </c>
      <c r="J645" s="199"/>
      <c r="K645" s="197">
        <v>599.94979999999998</v>
      </c>
      <c r="L645" s="197">
        <v>29529.9375</v>
      </c>
      <c r="M645" s="197">
        <v>149987.9375</v>
      </c>
      <c r="N645" s="196"/>
    </row>
    <row r="646" spans="1:14" x14ac:dyDescent="0.2">
      <c r="A646" s="196" t="s">
        <v>298</v>
      </c>
      <c r="B646" s="197">
        <v>481.591095</v>
      </c>
      <c r="C646" s="197">
        <v>118.1198</v>
      </c>
      <c r="D646" s="198">
        <v>45687</v>
      </c>
      <c r="E646" s="197">
        <v>250</v>
      </c>
      <c r="F646" s="197">
        <v>3374.85</v>
      </c>
      <c r="G646" s="197">
        <v>14.27</v>
      </c>
      <c r="H646" s="197">
        <v>3.5</v>
      </c>
      <c r="I646" s="197">
        <v>17.77</v>
      </c>
      <c r="J646" s="199"/>
      <c r="K646" s="197">
        <v>599.94979999999998</v>
      </c>
      <c r="L646" s="197">
        <v>29529.9375</v>
      </c>
      <c r="M646" s="197">
        <v>149987.9375</v>
      </c>
      <c r="N646" s="196"/>
    </row>
    <row r="647" spans="1:14" x14ac:dyDescent="0.2">
      <c r="A647" s="196" t="s">
        <v>298</v>
      </c>
      <c r="B647" s="197">
        <v>481.591095</v>
      </c>
      <c r="C647" s="197">
        <v>118.1198</v>
      </c>
      <c r="D647" s="198">
        <v>45715</v>
      </c>
      <c r="E647" s="197">
        <v>250</v>
      </c>
      <c r="F647" s="197">
        <v>3374.85</v>
      </c>
      <c r="G647" s="197">
        <v>14.27</v>
      </c>
      <c r="H647" s="197">
        <v>3.5</v>
      </c>
      <c r="I647" s="197">
        <v>17.77</v>
      </c>
      <c r="J647" s="199"/>
      <c r="K647" s="197">
        <v>599.94979999999998</v>
      </c>
      <c r="L647" s="197">
        <v>29529.9375</v>
      </c>
      <c r="M647" s="197">
        <v>149987.9375</v>
      </c>
      <c r="N647" s="196"/>
    </row>
    <row r="648" spans="1:14" x14ac:dyDescent="0.2">
      <c r="A648" s="196" t="s">
        <v>482</v>
      </c>
      <c r="B648" s="197">
        <v>1294.29</v>
      </c>
      <c r="C648" s="197">
        <v>247.21379999999999</v>
      </c>
      <c r="D648" s="198">
        <v>45652</v>
      </c>
      <c r="E648" s="197">
        <v>100</v>
      </c>
      <c r="F648" s="197">
        <v>7063.25</v>
      </c>
      <c r="G648" s="197">
        <v>18.32</v>
      </c>
      <c r="H648" s="197">
        <v>3.5</v>
      </c>
      <c r="I648" s="197">
        <v>21.82</v>
      </c>
      <c r="J648" s="199"/>
      <c r="K648" s="197">
        <v>1541.5038</v>
      </c>
      <c r="L648" s="197">
        <v>24721.375</v>
      </c>
      <c r="M648" s="197">
        <v>154150.375</v>
      </c>
      <c r="N648" s="196"/>
    </row>
    <row r="649" spans="1:14" x14ac:dyDescent="0.2">
      <c r="A649" s="196" t="s">
        <v>482</v>
      </c>
      <c r="B649" s="197">
        <v>1293.9874</v>
      </c>
      <c r="C649" s="197">
        <v>247.21379999999999</v>
      </c>
      <c r="D649" s="198">
        <v>45687</v>
      </c>
      <c r="E649" s="197">
        <v>100</v>
      </c>
      <c r="F649" s="197">
        <v>7063.25</v>
      </c>
      <c r="G649" s="197">
        <v>18.32</v>
      </c>
      <c r="H649" s="197">
        <v>3.5</v>
      </c>
      <c r="I649" s="197">
        <v>21.82</v>
      </c>
      <c r="J649" s="199"/>
      <c r="K649" s="197">
        <v>1541.5038</v>
      </c>
      <c r="L649" s="197">
        <v>24721.375</v>
      </c>
      <c r="M649" s="197">
        <v>154150.375</v>
      </c>
      <c r="N649" s="196"/>
    </row>
    <row r="650" spans="1:14" x14ac:dyDescent="0.2">
      <c r="A650" s="196" t="s">
        <v>482</v>
      </c>
      <c r="B650" s="197">
        <v>1293.9874</v>
      </c>
      <c r="C650" s="197">
        <v>247.21379999999999</v>
      </c>
      <c r="D650" s="198">
        <v>45715</v>
      </c>
      <c r="E650" s="197">
        <v>100</v>
      </c>
      <c r="F650" s="197">
        <v>7063.25</v>
      </c>
      <c r="G650" s="197">
        <v>18.32</v>
      </c>
      <c r="H650" s="197">
        <v>3.5</v>
      </c>
      <c r="I650" s="197">
        <v>21.82</v>
      </c>
      <c r="J650" s="199"/>
      <c r="K650" s="197">
        <v>1541.5038</v>
      </c>
      <c r="L650" s="197">
        <v>24721.375</v>
      </c>
      <c r="M650" s="197">
        <v>154150.375</v>
      </c>
      <c r="N650" s="196"/>
    </row>
    <row r="651" spans="1:14" x14ac:dyDescent="0.2">
      <c r="A651" s="196" t="s">
        <v>300</v>
      </c>
      <c r="B651" s="197">
        <v>361.42</v>
      </c>
      <c r="C651" s="197">
        <v>88.600800000000007</v>
      </c>
      <c r="D651" s="198">
        <v>45652</v>
      </c>
      <c r="E651" s="197">
        <v>350</v>
      </c>
      <c r="F651" s="197">
        <v>2531.4499999999998</v>
      </c>
      <c r="G651" s="197">
        <v>14.27</v>
      </c>
      <c r="H651" s="197">
        <v>3.5</v>
      </c>
      <c r="I651" s="197">
        <v>17.77</v>
      </c>
      <c r="J651" s="199"/>
      <c r="K651" s="197">
        <v>450.02080000000001</v>
      </c>
      <c r="L651" s="197">
        <v>31010.262500000001</v>
      </c>
      <c r="M651" s="197">
        <v>157507.26250000001</v>
      </c>
      <c r="N651" s="196"/>
    </row>
    <row r="652" spans="1:14" x14ac:dyDescent="0.2">
      <c r="A652" s="196" t="s">
        <v>300</v>
      </c>
      <c r="B652" s="197">
        <v>361.23791499999999</v>
      </c>
      <c r="C652" s="197">
        <v>88.600800000000007</v>
      </c>
      <c r="D652" s="198">
        <v>45687</v>
      </c>
      <c r="E652" s="197">
        <v>350</v>
      </c>
      <c r="F652" s="197">
        <v>2531.4499999999998</v>
      </c>
      <c r="G652" s="197">
        <v>14.27</v>
      </c>
      <c r="H652" s="197">
        <v>3.5</v>
      </c>
      <c r="I652" s="197">
        <v>17.77</v>
      </c>
      <c r="J652" s="199"/>
      <c r="K652" s="197">
        <v>450.02080000000001</v>
      </c>
      <c r="L652" s="197">
        <v>31010.262500000001</v>
      </c>
      <c r="M652" s="197">
        <v>157507.26250000001</v>
      </c>
      <c r="N652" s="196"/>
    </row>
    <row r="653" spans="1:14" x14ac:dyDescent="0.2">
      <c r="A653" s="196" t="s">
        <v>300</v>
      </c>
      <c r="B653" s="197">
        <v>361.23791499999999</v>
      </c>
      <c r="C653" s="197">
        <v>88.600800000000007</v>
      </c>
      <c r="D653" s="198">
        <v>45715</v>
      </c>
      <c r="E653" s="197">
        <v>350</v>
      </c>
      <c r="F653" s="197">
        <v>2531.4499999999998</v>
      </c>
      <c r="G653" s="197">
        <v>14.27</v>
      </c>
      <c r="H653" s="197">
        <v>3.5</v>
      </c>
      <c r="I653" s="197">
        <v>17.77</v>
      </c>
      <c r="J653" s="199"/>
      <c r="K653" s="197">
        <v>450.02080000000001</v>
      </c>
      <c r="L653" s="197">
        <v>31010.262500000001</v>
      </c>
      <c r="M653" s="197">
        <v>157507.26250000001</v>
      </c>
      <c r="N653" s="196"/>
    </row>
    <row r="654" spans="1:14" x14ac:dyDescent="0.2">
      <c r="A654" s="196" t="s">
        <v>301</v>
      </c>
      <c r="B654" s="197">
        <v>283.45</v>
      </c>
      <c r="C654" s="197">
        <v>69.487300000000005</v>
      </c>
      <c r="D654" s="198">
        <v>45652</v>
      </c>
      <c r="E654" s="197">
        <v>400</v>
      </c>
      <c r="F654" s="197">
        <v>1985.35</v>
      </c>
      <c r="G654" s="197">
        <v>14.27</v>
      </c>
      <c r="H654" s="197">
        <v>3.5</v>
      </c>
      <c r="I654" s="197">
        <v>17.77</v>
      </c>
      <c r="J654" s="199"/>
      <c r="K654" s="197">
        <v>352.93729999999999</v>
      </c>
      <c r="L654" s="197">
        <v>27794.9</v>
      </c>
      <c r="M654" s="197">
        <v>141174.9</v>
      </c>
      <c r="N654" s="196"/>
    </row>
    <row r="655" spans="1:14" x14ac:dyDescent="0.2">
      <c r="A655" s="196" t="s">
        <v>301</v>
      </c>
      <c r="B655" s="197">
        <v>283.30944499999998</v>
      </c>
      <c r="C655" s="197">
        <v>69.487300000000005</v>
      </c>
      <c r="D655" s="198">
        <v>45687</v>
      </c>
      <c r="E655" s="197">
        <v>400</v>
      </c>
      <c r="F655" s="197">
        <v>1985.35</v>
      </c>
      <c r="G655" s="197">
        <v>14.27</v>
      </c>
      <c r="H655" s="197">
        <v>3.5</v>
      </c>
      <c r="I655" s="197">
        <v>17.77</v>
      </c>
      <c r="J655" s="199"/>
      <c r="K655" s="197">
        <v>352.93729999999999</v>
      </c>
      <c r="L655" s="197">
        <v>27794.9</v>
      </c>
      <c r="M655" s="197">
        <v>141174.9</v>
      </c>
      <c r="N655" s="196"/>
    </row>
    <row r="656" spans="1:14" x14ac:dyDescent="0.2">
      <c r="A656" s="196" t="s">
        <v>301</v>
      </c>
      <c r="B656" s="197">
        <v>283.30944499999998</v>
      </c>
      <c r="C656" s="197">
        <v>69.487300000000005</v>
      </c>
      <c r="D656" s="198">
        <v>45715</v>
      </c>
      <c r="E656" s="197">
        <v>400</v>
      </c>
      <c r="F656" s="197">
        <v>1985.35</v>
      </c>
      <c r="G656" s="197">
        <v>14.27</v>
      </c>
      <c r="H656" s="197">
        <v>3.5</v>
      </c>
      <c r="I656" s="197">
        <v>17.77</v>
      </c>
      <c r="J656" s="199"/>
      <c r="K656" s="197">
        <v>352.93729999999999</v>
      </c>
      <c r="L656" s="197">
        <v>27794.9</v>
      </c>
      <c r="M656" s="197">
        <v>141174.9</v>
      </c>
      <c r="N656" s="196"/>
    </row>
    <row r="657" spans="1:14" x14ac:dyDescent="0.2">
      <c r="A657" s="196" t="s">
        <v>302</v>
      </c>
      <c r="B657" s="197">
        <v>1698.74</v>
      </c>
      <c r="C657" s="197">
        <v>416.44400000000002</v>
      </c>
      <c r="D657" s="198">
        <v>45652</v>
      </c>
      <c r="E657" s="197">
        <v>50</v>
      </c>
      <c r="F657" s="197">
        <v>11898.4</v>
      </c>
      <c r="G657" s="197">
        <v>14.27</v>
      </c>
      <c r="H657" s="197">
        <v>3.5</v>
      </c>
      <c r="I657" s="197">
        <v>17.77</v>
      </c>
      <c r="J657" s="199"/>
      <c r="K657" s="197">
        <v>2115.1840000000002</v>
      </c>
      <c r="L657" s="197">
        <v>20822.2</v>
      </c>
      <c r="M657" s="197">
        <v>105759.2</v>
      </c>
      <c r="N657" s="196"/>
    </row>
    <row r="658" spans="1:14" x14ac:dyDescent="0.2">
      <c r="A658" s="196" t="s">
        <v>302</v>
      </c>
      <c r="B658" s="197">
        <v>1697.9016799999999</v>
      </c>
      <c r="C658" s="197">
        <v>416.44400000000002</v>
      </c>
      <c r="D658" s="198">
        <v>45687</v>
      </c>
      <c r="E658" s="197">
        <v>50</v>
      </c>
      <c r="F658" s="197">
        <v>11898.4</v>
      </c>
      <c r="G658" s="197">
        <v>14.27</v>
      </c>
      <c r="H658" s="197">
        <v>3.5</v>
      </c>
      <c r="I658" s="197">
        <v>17.77</v>
      </c>
      <c r="J658" s="199"/>
      <c r="K658" s="197">
        <v>2115.1840000000002</v>
      </c>
      <c r="L658" s="197">
        <v>20822.2</v>
      </c>
      <c r="M658" s="197">
        <v>105759.2</v>
      </c>
      <c r="N658" s="196"/>
    </row>
    <row r="659" spans="1:14" x14ac:dyDescent="0.2">
      <c r="A659" s="196" t="s">
        <v>302</v>
      </c>
      <c r="B659" s="197">
        <v>1697.9016799999999</v>
      </c>
      <c r="C659" s="197">
        <v>416.44400000000002</v>
      </c>
      <c r="D659" s="198">
        <v>45715</v>
      </c>
      <c r="E659" s="197">
        <v>50</v>
      </c>
      <c r="F659" s="197">
        <v>11898.4</v>
      </c>
      <c r="G659" s="197">
        <v>14.27</v>
      </c>
      <c r="H659" s="197">
        <v>3.5</v>
      </c>
      <c r="I659" s="197">
        <v>17.77</v>
      </c>
      <c r="J659" s="199"/>
      <c r="K659" s="197">
        <v>2115.1840000000002</v>
      </c>
      <c r="L659" s="197">
        <v>20822.2</v>
      </c>
      <c r="M659" s="197">
        <v>105759.2</v>
      </c>
      <c r="N659" s="196"/>
    </row>
    <row r="660" spans="1:14" x14ac:dyDescent="0.2">
      <c r="A660" s="196" t="s">
        <v>593</v>
      </c>
      <c r="B660" s="197">
        <v>26.62</v>
      </c>
      <c r="C660" s="197">
        <v>4.5220000000000002</v>
      </c>
      <c r="D660" s="198">
        <v>45652</v>
      </c>
      <c r="E660" s="197">
        <v>4425</v>
      </c>
      <c r="F660" s="197">
        <v>129.19999999999999</v>
      </c>
      <c r="G660" s="197">
        <v>20.6</v>
      </c>
      <c r="H660" s="197">
        <v>3.5</v>
      </c>
      <c r="I660" s="197">
        <v>24.1</v>
      </c>
      <c r="J660" s="199"/>
      <c r="K660" s="197">
        <v>31.141999999999999</v>
      </c>
      <c r="L660" s="197">
        <v>20009.849999999999</v>
      </c>
      <c r="M660" s="197">
        <v>137803.85</v>
      </c>
      <c r="N660" s="196"/>
    </row>
    <row r="661" spans="1:14" x14ac:dyDescent="0.2">
      <c r="A661" s="196" t="s">
        <v>593</v>
      </c>
      <c r="B661" s="197">
        <v>26.615200000000002</v>
      </c>
      <c r="C661" s="197">
        <v>4.5220000000000002</v>
      </c>
      <c r="D661" s="198">
        <v>45687</v>
      </c>
      <c r="E661" s="197">
        <v>4425</v>
      </c>
      <c r="F661" s="197">
        <v>129.19999999999999</v>
      </c>
      <c r="G661" s="197">
        <v>20.6</v>
      </c>
      <c r="H661" s="197">
        <v>3.5</v>
      </c>
      <c r="I661" s="197">
        <v>24.1</v>
      </c>
      <c r="J661" s="199"/>
      <c r="K661" s="197">
        <v>31.141999999999999</v>
      </c>
      <c r="L661" s="197">
        <v>20009.849999999999</v>
      </c>
      <c r="M661" s="197">
        <v>137803.85</v>
      </c>
      <c r="N661" s="196"/>
    </row>
    <row r="662" spans="1:14" x14ac:dyDescent="0.2">
      <c r="A662" s="196" t="s">
        <v>593</v>
      </c>
      <c r="B662" s="197">
        <v>26.615200000000002</v>
      </c>
      <c r="C662" s="197">
        <v>4.5220000000000002</v>
      </c>
      <c r="D662" s="198">
        <v>45715</v>
      </c>
      <c r="E662" s="197">
        <v>4425</v>
      </c>
      <c r="F662" s="197">
        <v>129.19999999999999</v>
      </c>
      <c r="G662" s="197">
        <v>20.6</v>
      </c>
      <c r="H662" s="197">
        <v>3.5</v>
      </c>
      <c r="I662" s="197">
        <v>24.1</v>
      </c>
      <c r="J662" s="199"/>
      <c r="K662" s="197">
        <v>31.141999999999999</v>
      </c>
      <c r="L662" s="197">
        <v>20009.849999999999</v>
      </c>
      <c r="M662" s="197">
        <v>137803.85</v>
      </c>
      <c r="N662" s="196"/>
    </row>
    <row r="663" spans="1:14" x14ac:dyDescent="0.2">
      <c r="A663" s="196" t="s">
        <v>569</v>
      </c>
      <c r="B663" s="197">
        <v>216.55</v>
      </c>
      <c r="C663" s="197">
        <v>53.086300000000001</v>
      </c>
      <c r="D663" s="198">
        <v>45652</v>
      </c>
      <c r="E663" s="197">
        <v>350</v>
      </c>
      <c r="F663" s="197">
        <v>1516.75</v>
      </c>
      <c r="G663" s="197">
        <v>14.27</v>
      </c>
      <c r="H663" s="197">
        <v>3.5</v>
      </c>
      <c r="I663" s="197">
        <v>17.77</v>
      </c>
      <c r="J663" s="199"/>
      <c r="K663" s="197">
        <v>269.63630000000001</v>
      </c>
      <c r="L663" s="197">
        <v>18580.1875</v>
      </c>
      <c r="M663" s="197">
        <v>94373.1875</v>
      </c>
      <c r="N663" s="196"/>
    </row>
    <row r="664" spans="1:14" x14ac:dyDescent="0.2">
      <c r="A664" s="196" t="s">
        <v>569</v>
      </c>
      <c r="B664" s="197">
        <v>216.440225</v>
      </c>
      <c r="C664" s="197">
        <v>53.086300000000001</v>
      </c>
      <c r="D664" s="198">
        <v>45687</v>
      </c>
      <c r="E664" s="197">
        <v>350</v>
      </c>
      <c r="F664" s="197">
        <v>1516.75</v>
      </c>
      <c r="G664" s="197">
        <v>14.27</v>
      </c>
      <c r="H664" s="197">
        <v>3.5</v>
      </c>
      <c r="I664" s="197">
        <v>17.77</v>
      </c>
      <c r="J664" s="199"/>
      <c r="K664" s="197">
        <v>269.63630000000001</v>
      </c>
      <c r="L664" s="197">
        <v>18580.1875</v>
      </c>
      <c r="M664" s="197">
        <v>94373.1875</v>
      </c>
      <c r="N664" s="196"/>
    </row>
    <row r="665" spans="1:14" x14ac:dyDescent="0.2">
      <c r="A665" s="196" t="s">
        <v>569</v>
      </c>
      <c r="B665" s="197">
        <v>216.440225</v>
      </c>
      <c r="C665" s="197">
        <v>53.086300000000001</v>
      </c>
      <c r="D665" s="198">
        <v>45715</v>
      </c>
      <c r="E665" s="197">
        <v>350</v>
      </c>
      <c r="F665" s="197">
        <v>1516.75</v>
      </c>
      <c r="G665" s="197">
        <v>14.27</v>
      </c>
      <c r="H665" s="197">
        <v>3.5</v>
      </c>
      <c r="I665" s="197">
        <v>17.77</v>
      </c>
      <c r="J665" s="199"/>
      <c r="K665" s="197">
        <v>269.63630000000001</v>
      </c>
      <c r="L665" s="197">
        <v>18580.1875</v>
      </c>
      <c r="M665" s="197">
        <v>94373.1875</v>
      </c>
      <c r="N665" s="196"/>
    </row>
    <row r="666" spans="1:14" x14ac:dyDescent="0.2">
      <c r="A666" s="196" t="s">
        <v>303</v>
      </c>
      <c r="B666" s="197">
        <v>86.24</v>
      </c>
      <c r="C666" s="197">
        <v>19.32</v>
      </c>
      <c r="D666" s="198">
        <v>45652</v>
      </c>
      <c r="E666" s="197">
        <v>1355</v>
      </c>
      <c r="F666" s="197">
        <v>552</v>
      </c>
      <c r="G666" s="197">
        <v>15.62</v>
      </c>
      <c r="H666" s="197">
        <v>3.5</v>
      </c>
      <c r="I666" s="197">
        <v>19.12</v>
      </c>
      <c r="J666" s="199"/>
      <c r="K666" s="197">
        <v>105.56</v>
      </c>
      <c r="L666" s="197">
        <v>26178.6</v>
      </c>
      <c r="M666" s="197">
        <v>143033.60000000001</v>
      </c>
      <c r="N666" s="196"/>
    </row>
    <row r="667" spans="1:14" x14ac:dyDescent="0.2">
      <c r="A667" s="196" t="s">
        <v>303</v>
      </c>
      <c r="B667" s="197">
        <v>86.222399999999993</v>
      </c>
      <c r="C667" s="197">
        <v>19.32</v>
      </c>
      <c r="D667" s="198">
        <v>45687</v>
      </c>
      <c r="E667" s="197">
        <v>1355</v>
      </c>
      <c r="F667" s="197">
        <v>552</v>
      </c>
      <c r="G667" s="197">
        <v>15.62</v>
      </c>
      <c r="H667" s="197">
        <v>3.5</v>
      </c>
      <c r="I667" s="197">
        <v>19.119999999999997</v>
      </c>
      <c r="J667" s="199"/>
      <c r="K667" s="197">
        <v>105.56</v>
      </c>
      <c r="L667" s="197">
        <v>26178.6</v>
      </c>
      <c r="M667" s="197">
        <v>143033.60000000001</v>
      </c>
      <c r="N667" s="196"/>
    </row>
    <row r="668" spans="1:14" x14ac:dyDescent="0.2">
      <c r="A668" s="196" t="s">
        <v>303</v>
      </c>
      <c r="B668" s="197">
        <v>86.222399999999993</v>
      </c>
      <c r="C668" s="197">
        <v>19.32</v>
      </c>
      <c r="D668" s="198">
        <v>45715</v>
      </c>
      <c r="E668" s="197">
        <v>1355</v>
      </c>
      <c r="F668" s="197">
        <v>552</v>
      </c>
      <c r="G668" s="197">
        <v>15.62</v>
      </c>
      <c r="H668" s="197">
        <v>3.5</v>
      </c>
      <c r="I668" s="197">
        <v>19.119999999999997</v>
      </c>
      <c r="J668" s="199"/>
      <c r="K668" s="197">
        <v>105.56</v>
      </c>
      <c r="L668" s="197">
        <v>26178.6</v>
      </c>
      <c r="M668" s="197">
        <v>143033.60000000001</v>
      </c>
      <c r="N668" s="196"/>
    </row>
    <row r="669" spans="1:14" x14ac:dyDescent="0.2">
      <c r="A669" s="196" t="s">
        <v>586</v>
      </c>
      <c r="B669" s="197">
        <v>119.67</v>
      </c>
      <c r="C669" s="197">
        <v>22.5383</v>
      </c>
      <c r="D669" s="198">
        <v>45652</v>
      </c>
      <c r="E669" s="197">
        <v>875</v>
      </c>
      <c r="F669" s="197">
        <v>643.95000000000005</v>
      </c>
      <c r="G669" s="197">
        <v>18.579999999999998</v>
      </c>
      <c r="H669" s="197">
        <v>3.5</v>
      </c>
      <c r="I669" s="197">
        <v>22.08</v>
      </c>
      <c r="J669" s="199"/>
      <c r="K669" s="197">
        <v>142.20830000000001</v>
      </c>
      <c r="L669" s="197">
        <v>19720.968799999999</v>
      </c>
      <c r="M669" s="197">
        <v>124431.9688</v>
      </c>
      <c r="N669" s="196"/>
    </row>
    <row r="670" spans="1:14" x14ac:dyDescent="0.2">
      <c r="A670" s="196" t="s">
        <v>586</v>
      </c>
      <c r="B670" s="197">
        <v>119.64591</v>
      </c>
      <c r="C670" s="197">
        <v>22.5383</v>
      </c>
      <c r="D670" s="198">
        <v>45687</v>
      </c>
      <c r="E670" s="197">
        <v>875</v>
      </c>
      <c r="F670" s="197">
        <v>643.95000000000005</v>
      </c>
      <c r="G670" s="197">
        <v>18.579999999999998</v>
      </c>
      <c r="H670" s="197">
        <v>3.5</v>
      </c>
      <c r="I670" s="197">
        <v>22.08</v>
      </c>
      <c r="J670" s="199"/>
      <c r="K670" s="197">
        <v>142.20830000000001</v>
      </c>
      <c r="L670" s="197">
        <v>19720.968799999999</v>
      </c>
      <c r="M670" s="197">
        <v>124431.9688</v>
      </c>
      <c r="N670" s="196"/>
    </row>
    <row r="671" spans="1:14" x14ac:dyDescent="0.2">
      <c r="A671" s="196" t="s">
        <v>586</v>
      </c>
      <c r="B671" s="197">
        <v>119.64591</v>
      </c>
      <c r="C671" s="197">
        <v>22.5383</v>
      </c>
      <c r="D671" s="198">
        <v>45715</v>
      </c>
      <c r="E671" s="197">
        <v>875</v>
      </c>
      <c r="F671" s="197">
        <v>643.95000000000005</v>
      </c>
      <c r="G671" s="197">
        <v>18.579999999999998</v>
      </c>
      <c r="H671" s="197">
        <v>3.5</v>
      </c>
      <c r="I671" s="197">
        <v>22.08</v>
      </c>
      <c r="J671" s="199"/>
      <c r="K671" s="197">
        <v>142.20830000000001</v>
      </c>
      <c r="L671" s="197">
        <v>19720.968799999999</v>
      </c>
      <c r="M671" s="197">
        <v>124431.9688</v>
      </c>
      <c r="N671" s="196"/>
    </row>
    <row r="672" spans="1:14" x14ac:dyDescent="0.2">
      <c r="A672" s="196" t="s">
        <v>304</v>
      </c>
      <c r="B672" s="197">
        <v>96.66</v>
      </c>
      <c r="C672" s="197">
        <v>18.002300000000002</v>
      </c>
      <c r="D672" s="198">
        <v>45652</v>
      </c>
      <c r="E672" s="197">
        <v>1150</v>
      </c>
      <c r="F672" s="197">
        <v>514.35</v>
      </c>
      <c r="G672" s="197">
        <v>18.79</v>
      </c>
      <c r="H672" s="197">
        <v>3.5</v>
      </c>
      <c r="I672" s="197">
        <v>22.29</v>
      </c>
      <c r="J672" s="199"/>
      <c r="K672" s="197">
        <v>114.6623</v>
      </c>
      <c r="L672" s="197">
        <v>20702.587500000001</v>
      </c>
      <c r="M672" s="197">
        <v>131861.58749999999</v>
      </c>
      <c r="N672" s="196"/>
    </row>
    <row r="673" spans="1:14" x14ac:dyDescent="0.2">
      <c r="A673" s="196" t="s">
        <v>304</v>
      </c>
      <c r="B673" s="197">
        <v>96.646365000000003</v>
      </c>
      <c r="C673" s="197">
        <v>18.002300000000002</v>
      </c>
      <c r="D673" s="198">
        <v>45687</v>
      </c>
      <c r="E673" s="197">
        <v>1150</v>
      </c>
      <c r="F673" s="197">
        <v>514.35</v>
      </c>
      <c r="G673" s="197">
        <v>18.79</v>
      </c>
      <c r="H673" s="197">
        <v>3.5</v>
      </c>
      <c r="I673" s="197">
        <v>22.29</v>
      </c>
      <c r="J673" s="199"/>
      <c r="K673" s="197">
        <v>114.6623</v>
      </c>
      <c r="L673" s="197">
        <v>20702.587500000001</v>
      </c>
      <c r="M673" s="197">
        <v>131861.58749999999</v>
      </c>
      <c r="N673" s="196"/>
    </row>
    <row r="674" spans="1:14" x14ac:dyDescent="0.2">
      <c r="A674" s="196" t="s">
        <v>304</v>
      </c>
      <c r="B674" s="197">
        <v>96.646365000000003</v>
      </c>
      <c r="C674" s="197">
        <v>18.002300000000002</v>
      </c>
      <c r="D674" s="198">
        <v>45715</v>
      </c>
      <c r="E674" s="197">
        <v>1150</v>
      </c>
      <c r="F674" s="197">
        <v>514.35</v>
      </c>
      <c r="G674" s="197">
        <v>18.79</v>
      </c>
      <c r="H674" s="197">
        <v>3.5</v>
      </c>
      <c r="I674" s="197">
        <v>22.29</v>
      </c>
      <c r="J674" s="199"/>
      <c r="K674" s="197">
        <v>114.6623</v>
      </c>
      <c r="L674" s="197">
        <v>20702.587500000001</v>
      </c>
      <c r="M674" s="197">
        <v>131861.58749999999</v>
      </c>
      <c r="N674" s="196"/>
    </row>
    <row r="675" spans="1:14" x14ac:dyDescent="0.2">
      <c r="A675" s="196" t="s">
        <v>305</v>
      </c>
      <c r="B675" s="197">
        <v>291.48</v>
      </c>
      <c r="C675" s="197">
        <v>62.902000000000001</v>
      </c>
      <c r="D675" s="198">
        <v>45652</v>
      </c>
      <c r="E675" s="197">
        <v>300</v>
      </c>
      <c r="F675" s="197">
        <v>1797.2</v>
      </c>
      <c r="G675" s="197">
        <v>16.21</v>
      </c>
      <c r="H675" s="197">
        <v>3.5</v>
      </c>
      <c r="I675" s="197">
        <v>19.71</v>
      </c>
      <c r="J675" s="199"/>
      <c r="K675" s="197">
        <v>354.38200000000001</v>
      </c>
      <c r="L675" s="197">
        <v>18870.599999999999</v>
      </c>
      <c r="M675" s="197">
        <v>106314.6</v>
      </c>
      <c r="N675" s="196"/>
    </row>
    <row r="676" spans="1:14" x14ac:dyDescent="0.2">
      <c r="A676" s="196" t="s">
        <v>305</v>
      </c>
      <c r="B676" s="197">
        <v>291.32612</v>
      </c>
      <c r="C676" s="197">
        <v>62.902000000000001</v>
      </c>
      <c r="D676" s="198">
        <v>45687</v>
      </c>
      <c r="E676" s="197">
        <v>300</v>
      </c>
      <c r="F676" s="197">
        <v>1797.2</v>
      </c>
      <c r="G676" s="197">
        <v>16.21</v>
      </c>
      <c r="H676" s="197">
        <v>3.5</v>
      </c>
      <c r="I676" s="197">
        <v>19.71</v>
      </c>
      <c r="J676" s="199"/>
      <c r="K676" s="197">
        <v>354.38200000000001</v>
      </c>
      <c r="L676" s="197">
        <v>18870.599999999999</v>
      </c>
      <c r="M676" s="197">
        <v>106314.6</v>
      </c>
      <c r="N676" s="196"/>
    </row>
    <row r="677" spans="1:14" x14ac:dyDescent="0.2">
      <c r="A677" s="196" t="s">
        <v>305</v>
      </c>
      <c r="B677" s="197">
        <v>291.32612</v>
      </c>
      <c r="C677" s="197">
        <v>62.902000000000001</v>
      </c>
      <c r="D677" s="198">
        <v>45715</v>
      </c>
      <c r="E677" s="197">
        <v>300</v>
      </c>
      <c r="F677" s="197">
        <v>1797.2</v>
      </c>
      <c r="G677" s="197">
        <v>16.21</v>
      </c>
      <c r="H677" s="197">
        <v>3.5</v>
      </c>
      <c r="I677" s="197">
        <v>19.71</v>
      </c>
      <c r="J677" s="199"/>
      <c r="K677" s="197">
        <v>354.38200000000001</v>
      </c>
      <c r="L677" s="197">
        <v>18870.599999999999</v>
      </c>
      <c r="M677" s="197">
        <v>106314.6</v>
      </c>
      <c r="N677" s="196"/>
    </row>
    <row r="678" spans="1:14" x14ac:dyDescent="0.2">
      <c r="A678" s="196" t="s">
        <v>306</v>
      </c>
      <c r="B678" s="197">
        <v>44.14</v>
      </c>
      <c r="C678" s="197">
        <v>10.815</v>
      </c>
      <c r="D678" s="198">
        <v>45652</v>
      </c>
      <c r="E678" s="197">
        <v>3000</v>
      </c>
      <c r="F678" s="197">
        <v>309</v>
      </c>
      <c r="G678" s="197">
        <v>14.28</v>
      </c>
      <c r="H678" s="197">
        <v>3.5</v>
      </c>
      <c r="I678" s="197">
        <v>17.78</v>
      </c>
      <c r="J678" s="199"/>
      <c r="K678" s="197">
        <v>54.954999999999998</v>
      </c>
      <c r="L678" s="197">
        <v>32445</v>
      </c>
      <c r="M678" s="197">
        <v>164865</v>
      </c>
      <c r="N678" s="196"/>
    </row>
    <row r="679" spans="1:14" x14ac:dyDescent="0.2">
      <c r="A679" s="196" t="s">
        <v>306</v>
      </c>
      <c r="B679" s="197">
        <v>44.1252</v>
      </c>
      <c r="C679" s="197">
        <v>10.815</v>
      </c>
      <c r="D679" s="198">
        <v>45687</v>
      </c>
      <c r="E679" s="197">
        <v>3000</v>
      </c>
      <c r="F679" s="197">
        <v>309</v>
      </c>
      <c r="G679" s="197">
        <v>14.28</v>
      </c>
      <c r="H679" s="197">
        <v>3.5</v>
      </c>
      <c r="I679" s="197">
        <v>17.78</v>
      </c>
      <c r="J679" s="199"/>
      <c r="K679" s="197">
        <v>54.954999999999998</v>
      </c>
      <c r="L679" s="197">
        <v>32445</v>
      </c>
      <c r="M679" s="197">
        <v>164865</v>
      </c>
      <c r="N679" s="196"/>
    </row>
    <row r="680" spans="1:14" x14ac:dyDescent="0.2">
      <c r="A680" s="196" t="s">
        <v>306</v>
      </c>
      <c r="B680" s="197">
        <v>44.1252</v>
      </c>
      <c r="C680" s="197">
        <v>10.815</v>
      </c>
      <c r="D680" s="198">
        <v>45715</v>
      </c>
      <c r="E680" s="197">
        <v>3000</v>
      </c>
      <c r="F680" s="197">
        <v>309</v>
      </c>
      <c r="G680" s="197">
        <v>14.28</v>
      </c>
      <c r="H680" s="197">
        <v>3.5</v>
      </c>
      <c r="I680" s="197">
        <v>17.78</v>
      </c>
      <c r="J680" s="199"/>
      <c r="K680" s="197">
        <v>54.954999999999998</v>
      </c>
      <c r="L680" s="197">
        <v>32445</v>
      </c>
      <c r="M680" s="197">
        <v>164865</v>
      </c>
      <c r="N680" s="196"/>
    </row>
    <row r="681" spans="1:14" x14ac:dyDescent="0.2">
      <c r="A681" s="196" t="s">
        <v>590</v>
      </c>
      <c r="B681" s="197">
        <v>4.72</v>
      </c>
      <c r="C681" s="197">
        <v>0.75529999999999997</v>
      </c>
      <c r="D681" s="198">
        <v>45652</v>
      </c>
      <c r="E681" s="197">
        <v>26000</v>
      </c>
      <c r="F681" s="197">
        <v>21.58</v>
      </c>
      <c r="G681" s="197">
        <v>21.87</v>
      </c>
      <c r="H681" s="197">
        <v>3.5</v>
      </c>
      <c r="I681" s="197">
        <v>25.37</v>
      </c>
      <c r="J681" s="199"/>
      <c r="K681" s="197">
        <v>5.4752999999999998</v>
      </c>
      <c r="L681" s="197">
        <v>19637.8</v>
      </c>
      <c r="M681" s="197">
        <v>142357.79999999999</v>
      </c>
      <c r="N681" s="196"/>
    </row>
    <row r="682" spans="1:14" x14ac:dyDescent="0.2">
      <c r="A682" s="196" t="s">
        <v>590</v>
      </c>
      <c r="B682" s="197">
        <v>4.7195460000000002</v>
      </c>
      <c r="C682" s="197">
        <v>0.75529999999999997</v>
      </c>
      <c r="D682" s="198">
        <v>45687</v>
      </c>
      <c r="E682" s="197">
        <v>26000</v>
      </c>
      <c r="F682" s="197">
        <v>21.58</v>
      </c>
      <c r="G682" s="197">
        <v>21.87</v>
      </c>
      <c r="H682" s="197">
        <v>3.5</v>
      </c>
      <c r="I682" s="197">
        <v>25.37</v>
      </c>
      <c r="J682" s="199"/>
      <c r="K682" s="197">
        <v>5.4752999999999998</v>
      </c>
      <c r="L682" s="197">
        <v>19637.8</v>
      </c>
      <c r="M682" s="197">
        <v>142357.79999999999</v>
      </c>
      <c r="N682" s="196"/>
    </row>
    <row r="683" spans="1:14" x14ac:dyDescent="0.2">
      <c r="A683" s="196" t="s">
        <v>590</v>
      </c>
      <c r="B683" s="197">
        <v>4.7195460000000002</v>
      </c>
      <c r="C683" s="197">
        <v>0.75529999999999997</v>
      </c>
      <c r="D683" s="198">
        <v>45715</v>
      </c>
      <c r="E683" s="197">
        <v>26000</v>
      </c>
      <c r="F683" s="197">
        <v>21.58</v>
      </c>
      <c r="G683" s="197">
        <v>21.87</v>
      </c>
      <c r="H683" s="197">
        <v>3.5</v>
      </c>
      <c r="I683" s="197">
        <v>25.37</v>
      </c>
      <c r="J683" s="199"/>
      <c r="K683" s="197">
        <v>5.4752999999999998</v>
      </c>
      <c r="L683" s="197">
        <v>19637.8</v>
      </c>
      <c r="M683" s="197">
        <v>142357.79999999999</v>
      </c>
      <c r="N683" s="196"/>
    </row>
    <row r="684" spans="1:14" x14ac:dyDescent="0.2">
      <c r="A684" s="196" t="s">
        <v>571</v>
      </c>
      <c r="B684" s="197">
        <v>63.48</v>
      </c>
      <c r="C684" s="197">
        <v>10.212999999999999</v>
      </c>
      <c r="D684" s="198">
        <v>45652</v>
      </c>
      <c r="E684" s="197">
        <v>2000</v>
      </c>
      <c r="F684" s="197">
        <v>291.8</v>
      </c>
      <c r="G684" s="197">
        <v>21.75</v>
      </c>
      <c r="H684" s="197">
        <v>3.5</v>
      </c>
      <c r="I684" s="197">
        <v>25.25</v>
      </c>
      <c r="J684" s="199"/>
      <c r="K684" s="197">
        <v>73.692999999999998</v>
      </c>
      <c r="L684" s="197">
        <v>20426</v>
      </c>
      <c r="M684" s="197">
        <v>147386</v>
      </c>
      <c r="N684" s="196"/>
    </row>
    <row r="685" spans="1:14" x14ac:dyDescent="0.2">
      <c r="A685" s="196" t="s">
        <v>571</v>
      </c>
      <c r="B685" s="197">
        <v>63.466500000000003</v>
      </c>
      <c r="C685" s="197">
        <v>10.212999999999999</v>
      </c>
      <c r="D685" s="198">
        <v>45687</v>
      </c>
      <c r="E685" s="197">
        <v>2000</v>
      </c>
      <c r="F685" s="197">
        <v>291.8</v>
      </c>
      <c r="G685" s="197">
        <v>21.75</v>
      </c>
      <c r="H685" s="197">
        <v>3.5</v>
      </c>
      <c r="I685" s="197">
        <v>25.25</v>
      </c>
      <c r="J685" s="199"/>
      <c r="K685" s="197">
        <v>73.692999999999998</v>
      </c>
      <c r="L685" s="197">
        <v>20426</v>
      </c>
      <c r="M685" s="197">
        <v>147386</v>
      </c>
      <c r="N685" s="196"/>
    </row>
    <row r="686" spans="1:14" x14ac:dyDescent="0.2">
      <c r="A686" s="196" t="s">
        <v>571</v>
      </c>
      <c r="B686" s="197">
        <v>63.466500000000003</v>
      </c>
      <c r="C686" s="197">
        <v>10.212999999999999</v>
      </c>
      <c r="D686" s="198">
        <v>45715</v>
      </c>
      <c r="E686" s="197">
        <v>2000</v>
      </c>
      <c r="F686" s="197">
        <v>291.8</v>
      </c>
      <c r="G686" s="197">
        <v>21.75</v>
      </c>
      <c r="H686" s="197">
        <v>3.5</v>
      </c>
      <c r="I686" s="197">
        <v>25.25</v>
      </c>
      <c r="J686" s="199"/>
      <c r="K686" s="197">
        <v>73.692999999999998</v>
      </c>
      <c r="L686" s="197">
        <v>20426</v>
      </c>
      <c r="M686" s="197">
        <v>147386</v>
      </c>
      <c r="N686" s="196"/>
    </row>
    <row r="687" spans="1:14" x14ac:dyDescent="0.2">
      <c r="A687" s="196" t="s">
        <v>557</v>
      </c>
      <c r="B687" s="197">
        <v>140.84</v>
      </c>
      <c r="C687" s="197">
        <v>34.525799999999997</v>
      </c>
      <c r="D687" s="198">
        <v>45652</v>
      </c>
      <c r="E687" s="197">
        <v>900</v>
      </c>
      <c r="F687" s="197">
        <v>986.45</v>
      </c>
      <c r="G687" s="197">
        <v>14.27</v>
      </c>
      <c r="H687" s="197">
        <v>3.5</v>
      </c>
      <c r="I687" s="197">
        <v>17.77</v>
      </c>
      <c r="J687" s="199"/>
      <c r="K687" s="197">
        <v>175.36580000000001</v>
      </c>
      <c r="L687" s="197">
        <v>31073.174999999999</v>
      </c>
      <c r="M687" s="197">
        <v>157829.17499999999</v>
      </c>
      <c r="N687" s="196"/>
    </row>
    <row r="688" spans="1:14" x14ac:dyDescent="0.2">
      <c r="A688" s="196" t="s">
        <v>557</v>
      </c>
      <c r="B688" s="197">
        <v>140.76641499999999</v>
      </c>
      <c r="C688" s="197">
        <v>34.525799999999997</v>
      </c>
      <c r="D688" s="198">
        <v>45687</v>
      </c>
      <c r="E688" s="197">
        <v>900</v>
      </c>
      <c r="F688" s="197">
        <v>986.45</v>
      </c>
      <c r="G688" s="197">
        <v>14.27</v>
      </c>
      <c r="H688" s="197">
        <v>3.5</v>
      </c>
      <c r="I688" s="197">
        <v>17.77</v>
      </c>
      <c r="J688" s="199"/>
      <c r="K688" s="197">
        <v>175.36580000000001</v>
      </c>
      <c r="L688" s="197">
        <v>31073.174999999999</v>
      </c>
      <c r="M688" s="197">
        <v>157829.17499999999</v>
      </c>
      <c r="N688" s="196"/>
    </row>
    <row r="689" spans="1:14" x14ac:dyDescent="0.2">
      <c r="A689" s="196" t="s">
        <v>557</v>
      </c>
      <c r="B689" s="197">
        <v>140.76641499999999</v>
      </c>
      <c r="C689" s="197">
        <v>34.525799999999997</v>
      </c>
      <c r="D689" s="198">
        <v>45715</v>
      </c>
      <c r="E689" s="197">
        <v>900</v>
      </c>
      <c r="F689" s="197">
        <v>986.45</v>
      </c>
      <c r="G689" s="197">
        <v>14.27</v>
      </c>
      <c r="H689" s="197">
        <v>3.5</v>
      </c>
      <c r="I689" s="197">
        <v>17.77</v>
      </c>
      <c r="J689" s="199"/>
      <c r="K689" s="197">
        <v>175.36580000000001</v>
      </c>
      <c r="L689" s="197">
        <v>31073.174999999999</v>
      </c>
      <c r="M689" s="197">
        <v>157829.17499999999</v>
      </c>
      <c r="N689" s="196"/>
    </row>
    <row r="690" spans="1:14" x14ac:dyDescent="0.2">
      <c r="A690" s="196"/>
      <c r="B690" s="197"/>
      <c r="C690" s="197"/>
      <c r="D690" s="198"/>
      <c r="E690" s="197"/>
      <c r="F690" s="197"/>
      <c r="G690" s="197"/>
      <c r="H690" s="197"/>
      <c r="I690" s="197"/>
      <c r="J690" s="199"/>
      <c r="K690" s="197"/>
      <c r="L690" s="197"/>
      <c r="M690" s="197"/>
      <c r="N690" s="196"/>
    </row>
  </sheetData>
  <mergeCells count="1">
    <mergeCell ref="A4:N4"/>
  </mergeCells>
  <pageMargins left="0.7" right="0.7" top="0.75" bottom="0.75"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4"/>
  <sheetViews>
    <sheetView topLeftCell="A3" workbookViewId="0">
      <selection activeCell="A6" sqref="A6"/>
    </sheetView>
  </sheetViews>
  <sheetFormatPr defaultRowHeight="15" x14ac:dyDescent="0.25"/>
  <cols>
    <col min="1" max="1" width="14.5703125" bestFit="1" customWidth="1"/>
    <col min="2" max="2" width="16.7109375" bestFit="1" customWidth="1"/>
    <col min="3" max="3" width="12.85546875" bestFit="1" customWidth="1"/>
    <col min="4" max="4" width="12.7109375" bestFit="1" customWidth="1"/>
    <col min="7" max="7" width="0" hidden="1" customWidth="1"/>
  </cols>
  <sheetData>
    <row r="1" spans="1:7" ht="19.5" customHeight="1" x14ac:dyDescent="0.25"/>
    <row r="2" spans="1:7" ht="15.75" thickBot="1" x14ac:dyDescent="0.3"/>
    <row r="3" spans="1:7" ht="18.75" customHeight="1" thickBot="1" x14ac:dyDescent="0.3">
      <c r="A3" s="323" t="s">
        <v>380</v>
      </c>
      <c r="B3" s="324"/>
      <c r="C3" s="324"/>
      <c r="D3" s="324"/>
      <c r="E3" s="324"/>
      <c r="F3" s="324"/>
      <c r="G3" s="325"/>
    </row>
    <row r="4" spans="1:7" s="72" customFormat="1" x14ac:dyDescent="0.25">
      <c r="A4" s="108" t="s">
        <v>330</v>
      </c>
      <c r="B4" s="326" t="s">
        <v>380</v>
      </c>
      <c r="C4" s="326"/>
      <c r="D4" s="326"/>
      <c r="E4" s="326"/>
      <c r="F4" s="326"/>
      <c r="G4" s="326"/>
    </row>
    <row r="5" spans="1:7" s="72" customFormat="1" x14ac:dyDescent="0.25">
      <c r="A5" s="71" t="s">
        <v>318</v>
      </c>
      <c r="B5" s="71" t="s">
        <v>381</v>
      </c>
      <c r="C5" s="71" t="s">
        <v>382</v>
      </c>
      <c r="D5" s="71" t="s">
        <v>383</v>
      </c>
      <c r="E5" s="65" t="s">
        <v>384</v>
      </c>
      <c r="F5" s="71" t="s">
        <v>368</v>
      </c>
      <c r="G5" s="71" t="s">
        <v>369</v>
      </c>
    </row>
    <row r="6" spans="1:7" x14ac:dyDescent="0.25">
      <c r="A6" s="101" t="s">
        <v>169</v>
      </c>
      <c r="B6" s="17">
        <v>90837871</v>
      </c>
      <c r="C6" s="17">
        <v>9298050</v>
      </c>
      <c r="D6" s="17">
        <f>C6</f>
        <v>9298050</v>
      </c>
      <c r="E6" s="49">
        <f>VLOOKUP($A6,'Data shares'!$C:$FA,128)*100</f>
        <v>26.16</v>
      </c>
      <c r="F6" s="49">
        <f>VLOOKUP($A6,'Data shares'!$C:$FA,129)</f>
        <v>2112750</v>
      </c>
      <c r="G6" s="17"/>
    </row>
    <row r="7" spans="1:7" x14ac:dyDescent="0.25">
      <c r="A7" s="101" t="s">
        <v>228</v>
      </c>
      <c r="B7" s="17">
        <v>292206563</v>
      </c>
      <c r="C7" s="17">
        <v>71903525</v>
      </c>
      <c r="D7" s="17">
        <f t="shared" ref="D7:D70" si="0">C7</f>
        <v>71903525</v>
      </c>
      <c r="E7" s="49">
        <f>VLOOKUP($A7,'Data shares'!$C:$FA,128)*100</f>
        <v>52.09</v>
      </c>
      <c r="F7" s="49">
        <f>VLOOKUP($A7,'Data shares'!$C:$FA,129)</f>
        <v>21885500</v>
      </c>
      <c r="G7" s="17"/>
    </row>
    <row r="8" spans="1:7" x14ac:dyDescent="0.25">
      <c r="A8" s="101" t="s">
        <v>200</v>
      </c>
      <c r="B8" s="17">
        <v>417418754</v>
      </c>
      <c r="C8" s="17">
        <v>109662000</v>
      </c>
      <c r="D8" s="17">
        <f t="shared" si="0"/>
        <v>109662000</v>
      </c>
      <c r="E8" s="49">
        <f>VLOOKUP($A8,'Data shares'!$C:$FA,128)*100</f>
        <v>32.33</v>
      </c>
      <c r="F8" s="49">
        <f>VLOOKUP($A8,'Data shares'!$C:$FA,129)</f>
        <v>6380100</v>
      </c>
      <c r="G8" s="17"/>
    </row>
    <row r="9" spans="1:7" x14ac:dyDescent="0.25">
      <c r="A9" s="101" t="s">
        <v>214</v>
      </c>
      <c r="B9" s="17">
        <v>30110093</v>
      </c>
      <c r="C9" s="17">
        <v>10703050</v>
      </c>
      <c r="D9" s="17">
        <f t="shared" si="0"/>
        <v>10703050</v>
      </c>
      <c r="E9" s="49">
        <f>VLOOKUP($A9,'Data shares'!$C:$FA,128)*100</f>
        <v>42.47</v>
      </c>
      <c r="F9" s="49">
        <f>VLOOKUP($A9,'Data shares'!$C:$FA,129)</f>
        <v>3977625</v>
      </c>
      <c r="G9" s="17"/>
    </row>
    <row r="10" spans="1:7" x14ac:dyDescent="0.25">
      <c r="A10" s="101" t="s">
        <v>243</v>
      </c>
      <c r="B10" s="17">
        <v>80699820</v>
      </c>
      <c r="C10" s="17">
        <v>65367500</v>
      </c>
      <c r="D10" s="17">
        <f t="shared" si="0"/>
        <v>65367500</v>
      </c>
      <c r="E10" s="49">
        <f>VLOOKUP($A10,'Data shares'!$C:$FA,128)*100</f>
        <v>36.97</v>
      </c>
      <c r="F10" s="49">
        <f>VLOOKUP($A10,'Data shares'!$C:$FA,129)</f>
        <v>2654375</v>
      </c>
      <c r="G10" s="17"/>
    </row>
    <row r="11" spans="1:7" x14ac:dyDescent="0.25">
      <c r="A11" s="101" t="s">
        <v>231</v>
      </c>
      <c r="B11" s="17">
        <v>80556813</v>
      </c>
      <c r="C11" s="17">
        <v>62967200</v>
      </c>
      <c r="D11" s="17">
        <f t="shared" si="0"/>
        <v>62967200</v>
      </c>
      <c r="E11" s="49">
        <f>VLOOKUP($A11,'Data shares'!$C:$FA,128)*100</f>
        <v>26.25</v>
      </c>
      <c r="F11" s="49">
        <f>VLOOKUP($A11,'Data shares'!$C:$FA,129)</f>
        <v>6171600</v>
      </c>
      <c r="G11" s="17"/>
    </row>
    <row r="12" spans="1:7" x14ac:dyDescent="0.25">
      <c r="A12" s="101" t="s">
        <v>195</v>
      </c>
      <c r="B12" s="17">
        <v>23823080</v>
      </c>
      <c r="C12" s="17">
        <v>2862400</v>
      </c>
      <c r="D12" s="17">
        <f t="shared" si="0"/>
        <v>2862400</v>
      </c>
      <c r="E12" s="49">
        <f>VLOOKUP($A12,'Data shares'!$C:$FA,128)*100</f>
        <v>19.62</v>
      </c>
      <c r="F12" s="49">
        <f>VLOOKUP($A12,'Data shares'!$C:$FA,129)</f>
        <v>130875</v>
      </c>
      <c r="G12" s="17"/>
    </row>
    <row r="13" spans="1:7" x14ac:dyDescent="0.25">
      <c r="A13" s="101" t="s">
        <v>304</v>
      </c>
      <c r="B13" s="17">
        <v>223492679</v>
      </c>
      <c r="C13" s="17">
        <v>98465300</v>
      </c>
      <c r="D13" s="17">
        <f t="shared" si="0"/>
        <v>98465300</v>
      </c>
      <c r="E13" s="49">
        <f>VLOOKUP($A13,'Data shares'!$C:$FA,128)*100</f>
        <v>34.089999999999996</v>
      </c>
      <c r="F13" s="49">
        <f>VLOOKUP($A13,'Data shares'!$C:$FA,129)</f>
        <v>18922100</v>
      </c>
      <c r="G13" s="17"/>
    </row>
    <row r="14" spans="1:7" x14ac:dyDescent="0.25">
      <c r="A14" s="101" t="s">
        <v>167</v>
      </c>
      <c r="B14" s="17">
        <v>282181803</v>
      </c>
      <c r="C14" s="17">
        <v>95526000</v>
      </c>
      <c r="D14" s="17">
        <f t="shared" si="0"/>
        <v>95526000</v>
      </c>
      <c r="E14" s="49">
        <f>VLOOKUP($A14,'Data shares'!$C:$FA,128)*100</f>
        <v>39.340000000000003</v>
      </c>
      <c r="F14" s="49">
        <f>VLOOKUP($A14,'Data shares'!$C:$FA,129)</f>
        <v>36875000</v>
      </c>
      <c r="G14" s="17"/>
    </row>
    <row r="15" spans="1:7" x14ac:dyDescent="0.25">
      <c r="A15" s="101" t="s">
        <v>222</v>
      </c>
      <c r="B15" s="17">
        <v>214194964</v>
      </c>
      <c r="C15" s="17">
        <v>37437400</v>
      </c>
      <c r="D15" s="17">
        <f t="shared" si="0"/>
        <v>37437400</v>
      </c>
      <c r="E15" s="49">
        <f>VLOOKUP($A15,'Data shares'!$C:$FA,128)*100</f>
        <v>35.6</v>
      </c>
      <c r="F15" s="49">
        <f>VLOOKUP($A15,'Data shares'!$C:$FA,129)</f>
        <v>1941450</v>
      </c>
      <c r="G15" s="17"/>
    </row>
    <row r="16" spans="1:7" x14ac:dyDescent="0.25">
      <c r="A16" s="101" t="s">
        <v>290</v>
      </c>
      <c r="B16" s="17">
        <v>31601465</v>
      </c>
      <c r="C16" s="17">
        <v>13192000</v>
      </c>
      <c r="D16" s="17">
        <f t="shared" si="0"/>
        <v>13192000</v>
      </c>
      <c r="E16" s="49">
        <f>VLOOKUP($A16,'Data shares'!$C:$FA,128)*100</f>
        <v>24.65</v>
      </c>
      <c r="F16" s="49">
        <f>VLOOKUP($A16,'Data shares'!$C:$FA,129)</f>
        <v>1012000</v>
      </c>
      <c r="G16" s="17"/>
    </row>
    <row r="17" spans="1:7" x14ac:dyDescent="0.25">
      <c r="A17" s="101" t="s">
        <v>500</v>
      </c>
      <c r="B17" s="17">
        <v>24930381</v>
      </c>
      <c r="C17" s="17">
        <v>1925625</v>
      </c>
      <c r="D17" s="17">
        <f t="shared" si="0"/>
        <v>1925625</v>
      </c>
      <c r="E17" s="49">
        <f>VLOOKUP($A17,'Data shares'!$C:$FA,128)*100</f>
        <v>34.270000000000003</v>
      </c>
      <c r="F17" s="49">
        <f>VLOOKUP($A17,'Data shares'!$C:$FA,129)</f>
        <v>7528750</v>
      </c>
      <c r="G17" s="17"/>
    </row>
    <row r="18" spans="1:7" x14ac:dyDescent="0.25">
      <c r="A18" s="101" t="s">
        <v>491</v>
      </c>
      <c r="B18" s="17">
        <v>53841317</v>
      </c>
      <c r="C18" s="17">
        <v>9268750</v>
      </c>
      <c r="D18" s="17">
        <f t="shared" si="0"/>
        <v>9268750</v>
      </c>
      <c r="E18" s="49">
        <f>VLOOKUP($A18,'Data shares'!$C:$FA,128)*100</f>
        <v>41.67</v>
      </c>
      <c r="F18" s="49">
        <f>VLOOKUP($A18,'Data shares'!$C:$FA,129)</f>
        <v>3866000</v>
      </c>
      <c r="G18" s="17"/>
    </row>
    <row r="19" spans="1:7" x14ac:dyDescent="0.25">
      <c r="A19" s="101" t="s">
        <v>257</v>
      </c>
      <c r="B19" s="17">
        <v>43771086</v>
      </c>
      <c r="C19" s="17">
        <v>2865850</v>
      </c>
      <c r="D19" s="17">
        <f t="shared" si="0"/>
        <v>2865850</v>
      </c>
      <c r="E19" s="49">
        <f>VLOOKUP($A19,'Data shares'!$C:$FA,128)*100</f>
        <v>32.79</v>
      </c>
      <c r="F19" s="49">
        <f>VLOOKUP($A19,'Data shares'!$C:$FA,129)</f>
        <v>216000</v>
      </c>
      <c r="G19" s="17"/>
    </row>
    <row r="20" spans="1:7" x14ac:dyDescent="0.25">
      <c r="A20" s="101" t="s">
        <v>259</v>
      </c>
      <c r="B20" s="17">
        <v>12838406</v>
      </c>
      <c r="C20" s="17">
        <v>3561800</v>
      </c>
      <c r="D20" s="17">
        <f t="shared" si="0"/>
        <v>3561800</v>
      </c>
      <c r="E20" s="49">
        <f>VLOOKUP($A20,'Data shares'!$C:$FA,128)*100</f>
        <v>21.990000000000002</v>
      </c>
      <c r="F20" s="49">
        <f>VLOOKUP($A20,'Data shares'!$C:$FA,129)</f>
        <v>169720</v>
      </c>
      <c r="G20" s="17"/>
    </row>
    <row r="21" spans="1:7" x14ac:dyDescent="0.25">
      <c r="A21" s="101" t="s">
        <v>212</v>
      </c>
      <c r="B21" s="17">
        <v>393764205</v>
      </c>
      <c r="C21" s="17">
        <v>124730000</v>
      </c>
      <c r="D21" s="17">
        <f t="shared" si="0"/>
        <v>124730000</v>
      </c>
      <c r="E21" s="49">
        <f>VLOOKUP($A21,'Data shares'!$C:$FA,128)*100</f>
        <v>29.049999999999997</v>
      </c>
      <c r="F21" s="49">
        <f>VLOOKUP($A21,'Data shares'!$C:$FA,129)</f>
        <v>8950000</v>
      </c>
      <c r="G21" s="17"/>
    </row>
    <row r="22" spans="1:7" x14ac:dyDescent="0.25">
      <c r="A22" s="101" t="s">
        <v>209</v>
      </c>
      <c r="B22" s="17">
        <v>27768950</v>
      </c>
      <c r="C22" s="17">
        <v>5371100</v>
      </c>
      <c r="D22" s="17">
        <f t="shared" si="0"/>
        <v>5371100</v>
      </c>
      <c r="E22" s="49">
        <f>VLOOKUP($A22,'Data shares'!$C:$FA,128)*100</f>
        <v>30.85</v>
      </c>
      <c r="F22" s="49">
        <f>VLOOKUP($A22,'Data shares'!$C:$FA,129)</f>
        <v>325775</v>
      </c>
      <c r="G22" s="17"/>
    </row>
    <row r="23" spans="1:7" x14ac:dyDescent="0.25">
      <c r="A23" s="101" t="s">
        <v>501</v>
      </c>
      <c r="B23" s="17">
        <v>155792872</v>
      </c>
      <c r="C23" s="17">
        <v>50166406</v>
      </c>
      <c r="D23" s="17">
        <f t="shared" si="0"/>
        <v>50166406</v>
      </c>
      <c r="E23" s="49">
        <f>VLOOKUP($A23,'Data shares'!$C:$FA,128)*100</f>
        <v>27.92</v>
      </c>
      <c r="F23" s="49">
        <f>VLOOKUP($A23,'Data shares'!$C:$FA,129)</f>
        <v>3856000</v>
      </c>
      <c r="G23" s="17"/>
    </row>
    <row r="24" spans="1:7" x14ac:dyDescent="0.25">
      <c r="A24" s="101" t="s">
        <v>276</v>
      </c>
      <c r="B24" s="17">
        <v>678857930</v>
      </c>
      <c r="C24" s="17">
        <v>84677374</v>
      </c>
      <c r="D24" s="17">
        <f t="shared" si="0"/>
        <v>84677374</v>
      </c>
      <c r="E24" s="49">
        <f>VLOOKUP($A24,'Data shares'!$C:$FA,128)*100</f>
        <v>36.199999999999996</v>
      </c>
      <c r="F24" s="49">
        <f>VLOOKUP($A24,'Data shares'!$C:$FA,129)</f>
        <v>11453200</v>
      </c>
      <c r="G24" s="17"/>
    </row>
    <row r="25" spans="1:7" x14ac:dyDescent="0.25">
      <c r="A25" s="101" t="s">
        <v>210</v>
      </c>
      <c r="B25" s="17">
        <v>14114257</v>
      </c>
      <c r="C25" s="17">
        <v>11000000</v>
      </c>
      <c r="D25" s="17">
        <f t="shared" si="0"/>
        <v>11000000</v>
      </c>
      <c r="E25" s="49">
        <f>VLOOKUP($A25,'Data shares'!$C:$FA,128)*100</f>
        <v>30.85</v>
      </c>
      <c r="F25" s="49">
        <f>VLOOKUP($A25,'Data shares'!$C:$FA,129)</f>
        <v>325775</v>
      </c>
      <c r="G25" s="17"/>
    </row>
    <row r="26" spans="1:7" x14ac:dyDescent="0.25">
      <c r="A26" s="101" t="s">
        <v>267</v>
      </c>
      <c r="B26" s="17">
        <v>229794455</v>
      </c>
      <c r="C26" s="17">
        <v>133289800</v>
      </c>
      <c r="D26" s="17">
        <f t="shared" si="0"/>
        <v>133289800</v>
      </c>
      <c r="E26" s="49">
        <f>VLOOKUP($A26,'Data shares'!$C:$FA,128)*100</f>
        <v>54.879999999999995</v>
      </c>
      <c r="F26" s="49">
        <f>VLOOKUP($A26,'Data shares'!$C:$FA,129)</f>
        <v>59859000</v>
      </c>
      <c r="G26" s="17"/>
    </row>
    <row r="27" spans="1:7" x14ac:dyDescent="0.25">
      <c r="A27" s="101" t="s">
        <v>533</v>
      </c>
      <c r="B27" s="17">
        <v>61337685</v>
      </c>
      <c r="C27" s="17">
        <v>24741600</v>
      </c>
      <c r="D27" s="17">
        <f t="shared" si="0"/>
        <v>24741600</v>
      </c>
      <c r="E27" s="49">
        <f>VLOOKUP($A27,'Data shares'!$C:$FA,128)*100</f>
        <v>26.77</v>
      </c>
      <c r="F27" s="49">
        <f>VLOOKUP($A27,'Data shares'!$C:$FA,129)</f>
        <v>2062275</v>
      </c>
      <c r="G27" s="17"/>
    </row>
    <row r="28" spans="1:7" x14ac:dyDescent="0.25">
      <c r="A28" s="101" t="s">
        <v>502</v>
      </c>
      <c r="B28" s="17">
        <v>5165920</v>
      </c>
      <c r="C28" s="17">
        <v>1179400</v>
      </c>
      <c r="D28" s="17">
        <f t="shared" si="0"/>
        <v>1179400</v>
      </c>
      <c r="E28" s="49">
        <f>VLOOKUP($A28,'Data shares'!$C:$FA,128)*100</f>
        <v>27.41</v>
      </c>
      <c r="F28" s="49">
        <f>VLOOKUP($A28,'Data shares'!$C:$FA,129)</f>
        <v>328000</v>
      </c>
      <c r="G28" s="17"/>
    </row>
    <row r="29" spans="1:7" x14ac:dyDescent="0.25">
      <c r="A29" s="101" t="s">
        <v>474</v>
      </c>
      <c r="B29" s="17">
        <v>7339737</v>
      </c>
      <c r="C29" s="17">
        <v>979625</v>
      </c>
      <c r="D29" s="17">
        <f t="shared" si="0"/>
        <v>979625</v>
      </c>
      <c r="E29" s="49">
        <f>VLOOKUP($A29,'Data shares'!$C:$FA,128)*100</f>
        <v>31.11</v>
      </c>
      <c r="F29" s="49">
        <f>VLOOKUP($A29,'Data shares'!$C:$FA,129)</f>
        <v>725875</v>
      </c>
      <c r="G29" s="17"/>
    </row>
    <row r="30" spans="1:7" x14ac:dyDescent="0.25">
      <c r="A30" s="101" t="s">
        <v>158</v>
      </c>
      <c r="B30" s="17">
        <v>17078428</v>
      </c>
      <c r="C30" s="17">
        <v>3648750</v>
      </c>
      <c r="D30" s="17">
        <f t="shared" si="0"/>
        <v>3648750</v>
      </c>
      <c r="E30" s="49">
        <f>VLOOKUP($A30,'Data shares'!$C:$FA,128)*100</f>
        <v>24.709999999999997</v>
      </c>
      <c r="F30" s="49">
        <f>VLOOKUP($A30,'Data shares'!$C:$FA,129)</f>
        <v>3372800</v>
      </c>
      <c r="G30" s="17"/>
    </row>
    <row r="31" spans="1:7" x14ac:dyDescent="0.25">
      <c r="A31" s="101" t="s">
        <v>268</v>
      </c>
      <c r="B31" s="17">
        <v>948263976</v>
      </c>
      <c r="C31" s="17">
        <v>170042400</v>
      </c>
      <c r="D31" s="17">
        <f t="shared" si="0"/>
        <v>170042400</v>
      </c>
      <c r="E31" s="49">
        <f>VLOOKUP($A31,'Data shares'!$C:$FA,128)*100</f>
        <v>29.54</v>
      </c>
      <c r="F31" s="49">
        <f>VLOOKUP($A31,'Data shares'!$C:$FA,129)</f>
        <v>12858000</v>
      </c>
      <c r="G31" s="17"/>
    </row>
    <row r="32" spans="1:7" x14ac:dyDescent="0.25">
      <c r="A32" s="101" t="s">
        <v>557</v>
      </c>
      <c r="B32" s="17">
        <v>51441633</v>
      </c>
      <c r="C32" s="17">
        <v>26329600</v>
      </c>
      <c r="D32" s="17">
        <f t="shared" si="0"/>
        <v>26329600</v>
      </c>
      <c r="E32" s="49">
        <f>VLOOKUP($A32,'Data shares'!$C:$FA,128)*100</f>
        <v>42.54</v>
      </c>
      <c r="F32" s="49">
        <f>VLOOKUP($A32,'Data shares'!$C:$FA,129)</f>
        <v>2180700</v>
      </c>
      <c r="G32" s="17"/>
    </row>
    <row r="33" spans="1:7" x14ac:dyDescent="0.25">
      <c r="A33" s="101" t="s">
        <v>549</v>
      </c>
      <c r="B33" s="17">
        <v>319287188</v>
      </c>
      <c r="C33" s="17">
        <v>149780000</v>
      </c>
      <c r="D33" s="17">
        <f t="shared" si="0"/>
        <v>149780000</v>
      </c>
      <c r="E33" s="49">
        <f>VLOOKUP($A33,'Data shares'!$C:$FA,128)*100</f>
        <v>42.95</v>
      </c>
      <c r="F33" s="49">
        <f>VLOOKUP($A33,'Data shares'!$C:$FA,129)</f>
        <v>1631416875</v>
      </c>
      <c r="G33" s="17"/>
    </row>
    <row r="34" spans="1:7" x14ac:dyDescent="0.25">
      <c r="A34" s="101" t="s">
        <v>536</v>
      </c>
      <c r="B34" s="17">
        <v>57585215</v>
      </c>
      <c r="C34" s="17">
        <v>5314000</v>
      </c>
      <c r="D34" s="17">
        <f t="shared" si="0"/>
        <v>5314000</v>
      </c>
      <c r="E34" s="49">
        <f>VLOOKUP($A34,'Data shares'!$C:$FA,128)*100</f>
        <v>30.9</v>
      </c>
      <c r="F34" s="49">
        <f>VLOOKUP($A34,'Data shares'!$C:$FA,129)</f>
        <v>4071200</v>
      </c>
      <c r="G34" s="17"/>
    </row>
    <row r="35" spans="1:7" x14ac:dyDescent="0.25">
      <c r="A35" s="101" t="s">
        <v>270</v>
      </c>
      <c r="B35" s="17">
        <v>1178038</v>
      </c>
      <c r="C35" s="17">
        <v>100890</v>
      </c>
      <c r="D35" s="17">
        <f t="shared" si="0"/>
        <v>100890</v>
      </c>
      <c r="E35" s="49">
        <f>VLOOKUP($A35,'Data shares'!$C:$FA,128)*100</f>
        <v>37.330000000000005</v>
      </c>
      <c r="F35" s="49">
        <f>VLOOKUP($A35,'Data shares'!$C:$FA,129)</f>
        <v>50955</v>
      </c>
      <c r="G35" s="17"/>
    </row>
    <row r="36" spans="1:7" x14ac:dyDescent="0.25">
      <c r="A36" s="101" t="s">
        <v>258</v>
      </c>
      <c r="B36" s="17">
        <v>13335005</v>
      </c>
      <c r="C36" s="17">
        <v>5970600</v>
      </c>
      <c r="D36" s="17">
        <f t="shared" si="0"/>
        <v>5970600</v>
      </c>
      <c r="E36" s="49">
        <f>VLOOKUP($A36,'Data shares'!$C:$FA,128)*100</f>
        <v>32.79</v>
      </c>
      <c r="F36" s="49">
        <f>VLOOKUP($A36,'Data shares'!$C:$FA,129)</f>
        <v>216000</v>
      </c>
      <c r="G36" s="17"/>
    </row>
    <row r="37" spans="1:7" x14ac:dyDescent="0.25">
      <c r="A37" s="101" t="s">
        <v>301</v>
      </c>
      <c r="B37" s="17">
        <v>14428803</v>
      </c>
      <c r="C37" s="17">
        <v>2171400</v>
      </c>
      <c r="D37" s="17">
        <f t="shared" si="0"/>
        <v>2171400</v>
      </c>
      <c r="E37" s="49">
        <f>VLOOKUP($A37,'Data shares'!$C:$FA,128)*100</f>
        <v>26.150000000000002</v>
      </c>
      <c r="F37" s="49">
        <f>VLOOKUP($A37,'Data shares'!$C:$FA,129)</f>
        <v>326200</v>
      </c>
      <c r="G37" s="17"/>
    </row>
    <row r="38" spans="1:7" x14ac:dyDescent="0.25">
      <c r="A38" s="101" t="s">
        <v>283</v>
      </c>
      <c r="B38" s="17">
        <v>747713393</v>
      </c>
      <c r="C38" s="17">
        <v>158166000</v>
      </c>
      <c r="D38" s="17">
        <f t="shared" si="0"/>
        <v>158166000</v>
      </c>
      <c r="E38" s="49">
        <f>VLOOKUP($A38,'Data shares'!$C:$FA,128)*100</f>
        <v>37.950000000000003</v>
      </c>
      <c r="F38" s="49">
        <f>VLOOKUP($A38,'Data shares'!$C:$FA,129)</f>
        <v>13065000</v>
      </c>
      <c r="G38" s="17"/>
    </row>
    <row r="39" spans="1:7" x14ac:dyDescent="0.25">
      <c r="A39" s="101" t="s">
        <v>281</v>
      </c>
      <c r="B39" s="17">
        <v>648405756</v>
      </c>
      <c r="C39" s="17">
        <v>61815500</v>
      </c>
      <c r="D39" s="17">
        <f t="shared" si="0"/>
        <v>61815500</v>
      </c>
      <c r="E39" s="49">
        <f>VLOOKUP($A39,'Data shares'!$C:$FA,128)*100</f>
        <v>36.58</v>
      </c>
      <c r="F39" s="49">
        <f>VLOOKUP($A39,'Data shares'!$C:$FA,129)</f>
        <v>18991000</v>
      </c>
      <c r="G39" s="17"/>
    </row>
    <row r="40" spans="1:7" x14ac:dyDescent="0.25">
      <c r="A40" s="101" t="s">
        <v>198</v>
      </c>
      <c r="B40" s="17">
        <v>79546680</v>
      </c>
      <c r="C40" s="17">
        <v>13283750</v>
      </c>
      <c r="D40" s="17">
        <f t="shared" si="0"/>
        <v>13283750</v>
      </c>
      <c r="E40" s="49">
        <f>VLOOKUP($A40,'Data shares'!$C:$FA,128)*100</f>
        <v>40.150000000000006</v>
      </c>
      <c r="F40" s="49">
        <f>VLOOKUP($A40,'Data shares'!$C:$FA,129)</f>
        <v>4068125</v>
      </c>
      <c r="G40" s="17"/>
    </row>
    <row r="41" spans="1:7" x14ac:dyDescent="0.25">
      <c r="A41" s="101" t="s">
        <v>299</v>
      </c>
      <c r="B41" s="17">
        <v>44634693</v>
      </c>
      <c r="C41" s="17">
        <v>3805500</v>
      </c>
      <c r="D41" s="17">
        <f t="shared" si="0"/>
        <v>3805500</v>
      </c>
      <c r="E41" s="49">
        <f>VLOOKUP($A41,'Data shares'!$C:$FA,128)*100</f>
        <v>23.75</v>
      </c>
      <c r="F41" s="49">
        <f>VLOOKUP($A41,'Data shares'!$C:$FA,129)</f>
        <v>264200</v>
      </c>
      <c r="G41" s="17"/>
    </row>
    <row r="42" spans="1:7" x14ac:dyDescent="0.25">
      <c r="A42" s="101" t="s">
        <v>273</v>
      </c>
      <c r="B42" s="17">
        <v>232357926</v>
      </c>
      <c r="C42" s="17">
        <v>67053000</v>
      </c>
      <c r="D42" s="17">
        <f t="shared" si="0"/>
        <v>67053000</v>
      </c>
      <c r="E42" s="49">
        <f>VLOOKUP($A42,'Data shares'!$C:$FA,128)*100</f>
        <v>46.19</v>
      </c>
      <c r="F42" s="49">
        <f>VLOOKUP($A42,'Data shares'!$C:$FA,129)</f>
        <v>27142700</v>
      </c>
      <c r="G42" s="17"/>
    </row>
    <row r="43" spans="1:7" x14ac:dyDescent="0.25">
      <c r="A43" s="101" t="s">
        <v>207</v>
      </c>
      <c r="B43" s="17">
        <v>124016568</v>
      </c>
      <c r="C43" s="17">
        <v>57530550</v>
      </c>
      <c r="D43" s="17">
        <f t="shared" si="0"/>
        <v>57530550</v>
      </c>
      <c r="E43" s="49">
        <f>VLOOKUP($A43,'Data shares'!$C:$FA,128)*100</f>
        <v>37.230000000000004</v>
      </c>
      <c r="F43" s="49">
        <f>VLOOKUP($A43,'Data shares'!$C:$FA,129)</f>
        <v>6623925</v>
      </c>
      <c r="G43" s="17"/>
    </row>
    <row r="44" spans="1:7" x14ac:dyDescent="0.25">
      <c r="A44" s="101" t="s">
        <v>191</v>
      </c>
      <c r="B44" s="17">
        <v>92946457</v>
      </c>
      <c r="C44" s="17">
        <v>36478000</v>
      </c>
      <c r="D44" s="17">
        <f t="shared" si="0"/>
        <v>36478000</v>
      </c>
      <c r="E44" s="49">
        <f>VLOOKUP($A44,'Data shares'!$C:$FA,128)*100</f>
        <v>34.660000000000004</v>
      </c>
      <c r="F44" s="49">
        <f>VLOOKUP($A44,'Data shares'!$C:$FA,129)</f>
        <v>10385000</v>
      </c>
      <c r="G44" s="17"/>
    </row>
    <row r="45" spans="1:7" x14ac:dyDescent="0.25">
      <c r="A45" s="101" t="s">
        <v>288</v>
      </c>
      <c r="B45" s="17">
        <v>218440087</v>
      </c>
      <c r="C45" s="17">
        <v>44080400</v>
      </c>
      <c r="D45" s="17">
        <f t="shared" si="0"/>
        <v>44080400</v>
      </c>
      <c r="E45" s="49">
        <f>VLOOKUP($A45,'Data shares'!$C:$FA,128)*100</f>
        <v>30.830000000000002</v>
      </c>
      <c r="F45" s="49">
        <f>VLOOKUP($A45,'Data shares'!$C:$FA,129)</f>
        <v>1729350</v>
      </c>
      <c r="G45" s="17"/>
    </row>
    <row r="46" spans="1:7" x14ac:dyDescent="0.25">
      <c r="A46" s="101" t="s">
        <v>275</v>
      </c>
      <c r="B46" s="17">
        <v>591377974</v>
      </c>
      <c r="C46" s="17">
        <v>493488000</v>
      </c>
      <c r="D46" s="17">
        <f t="shared" si="0"/>
        <v>493488000</v>
      </c>
      <c r="E46" s="49">
        <f>VLOOKUP($A46,'Data shares'!$C:$FA,128)*100</f>
        <v>36.11</v>
      </c>
      <c r="F46" s="49">
        <f>VLOOKUP($A46,'Data shares'!$C:$FA,129)</f>
        <v>43296000</v>
      </c>
      <c r="G46" s="17"/>
    </row>
    <row r="47" spans="1:7" x14ac:dyDescent="0.25">
      <c r="A47" s="101" t="s">
        <v>277</v>
      </c>
      <c r="B47" s="17">
        <v>10116165</v>
      </c>
      <c r="C47" s="17">
        <v>7378910</v>
      </c>
      <c r="D47" s="17">
        <f t="shared" si="0"/>
        <v>7378910</v>
      </c>
      <c r="E47" s="49">
        <f>VLOOKUP($A47,'Data shares'!$C:$FA,128)*100</f>
        <v>25.22</v>
      </c>
      <c r="F47" s="49">
        <f>VLOOKUP($A47,'Data shares'!$C:$FA,129)</f>
        <v>240300</v>
      </c>
      <c r="G47" s="17"/>
    </row>
    <row r="48" spans="1:7" x14ac:dyDescent="0.25">
      <c r="A48" s="101" t="s">
        <v>196</v>
      </c>
      <c r="B48" s="17">
        <v>134484114</v>
      </c>
      <c r="C48" s="17">
        <v>73278000</v>
      </c>
      <c r="D48" s="17">
        <f t="shared" si="0"/>
        <v>73278000</v>
      </c>
      <c r="E48" s="49">
        <f>VLOOKUP($A48,'Data shares'!$C:$FA,128)*100</f>
        <v>31.6</v>
      </c>
      <c r="F48" s="49">
        <f>VLOOKUP($A48,'Data shares'!$C:$FA,129)</f>
        <v>28154250</v>
      </c>
      <c r="G48" s="17"/>
    </row>
    <row r="49" spans="1:7" x14ac:dyDescent="0.25">
      <c r="A49" s="101" t="s">
        <v>287</v>
      </c>
      <c r="B49" s="17">
        <v>40005132</v>
      </c>
      <c r="C49" s="17">
        <v>6264400</v>
      </c>
      <c r="D49" s="17">
        <f t="shared" si="0"/>
        <v>6264400</v>
      </c>
      <c r="E49" s="49">
        <f>VLOOKUP($A49,'Data shares'!$C:$FA,128)*100</f>
        <v>29.189999999999998</v>
      </c>
      <c r="F49" s="49">
        <f>VLOOKUP($A49,'Data shares'!$C:$FA,129)</f>
        <v>578600</v>
      </c>
      <c r="G49" s="17"/>
    </row>
    <row r="50" spans="1:7" x14ac:dyDescent="0.25">
      <c r="A50" s="101" t="s">
        <v>553</v>
      </c>
      <c r="B50" s="17">
        <v>10595418</v>
      </c>
      <c r="C50" s="17">
        <v>250250</v>
      </c>
      <c r="D50" s="17">
        <f t="shared" si="0"/>
        <v>250250</v>
      </c>
      <c r="E50" s="49">
        <f>VLOOKUP($A50,'Data shares'!$C:$FA,128)*100</f>
        <v>44.35</v>
      </c>
      <c r="F50" s="49">
        <f>VLOOKUP($A50,'Data shares'!$C:$FA,129)</f>
        <v>765500</v>
      </c>
      <c r="G50" s="17"/>
    </row>
    <row r="51" spans="1:7" x14ac:dyDescent="0.25">
      <c r="A51" s="101" t="s">
        <v>519</v>
      </c>
      <c r="B51" s="17">
        <v>9516271</v>
      </c>
      <c r="C51" s="17">
        <v>1000800</v>
      </c>
      <c r="D51" s="17">
        <f t="shared" si="0"/>
        <v>1000800</v>
      </c>
      <c r="E51" s="49">
        <f>VLOOKUP($A51,'Data shares'!$C:$FA,128)*100</f>
        <v>34.08</v>
      </c>
      <c r="F51" s="49">
        <f>VLOOKUP($A51,'Data shares'!$C:$FA,129)</f>
        <v>84125</v>
      </c>
      <c r="G51" s="17"/>
    </row>
    <row r="52" spans="1:7" x14ac:dyDescent="0.25">
      <c r="A52" s="101" t="s">
        <v>550</v>
      </c>
      <c r="B52" s="17">
        <v>137684181</v>
      </c>
      <c r="C52" s="17">
        <v>42696000</v>
      </c>
      <c r="D52" s="17">
        <f t="shared" si="0"/>
        <v>42696000</v>
      </c>
      <c r="E52" s="49">
        <f>VLOOKUP($A52,'Data shares'!$C:$FA,128)*100</f>
        <v>36.21</v>
      </c>
      <c r="F52" s="49">
        <f>VLOOKUP($A52,'Data shares'!$C:$FA,129)</f>
        <v>15782000</v>
      </c>
      <c r="G52" s="17"/>
    </row>
    <row r="53" spans="1:7" x14ac:dyDescent="0.25">
      <c r="A53" s="101" t="s">
        <v>284</v>
      </c>
      <c r="B53" s="17">
        <v>2702190</v>
      </c>
      <c r="C53" s="17">
        <v>250575</v>
      </c>
      <c r="D53" s="17">
        <f t="shared" si="0"/>
        <v>250575</v>
      </c>
      <c r="E53" s="49">
        <f>VLOOKUP($A53,'Data shares'!$C:$FA,128)*100</f>
        <v>29.220000000000002</v>
      </c>
      <c r="F53" s="49">
        <f>VLOOKUP($A53,'Data shares'!$C:$FA,129)</f>
        <v>22425</v>
      </c>
      <c r="G53" s="17"/>
    </row>
    <row r="54" spans="1:7" x14ac:dyDescent="0.25">
      <c r="A54" s="101" t="s">
        <v>488</v>
      </c>
      <c r="B54" s="17">
        <v>5499709</v>
      </c>
      <c r="C54" s="17">
        <v>1097600</v>
      </c>
      <c r="D54" s="17">
        <f t="shared" si="0"/>
        <v>1097600</v>
      </c>
      <c r="E54" s="49">
        <f>VLOOKUP($A54,'Data shares'!$C:$FA,128)*100</f>
        <v>54.08</v>
      </c>
      <c r="F54" s="49">
        <f>VLOOKUP($A54,'Data shares'!$C:$FA,129)</f>
        <v>295050</v>
      </c>
      <c r="G54" s="17"/>
    </row>
    <row r="55" spans="1:7" x14ac:dyDescent="0.25">
      <c r="A55" s="101" t="s">
        <v>523</v>
      </c>
      <c r="B55" s="17">
        <v>118085392</v>
      </c>
      <c r="C55" s="17">
        <v>6549400</v>
      </c>
      <c r="D55" s="17">
        <f t="shared" si="0"/>
        <v>6549400</v>
      </c>
      <c r="E55" s="49">
        <f>VLOOKUP($A55,'Data shares'!$C:$FA,128)*100</f>
        <v>28.37</v>
      </c>
      <c r="F55" s="49">
        <f>VLOOKUP($A55,'Data shares'!$C:$FA,129)</f>
        <v>7295400</v>
      </c>
      <c r="G55" s="17"/>
    </row>
    <row r="56" spans="1:7" x14ac:dyDescent="0.25">
      <c r="A56" s="101" t="s">
        <v>485</v>
      </c>
      <c r="B56" s="17">
        <v>6917069</v>
      </c>
      <c r="C56" s="17">
        <v>762075</v>
      </c>
      <c r="D56" s="17">
        <f t="shared" si="0"/>
        <v>762075</v>
      </c>
      <c r="E56" s="49">
        <f>VLOOKUP($A56,'Data shares'!$C:$FA,128)*100</f>
        <v>37.86</v>
      </c>
      <c r="F56" s="49">
        <f>VLOOKUP($A56,'Data shares'!$C:$FA,129)</f>
        <v>541500</v>
      </c>
      <c r="G56" s="17"/>
    </row>
    <row r="57" spans="1:7" x14ac:dyDescent="0.25">
      <c r="A57" s="101" t="s">
        <v>178</v>
      </c>
      <c r="B57" s="17">
        <v>16125398</v>
      </c>
      <c r="C57" s="17">
        <v>1552600</v>
      </c>
      <c r="D57" s="17">
        <f t="shared" si="0"/>
        <v>1552600</v>
      </c>
      <c r="E57" s="49">
        <f>VLOOKUP($A57,'Data shares'!$C:$FA,128)*100</f>
        <v>43.11</v>
      </c>
      <c r="F57" s="49">
        <f>VLOOKUP($A57,'Data shares'!$C:$FA,129)</f>
        <v>12878250</v>
      </c>
      <c r="G57" s="17"/>
    </row>
    <row r="58" spans="1:7" x14ac:dyDescent="0.25">
      <c r="A58" s="101" t="s">
        <v>240</v>
      </c>
      <c r="B58" s="17">
        <v>727896180</v>
      </c>
      <c r="C58" s="17">
        <v>46526100</v>
      </c>
      <c r="D58" s="17">
        <f t="shared" si="0"/>
        <v>46526100</v>
      </c>
      <c r="E58" s="49">
        <f>VLOOKUP($A58,'Data shares'!$C:$FA,128)*100</f>
        <v>48.74</v>
      </c>
      <c r="F58" s="49">
        <f>VLOOKUP($A58,'Data shares'!$C:$FA,129)</f>
        <v>19706800</v>
      </c>
      <c r="G58" s="17"/>
    </row>
    <row r="59" spans="1:7" x14ac:dyDescent="0.25">
      <c r="A59" s="101" t="s">
        <v>202</v>
      </c>
      <c r="B59" s="17">
        <v>55081874</v>
      </c>
      <c r="C59" s="17">
        <v>10856000</v>
      </c>
      <c r="D59" s="17">
        <f t="shared" si="0"/>
        <v>10856000</v>
      </c>
      <c r="E59" s="49">
        <f>VLOOKUP($A59,'Data shares'!$C:$FA,128)*100</f>
        <v>34.270000000000003</v>
      </c>
      <c r="F59" s="49">
        <f>VLOOKUP($A59,'Data shares'!$C:$FA,129)</f>
        <v>7528750</v>
      </c>
      <c r="G59" s="17"/>
    </row>
    <row r="60" spans="1:7" x14ac:dyDescent="0.25">
      <c r="A60" s="101" t="s">
        <v>245</v>
      </c>
      <c r="B60" s="17">
        <v>15273675</v>
      </c>
      <c r="C60" s="17">
        <v>5077125</v>
      </c>
      <c r="D60" s="17">
        <f t="shared" si="0"/>
        <v>5077125</v>
      </c>
      <c r="E60" s="49">
        <f>VLOOKUP($A60,'Data shares'!$C:$FA,128)*100</f>
        <v>33.64</v>
      </c>
      <c r="F60" s="49">
        <f>VLOOKUP($A60,'Data shares'!$C:$FA,129)</f>
        <v>2757500</v>
      </c>
      <c r="G60" s="17"/>
    </row>
    <row r="61" spans="1:7" x14ac:dyDescent="0.25">
      <c r="A61" s="101" t="s">
        <v>173</v>
      </c>
      <c r="B61" s="17">
        <v>541823383</v>
      </c>
      <c r="C61" s="17">
        <v>95378400</v>
      </c>
      <c r="D61" s="17">
        <f t="shared" si="0"/>
        <v>95378400</v>
      </c>
      <c r="E61" s="49">
        <f>VLOOKUP($A61,'Data shares'!$C:$FA,128)*100</f>
        <v>52.76</v>
      </c>
      <c r="F61" s="49">
        <f>VLOOKUP($A61,'Data shares'!$C:$FA,129)</f>
        <v>11431875</v>
      </c>
      <c r="G61" s="17"/>
    </row>
    <row r="62" spans="1:7" x14ac:dyDescent="0.25">
      <c r="A62" s="101" t="s">
        <v>234</v>
      </c>
      <c r="B62" s="17">
        <v>1606294231</v>
      </c>
      <c r="C62" s="17">
        <v>1302000000</v>
      </c>
      <c r="D62" s="17">
        <f t="shared" si="0"/>
        <v>1302000000</v>
      </c>
      <c r="E62" s="49">
        <f>VLOOKUP($A62,'Data shares'!$C:$FA,128)*100</f>
        <v>42.95</v>
      </c>
      <c r="F62" s="49">
        <f>VLOOKUP($A62,'Data shares'!$C:$FA,129)</f>
        <v>1631416875</v>
      </c>
      <c r="G62" s="17"/>
    </row>
    <row r="63" spans="1:7" x14ac:dyDescent="0.25">
      <c r="A63" s="101" t="s">
        <v>235</v>
      </c>
      <c r="B63" s="17">
        <v>789260827</v>
      </c>
      <c r="C63" s="17">
        <v>462303900</v>
      </c>
      <c r="D63" s="17">
        <f t="shared" si="0"/>
        <v>462303900</v>
      </c>
      <c r="E63" s="49">
        <f>VLOOKUP($A63,'Data shares'!$C:$FA,128)*100</f>
        <v>36.24</v>
      </c>
      <c r="F63" s="49">
        <f>VLOOKUP($A63,'Data shares'!$C:$FA,129)</f>
        <v>71519525</v>
      </c>
      <c r="G63" s="17"/>
    </row>
    <row r="64" spans="1:7" x14ac:dyDescent="0.25">
      <c r="A64" s="101" t="s">
        <v>482</v>
      </c>
      <c r="B64" s="17">
        <v>44785930</v>
      </c>
      <c r="C64" s="17">
        <v>4025925</v>
      </c>
      <c r="D64" s="17">
        <f t="shared" si="0"/>
        <v>4025925</v>
      </c>
      <c r="E64" s="49">
        <f>VLOOKUP($A64,'Data shares'!$C:$FA,128)*100</f>
        <v>29.09</v>
      </c>
      <c r="F64" s="49">
        <f>VLOOKUP($A64,'Data shares'!$C:$FA,129)</f>
        <v>1325200</v>
      </c>
      <c r="G64" s="17"/>
    </row>
    <row r="65" spans="1:7" x14ac:dyDescent="0.25">
      <c r="A65" s="101" t="s">
        <v>475</v>
      </c>
      <c r="B65" s="17">
        <v>13287700</v>
      </c>
      <c r="C65" s="17">
        <v>3968400</v>
      </c>
      <c r="D65" s="17">
        <f t="shared" si="0"/>
        <v>3968400</v>
      </c>
      <c r="E65" s="49">
        <f>VLOOKUP($A65,'Data shares'!$C:$FA,128)*100</f>
        <v>29.48</v>
      </c>
      <c r="F65" s="49">
        <f>VLOOKUP($A65,'Data shares'!$C:$FA,129)</f>
        <v>218700</v>
      </c>
      <c r="G65" s="17"/>
    </row>
    <row r="66" spans="1:7" x14ac:dyDescent="0.25">
      <c r="A66" s="101" t="s">
        <v>306</v>
      </c>
      <c r="B66" s="17">
        <v>292716179</v>
      </c>
      <c r="C66" s="17">
        <v>57797600</v>
      </c>
      <c r="D66" s="17">
        <f t="shared" si="0"/>
        <v>57797600</v>
      </c>
      <c r="E66" s="49">
        <f>VLOOKUP($A66,'Data shares'!$C:$FA,128)*100</f>
        <v>43.230000000000004</v>
      </c>
      <c r="F66" s="49">
        <f>VLOOKUP($A66,'Data shares'!$C:$FA,129)</f>
        <v>34614000</v>
      </c>
      <c r="G66" s="17"/>
    </row>
    <row r="67" spans="1:7" x14ac:dyDescent="0.25">
      <c r="A67" s="101" t="s">
        <v>262</v>
      </c>
      <c r="B67" s="17">
        <v>21376133</v>
      </c>
      <c r="C67" s="17">
        <v>5958375</v>
      </c>
      <c r="D67" s="17">
        <f t="shared" si="0"/>
        <v>5958375</v>
      </c>
      <c r="E67" s="49">
        <f>VLOOKUP($A67,'Data shares'!$C:$FA,128)*100</f>
        <v>36.01</v>
      </c>
      <c r="F67" s="49">
        <f>VLOOKUP($A67,'Data shares'!$C:$FA,129)</f>
        <v>530200</v>
      </c>
      <c r="G67" s="17"/>
    </row>
    <row r="68" spans="1:7" x14ac:dyDescent="0.25">
      <c r="A68" s="101" t="s">
        <v>174</v>
      </c>
      <c r="B68" s="17">
        <v>26775498</v>
      </c>
      <c r="C68" s="17">
        <v>3494750</v>
      </c>
      <c r="D68" s="17">
        <f t="shared" si="0"/>
        <v>3494750</v>
      </c>
      <c r="E68" s="49">
        <f>VLOOKUP($A68,'Data shares'!$C:$FA,128)*100</f>
        <v>38.72</v>
      </c>
      <c r="F68" s="49">
        <f>VLOOKUP($A68,'Data shares'!$C:$FA,129)</f>
        <v>482625</v>
      </c>
      <c r="G68" s="17"/>
    </row>
    <row r="69" spans="1:7" x14ac:dyDescent="0.25">
      <c r="A69" s="101" t="s">
        <v>286</v>
      </c>
      <c r="B69" s="17">
        <v>29168705</v>
      </c>
      <c r="C69" s="17">
        <v>6373125</v>
      </c>
      <c r="D69" s="17">
        <f t="shared" si="0"/>
        <v>6373125</v>
      </c>
      <c r="E69" s="49">
        <f>VLOOKUP($A69,'Data shares'!$C:$FA,128)*100</f>
        <v>29.189999999999998</v>
      </c>
      <c r="F69" s="49">
        <f>VLOOKUP($A69,'Data shares'!$C:$FA,129)</f>
        <v>578600</v>
      </c>
      <c r="G69" s="17"/>
    </row>
    <row r="70" spans="1:7" x14ac:dyDescent="0.25">
      <c r="A70" s="101" t="s">
        <v>297</v>
      </c>
      <c r="B70" s="17">
        <v>83636848</v>
      </c>
      <c r="C70" s="17">
        <v>13455750</v>
      </c>
      <c r="D70" s="17">
        <f t="shared" si="0"/>
        <v>13455750</v>
      </c>
      <c r="E70" s="49">
        <f>VLOOKUP($A70,'Data shares'!$C:$FA,128)*100</f>
        <v>29.15</v>
      </c>
      <c r="F70" s="49">
        <f>VLOOKUP($A70,'Data shares'!$C:$FA,129)</f>
        <v>1084650</v>
      </c>
      <c r="G70" s="17"/>
    </row>
    <row r="71" spans="1:7" x14ac:dyDescent="0.25">
      <c r="A71" s="101" t="s">
        <v>302</v>
      </c>
      <c r="B71" s="17">
        <v>23058222</v>
      </c>
      <c r="C71" s="17">
        <v>3980500</v>
      </c>
      <c r="D71" s="17">
        <f t="shared" ref="D71:D134" si="1">C71</f>
        <v>3980500</v>
      </c>
      <c r="E71" s="49">
        <f>VLOOKUP($A71,'Data shares'!$C:$FA,128)*100</f>
        <v>28.54</v>
      </c>
      <c r="F71" s="49">
        <f>VLOOKUP($A71,'Data shares'!$C:$FA,129)</f>
        <v>343900</v>
      </c>
      <c r="G71" s="17"/>
    </row>
    <row r="72" spans="1:7" x14ac:dyDescent="0.25">
      <c r="A72" s="101" t="s">
        <v>307</v>
      </c>
      <c r="B72" s="17">
        <v>184439886</v>
      </c>
      <c r="C72" s="17">
        <v>122460000</v>
      </c>
      <c r="D72" s="17">
        <f t="shared" si="1"/>
        <v>122460000</v>
      </c>
      <c r="E72" s="49">
        <f>VLOOKUP($A72,'Data shares'!$C:$FA,128)*100</f>
        <v>36.409999999999997</v>
      </c>
      <c r="F72" s="49">
        <f>VLOOKUP($A72,'Data shares'!$C:$FA,129)</f>
        <v>246343100</v>
      </c>
      <c r="G72" s="17"/>
    </row>
    <row r="73" spans="1:7" x14ac:dyDescent="0.25">
      <c r="A73" s="101" t="s">
        <v>177</v>
      </c>
      <c r="B73" s="17">
        <v>52956314</v>
      </c>
      <c r="C73" s="17">
        <v>7784625</v>
      </c>
      <c r="D73" s="17">
        <f t="shared" si="1"/>
        <v>7784625</v>
      </c>
      <c r="E73" s="49">
        <f>VLOOKUP($A73,'Data shares'!$C:$FA,128)*100</f>
        <v>43.11</v>
      </c>
      <c r="F73" s="49">
        <f>VLOOKUP($A73,'Data shares'!$C:$FA,129)</f>
        <v>12878250</v>
      </c>
      <c r="G73" s="17"/>
    </row>
    <row r="74" spans="1:7" x14ac:dyDescent="0.25">
      <c r="A74" s="101" t="s">
        <v>545</v>
      </c>
      <c r="B74" s="17">
        <v>23498849</v>
      </c>
      <c r="C74" s="17">
        <v>15745600</v>
      </c>
      <c r="D74" s="17">
        <f t="shared" si="1"/>
        <v>15745600</v>
      </c>
      <c r="E74" s="49">
        <f>VLOOKUP($A74,'Data shares'!$C:$FA,128)*100</f>
        <v>43.11</v>
      </c>
      <c r="F74" s="49">
        <f>VLOOKUP($A74,'Data shares'!$C:$FA,129)</f>
        <v>12878250</v>
      </c>
      <c r="G74" s="17"/>
    </row>
    <row r="75" spans="1:7" x14ac:dyDescent="0.25">
      <c r="A75" s="101" t="s">
        <v>185</v>
      </c>
      <c r="B75" s="17">
        <v>238123793</v>
      </c>
      <c r="C75" s="17">
        <v>59926000</v>
      </c>
      <c r="D75" s="17">
        <f t="shared" si="1"/>
        <v>59926000</v>
      </c>
      <c r="E75" s="49">
        <f>VLOOKUP($A75,'Data shares'!$C:$FA,128)*100</f>
        <v>32.75</v>
      </c>
      <c r="F75" s="49">
        <f>VLOOKUP($A75,'Data shares'!$C:$FA,129)</f>
        <v>23233200</v>
      </c>
      <c r="G75" s="17"/>
    </row>
    <row r="76" spans="1:7" x14ac:dyDescent="0.25">
      <c r="A76" s="101" t="s">
        <v>219</v>
      </c>
      <c r="B76" s="17">
        <v>75317259</v>
      </c>
      <c r="C76" s="17">
        <v>12188500</v>
      </c>
      <c r="D76" s="17">
        <f t="shared" si="1"/>
        <v>12188500</v>
      </c>
      <c r="E76" s="49">
        <f>VLOOKUP($A76,'Data shares'!$C:$FA,128)*100</f>
        <v>41.67</v>
      </c>
      <c r="F76" s="49">
        <f>VLOOKUP($A76,'Data shares'!$C:$FA,129)</f>
        <v>3866000</v>
      </c>
      <c r="G76" s="17"/>
    </row>
    <row r="77" spans="1:7" x14ac:dyDescent="0.25">
      <c r="A77" s="101" t="s">
        <v>534</v>
      </c>
      <c r="B77" s="17">
        <v>70381221</v>
      </c>
      <c r="C77" s="17">
        <v>3354100</v>
      </c>
      <c r="D77" s="17">
        <f t="shared" si="1"/>
        <v>3354100</v>
      </c>
      <c r="E77" s="49">
        <f>VLOOKUP($A77,'Data shares'!$C:$FA,128)*100</f>
        <v>41.67</v>
      </c>
      <c r="F77" s="49">
        <f>VLOOKUP($A77,'Data shares'!$C:$FA,129)</f>
        <v>3866000</v>
      </c>
      <c r="G77" s="17"/>
    </row>
    <row r="78" spans="1:7" x14ac:dyDescent="0.25">
      <c r="A78" s="101" t="s">
        <v>516</v>
      </c>
      <c r="B78" s="17">
        <v>27254349</v>
      </c>
      <c r="C78" s="17">
        <v>1133550</v>
      </c>
      <c r="D78" s="17">
        <f t="shared" si="1"/>
        <v>1133550</v>
      </c>
      <c r="E78" s="49">
        <f>VLOOKUP($A78,'Data shares'!$C:$FA,128)*100</f>
        <v>27.22</v>
      </c>
      <c r="F78" s="49">
        <f>VLOOKUP($A78,'Data shares'!$C:$FA,129)</f>
        <v>8472750</v>
      </c>
      <c r="G78" s="17"/>
    </row>
    <row r="79" spans="1:7" x14ac:dyDescent="0.25">
      <c r="A79" s="101" t="s">
        <v>271</v>
      </c>
      <c r="B79" s="17">
        <v>26746179</v>
      </c>
      <c r="C79" s="17">
        <v>5445825</v>
      </c>
      <c r="D79" s="17">
        <f t="shared" si="1"/>
        <v>5445825</v>
      </c>
      <c r="E79" s="49">
        <f>VLOOKUP($A79,'Data shares'!$C:$FA,128)*100</f>
        <v>27.92</v>
      </c>
      <c r="F79" s="49">
        <f>VLOOKUP($A79,'Data shares'!$C:$FA,129)</f>
        <v>2707875</v>
      </c>
      <c r="G79" s="17"/>
    </row>
    <row r="80" spans="1:7" x14ac:dyDescent="0.25">
      <c r="A80" s="101" t="s">
        <v>264</v>
      </c>
      <c r="B80" s="17">
        <v>15844192</v>
      </c>
      <c r="C80" s="17">
        <v>2354125</v>
      </c>
      <c r="D80" s="17">
        <f t="shared" si="1"/>
        <v>2354125</v>
      </c>
      <c r="E80" s="49">
        <f>VLOOKUP($A80,'Data shares'!$C:$FA,128)*100</f>
        <v>37.86</v>
      </c>
      <c r="F80" s="49">
        <f>VLOOKUP($A80,'Data shares'!$C:$FA,129)</f>
        <v>541500</v>
      </c>
      <c r="G80" s="17"/>
    </row>
    <row r="81" spans="1:7" x14ac:dyDescent="0.25">
      <c r="A81" s="101" t="s">
        <v>208</v>
      </c>
      <c r="B81" s="17">
        <v>24296838</v>
      </c>
      <c r="C81" s="17">
        <v>5125750</v>
      </c>
      <c r="D81" s="17">
        <f t="shared" si="1"/>
        <v>5125750</v>
      </c>
      <c r="E81" s="49">
        <f>VLOOKUP($A81,'Data shares'!$C:$FA,128)*100</f>
        <v>34.949999999999996</v>
      </c>
      <c r="F81" s="49">
        <f>VLOOKUP($A81,'Data shares'!$C:$FA,129)</f>
        <v>1834375</v>
      </c>
      <c r="G81" s="17"/>
    </row>
    <row r="82" spans="1:7" x14ac:dyDescent="0.25">
      <c r="A82" s="101" t="s">
        <v>552</v>
      </c>
      <c r="B82" s="17">
        <v>23447901</v>
      </c>
      <c r="C82" s="17">
        <v>3785600</v>
      </c>
      <c r="D82" s="17">
        <f t="shared" si="1"/>
        <v>3785600</v>
      </c>
      <c r="E82" s="49">
        <f>VLOOKUP($A82,'Data shares'!$C:$FA,128)*100</f>
        <v>24.65</v>
      </c>
      <c r="F82" s="49">
        <f>VLOOKUP($A82,'Data shares'!$C:$FA,129)</f>
        <v>1012000</v>
      </c>
      <c r="G82" s="17"/>
    </row>
    <row r="83" spans="1:7" x14ac:dyDescent="0.25">
      <c r="A83" s="101" t="s">
        <v>204</v>
      </c>
      <c r="B83" s="17">
        <v>115362060</v>
      </c>
      <c r="C83" s="17">
        <v>19043750</v>
      </c>
      <c r="D83" s="17">
        <f t="shared" si="1"/>
        <v>19043750</v>
      </c>
      <c r="E83" s="49">
        <f>VLOOKUP($A83,'Data shares'!$C:$FA,128)*100</f>
        <v>31.72</v>
      </c>
      <c r="F83" s="49">
        <f>VLOOKUP($A83,'Data shares'!$C:$FA,129)</f>
        <v>1360000</v>
      </c>
      <c r="G83" s="17"/>
    </row>
    <row r="84" spans="1:7" x14ac:dyDescent="0.25">
      <c r="A84" s="101" t="s">
        <v>528</v>
      </c>
      <c r="B84" s="17">
        <v>23485458</v>
      </c>
      <c r="C84" s="17">
        <v>4272800</v>
      </c>
      <c r="D84" s="17">
        <f t="shared" si="1"/>
        <v>4272800</v>
      </c>
      <c r="E84" s="49">
        <f>VLOOKUP($A84,'Data shares'!$C:$FA,128)*100</f>
        <v>39.69</v>
      </c>
      <c r="F84" s="49">
        <f>VLOOKUP($A84,'Data shares'!$C:$FA,129)</f>
        <v>649950</v>
      </c>
      <c r="G84" s="17"/>
    </row>
    <row r="85" spans="1:7" x14ac:dyDescent="0.25">
      <c r="A85" s="101" t="s">
        <v>551</v>
      </c>
      <c r="B85" s="17">
        <v>39593365</v>
      </c>
      <c r="C85" s="17">
        <v>12215000</v>
      </c>
      <c r="D85" s="17">
        <f t="shared" si="1"/>
        <v>12215000</v>
      </c>
      <c r="E85" s="49">
        <f>VLOOKUP($A85,'Data shares'!$C:$FA,128)*100</f>
        <v>25.22</v>
      </c>
      <c r="F85" s="49">
        <f>VLOOKUP($A85,'Data shares'!$C:$FA,129)</f>
        <v>240300</v>
      </c>
      <c r="G85" s="17"/>
    </row>
    <row r="86" spans="1:7" x14ac:dyDescent="0.25">
      <c r="A86" s="101" t="s">
        <v>292</v>
      </c>
      <c r="B86" s="17">
        <v>355933451</v>
      </c>
      <c r="C86" s="17">
        <v>204117000</v>
      </c>
      <c r="D86" s="17">
        <f t="shared" si="1"/>
        <v>204117000</v>
      </c>
      <c r="E86" s="49">
        <f>VLOOKUP($A86,'Data shares'!$C:$FA,128)*100</f>
        <v>42.26</v>
      </c>
      <c r="F86" s="49">
        <f>VLOOKUP($A86,'Data shares'!$C:$FA,129)</f>
        <v>831000</v>
      </c>
      <c r="G86" s="17"/>
    </row>
    <row r="87" spans="1:7" x14ac:dyDescent="0.25">
      <c r="A87" s="101" t="s">
        <v>239</v>
      </c>
      <c r="B87" s="17">
        <v>117569462</v>
      </c>
      <c r="C87" s="17">
        <v>39785400</v>
      </c>
      <c r="D87" s="17">
        <f t="shared" si="1"/>
        <v>39785400</v>
      </c>
      <c r="E87" s="49">
        <f>VLOOKUP($A87,'Data shares'!$C:$FA,128)*100</f>
        <v>38.409999999999997</v>
      </c>
      <c r="F87" s="49">
        <f>VLOOKUP($A87,'Data shares'!$C:$FA,129)</f>
        <v>8987300</v>
      </c>
      <c r="G87" s="17"/>
    </row>
    <row r="88" spans="1:7" x14ac:dyDescent="0.25">
      <c r="A88" s="101" t="s">
        <v>513</v>
      </c>
      <c r="B88" s="17">
        <v>16619018</v>
      </c>
      <c r="C88" s="17">
        <v>3155425</v>
      </c>
      <c r="D88" s="17">
        <f t="shared" si="1"/>
        <v>3155425</v>
      </c>
      <c r="E88" s="49">
        <f>VLOOKUP($A88,'Data shares'!$C:$FA,128)*100</f>
        <v>30.23</v>
      </c>
      <c r="F88" s="49">
        <f>VLOOKUP($A88,'Data shares'!$C:$FA,129)</f>
        <v>1670700</v>
      </c>
      <c r="G88" s="17"/>
    </row>
    <row r="89" spans="1:7" x14ac:dyDescent="0.25">
      <c r="A89" s="101" t="s">
        <v>224</v>
      </c>
      <c r="B89" s="17">
        <v>669931623</v>
      </c>
      <c r="C89" s="17">
        <v>82663350</v>
      </c>
      <c r="D89" s="17">
        <f t="shared" si="1"/>
        <v>82663350</v>
      </c>
      <c r="E89" s="49">
        <f>VLOOKUP($A89,'Data shares'!$C:$FA,128)*100</f>
        <v>36.449999999999996</v>
      </c>
      <c r="F89" s="49">
        <f>VLOOKUP($A89,'Data shares'!$C:$FA,129)</f>
        <v>28837050</v>
      </c>
      <c r="G89" s="17"/>
    </row>
    <row r="90" spans="1:7" x14ac:dyDescent="0.25">
      <c r="A90" s="101" t="s">
        <v>232</v>
      </c>
      <c r="B90" s="17">
        <v>1110506052</v>
      </c>
      <c r="C90" s="17">
        <v>174065375</v>
      </c>
      <c r="D90" s="17">
        <f t="shared" si="1"/>
        <v>174065375</v>
      </c>
      <c r="E90" s="49">
        <f>VLOOKUP($A90,'Data shares'!$C:$FA,128)*100</f>
        <v>29.310000000000002</v>
      </c>
      <c r="F90" s="49">
        <f>VLOOKUP($A90,'Data shares'!$C:$FA,129)</f>
        <v>16172100</v>
      </c>
      <c r="G90" s="17"/>
    </row>
    <row r="91" spans="1:7" x14ac:dyDescent="0.25">
      <c r="A91" s="101" t="s">
        <v>223</v>
      </c>
      <c r="B91" s="17">
        <v>362202362</v>
      </c>
      <c r="C91" s="17">
        <v>34249800</v>
      </c>
      <c r="D91" s="17">
        <f t="shared" si="1"/>
        <v>34249800</v>
      </c>
      <c r="E91" s="49">
        <f>VLOOKUP($A91,'Data shares'!$C:$FA,128)*100</f>
        <v>35.6</v>
      </c>
      <c r="F91" s="49">
        <f>VLOOKUP($A91,'Data shares'!$C:$FA,129)</f>
        <v>1941450</v>
      </c>
      <c r="G91" s="17"/>
    </row>
    <row r="92" spans="1:7" x14ac:dyDescent="0.25">
      <c r="A92" s="101" t="s">
        <v>218</v>
      </c>
      <c r="B92" s="17">
        <v>23110810</v>
      </c>
      <c r="C92" s="17">
        <v>6940375</v>
      </c>
      <c r="D92" s="17">
        <f t="shared" si="1"/>
        <v>6940375</v>
      </c>
      <c r="E92" s="49">
        <f>VLOOKUP($A92,'Data shares'!$C:$FA,128)*100</f>
        <v>22.939999999999998</v>
      </c>
      <c r="F92" s="49">
        <f>VLOOKUP($A92,'Data shares'!$C:$FA,129)</f>
        <v>628650</v>
      </c>
      <c r="G92" s="17"/>
    </row>
    <row r="93" spans="1:7" x14ac:dyDescent="0.25">
      <c r="A93" s="101" t="s">
        <v>236</v>
      </c>
      <c r="B93" s="17">
        <v>77000080</v>
      </c>
      <c r="C93" s="17">
        <v>25785375</v>
      </c>
      <c r="D93" s="17">
        <f t="shared" si="1"/>
        <v>25785375</v>
      </c>
      <c r="E93" s="49">
        <f>VLOOKUP($A93,'Data shares'!$C:$FA,128)*100</f>
        <v>0</v>
      </c>
      <c r="F93" s="49">
        <f>VLOOKUP($A93,'Data shares'!$C:$FA,129)</f>
        <v>0</v>
      </c>
      <c r="G93" s="17"/>
    </row>
    <row r="94" spans="1:7" x14ac:dyDescent="0.25">
      <c r="A94" s="101" t="s">
        <v>246</v>
      </c>
      <c r="B94" s="17">
        <v>293666614</v>
      </c>
      <c r="C94" s="17">
        <v>30730800</v>
      </c>
      <c r="D94" s="17">
        <f t="shared" si="1"/>
        <v>30730800</v>
      </c>
      <c r="E94" s="49">
        <f>VLOOKUP($A94,'Data shares'!$C:$FA,128)*100</f>
        <v>37.04</v>
      </c>
      <c r="F94" s="49">
        <f>VLOOKUP($A94,'Data shares'!$C:$FA,129)</f>
        <v>5777600</v>
      </c>
      <c r="G94" s="17"/>
    </row>
    <row r="95" spans="1:7" x14ac:dyDescent="0.25">
      <c r="A95" s="101" t="s">
        <v>532</v>
      </c>
      <c r="B95" s="17">
        <v>32892110</v>
      </c>
      <c r="C95" s="17">
        <v>6216000</v>
      </c>
      <c r="D95" s="17">
        <f t="shared" si="1"/>
        <v>6216000</v>
      </c>
      <c r="E95" s="49">
        <f>VLOOKUP($A95,'Data shares'!$C:$FA,128)*100</f>
        <v>33.44</v>
      </c>
      <c r="F95" s="49">
        <f>VLOOKUP($A95,'Data shares'!$C:$FA,129)</f>
        <v>1780750</v>
      </c>
      <c r="G95" s="17"/>
    </row>
    <row r="96" spans="1:7" x14ac:dyDescent="0.25">
      <c r="A96" s="101" t="s">
        <v>242</v>
      </c>
      <c r="B96" s="17">
        <v>2461627231</v>
      </c>
      <c r="C96" s="17">
        <v>322832000</v>
      </c>
      <c r="D96" s="17">
        <f t="shared" si="1"/>
        <v>322832000</v>
      </c>
      <c r="E96" s="49">
        <f>VLOOKUP($A96,'Data shares'!$C:$FA,128)*100</f>
        <v>33.35</v>
      </c>
      <c r="F96" s="49">
        <f>VLOOKUP($A96,'Data shares'!$C:$FA,129)</f>
        <v>23600000</v>
      </c>
      <c r="G96" s="17"/>
    </row>
    <row r="97" spans="1:7" x14ac:dyDescent="0.25">
      <c r="A97" s="101" t="s">
        <v>165</v>
      </c>
      <c r="B97" s="17">
        <v>20321931</v>
      </c>
      <c r="C97" s="17">
        <v>3675125</v>
      </c>
      <c r="D97" s="17">
        <f t="shared" si="1"/>
        <v>3675125</v>
      </c>
      <c r="E97" s="49">
        <f>VLOOKUP($A97,'Data shares'!$C:$FA,128)*100</f>
        <v>29.110000000000003</v>
      </c>
      <c r="F97" s="49">
        <f>VLOOKUP($A97,'Data shares'!$C:$FA,129)</f>
        <v>359375</v>
      </c>
      <c r="G97" s="17"/>
    </row>
    <row r="98" spans="1:7" x14ac:dyDescent="0.25">
      <c r="A98" s="101" t="s">
        <v>503</v>
      </c>
      <c r="B98" s="17">
        <v>17788750</v>
      </c>
      <c r="C98" s="17">
        <v>925925</v>
      </c>
      <c r="D98" s="17">
        <f t="shared" si="1"/>
        <v>925925</v>
      </c>
      <c r="E98" s="49">
        <f>VLOOKUP($A98,'Data shares'!$C:$FA,128)*100</f>
        <v>39.92</v>
      </c>
      <c r="F98" s="49">
        <f>VLOOKUP($A98,'Data shares'!$C:$FA,129)</f>
        <v>1513425</v>
      </c>
      <c r="G98" s="17"/>
    </row>
    <row r="99" spans="1:7" x14ac:dyDescent="0.25">
      <c r="A99" s="101" t="s">
        <v>192</v>
      </c>
      <c r="B99" s="17">
        <v>1737683</v>
      </c>
      <c r="C99" s="17">
        <v>235900</v>
      </c>
      <c r="D99" s="17">
        <f t="shared" si="1"/>
        <v>235900</v>
      </c>
      <c r="E99" s="49">
        <f>VLOOKUP($A99,'Data shares'!$C:$FA,128)*100</f>
        <v>37.340000000000003</v>
      </c>
      <c r="F99" s="49">
        <f>VLOOKUP($A99,'Data shares'!$C:$FA,129)</f>
        <v>26000</v>
      </c>
      <c r="G99" s="17"/>
    </row>
    <row r="100" spans="1:7" x14ac:dyDescent="0.25">
      <c r="A100" s="101" t="s">
        <v>531</v>
      </c>
      <c r="B100" s="17">
        <v>33015657</v>
      </c>
      <c r="C100" s="17">
        <v>9033700</v>
      </c>
      <c r="D100" s="17">
        <f t="shared" si="1"/>
        <v>9033700</v>
      </c>
      <c r="E100" s="49">
        <f>VLOOKUP($A100,'Data shares'!$C:$FA,128)*100</f>
        <v>30.95</v>
      </c>
      <c r="F100" s="49">
        <f>VLOOKUP($A100,'Data shares'!$C:$FA,129)</f>
        <v>2160375</v>
      </c>
      <c r="G100" s="17"/>
    </row>
    <row r="101" spans="1:7" x14ac:dyDescent="0.25">
      <c r="A101" s="101" t="s">
        <v>494</v>
      </c>
      <c r="B101" s="17">
        <v>147873568</v>
      </c>
      <c r="C101" s="17">
        <v>20386400</v>
      </c>
      <c r="D101" s="17">
        <f t="shared" si="1"/>
        <v>20386400</v>
      </c>
      <c r="E101" s="49">
        <f>VLOOKUP($A101,'Data shares'!$C:$FA,128)*100</f>
        <v>28.37</v>
      </c>
      <c r="F101" s="49">
        <f>VLOOKUP($A101,'Data shares'!$C:$FA,129)</f>
        <v>7295400</v>
      </c>
      <c r="G101" s="17"/>
    </row>
    <row r="102" spans="1:7" x14ac:dyDescent="0.25">
      <c r="A102" s="101" t="s">
        <v>473</v>
      </c>
      <c r="B102" s="17">
        <v>162372116</v>
      </c>
      <c r="C102" s="17">
        <v>43206800</v>
      </c>
      <c r="D102" s="17">
        <f t="shared" si="1"/>
        <v>43206800</v>
      </c>
      <c r="E102" s="49">
        <f>VLOOKUP($A102,'Data shares'!$C:$FA,128)*100</f>
        <v>31.900000000000002</v>
      </c>
      <c r="F102" s="49">
        <f>VLOOKUP($A102,'Data shares'!$C:$FA,129)</f>
        <v>17872100</v>
      </c>
      <c r="G102" s="17"/>
    </row>
    <row r="103" spans="1:7" x14ac:dyDescent="0.25">
      <c r="A103" s="101" t="s">
        <v>225</v>
      </c>
      <c r="B103" s="17">
        <v>187118353</v>
      </c>
      <c r="C103" s="17">
        <v>49800300</v>
      </c>
      <c r="D103" s="17">
        <f t="shared" si="1"/>
        <v>49800300</v>
      </c>
      <c r="E103" s="49">
        <f>VLOOKUP($A103,'Data shares'!$C:$FA,128)*100</f>
        <v>31.269999999999996</v>
      </c>
      <c r="F103" s="49">
        <f>VLOOKUP($A103,'Data shares'!$C:$FA,129)</f>
        <v>2264900</v>
      </c>
      <c r="G103" s="17"/>
    </row>
    <row r="104" spans="1:7" x14ac:dyDescent="0.25">
      <c r="A104" s="101" t="s">
        <v>504</v>
      </c>
      <c r="B104" s="17">
        <v>12641694</v>
      </c>
      <c r="C104" s="17">
        <v>6728400</v>
      </c>
      <c r="D104" s="17">
        <f t="shared" si="1"/>
        <v>6728400</v>
      </c>
      <c r="E104" s="49">
        <f>VLOOKUP($A104,'Data shares'!$C:$FA,128)*100</f>
        <v>29.189999999999998</v>
      </c>
      <c r="F104" s="49">
        <f>VLOOKUP($A104,'Data shares'!$C:$FA,129)</f>
        <v>578600</v>
      </c>
      <c r="G104" s="17"/>
    </row>
    <row r="105" spans="1:7" x14ac:dyDescent="0.25">
      <c r="A105" s="101" t="s">
        <v>537</v>
      </c>
      <c r="B105" s="17">
        <v>6343591</v>
      </c>
      <c r="C105" s="17">
        <v>1262250</v>
      </c>
      <c r="D105" s="17">
        <f t="shared" si="1"/>
        <v>1262250</v>
      </c>
      <c r="E105" s="49">
        <f>VLOOKUP($A105,'Data shares'!$C:$FA,128)*100</f>
        <v>47.06</v>
      </c>
      <c r="F105" s="49">
        <f>VLOOKUP($A105,'Data shares'!$C:$FA,129)</f>
        <v>5103375</v>
      </c>
      <c r="G105" s="17"/>
    </row>
    <row r="106" spans="1:7" x14ac:dyDescent="0.25">
      <c r="A106" s="101" t="s">
        <v>256</v>
      </c>
      <c r="B106" s="17">
        <v>62880735</v>
      </c>
      <c r="C106" s="17">
        <v>20391250</v>
      </c>
      <c r="D106" s="17">
        <f t="shared" si="1"/>
        <v>20391250</v>
      </c>
      <c r="E106" s="49">
        <f>VLOOKUP($A106,'Data shares'!$C:$FA,128)*100</f>
        <v>27.38</v>
      </c>
      <c r="F106" s="49">
        <f>VLOOKUP($A106,'Data shares'!$C:$FA,129)</f>
        <v>498675</v>
      </c>
      <c r="G106" s="17"/>
    </row>
    <row r="107" spans="1:7" x14ac:dyDescent="0.25">
      <c r="A107" s="101" t="s">
        <v>514</v>
      </c>
      <c r="B107" s="17">
        <v>179174844</v>
      </c>
      <c r="C107" s="17">
        <v>67477500</v>
      </c>
      <c r="D107" s="17">
        <f t="shared" si="1"/>
        <v>67477500</v>
      </c>
      <c r="E107" s="49">
        <f>VLOOKUP($A107,'Data shares'!$C:$FA,128)*100</f>
        <v>27.92</v>
      </c>
      <c r="F107" s="49">
        <f>VLOOKUP($A107,'Data shares'!$C:$FA,129)</f>
        <v>10867500</v>
      </c>
      <c r="G107" s="17"/>
    </row>
    <row r="108" spans="1:7" x14ac:dyDescent="0.25">
      <c r="A108" s="101" t="s">
        <v>272</v>
      </c>
      <c r="B108" s="17">
        <v>150000017</v>
      </c>
      <c r="C108" s="17">
        <v>35217000</v>
      </c>
      <c r="D108" s="17">
        <f t="shared" si="1"/>
        <v>35217000</v>
      </c>
      <c r="E108" s="49">
        <f>VLOOKUP($A108,'Data shares'!$C:$FA,128)*100</f>
        <v>31.419999999999998</v>
      </c>
      <c r="F108" s="49">
        <f>VLOOKUP($A108,'Data shares'!$C:$FA,129)</f>
        <v>2402600</v>
      </c>
      <c r="G108" s="17"/>
    </row>
    <row r="109" spans="1:7" x14ac:dyDescent="0.25">
      <c r="A109" s="101" t="s">
        <v>470</v>
      </c>
      <c r="B109" s="17">
        <v>6091932</v>
      </c>
      <c r="C109" s="17">
        <v>1893300</v>
      </c>
      <c r="D109" s="17">
        <f t="shared" si="1"/>
        <v>1893300</v>
      </c>
      <c r="E109" s="49">
        <f>VLOOKUP($A109,'Data shares'!$C:$FA,128)*100</f>
        <v>28.22</v>
      </c>
      <c r="F109" s="49">
        <f>VLOOKUP($A109,'Data shares'!$C:$FA,129)</f>
        <v>952500</v>
      </c>
      <c r="G109" s="17"/>
    </row>
    <row r="110" spans="1:7" x14ac:dyDescent="0.25">
      <c r="A110" s="101" t="s">
        <v>176</v>
      </c>
      <c r="B110" s="17">
        <v>12437219</v>
      </c>
      <c r="C110" s="17">
        <v>1155950</v>
      </c>
      <c r="D110" s="17">
        <f t="shared" si="1"/>
        <v>1155950</v>
      </c>
      <c r="E110" s="49">
        <f>VLOOKUP($A110,'Data shares'!$C:$FA,128)*100</f>
        <v>38.769999999999996</v>
      </c>
      <c r="F110" s="49">
        <f>VLOOKUP($A110,'Data shares'!$C:$FA,129)</f>
        <v>2480250</v>
      </c>
      <c r="G110" s="17"/>
    </row>
    <row r="111" spans="1:7" x14ac:dyDescent="0.25">
      <c r="A111" s="101" t="s">
        <v>524</v>
      </c>
      <c r="B111" s="17">
        <v>16479425</v>
      </c>
      <c r="C111" s="17">
        <v>1670750</v>
      </c>
      <c r="D111" s="17">
        <f t="shared" si="1"/>
        <v>1670750</v>
      </c>
      <c r="E111" s="49">
        <f>VLOOKUP($A111,'Data shares'!$C:$FA,128)*100</f>
        <v>29.959999999999997</v>
      </c>
      <c r="F111" s="49">
        <f>VLOOKUP($A111,'Data shares'!$C:$FA,129)</f>
        <v>473200</v>
      </c>
      <c r="G111" s="17"/>
    </row>
    <row r="112" spans="1:7" x14ac:dyDescent="0.25">
      <c r="A112" s="101" t="s">
        <v>487</v>
      </c>
      <c r="B112" s="17">
        <v>16533935</v>
      </c>
      <c r="C112" s="17">
        <v>1807050</v>
      </c>
      <c r="D112" s="17">
        <f t="shared" si="1"/>
        <v>1807050</v>
      </c>
      <c r="E112" s="49">
        <f>VLOOKUP($A112,'Data shares'!$C:$FA,128)*100</f>
        <v>27.11</v>
      </c>
      <c r="F112" s="49">
        <f>VLOOKUP($A112,'Data shares'!$C:$FA,129)</f>
        <v>760925</v>
      </c>
      <c r="G112" s="17"/>
    </row>
    <row r="113" spans="1:7" x14ac:dyDescent="0.25">
      <c r="A113" s="101" t="s">
        <v>305</v>
      </c>
      <c r="B113" s="17">
        <v>46126252</v>
      </c>
      <c r="C113" s="17">
        <v>7513500</v>
      </c>
      <c r="D113" s="17">
        <f t="shared" si="1"/>
        <v>7513500</v>
      </c>
      <c r="E113" s="49">
        <f>VLOOKUP($A113,'Data shares'!$C:$FA,128)*100</f>
        <v>47.06</v>
      </c>
      <c r="F113" s="49">
        <f>VLOOKUP($A113,'Data shares'!$C:$FA,129)</f>
        <v>5103375</v>
      </c>
      <c r="G113" s="17"/>
    </row>
    <row r="114" spans="1:7" x14ac:dyDescent="0.25">
      <c r="A114" s="101" t="s">
        <v>238</v>
      </c>
      <c r="B114" s="17">
        <v>19428657</v>
      </c>
      <c r="C114" s="17">
        <v>5637750</v>
      </c>
      <c r="D114" s="17">
        <f t="shared" si="1"/>
        <v>5637750</v>
      </c>
      <c r="E114" s="49">
        <f>VLOOKUP($A114,'Data shares'!$C:$FA,128)*100</f>
        <v>36.28</v>
      </c>
      <c r="F114" s="49">
        <f>VLOOKUP($A114,'Data shares'!$C:$FA,129)</f>
        <v>991350</v>
      </c>
      <c r="G114" s="17"/>
    </row>
    <row r="115" spans="1:7" x14ac:dyDescent="0.25">
      <c r="A115" s="101" t="s">
        <v>527</v>
      </c>
      <c r="B115" s="17">
        <v>7494363</v>
      </c>
      <c r="C115" s="17">
        <v>739375</v>
      </c>
      <c r="D115" s="17">
        <f t="shared" si="1"/>
        <v>739375</v>
      </c>
      <c r="E115" s="49">
        <f>VLOOKUP($A115,'Data shares'!$C:$FA,128)*100</f>
        <v>37.26</v>
      </c>
      <c r="F115" s="49">
        <f>VLOOKUP($A115,'Data shares'!$C:$FA,129)</f>
        <v>36403850</v>
      </c>
      <c r="G115" s="17"/>
    </row>
    <row r="116" spans="1:7" x14ac:dyDescent="0.25">
      <c r="A116" s="101" t="s">
        <v>489</v>
      </c>
      <c r="B116" s="17">
        <v>9087752</v>
      </c>
      <c r="C116" s="17">
        <v>1575750</v>
      </c>
      <c r="D116" s="17">
        <f t="shared" si="1"/>
        <v>1575750</v>
      </c>
      <c r="E116" s="49">
        <f>VLOOKUP($A116,'Data shares'!$C:$FA,128)*100</f>
        <v>23.97</v>
      </c>
      <c r="F116" s="49">
        <f>VLOOKUP($A116,'Data shares'!$C:$FA,129)</f>
        <v>5082590</v>
      </c>
      <c r="G116" s="17"/>
    </row>
    <row r="117" spans="1:7" x14ac:dyDescent="0.25">
      <c r="A117" s="101" t="s">
        <v>484</v>
      </c>
      <c r="B117" s="17">
        <v>3300938</v>
      </c>
      <c r="C117" s="17">
        <v>190125</v>
      </c>
      <c r="D117" s="17">
        <f t="shared" si="1"/>
        <v>190125</v>
      </c>
      <c r="E117" s="49">
        <f>VLOOKUP($A117,'Data shares'!$C:$FA,128)*100</f>
        <v>46.19</v>
      </c>
      <c r="F117" s="49">
        <f>VLOOKUP($A117,'Data shares'!$C:$FA,129)</f>
        <v>27142700</v>
      </c>
      <c r="G117" s="17"/>
    </row>
    <row r="118" spans="1:7" x14ac:dyDescent="0.25">
      <c r="A118" s="101" t="s">
        <v>285</v>
      </c>
      <c r="B118" s="17">
        <v>17806068</v>
      </c>
      <c r="C118" s="17">
        <v>1857900</v>
      </c>
      <c r="D118" s="17">
        <f t="shared" si="1"/>
        <v>1857900</v>
      </c>
      <c r="E118" s="49">
        <f>VLOOKUP($A118,'Data shares'!$C:$FA,128)*100</f>
        <v>29.25</v>
      </c>
      <c r="F118" s="49">
        <f>VLOOKUP($A118,'Data shares'!$C:$FA,129)</f>
        <v>291825</v>
      </c>
      <c r="G118" s="17"/>
    </row>
    <row r="119" spans="1:7" x14ac:dyDescent="0.25">
      <c r="A119" s="101" t="s">
        <v>554</v>
      </c>
      <c r="B119" s="17">
        <v>18562709</v>
      </c>
      <c r="C119" s="17">
        <v>2173500</v>
      </c>
      <c r="D119" s="17">
        <f t="shared" si="1"/>
        <v>2173500</v>
      </c>
      <c r="E119" s="49">
        <f>VLOOKUP($A119,'Data shares'!$C:$FA,128)*100</f>
        <v>43.169999999999995</v>
      </c>
      <c r="F119" s="49">
        <f>VLOOKUP($A119,'Data shares'!$C:$FA,129)</f>
        <v>23240969</v>
      </c>
      <c r="G119" s="17"/>
    </row>
    <row r="120" spans="1:7" x14ac:dyDescent="0.25">
      <c r="A120" s="101" t="s">
        <v>293</v>
      </c>
      <c r="B120" s="17">
        <v>339616396</v>
      </c>
      <c r="C120" s="17">
        <v>214528500</v>
      </c>
      <c r="D120" s="17">
        <f t="shared" si="1"/>
        <v>214528500</v>
      </c>
      <c r="E120" s="49">
        <f>VLOOKUP($A120,'Data shares'!$C:$FA,128)*100</f>
        <v>27.12</v>
      </c>
      <c r="F120" s="49">
        <f>VLOOKUP($A120,'Data shares'!$C:$FA,129)</f>
        <v>7732850</v>
      </c>
      <c r="G120" s="17"/>
    </row>
    <row r="121" spans="1:7" x14ac:dyDescent="0.25">
      <c r="A121" s="101" t="s">
        <v>282</v>
      </c>
      <c r="B121" s="17">
        <v>289139949</v>
      </c>
      <c r="C121" s="17">
        <v>230878500</v>
      </c>
      <c r="D121" s="17">
        <f t="shared" si="1"/>
        <v>230878500</v>
      </c>
      <c r="E121" s="49">
        <f>VLOOKUP($A121,'Data shares'!$C:$FA,128)*100</f>
        <v>10.07</v>
      </c>
      <c r="F121" s="49">
        <f>VLOOKUP($A121,'Data shares'!$C:$FA,129)</f>
        <v>13630000</v>
      </c>
      <c r="G121" s="17"/>
    </row>
    <row r="122" spans="1:7" x14ac:dyDescent="0.25">
      <c r="A122" s="101" t="s">
        <v>248</v>
      </c>
      <c r="B122" s="17">
        <v>60244101</v>
      </c>
      <c r="C122" s="17">
        <v>36578000</v>
      </c>
      <c r="D122" s="17">
        <f t="shared" si="1"/>
        <v>36578000</v>
      </c>
      <c r="E122" s="49">
        <f>VLOOKUP($A122,'Data shares'!$C:$FA,128)*100</f>
        <v>25.71</v>
      </c>
      <c r="F122" s="49">
        <f>VLOOKUP($A122,'Data shares'!$C:$FA,129)</f>
        <v>3980000</v>
      </c>
      <c r="G122" s="17"/>
    </row>
    <row r="123" spans="1:7" x14ac:dyDescent="0.25">
      <c r="A123" s="101" t="s">
        <v>189</v>
      </c>
      <c r="B123" s="17">
        <v>510707358</v>
      </c>
      <c r="C123" s="17">
        <v>94385350</v>
      </c>
      <c r="D123" s="17">
        <f t="shared" si="1"/>
        <v>94385350</v>
      </c>
      <c r="E123" s="49">
        <f>VLOOKUP($A123,'Data shares'!$C:$FA,128)*100</f>
        <v>45.76</v>
      </c>
      <c r="F123" s="49">
        <f>VLOOKUP($A123,'Data shares'!$C:$FA,129)</f>
        <v>8426975</v>
      </c>
      <c r="G123" s="17"/>
    </row>
    <row r="124" spans="1:7" x14ac:dyDescent="0.25">
      <c r="A124" s="101" t="s">
        <v>213</v>
      </c>
      <c r="B124" s="17">
        <v>425164259</v>
      </c>
      <c r="C124" s="17">
        <v>85375600</v>
      </c>
      <c r="D124" s="17">
        <f t="shared" si="1"/>
        <v>85375600</v>
      </c>
      <c r="E124" s="49">
        <f>VLOOKUP($A124,'Data shares'!$C:$FA,128)*100</f>
        <v>25.3</v>
      </c>
      <c r="F124" s="49">
        <f>VLOOKUP($A124,'Data shares'!$C:$FA,129)</f>
        <v>8851500</v>
      </c>
      <c r="G124" s="17"/>
    </row>
    <row r="125" spans="1:7" x14ac:dyDescent="0.25">
      <c r="A125" s="101" t="s">
        <v>295</v>
      </c>
      <c r="B125" s="17">
        <v>205769415</v>
      </c>
      <c r="C125" s="17">
        <v>21452100</v>
      </c>
      <c r="D125" s="17">
        <f t="shared" si="1"/>
        <v>21452100</v>
      </c>
      <c r="E125" s="49">
        <f>VLOOKUP($A125,'Data shares'!$C:$FA,128)*100</f>
        <v>42.36</v>
      </c>
      <c r="F125" s="49">
        <f>VLOOKUP($A125,'Data shares'!$C:$FA,129)</f>
        <v>4985400</v>
      </c>
      <c r="G125" s="17"/>
    </row>
    <row r="126" spans="1:7" x14ac:dyDescent="0.25">
      <c r="A126" s="101" t="s">
        <v>490</v>
      </c>
      <c r="B126" s="17">
        <v>52165566</v>
      </c>
      <c r="C126" s="17">
        <v>22212750</v>
      </c>
      <c r="D126" s="17">
        <f t="shared" si="1"/>
        <v>22212750</v>
      </c>
      <c r="E126" s="49">
        <f>VLOOKUP($A126,'Data shares'!$C:$FA,128)*100</f>
        <v>42.86</v>
      </c>
      <c r="F126" s="49">
        <f>VLOOKUP($A126,'Data shares'!$C:$FA,129)</f>
        <v>3882375</v>
      </c>
      <c r="G126" s="17"/>
    </row>
    <row r="127" spans="1:7" x14ac:dyDescent="0.25">
      <c r="A127" s="101" t="s">
        <v>260</v>
      </c>
      <c r="B127" s="17">
        <v>241729538</v>
      </c>
      <c r="C127" s="17">
        <v>65383500</v>
      </c>
      <c r="D127" s="17">
        <f t="shared" si="1"/>
        <v>65383500</v>
      </c>
      <c r="E127" s="49">
        <f>VLOOKUP($A127,'Data shares'!$C:$FA,128)*100</f>
        <v>31.41</v>
      </c>
      <c r="F127" s="49">
        <f>VLOOKUP($A127,'Data shares'!$C:$FA,129)</f>
        <v>21992400</v>
      </c>
      <c r="G127" s="17"/>
    </row>
    <row r="128" spans="1:7" x14ac:dyDescent="0.25">
      <c r="A128" s="101" t="s">
        <v>171</v>
      </c>
      <c r="B128" s="17">
        <v>56444627</v>
      </c>
      <c r="C128" s="17">
        <v>23336250</v>
      </c>
      <c r="D128" s="17">
        <f t="shared" si="1"/>
        <v>23336250</v>
      </c>
      <c r="E128" s="49">
        <f>VLOOKUP($A128,'Data shares'!$C:$FA,128)*100</f>
        <v>43.13</v>
      </c>
      <c r="F128" s="49">
        <f>VLOOKUP($A128,'Data shares'!$C:$FA,129)</f>
        <v>5107300</v>
      </c>
      <c r="G128" s="17"/>
    </row>
    <row r="129" spans="1:7" x14ac:dyDescent="0.25">
      <c r="A129" s="101" t="s">
        <v>462</v>
      </c>
      <c r="B129" s="17">
        <v>88648462</v>
      </c>
      <c r="C129" s="17">
        <v>11150250</v>
      </c>
      <c r="D129" s="17">
        <f t="shared" si="1"/>
        <v>11150250</v>
      </c>
      <c r="E129" s="49">
        <f>VLOOKUP($A129,'Data shares'!$C:$FA,128)*100</f>
        <v>31.75</v>
      </c>
      <c r="F129" s="49">
        <f>VLOOKUP($A129,'Data shares'!$C:$FA,129)</f>
        <v>670875</v>
      </c>
      <c r="G129" s="17"/>
    </row>
    <row r="130" spans="1:7" x14ac:dyDescent="0.25">
      <c r="A130" s="101" t="s">
        <v>274</v>
      </c>
      <c r="B130" s="17">
        <v>30511703</v>
      </c>
      <c r="C130" s="17">
        <v>3556000</v>
      </c>
      <c r="D130" s="17">
        <f t="shared" si="1"/>
        <v>3556000</v>
      </c>
      <c r="E130" s="49">
        <f>VLOOKUP($A130,'Data shares'!$C:$FA,128)*100</f>
        <v>31.419999999999998</v>
      </c>
      <c r="F130" s="49">
        <f>VLOOKUP($A130,'Data shares'!$C:$FA,129)</f>
        <v>624500</v>
      </c>
      <c r="G130" s="17"/>
    </row>
    <row r="131" spans="1:7" x14ac:dyDescent="0.25">
      <c r="A131" s="101" t="s">
        <v>279</v>
      </c>
      <c r="B131" s="17">
        <v>119890099</v>
      </c>
      <c r="C131" s="17">
        <v>77232800</v>
      </c>
      <c r="D131" s="17">
        <f t="shared" si="1"/>
        <v>77232800</v>
      </c>
      <c r="E131" s="49">
        <f>VLOOKUP($A131,'Data shares'!$C:$FA,128)*100</f>
        <v>28.04</v>
      </c>
      <c r="F131" s="49">
        <f>VLOOKUP($A131,'Data shares'!$C:$FA,129)</f>
        <v>9671050</v>
      </c>
      <c r="G131" s="17"/>
    </row>
    <row r="132" spans="1:7" x14ac:dyDescent="0.25">
      <c r="A132" s="101" t="s">
        <v>247</v>
      </c>
      <c r="B132" s="17">
        <v>180580821</v>
      </c>
      <c r="C132" s="17">
        <v>128041552</v>
      </c>
      <c r="D132" s="17">
        <f t="shared" si="1"/>
        <v>128041552</v>
      </c>
      <c r="E132" s="49">
        <f>VLOOKUP($A132,'Data shares'!$C:$FA,128)*100</f>
        <v>31.11</v>
      </c>
      <c r="F132" s="49">
        <f>VLOOKUP($A132,'Data shares'!$C:$FA,129)</f>
        <v>725875</v>
      </c>
      <c r="G132" s="17"/>
    </row>
    <row r="133" spans="1:7" x14ac:dyDescent="0.25">
      <c r="A133" s="101" t="s">
        <v>291</v>
      </c>
      <c r="B133" s="17">
        <v>120211514</v>
      </c>
      <c r="C133" s="17">
        <v>18359325</v>
      </c>
      <c r="D133" s="17">
        <f t="shared" si="1"/>
        <v>18359325</v>
      </c>
      <c r="E133" s="49">
        <f>VLOOKUP($A133,'Data shares'!$C:$FA,128)*100</f>
        <v>32.619999999999997</v>
      </c>
      <c r="F133" s="49">
        <f>VLOOKUP($A133,'Data shares'!$C:$FA,129)</f>
        <v>1363450</v>
      </c>
      <c r="G133" s="17"/>
    </row>
    <row r="134" spans="1:7" x14ac:dyDescent="0.25">
      <c r="A134" s="101" t="s">
        <v>269</v>
      </c>
      <c r="B134" s="17">
        <v>996134149</v>
      </c>
      <c r="C134" s="17">
        <v>204565900</v>
      </c>
      <c r="D134" s="17">
        <f t="shared" si="1"/>
        <v>204565900</v>
      </c>
      <c r="E134" s="49">
        <f>VLOOKUP($A134,'Data shares'!$C:$FA,128)*100</f>
        <v>31.619999999999997</v>
      </c>
      <c r="F134" s="49">
        <f>VLOOKUP($A134,'Data shares'!$C:$FA,129)</f>
        <v>11340000</v>
      </c>
      <c r="G134" s="17"/>
    </row>
    <row r="135" spans="1:7" x14ac:dyDescent="0.25">
      <c r="A135" s="101" t="s">
        <v>217</v>
      </c>
      <c r="B135" s="17">
        <v>75218562</v>
      </c>
      <c r="C135" s="17">
        <v>11613000</v>
      </c>
      <c r="D135" s="17">
        <f t="shared" ref="D135:D161" si="2">C135</f>
        <v>11613000</v>
      </c>
      <c r="E135" s="49">
        <f>VLOOKUP($A135,'Data shares'!$C:$FA,128)*100</f>
        <v>32.910000000000004</v>
      </c>
      <c r="F135" s="49">
        <f>VLOOKUP($A135,'Data shares'!$C:$FA,129)</f>
        <v>861500</v>
      </c>
      <c r="G135" s="17"/>
    </row>
    <row r="136" spans="1:7" x14ac:dyDescent="0.25">
      <c r="A136" s="101" t="s">
        <v>495</v>
      </c>
      <c r="B136" s="17">
        <v>44974045</v>
      </c>
      <c r="C136" s="17">
        <v>4232500</v>
      </c>
      <c r="D136" s="17">
        <f t="shared" si="2"/>
        <v>4232500</v>
      </c>
      <c r="E136" s="49">
        <f>VLOOKUP($A136,'Data shares'!$C:$FA,128)*100</f>
        <v>35.06</v>
      </c>
      <c r="F136" s="49">
        <f>VLOOKUP($A136,'Data shares'!$C:$FA,129)</f>
        <v>2240000</v>
      </c>
      <c r="G136" s="17"/>
    </row>
    <row r="137" spans="1:7" x14ac:dyDescent="0.25">
      <c r="A137" s="101" t="s">
        <v>250</v>
      </c>
      <c r="B137" s="17">
        <v>48318354</v>
      </c>
      <c r="C137" s="17">
        <v>18007250</v>
      </c>
      <c r="D137" s="17">
        <f t="shared" si="2"/>
        <v>18007250</v>
      </c>
      <c r="E137" s="49">
        <f>VLOOKUP($A137,'Data shares'!$C:$FA,128)*100</f>
        <v>24.94</v>
      </c>
      <c r="F137" s="49">
        <f>VLOOKUP($A137,'Data shares'!$C:$FA,129)</f>
        <v>857225</v>
      </c>
      <c r="G137" s="17"/>
    </row>
    <row r="138" spans="1:7" x14ac:dyDescent="0.25">
      <c r="A138" s="101" t="s">
        <v>278</v>
      </c>
      <c r="B138" s="17">
        <v>27187764</v>
      </c>
      <c r="C138" s="17">
        <v>3521550</v>
      </c>
      <c r="D138" s="17">
        <f t="shared" si="2"/>
        <v>3521550</v>
      </c>
      <c r="E138" s="49">
        <f>VLOOKUP($A138,'Data shares'!$C:$FA,128)*100</f>
        <v>25.22</v>
      </c>
      <c r="F138" s="49">
        <f>VLOOKUP($A138,'Data shares'!$C:$FA,129)</f>
        <v>240300</v>
      </c>
      <c r="G138" s="17"/>
    </row>
    <row r="139" spans="1:7" x14ac:dyDescent="0.25">
      <c r="A139" s="101" t="s">
        <v>163</v>
      </c>
      <c r="B139" s="17">
        <v>24576009</v>
      </c>
      <c r="C139" s="17">
        <v>11979000</v>
      </c>
      <c r="D139" s="17">
        <f t="shared" si="2"/>
        <v>11979000</v>
      </c>
      <c r="E139" s="49">
        <f>VLOOKUP($A139,'Data shares'!$C:$FA,128)*100</f>
        <v>18.43</v>
      </c>
      <c r="F139" s="49">
        <f>VLOOKUP($A139,'Data shares'!$C:$FA,129)</f>
        <v>75875</v>
      </c>
      <c r="G139" s="17"/>
    </row>
    <row r="140" spans="1:7" x14ac:dyDescent="0.25">
      <c r="A140" s="101" t="s">
        <v>289</v>
      </c>
      <c r="B140" s="17">
        <v>19704232</v>
      </c>
      <c r="C140" s="17">
        <v>15520500</v>
      </c>
      <c r="D140" s="17">
        <f t="shared" si="2"/>
        <v>15520500</v>
      </c>
      <c r="E140" s="49">
        <f>VLOOKUP($A140,'Data shares'!$C:$FA,128)*100</f>
        <v>30.830000000000002</v>
      </c>
      <c r="F140" s="49">
        <f>VLOOKUP($A140,'Data shares'!$C:$FA,129)</f>
        <v>1729350</v>
      </c>
      <c r="G140" s="17"/>
    </row>
    <row r="141" spans="1:7" x14ac:dyDescent="0.25">
      <c r="A141" s="101" t="s">
        <v>529</v>
      </c>
      <c r="B141" s="17">
        <v>10012679</v>
      </c>
      <c r="C141" s="17">
        <v>530550</v>
      </c>
      <c r="D141" s="17">
        <f t="shared" si="2"/>
        <v>530550</v>
      </c>
      <c r="E141" s="49">
        <f>VLOOKUP($A141,'Data shares'!$C:$FA,128)*100</f>
        <v>26.640000000000004</v>
      </c>
      <c r="F141" s="49">
        <f>VLOOKUP($A141,'Data shares'!$C:$FA,129)</f>
        <v>179100</v>
      </c>
      <c r="G141" s="17"/>
    </row>
    <row r="142" spans="1:7" x14ac:dyDescent="0.25">
      <c r="A142" s="101" t="s">
        <v>265</v>
      </c>
      <c r="B142" s="17">
        <v>7180127</v>
      </c>
      <c r="C142" s="17">
        <v>429550</v>
      </c>
      <c r="D142" s="17">
        <f t="shared" si="2"/>
        <v>429550</v>
      </c>
      <c r="E142" s="49">
        <f>VLOOKUP($A142,'Data shares'!$C:$FA,128)*100</f>
        <v>32.800000000000004</v>
      </c>
      <c r="F142" s="49">
        <f>VLOOKUP($A142,'Data shares'!$C:$FA,129)</f>
        <v>1390500</v>
      </c>
      <c r="G142" s="17"/>
    </row>
    <row r="143" spans="1:7" x14ac:dyDescent="0.25">
      <c r="A143" s="101" t="s">
        <v>486</v>
      </c>
      <c r="B143" s="17">
        <v>32559242</v>
      </c>
      <c r="C143" s="17">
        <v>4156800</v>
      </c>
      <c r="D143" s="17">
        <f t="shared" si="2"/>
        <v>4156800</v>
      </c>
      <c r="E143" s="49">
        <f>VLOOKUP($A143,'Data shares'!$C:$FA,128)*100</f>
        <v>36.01</v>
      </c>
      <c r="F143" s="49">
        <f>VLOOKUP($A143,'Data shares'!$C:$FA,129)</f>
        <v>530200</v>
      </c>
      <c r="G143" s="17"/>
    </row>
    <row r="144" spans="1:7" x14ac:dyDescent="0.25">
      <c r="A144" s="101" t="s">
        <v>190</v>
      </c>
      <c r="B144" s="17">
        <v>256482590</v>
      </c>
      <c r="C144" s="17">
        <v>208761000</v>
      </c>
      <c r="D144" s="17">
        <f t="shared" si="2"/>
        <v>208761000</v>
      </c>
      <c r="E144" s="49">
        <f>VLOOKUP($A144,'Data shares'!$C:$FA,128)*100</f>
        <v>31.330000000000002</v>
      </c>
      <c r="F144" s="49">
        <f>VLOOKUP($A144,'Data shares'!$C:$FA,129)</f>
        <v>7686000</v>
      </c>
      <c r="G144" s="17"/>
    </row>
    <row r="145" spans="1:7" x14ac:dyDescent="0.25">
      <c r="A145" s="101" t="s">
        <v>303</v>
      </c>
      <c r="B145" s="17">
        <v>109653438</v>
      </c>
      <c r="C145" s="17">
        <v>37709100</v>
      </c>
      <c r="D145" s="17">
        <f t="shared" si="2"/>
        <v>37709100</v>
      </c>
      <c r="E145" s="49">
        <f>VLOOKUP($A145,'Data shares'!$C:$FA,128)*100</f>
        <v>41.199999999999996</v>
      </c>
      <c r="F145" s="49">
        <f>VLOOKUP($A145,'Data shares'!$C:$FA,129)</f>
        <v>4796700</v>
      </c>
      <c r="G145" s="17"/>
    </row>
    <row r="146" spans="1:7" x14ac:dyDescent="0.25">
      <c r="A146" s="101" t="s">
        <v>255</v>
      </c>
      <c r="B146" s="17">
        <v>26359259</v>
      </c>
      <c r="C146" s="17">
        <v>6916100</v>
      </c>
      <c r="D146" s="17">
        <f t="shared" si="2"/>
        <v>6916100</v>
      </c>
      <c r="E146" s="49">
        <f>VLOOKUP($A146,'Data shares'!$C:$FA,128)*100</f>
        <v>32.22</v>
      </c>
      <c r="F146" s="49">
        <f>VLOOKUP($A146,'Data shares'!$C:$FA,129)</f>
        <v>315950</v>
      </c>
      <c r="G146" s="17"/>
    </row>
    <row r="147" spans="1:7" x14ac:dyDescent="0.25">
      <c r="A147" s="101" t="s">
        <v>180</v>
      </c>
      <c r="B147" s="17">
        <v>372635498</v>
      </c>
      <c r="C147" s="17">
        <v>233426700</v>
      </c>
      <c r="D147" s="17">
        <f t="shared" si="2"/>
        <v>233426700</v>
      </c>
      <c r="E147" s="49">
        <f>VLOOKUP($A147,'Data shares'!$C:$FA,128)*100</f>
        <v>27.91</v>
      </c>
      <c r="F147" s="49">
        <f>VLOOKUP($A147,'Data shares'!$C:$FA,129)</f>
        <v>13668525</v>
      </c>
      <c r="G147" s="17"/>
    </row>
    <row r="148" spans="1:7" x14ac:dyDescent="0.25">
      <c r="A148" s="101" t="s">
        <v>179</v>
      </c>
      <c r="B148" s="17">
        <v>193321473</v>
      </c>
      <c r="C148" s="17">
        <v>47098800</v>
      </c>
      <c r="D148" s="17">
        <f t="shared" si="2"/>
        <v>47098800</v>
      </c>
      <c r="E148" s="49">
        <f>VLOOKUP($A148,'Data shares'!$C:$FA,128)*100</f>
        <v>40.97</v>
      </c>
      <c r="F148" s="49">
        <f>VLOOKUP($A148,'Data shares'!$C:$FA,129)</f>
        <v>39906000</v>
      </c>
    </row>
    <row r="149" spans="1:7" x14ac:dyDescent="0.25">
      <c r="A149" s="101" t="s">
        <v>253</v>
      </c>
      <c r="B149" s="17">
        <v>109926618</v>
      </c>
      <c r="C149" s="17">
        <v>54285000</v>
      </c>
      <c r="D149" s="17">
        <f t="shared" si="2"/>
        <v>54285000</v>
      </c>
      <c r="E149" s="49">
        <f>VLOOKUP($A149,'Data shares'!$C:$FA,128)*100</f>
        <v>35.54</v>
      </c>
      <c r="F149" s="49">
        <f>VLOOKUP($A149,'Data shares'!$C:$FA,129)</f>
        <v>10029000</v>
      </c>
    </row>
    <row r="150" spans="1:7" x14ac:dyDescent="0.25">
      <c r="A150" s="101" t="s">
        <v>261</v>
      </c>
      <c r="B150" s="17">
        <v>611563</v>
      </c>
      <c r="C150" s="17">
        <v>120180</v>
      </c>
      <c r="D150" s="17">
        <f t="shared" si="2"/>
        <v>120180</v>
      </c>
      <c r="E150" s="49">
        <f>VLOOKUP($A150,'Data shares'!$C:$FA,128)*100</f>
        <v>27.11</v>
      </c>
      <c r="F150" s="49">
        <f>VLOOKUP($A150,'Data shares'!$C:$FA,129)</f>
        <v>760925</v>
      </c>
    </row>
    <row r="151" spans="1:7" x14ac:dyDescent="0.25">
      <c r="A151" s="101" t="s">
        <v>164</v>
      </c>
      <c r="B151" s="17">
        <v>145854205</v>
      </c>
      <c r="C151" s="17">
        <v>46824000</v>
      </c>
      <c r="D151" s="17">
        <f t="shared" si="2"/>
        <v>46824000</v>
      </c>
      <c r="E151" s="49">
        <f>VLOOKUP($A151,'Data shares'!$C:$FA,128)*100</f>
        <v>24.8</v>
      </c>
      <c r="F151" s="49">
        <f>VLOOKUP($A151,'Data shares'!$C:$FA,129)</f>
        <v>4700850</v>
      </c>
    </row>
    <row r="152" spans="1:7" x14ac:dyDescent="0.25">
      <c r="A152" s="101" t="s">
        <v>526</v>
      </c>
      <c r="B152" s="17">
        <v>44365911</v>
      </c>
      <c r="C152" s="17">
        <v>20668300</v>
      </c>
      <c r="D152" s="17">
        <f t="shared" si="2"/>
        <v>20668300</v>
      </c>
      <c r="E152" s="49">
        <f>VLOOKUP($A152,'Data shares'!$C:$FA,128)*100</f>
        <v>27.92</v>
      </c>
      <c r="F152" s="49">
        <f>VLOOKUP($A152,'Data shares'!$C:$FA,129)</f>
        <v>3856000</v>
      </c>
    </row>
    <row r="153" spans="1:7" x14ac:dyDescent="0.25">
      <c r="A153" s="101" t="s">
        <v>515</v>
      </c>
      <c r="B153" s="17">
        <v>3083179</v>
      </c>
      <c r="C153" s="17">
        <v>492075</v>
      </c>
      <c r="D153" s="17">
        <f t="shared" si="2"/>
        <v>492075</v>
      </c>
      <c r="E153" s="49">
        <f>VLOOKUP($A153,'Data shares'!$C:$FA,128)*100</f>
        <v>27.92</v>
      </c>
      <c r="F153" s="49">
        <f>VLOOKUP($A153,'Data shares'!$C:$FA,129)</f>
        <v>3856000</v>
      </c>
    </row>
    <row r="154" spans="1:7" x14ac:dyDescent="0.25">
      <c r="A154" s="101" t="s">
        <v>226</v>
      </c>
      <c r="B154" s="17">
        <v>26072630</v>
      </c>
      <c r="C154" s="17">
        <v>9897900</v>
      </c>
      <c r="D154" s="17">
        <f t="shared" si="2"/>
        <v>9897900</v>
      </c>
      <c r="E154" s="49">
        <f>VLOOKUP($A154,'Data shares'!$C:$FA,128)*100</f>
        <v>31.509999999999998</v>
      </c>
      <c r="F154" s="49">
        <f>VLOOKUP($A154,'Data shares'!$C:$FA,129)</f>
        <v>499800</v>
      </c>
    </row>
    <row r="155" spans="1:7" x14ac:dyDescent="0.25">
      <c r="A155" s="101" t="s">
        <v>544</v>
      </c>
      <c r="B155" s="17">
        <v>139989683</v>
      </c>
      <c r="C155" s="17">
        <v>28415200</v>
      </c>
      <c r="D155" s="17">
        <f t="shared" si="2"/>
        <v>28415200</v>
      </c>
      <c r="E155" s="49">
        <f>VLOOKUP($A155,'Data shares'!$C:$FA,128)*100</f>
        <v>24.709999999999997</v>
      </c>
      <c r="F155" s="49">
        <f>VLOOKUP($A155,'Data shares'!$C:$FA,129)</f>
        <v>3372800</v>
      </c>
    </row>
    <row r="156" spans="1:7" x14ac:dyDescent="0.25">
      <c r="A156" s="101" t="s">
        <v>547</v>
      </c>
      <c r="B156" s="17">
        <v>65482129</v>
      </c>
      <c r="C156" s="17">
        <v>33944200</v>
      </c>
      <c r="D156" s="17">
        <f t="shared" si="2"/>
        <v>33944200</v>
      </c>
      <c r="E156" s="49">
        <f>VLOOKUP($A156,'Data shares'!$C:$FA,128)*100</f>
        <v>52.09</v>
      </c>
      <c r="F156" s="49">
        <f>VLOOKUP($A156,'Data shares'!$C:$FA,129)</f>
        <v>21885500</v>
      </c>
    </row>
    <row r="157" spans="1:7" x14ac:dyDescent="0.25">
      <c r="A157" s="101" t="s">
        <v>499</v>
      </c>
      <c r="B157" s="17">
        <v>66687240</v>
      </c>
      <c r="C157" s="17">
        <v>16125200</v>
      </c>
      <c r="D157" s="17">
        <f t="shared" si="2"/>
        <v>16125200</v>
      </c>
      <c r="E157" s="49">
        <f>VLOOKUP($A157,'Data shares'!$C:$FA,128)*100</f>
        <v>24.709999999999997</v>
      </c>
      <c r="F157" s="49">
        <f>VLOOKUP($A157,'Data shares'!$C:$FA,129)</f>
        <v>3372800</v>
      </c>
    </row>
    <row r="158" spans="1:7" x14ac:dyDescent="0.25">
      <c r="A158" s="101" t="s">
        <v>483</v>
      </c>
      <c r="B158" s="17">
        <v>16146181</v>
      </c>
      <c r="C158" s="17">
        <v>1914250</v>
      </c>
      <c r="D158" s="17">
        <f t="shared" si="2"/>
        <v>1914250</v>
      </c>
      <c r="E158" s="49">
        <f>VLOOKUP($A158,'Data shares'!$C:$FA,128)*100</f>
        <v>30.990000000000002</v>
      </c>
      <c r="F158" s="49">
        <f>VLOOKUP($A158,'Data shares'!$C:$FA,129)</f>
        <v>291025</v>
      </c>
    </row>
    <row r="159" spans="1:7" x14ac:dyDescent="0.25">
      <c r="A159" s="101" t="s">
        <v>546</v>
      </c>
      <c r="B159" s="17">
        <v>18282414</v>
      </c>
      <c r="C159" s="17">
        <v>13742300</v>
      </c>
      <c r="D159" s="17">
        <f t="shared" si="2"/>
        <v>13742300</v>
      </c>
      <c r="E159" s="49">
        <f>VLOOKUP($A159,'Data shares'!$C:$FA,128)*100</f>
        <v>34.57</v>
      </c>
      <c r="F159" s="49">
        <f>VLOOKUP($A159,'Data shares'!$C:$FA,129)</f>
        <v>44939925</v>
      </c>
    </row>
    <row r="160" spans="1:7" x14ac:dyDescent="0.25">
      <c r="A160" s="101" t="s">
        <v>220</v>
      </c>
      <c r="B160" s="17">
        <v>50687734</v>
      </c>
      <c r="C160" s="17">
        <v>6783500</v>
      </c>
      <c r="D160" s="17">
        <f t="shared" si="2"/>
        <v>6783500</v>
      </c>
      <c r="E160" s="49">
        <f>VLOOKUP($A160,'Data shares'!$C:$FA,128)*100</f>
        <v>34.260000000000005</v>
      </c>
      <c r="F160" s="49">
        <f>VLOOKUP($A160,'Data shares'!$C:$FA,129)</f>
        <v>929000</v>
      </c>
    </row>
    <row r="161" spans="1:6" x14ac:dyDescent="0.25">
      <c r="A161" s="101" t="s">
        <v>472</v>
      </c>
      <c r="B161" s="17">
        <v>50993734</v>
      </c>
      <c r="C161" s="17">
        <v>3803750</v>
      </c>
      <c r="D161" s="17">
        <f t="shared" si="2"/>
        <v>3803750</v>
      </c>
      <c r="E161" s="49">
        <f>VLOOKUP($A161,'Data shares'!$C:$FA,128)*100</f>
        <v>23.54</v>
      </c>
      <c r="F161" s="49">
        <f>VLOOKUP($A161,'Data shares'!$C:$FA,129)</f>
        <v>459550</v>
      </c>
    </row>
    <row r="162" spans="1:6" x14ac:dyDescent="0.25">
      <c r="A162" t="s">
        <v>535</v>
      </c>
      <c r="B162">
        <v>78168147</v>
      </c>
      <c r="C162">
        <v>9571500</v>
      </c>
      <c r="D162" s="17">
        <f t="shared" ref="D162:D204" si="3">C162</f>
        <v>9571500</v>
      </c>
      <c r="E162" s="49">
        <f>VLOOKUP($A162,'Data shares'!$C:$FA,128)*100</f>
        <v>28.59</v>
      </c>
      <c r="F162" s="49">
        <f>VLOOKUP($A162,'Data shares'!$C:$FA,129)</f>
        <v>3207900</v>
      </c>
    </row>
    <row r="163" spans="1:6" x14ac:dyDescent="0.25">
      <c r="A163" t="s">
        <v>492</v>
      </c>
      <c r="B163">
        <v>28779078</v>
      </c>
      <c r="C163">
        <v>14404150</v>
      </c>
      <c r="D163" s="17">
        <f t="shared" si="3"/>
        <v>14404150</v>
      </c>
      <c r="E163" s="49">
        <f>VLOOKUP($A163,'Data shares'!$C:$FA,128)*100</f>
        <v>22.939999999999998</v>
      </c>
      <c r="F163" s="49">
        <f>VLOOKUP($A163,'Data shares'!$C:$FA,129)</f>
        <v>628650</v>
      </c>
    </row>
    <row r="164" spans="1:6" x14ac:dyDescent="0.25">
      <c r="A164" t="s">
        <v>298</v>
      </c>
      <c r="B164">
        <v>9731600</v>
      </c>
      <c r="C164">
        <v>863500</v>
      </c>
      <c r="D164" s="17">
        <f t="shared" si="3"/>
        <v>863500</v>
      </c>
      <c r="E164" s="49">
        <f>VLOOKUP($A164,'Data shares'!$C:$FA,128)*100</f>
        <v>38.129999999999995</v>
      </c>
      <c r="F164" s="49">
        <f>VLOOKUP($A164,'Data shares'!$C:$FA,129)</f>
        <v>169500</v>
      </c>
    </row>
    <row r="165" spans="1:6" x14ac:dyDescent="0.25">
      <c r="A165" t="s">
        <v>548</v>
      </c>
      <c r="B165">
        <v>442076</v>
      </c>
      <c r="C165">
        <v>9615</v>
      </c>
      <c r="D165" s="17">
        <f t="shared" si="3"/>
        <v>9615</v>
      </c>
      <c r="E165" s="49">
        <f>VLOOKUP($A165,'Data shares'!$C:$FA,128)*100</f>
        <v>32.28</v>
      </c>
      <c r="F165" s="49">
        <f>VLOOKUP($A165,'Data shares'!$C:$FA,129)</f>
        <v>7595000</v>
      </c>
    </row>
    <row r="166" spans="1:6" x14ac:dyDescent="0.25">
      <c r="A166" t="s">
        <v>530</v>
      </c>
      <c r="B166">
        <v>3258166</v>
      </c>
      <c r="C166">
        <v>219750</v>
      </c>
      <c r="D166" s="17">
        <f t="shared" si="3"/>
        <v>219750</v>
      </c>
      <c r="E166" s="49">
        <f>VLOOKUP($A166,'Data shares'!$C:$FA,128)*100</f>
        <v>39.92</v>
      </c>
      <c r="F166" s="49">
        <f>VLOOKUP($A166,'Data shares'!$C:$FA,129)</f>
        <v>1513425</v>
      </c>
    </row>
    <row r="167" spans="1:6" x14ac:dyDescent="0.25">
      <c r="A167" t="s">
        <v>249</v>
      </c>
      <c r="B167">
        <v>277168216</v>
      </c>
      <c r="C167">
        <v>21795375</v>
      </c>
      <c r="D167" s="17">
        <f t="shared" si="3"/>
        <v>21795375</v>
      </c>
      <c r="E167" s="49">
        <f>VLOOKUP($A167,'Data shares'!$C:$FA,128)*100</f>
        <v>41.839999999999996</v>
      </c>
      <c r="F167" s="49">
        <f>VLOOKUP($A167,'Data shares'!$C:$FA,129)</f>
        <v>2286900</v>
      </c>
    </row>
    <row r="168" spans="1:6" x14ac:dyDescent="0.25">
      <c r="A168" t="s">
        <v>216</v>
      </c>
      <c r="B168">
        <v>484955219</v>
      </c>
      <c r="C168">
        <v>230400000</v>
      </c>
      <c r="D168" s="17">
        <f t="shared" si="3"/>
        <v>230400000</v>
      </c>
      <c r="E168" s="49">
        <f>VLOOKUP($A168,'Data shares'!$C:$FA,128)*100</f>
        <v>34.57</v>
      </c>
      <c r="F168" s="49">
        <f>VLOOKUP($A168,'Data shares'!$C:$FA,129)</f>
        <v>44939925</v>
      </c>
    </row>
    <row r="169" spans="1:6" x14ac:dyDescent="0.25">
      <c r="A169" t="s">
        <v>252</v>
      </c>
      <c r="B169">
        <v>117640832</v>
      </c>
      <c r="C169">
        <v>52456000</v>
      </c>
      <c r="D169" s="17">
        <f t="shared" si="3"/>
        <v>52456000</v>
      </c>
      <c r="E169" s="49">
        <f>VLOOKUP($A169,'Data shares'!$C:$FA,128)*100</f>
        <v>38.85</v>
      </c>
      <c r="F169" s="49">
        <f>VLOOKUP($A169,'Data shares'!$C:$FA,129)</f>
        <v>1965800</v>
      </c>
    </row>
    <row r="170" spans="1:6" x14ac:dyDescent="0.25">
      <c r="A170" t="s">
        <v>205</v>
      </c>
      <c r="B170">
        <v>25513876</v>
      </c>
      <c r="C170">
        <v>3302300</v>
      </c>
      <c r="D170" s="17">
        <f t="shared" si="3"/>
        <v>3302300</v>
      </c>
      <c r="E170" s="49">
        <f>VLOOKUP($A170,'Data shares'!$C:$FA,128)*100</f>
        <v>23.82</v>
      </c>
      <c r="F170" s="49">
        <f>VLOOKUP($A170,'Data shares'!$C:$FA,129)</f>
        <v>329300</v>
      </c>
    </row>
    <row r="171" spans="1:6" x14ac:dyDescent="0.25">
      <c r="A171" t="s">
        <v>194</v>
      </c>
      <c r="B171">
        <v>202646440</v>
      </c>
      <c r="C171">
        <v>52470000</v>
      </c>
      <c r="D171" s="17">
        <f t="shared" si="3"/>
        <v>52470000</v>
      </c>
      <c r="E171" s="49">
        <f>VLOOKUP($A171,'Data shares'!$C:$FA,128)*100</f>
        <v>36.94</v>
      </c>
      <c r="F171" s="49">
        <f>VLOOKUP($A171,'Data shares'!$C:$FA,129)</f>
        <v>2849925</v>
      </c>
    </row>
    <row r="172" spans="1:6" x14ac:dyDescent="0.25">
      <c r="A172" t="s">
        <v>263</v>
      </c>
      <c r="B172">
        <v>178967755</v>
      </c>
      <c r="C172">
        <v>142910500</v>
      </c>
      <c r="D172" s="17">
        <f t="shared" si="3"/>
        <v>142910500</v>
      </c>
      <c r="E172" s="49">
        <f>VLOOKUP($A172,'Data shares'!$C:$FA,128)*100</f>
        <v>28.83</v>
      </c>
      <c r="F172" s="49">
        <f>VLOOKUP($A172,'Data shares'!$C:$FA,129)</f>
        <v>7410000</v>
      </c>
    </row>
    <row r="173" spans="1:6" x14ac:dyDescent="0.25">
      <c r="A173" t="s">
        <v>476</v>
      </c>
      <c r="B173">
        <v>40446155</v>
      </c>
      <c r="C173">
        <v>4358800</v>
      </c>
      <c r="D173" s="17">
        <f t="shared" si="3"/>
        <v>4358800</v>
      </c>
      <c r="E173" s="49">
        <f>VLOOKUP($A173,'Data shares'!$C:$FA,128)*100</f>
        <v>33.93</v>
      </c>
      <c r="F173" s="49">
        <f>VLOOKUP($A173,'Data shares'!$C:$FA,129)</f>
        <v>217500</v>
      </c>
    </row>
    <row r="174" spans="1:6" x14ac:dyDescent="0.25">
      <c r="A174" t="s">
        <v>187</v>
      </c>
      <c r="B174">
        <v>51436398</v>
      </c>
      <c r="C174">
        <v>7413750</v>
      </c>
      <c r="D174" s="17">
        <f t="shared" si="3"/>
        <v>7413750</v>
      </c>
      <c r="E174" s="49">
        <f>VLOOKUP($A174,'Data shares'!$C:$FA,128)*100</f>
        <v>35.229999999999997</v>
      </c>
      <c r="F174" s="49">
        <f>VLOOKUP($A174,'Data shares'!$C:$FA,129)</f>
        <v>1814000</v>
      </c>
    </row>
    <row r="175" spans="1:6" x14ac:dyDescent="0.25">
      <c r="A175" t="s">
        <v>493</v>
      </c>
      <c r="B175">
        <v>14814614</v>
      </c>
      <c r="C175">
        <v>3344250</v>
      </c>
      <c r="D175" s="17">
        <f t="shared" si="3"/>
        <v>3344250</v>
      </c>
      <c r="E175" s="49">
        <f>VLOOKUP($A175,'Data shares'!$C:$FA,128)*100</f>
        <v>29.959999999999997</v>
      </c>
      <c r="F175" s="49">
        <f>VLOOKUP($A175,'Data shares'!$C:$FA,129)</f>
        <v>473200</v>
      </c>
    </row>
    <row r="176" spans="1:6" x14ac:dyDescent="0.25">
      <c r="A176" t="s">
        <v>525</v>
      </c>
      <c r="B176">
        <v>35635456</v>
      </c>
      <c r="C176">
        <v>28959300</v>
      </c>
      <c r="D176" s="17">
        <f t="shared" si="3"/>
        <v>28959300</v>
      </c>
      <c r="E176" s="49">
        <f>VLOOKUP($A176,'Data shares'!$C:$FA,128)*100</f>
        <v>22.03</v>
      </c>
      <c r="F176" s="49">
        <f>VLOOKUP($A176,'Data shares'!$C:$FA,129)</f>
        <v>1612275</v>
      </c>
    </row>
    <row r="177" spans="1:6" x14ac:dyDescent="0.25">
      <c r="A177" t="s">
        <v>512</v>
      </c>
      <c r="B177">
        <v>7771646</v>
      </c>
      <c r="C177">
        <v>1119375</v>
      </c>
      <c r="D177" s="17">
        <f t="shared" si="3"/>
        <v>1119375</v>
      </c>
      <c r="E177" s="49">
        <f>VLOOKUP($A177,'Data shares'!$C:$FA,128)*100</f>
        <v>27.54</v>
      </c>
      <c r="F177" s="49">
        <f>VLOOKUP($A177,'Data shares'!$C:$FA,129)</f>
        <v>336300</v>
      </c>
    </row>
    <row r="178" spans="1:6" x14ac:dyDescent="0.25">
      <c r="A178" t="s">
        <v>233</v>
      </c>
      <c r="B178">
        <v>76432837</v>
      </c>
      <c r="C178">
        <v>9804000</v>
      </c>
      <c r="D178" s="17">
        <f t="shared" si="3"/>
        <v>9804000</v>
      </c>
      <c r="E178" s="49">
        <f>VLOOKUP($A178,'Data shares'!$C:$FA,128)*100</f>
        <v>23.62</v>
      </c>
      <c r="F178" s="49">
        <f>VLOOKUP($A178,'Data shares'!$C:$FA,129)</f>
        <v>653050</v>
      </c>
    </row>
    <row r="179" spans="1:6" x14ac:dyDescent="0.25">
      <c r="A179" t="s">
        <v>183</v>
      </c>
      <c r="B179">
        <v>12092405</v>
      </c>
      <c r="C179">
        <v>2606450</v>
      </c>
      <c r="D179" s="17">
        <f t="shared" si="3"/>
        <v>2606450</v>
      </c>
      <c r="E179" s="49">
        <f>VLOOKUP($A179,'Data shares'!$C:$FA,128)*100</f>
        <v>26.25</v>
      </c>
      <c r="F179" s="49">
        <f>VLOOKUP($A179,'Data shares'!$C:$FA,129)</f>
        <v>427590</v>
      </c>
    </row>
    <row r="180" spans="1:6" x14ac:dyDescent="0.25">
      <c r="A180" t="s">
        <v>280</v>
      </c>
      <c r="B180">
        <v>187084550</v>
      </c>
      <c r="C180">
        <v>50568000</v>
      </c>
      <c r="D180" s="17">
        <f t="shared" si="3"/>
        <v>50568000</v>
      </c>
      <c r="E180" s="49">
        <f>VLOOKUP($A180,'Data shares'!$C:$FA,128)*100</f>
        <v>32.550000000000004</v>
      </c>
      <c r="F180" s="49">
        <f>VLOOKUP($A180,'Data shares'!$C:$FA,129)</f>
        <v>20646125</v>
      </c>
    </row>
    <row r="181" spans="1:6" x14ac:dyDescent="0.25">
      <c r="A181" t="s">
        <v>166</v>
      </c>
      <c r="B181">
        <v>79597108</v>
      </c>
      <c r="C181">
        <v>26630000</v>
      </c>
      <c r="D181" s="17">
        <f t="shared" si="3"/>
        <v>26630000</v>
      </c>
      <c r="E181" s="49">
        <f>VLOOKUP($A181,'Data shares'!$C:$FA,128)*100</f>
        <v>29.110000000000003</v>
      </c>
      <c r="F181" s="49">
        <f>VLOOKUP($A181,'Data shares'!$C:$FA,129)</f>
        <v>359375</v>
      </c>
    </row>
    <row r="182" spans="1:6" x14ac:dyDescent="0.25">
      <c r="A182" t="s">
        <v>241</v>
      </c>
      <c r="B182">
        <v>913205148</v>
      </c>
      <c r="C182">
        <v>118527500</v>
      </c>
      <c r="D182" s="17">
        <f t="shared" si="3"/>
        <v>118527500</v>
      </c>
      <c r="E182" s="49">
        <f>VLOOKUP($A182,'Data shares'!$C:$FA,128)*100</f>
        <v>27.22</v>
      </c>
      <c r="F182" s="49">
        <f>VLOOKUP($A182,'Data shares'!$C:$FA,129)</f>
        <v>8472750</v>
      </c>
    </row>
    <row r="183" spans="1:6" x14ac:dyDescent="0.25">
      <c r="A183" t="s">
        <v>517</v>
      </c>
      <c r="B183">
        <v>10180563</v>
      </c>
      <c r="C183">
        <v>3926650</v>
      </c>
      <c r="D183" s="17">
        <f t="shared" si="3"/>
        <v>3926650</v>
      </c>
      <c r="E183" s="49">
        <f>VLOOKUP($A183,'Data shares'!$C:$FA,128)*100</f>
        <v>27.41</v>
      </c>
      <c r="F183" s="49">
        <f>VLOOKUP($A183,'Data shares'!$C:$FA,129)</f>
        <v>328000</v>
      </c>
    </row>
    <row r="184" spans="1:6" x14ac:dyDescent="0.25">
      <c r="A184" t="s">
        <v>211</v>
      </c>
      <c r="B184">
        <v>91809066</v>
      </c>
      <c r="C184">
        <v>33516000</v>
      </c>
      <c r="D184" s="17">
        <f t="shared" si="3"/>
        <v>33516000</v>
      </c>
      <c r="E184" s="49">
        <f>VLOOKUP($A184,'Data shares'!$C:$FA,128)*100</f>
        <v>32.83</v>
      </c>
      <c r="F184" s="49">
        <f>VLOOKUP($A184,'Data shares'!$C:$FA,129)</f>
        <v>7983000</v>
      </c>
    </row>
    <row r="185" spans="1:6" x14ac:dyDescent="0.25">
      <c r="A185" t="s">
        <v>518</v>
      </c>
      <c r="B185">
        <v>4636018</v>
      </c>
      <c r="C185">
        <v>608375</v>
      </c>
      <c r="D185" s="17">
        <f t="shared" si="3"/>
        <v>608375</v>
      </c>
      <c r="E185" s="49">
        <f>VLOOKUP($A185,'Data shares'!$C:$FA,128)*100</f>
        <v>33.22</v>
      </c>
      <c r="F185" s="49">
        <f>VLOOKUP($A185,'Data shares'!$C:$FA,129)</f>
        <v>151350</v>
      </c>
    </row>
    <row r="186" spans="1:6" x14ac:dyDescent="0.25">
      <c r="A186" t="s">
        <v>511</v>
      </c>
      <c r="B186">
        <v>18644752</v>
      </c>
      <c r="C186">
        <v>4227600</v>
      </c>
      <c r="D186" s="17">
        <f t="shared" si="3"/>
        <v>4227600</v>
      </c>
      <c r="E186" s="49">
        <f>VLOOKUP($A186,'Data shares'!$C:$FA,128)*100</f>
        <v>31.6</v>
      </c>
      <c r="F186" s="49">
        <f>VLOOKUP($A186,'Data shares'!$C:$FA,129)</f>
        <v>28154250</v>
      </c>
    </row>
    <row r="187" spans="1:6" x14ac:dyDescent="0.25">
      <c r="A187" t="s">
        <v>186</v>
      </c>
      <c r="B187">
        <v>48589957</v>
      </c>
      <c r="C187">
        <v>5942200</v>
      </c>
      <c r="D187" s="17">
        <f t="shared" si="3"/>
        <v>5942200</v>
      </c>
      <c r="E187" s="49">
        <f>VLOOKUP($A187,'Data shares'!$C:$FA,128)*100</f>
        <v>32.75</v>
      </c>
      <c r="F187" s="49">
        <f>VLOOKUP($A187,'Data shares'!$C:$FA,129)</f>
        <v>23233200</v>
      </c>
    </row>
    <row r="188" spans="1:6" x14ac:dyDescent="0.25">
      <c r="A188" t="s">
        <v>522</v>
      </c>
      <c r="B188">
        <v>1063050</v>
      </c>
      <c r="C188">
        <v>54050</v>
      </c>
      <c r="D188" s="17">
        <f t="shared" si="3"/>
        <v>54050</v>
      </c>
      <c r="E188" s="49">
        <f>VLOOKUP($A188,'Data shares'!$C:$FA,128)*100</f>
        <v>44.35</v>
      </c>
      <c r="F188" s="49">
        <f>VLOOKUP($A188,'Data shares'!$C:$FA,129)</f>
        <v>765500</v>
      </c>
    </row>
    <row r="189" spans="1:6" x14ac:dyDescent="0.25">
      <c r="A189" t="s">
        <v>300</v>
      </c>
      <c r="B189">
        <v>45360865</v>
      </c>
      <c r="C189">
        <v>14277200</v>
      </c>
      <c r="D189" s="17">
        <f t="shared" si="3"/>
        <v>14277200</v>
      </c>
      <c r="E189" s="49">
        <f>VLOOKUP($A189,'Data shares'!$C:$FA,128)*100</f>
        <v>26.150000000000002</v>
      </c>
      <c r="F189" s="49">
        <f>VLOOKUP($A189,'Data shares'!$C:$FA,129)</f>
        <v>326200</v>
      </c>
    </row>
    <row r="190" spans="1:6" x14ac:dyDescent="0.25">
      <c r="A190" t="s">
        <v>520</v>
      </c>
      <c r="B190">
        <v>23139622</v>
      </c>
      <c r="C190">
        <v>1555500</v>
      </c>
      <c r="D190" s="17">
        <f t="shared" si="3"/>
        <v>1555500</v>
      </c>
      <c r="E190" s="49">
        <f>VLOOKUP($A190,'Data shares'!$C:$FA,128)*100</f>
        <v>24.65</v>
      </c>
      <c r="F190" s="49">
        <f>VLOOKUP($A190,'Data shares'!$C:$FA,129)</f>
        <v>1012000</v>
      </c>
    </row>
    <row r="191" spans="1:6" x14ac:dyDescent="0.25">
      <c r="A191" t="s">
        <v>294</v>
      </c>
      <c r="B191">
        <v>161436977</v>
      </c>
      <c r="C191">
        <v>59382700</v>
      </c>
      <c r="D191" s="17">
        <f t="shared" si="3"/>
        <v>59382700</v>
      </c>
      <c r="E191" s="49">
        <f>VLOOKUP($A191,'Data shares'!$C:$FA,128)*100</f>
        <v>35</v>
      </c>
      <c r="F191" s="49">
        <f>VLOOKUP($A191,'Data shares'!$C:$FA,129)</f>
        <v>59713500</v>
      </c>
    </row>
    <row r="192" spans="1:6" x14ac:dyDescent="0.25">
      <c r="A192" t="s">
        <v>244</v>
      </c>
      <c r="B192">
        <v>265685393</v>
      </c>
      <c r="C192">
        <v>44023500</v>
      </c>
      <c r="D192" s="17">
        <f t="shared" si="3"/>
        <v>44023500</v>
      </c>
      <c r="E192" s="49">
        <f>VLOOKUP($A192,'Data shares'!$C:$FA,128)*100</f>
        <v>36.730000000000004</v>
      </c>
      <c r="F192" s="49">
        <f>VLOOKUP($A192,'Data shares'!$C:$FA,129)</f>
        <v>5105025</v>
      </c>
    </row>
    <row r="193" spans="1:6" x14ac:dyDescent="0.25">
      <c r="A193" t="s">
        <v>160</v>
      </c>
      <c r="B193">
        <v>145684825</v>
      </c>
      <c r="C193">
        <v>110820000</v>
      </c>
      <c r="D193" s="17">
        <f t="shared" si="3"/>
        <v>110820000</v>
      </c>
      <c r="E193" s="49">
        <f>VLOOKUP($A193,'Data shares'!$C:$FA,128)*100</f>
        <v>33.75</v>
      </c>
      <c r="F193" s="49">
        <f>VLOOKUP($A193,'Data shares'!$C:$FA,129)</f>
        <v>3817575</v>
      </c>
    </row>
    <row r="194" spans="1:6" x14ac:dyDescent="0.25">
      <c r="A194" t="s">
        <v>496</v>
      </c>
      <c r="B194">
        <v>11999202</v>
      </c>
      <c r="C194">
        <v>2345700</v>
      </c>
      <c r="D194" s="17">
        <f t="shared" si="3"/>
        <v>2345700</v>
      </c>
      <c r="E194" s="49">
        <f>VLOOKUP($A194,'Data shares'!$C:$FA,128)*100</f>
        <v>26.19</v>
      </c>
      <c r="F194" s="49">
        <f>VLOOKUP($A194,'Data shares'!$C:$FA,129)</f>
        <v>457100</v>
      </c>
    </row>
    <row r="195" spans="1:6" x14ac:dyDescent="0.25">
      <c r="A195" t="s">
        <v>230</v>
      </c>
      <c r="B195">
        <v>179034270</v>
      </c>
      <c r="C195">
        <v>24257400</v>
      </c>
      <c r="D195" s="17">
        <f t="shared" si="3"/>
        <v>24257400</v>
      </c>
      <c r="E195" s="49">
        <f>VLOOKUP($A195,'Data shares'!$C:$FA,128)*100</f>
        <v>35.949999999999996</v>
      </c>
      <c r="F195" s="49">
        <f>VLOOKUP($A195,'Data shares'!$C:$FA,129)</f>
        <v>3150300</v>
      </c>
    </row>
    <row r="196" spans="1:6" x14ac:dyDescent="0.25">
      <c r="A196" t="s">
        <v>203</v>
      </c>
      <c r="B196">
        <v>27165463</v>
      </c>
      <c r="C196">
        <v>3318000</v>
      </c>
      <c r="D196" s="17">
        <f t="shared" si="3"/>
        <v>3318000</v>
      </c>
      <c r="E196" s="49">
        <f>VLOOKUP($A196,'Data shares'!$C:$FA,128)*100</f>
        <v>31.979999999999997</v>
      </c>
      <c r="F196" s="49">
        <f>VLOOKUP($A196,'Data shares'!$C:$FA,129)</f>
        <v>371000</v>
      </c>
    </row>
    <row r="197" spans="1:6" x14ac:dyDescent="0.25">
      <c r="A197" t="s">
        <v>251</v>
      </c>
      <c r="B197">
        <v>184464522</v>
      </c>
      <c r="C197">
        <v>32566800</v>
      </c>
      <c r="D197" s="17">
        <f t="shared" si="3"/>
        <v>32566800</v>
      </c>
      <c r="E197" s="49">
        <f>VLOOKUP($A197,'Data shares'!$C:$FA,128)*100</f>
        <v>38.85</v>
      </c>
      <c r="F197" s="49">
        <f>VLOOKUP($A197,'Data shares'!$C:$FA,129)</f>
        <v>1965800</v>
      </c>
    </row>
    <row r="198" spans="1:6" x14ac:dyDescent="0.25">
      <c r="A198" t="s">
        <v>254</v>
      </c>
      <c r="B198">
        <v>104419539</v>
      </c>
      <c r="C198">
        <v>12741000</v>
      </c>
      <c r="D198" s="17">
        <f t="shared" si="3"/>
        <v>12741000</v>
      </c>
      <c r="E198" s="49">
        <f>VLOOKUP($A198,'Data shares'!$C:$FA,128)*100</f>
        <v>29.580000000000002</v>
      </c>
      <c r="F198" s="49">
        <f>VLOOKUP($A198,'Data shares'!$C:$FA,129)</f>
        <v>738000</v>
      </c>
    </row>
    <row r="199" spans="1:6" x14ac:dyDescent="0.25">
      <c r="A199" t="s">
        <v>159</v>
      </c>
      <c r="B199">
        <v>55169320</v>
      </c>
      <c r="C199">
        <v>29565500</v>
      </c>
      <c r="D199" s="17">
        <f t="shared" si="3"/>
        <v>29565500</v>
      </c>
      <c r="E199" s="49">
        <f>VLOOKUP($A199,'Data shares'!$C:$FA,128)*100</f>
        <v>33.54</v>
      </c>
      <c r="F199" s="49">
        <f>VLOOKUP($A199,'Data shares'!$C:$FA,129)</f>
        <v>2107071</v>
      </c>
    </row>
    <row r="200" spans="1:6" x14ac:dyDescent="0.25">
      <c r="A200" t="s">
        <v>201</v>
      </c>
      <c r="B200">
        <v>26654592</v>
      </c>
      <c r="C200">
        <v>3469200</v>
      </c>
      <c r="D200" s="17">
        <f t="shared" si="3"/>
        <v>3469200</v>
      </c>
      <c r="E200" s="49">
        <f>VLOOKUP($A200,'Data shares'!$C:$FA,128)*100</f>
        <v>43.93</v>
      </c>
      <c r="F200" s="49">
        <f>VLOOKUP($A200,'Data shares'!$C:$FA,129)</f>
        <v>942525</v>
      </c>
    </row>
    <row r="201" spans="1:6" x14ac:dyDescent="0.25">
      <c r="A201" t="s">
        <v>199</v>
      </c>
      <c r="B201">
        <v>102562642</v>
      </c>
      <c r="C201">
        <v>20641400</v>
      </c>
      <c r="D201" s="17">
        <f t="shared" si="3"/>
        <v>20641400</v>
      </c>
      <c r="E201" s="49">
        <f>VLOOKUP($A201,'Data shares'!$C:$FA,128)*100</f>
        <v>31.36</v>
      </c>
      <c r="F201" s="49">
        <f>VLOOKUP($A201,'Data shares'!$C:$FA,129)</f>
        <v>1600875</v>
      </c>
    </row>
    <row r="202" spans="1:6" x14ac:dyDescent="0.25">
      <c r="A202" t="s">
        <v>296</v>
      </c>
      <c r="B202">
        <v>124861039</v>
      </c>
      <c r="C202">
        <v>20543400</v>
      </c>
      <c r="D202" s="17">
        <f t="shared" si="3"/>
        <v>20543400</v>
      </c>
      <c r="E202" s="49">
        <f>VLOOKUP($A202,'Data shares'!$C:$FA,128)*100</f>
        <v>37.869999999999997</v>
      </c>
      <c r="F202" s="49">
        <f>VLOOKUP($A202,'Data shares'!$C:$FA,129)</f>
        <v>3426600</v>
      </c>
    </row>
    <row r="203" spans="1:6" x14ac:dyDescent="0.25">
      <c r="A203" t="s">
        <v>229</v>
      </c>
      <c r="B203">
        <v>127940594</v>
      </c>
      <c r="C203">
        <v>33552900</v>
      </c>
      <c r="D203" s="17">
        <f t="shared" si="3"/>
        <v>33552900</v>
      </c>
      <c r="E203" s="49">
        <f>VLOOKUP($A203,'Data shares'!$C:$FA,128)*100</f>
        <v>36.840000000000003</v>
      </c>
      <c r="F203" s="49">
        <f>VLOOKUP($A203,'Data shares'!$C:$FA,129)</f>
        <v>3270375</v>
      </c>
    </row>
    <row r="204" spans="1:6" x14ac:dyDescent="0.25">
      <c r="A204" t="s">
        <v>497</v>
      </c>
      <c r="B204">
        <v>10251929</v>
      </c>
      <c r="C204">
        <v>266200</v>
      </c>
      <c r="D204" s="17">
        <f t="shared" si="3"/>
        <v>266200</v>
      </c>
      <c r="E204" s="49">
        <f>VLOOKUP($A204,'Data shares'!$C:$FA,128)*100</f>
        <v>18.43</v>
      </c>
      <c r="F204" s="49">
        <f>VLOOKUP($A204,'Data shares'!$C:$FA,129)</f>
        <v>75875</v>
      </c>
    </row>
  </sheetData>
  <mergeCells count="2">
    <mergeCell ref="A3:G3"/>
    <mergeCell ref="B4:G4"/>
  </mergeCells>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5"/>
  <sheetViews>
    <sheetView zoomScaleNormal="100" zoomScaleSheetLayoutView="100" workbookViewId="0">
      <selection activeCell="F14" sqref="F14"/>
    </sheetView>
  </sheetViews>
  <sheetFormatPr defaultRowHeight="9" x14ac:dyDescent="0.15"/>
  <cols>
    <col min="1" max="1" width="124.28515625" style="55" customWidth="1"/>
    <col min="2" max="16384" width="9.140625" style="56"/>
  </cols>
  <sheetData>
    <row r="1" spans="1:1" ht="24" customHeight="1" x14ac:dyDescent="0.15"/>
    <row r="2" spans="1:1" ht="14.25" customHeight="1" x14ac:dyDescent="0.15"/>
    <row r="3" spans="1:1" ht="15" customHeight="1" x14ac:dyDescent="0.15">
      <c r="A3" s="57" t="s">
        <v>428</v>
      </c>
    </row>
    <row r="4" spans="1:1" ht="36" customHeight="1" x14ac:dyDescent="0.15">
      <c r="A4" s="109" t="s">
        <v>429</v>
      </c>
    </row>
    <row r="5" spans="1:1" s="58" customFormat="1" ht="12" customHeight="1" x14ac:dyDescent="0.15">
      <c r="A5" s="109"/>
    </row>
    <row r="6" spans="1:1" ht="86.25" customHeight="1" x14ac:dyDescent="0.15">
      <c r="A6" s="110" t="s">
        <v>430</v>
      </c>
    </row>
    <row r="7" spans="1:1" s="58" customFormat="1" ht="5.25" customHeight="1" x14ac:dyDescent="0.15">
      <c r="A7" s="109"/>
    </row>
    <row r="8" spans="1:1" ht="90" x14ac:dyDescent="0.15">
      <c r="A8" s="109" t="s">
        <v>431</v>
      </c>
    </row>
    <row r="9" spans="1:1" s="58" customFormat="1" ht="11.25" x14ac:dyDescent="0.15">
      <c r="A9" s="109"/>
    </row>
    <row r="10" spans="1:1" ht="107.25" customHeight="1" x14ac:dyDescent="0.15">
      <c r="A10" s="109" t="s">
        <v>432</v>
      </c>
    </row>
    <row r="11" spans="1:1" s="58" customFormat="1" ht="7.5" customHeight="1" x14ac:dyDescent="0.15">
      <c r="A11" s="109"/>
    </row>
    <row r="12" spans="1:1" ht="56.25" customHeight="1" x14ac:dyDescent="0.15">
      <c r="A12" s="109" t="s">
        <v>433</v>
      </c>
    </row>
    <row r="13" spans="1:1" s="58" customFormat="1" ht="11.25" x14ac:dyDescent="0.15">
      <c r="A13" s="109"/>
    </row>
    <row r="14" spans="1:1" ht="64.5" customHeight="1" x14ac:dyDescent="0.15">
      <c r="A14" s="109" t="s">
        <v>434</v>
      </c>
    </row>
    <row r="15" spans="1:1" s="58" customFormat="1" ht="11.25" x14ac:dyDescent="0.15">
      <c r="A15" s="109"/>
    </row>
    <row r="16" spans="1:1" ht="77.25" customHeight="1" x14ac:dyDescent="0.15">
      <c r="A16" s="109" t="s">
        <v>435</v>
      </c>
    </row>
    <row r="17" spans="1:1" s="58" customFormat="1" ht="11.25" x14ac:dyDescent="0.15">
      <c r="A17" s="109"/>
    </row>
    <row r="18" spans="1:1" ht="37.5" customHeight="1" x14ac:dyDescent="0.15">
      <c r="A18" s="109" t="s">
        <v>436</v>
      </c>
    </row>
    <row r="19" spans="1:1" s="58" customFormat="1" ht="11.25" x14ac:dyDescent="0.15">
      <c r="A19" s="109"/>
    </row>
    <row r="20" spans="1:1" ht="26.25" customHeight="1" x14ac:dyDescent="0.15">
      <c r="A20" s="111" t="s">
        <v>437</v>
      </c>
    </row>
    <row r="21" spans="1:1" ht="11.25" x14ac:dyDescent="0.15">
      <c r="A21" s="88"/>
    </row>
    <row r="22" spans="1:1" ht="11.25" x14ac:dyDescent="0.15">
      <c r="A22" s="88"/>
    </row>
    <row r="23" spans="1:1" ht="11.25" x14ac:dyDescent="0.15">
      <c r="A23" s="112"/>
    </row>
    <row r="24" spans="1:1" ht="67.5" x14ac:dyDescent="0.15">
      <c r="A24" s="168" t="s">
        <v>481</v>
      </c>
    </row>
    <row r="25" spans="1:1" ht="9.75" x14ac:dyDescent="0.15">
      <c r="A25" s="59"/>
    </row>
  </sheetData>
  <pageMargins left="0.7" right="0.7" top="0.75" bottom="0.75" header="0.3" footer="0.3"/>
  <pageSetup scale="8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C354"/>
  <sheetViews>
    <sheetView topLeftCell="A92" zoomScale="86" zoomScaleNormal="86" workbookViewId="0">
      <selection activeCell="N104" sqref="N104"/>
    </sheetView>
  </sheetViews>
  <sheetFormatPr defaultRowHeight="15" x14ac:dyDescent="0.25"/>
  <cols>
    <col min="1" max="1" width="12.7109375" customWidth="1"/>
    <col min="2" max="2" width="16.5703125" customWidth="1"/>
    <col min="3" max="3" width="17.7109375" customWidth="1"/>
    <col min="4" max="4" width="8.28515625" customWidth="1"/>
    <col min="5" max="5" width="4.85546875" customWidth="1"/>
    <col min="6" max="6" width="11.5703125" customWidth="1"/>
    <col min="7" max="7" width="12.5703125" customWidth="1"/>
    <col min="8" max="8" width="11.42578125" customWidth="1"/>
    <col min="9" max="9" width="9.42578125" customWidth="1"/>
    <col min="10" max="10" width="11.5703125" customWidth="1"/>
    <col min="11" max="11" width="11.7109375" customWidth="1"/>
    <col min="12" max="12" width="10.5703125" customWidth="1"/>
    <col min="13" max="13" width="9.140625" customWidth="1"/>
    <col min="14" max="14" width="20.140625" customWidth="1"/>
    <col min="15" max="15" width="19.42578125" customWidth="1"/>
    <col min="16" max="16" width="18.28515625" customWidth="1"/>
    <col min="17" max="17" width="16.28515625" customWidth="1"/>
    <col min="18" max="18" width="19.7109375" customWidth="1"/>
    <col min="19" max="19" width="19.28515625" customWidth="1"/>
    <col min="20" max="20" width="18.28515625" customWidth="1"/>
    <col min="21" max="21" width="16.140625" customWidth="1"/>
    <col min="22" max="22" width="18.140625" customWidth="1"/>
    <col min="23" max="23" width="17.5703125" customWidth="1"/>
    <col min="24" max="24" width="16.42578125" customWidth="1"/>
    <col min="25" max="25" width="14.28515625" customWidth="1"/>
    <col min="26" max="26" width="8.28515625" customWidth="1"/>
    <col min="27" max="27" width="12.42578125" customWidth="1"/>
    <col min="28" max="28" width="11.28515625" customWidth="1"/>
    <col min="29" max="29" width="9.28515625" customWidth="1"/>
    <col min="30" max="30" width="10.5703125" customWidth="1"/>
    <col min="31" max="31" width="16.5703125" customWidth="1"/>
    <col min="32" max="32" width="15.42578125" customWidth="1"/>
    <col min="33" max="33" width="13.28515625" customWidth="1"/>
    <col min="34" max="34" width="10.42578125" customWidth="1"/>
    <col min="35" max="35" width="16.42578125" customWidth="1"/>
    <col min="36" max="36" width="15.28515625" customWidth="1"/>
    <col min="37" max="37" width="13.140625" customWidth="1"/>
    <col min="38" max="38" width="9.42578125" customWidth="1"/>
    <col min="39" max="39" width="14.5703125" customWidth="1"/>
    <col min="40" max="40" width="13.42578125" customWidth="1"/>
    <col min="41" max="41" width="11.42578125" customWidth="1"/>
    <col min="42" max="42" width="11.5703125" customWidth="1"/>
    <col min="43" max="44" width="12.5703125" customWidth="1"/>
    <col min="45" max="45" width="9.5703125" customWidth="1"/>
    <col min="46" max="46" width="15.42578125" customWidth="1"/>
    <col min="47" max="47" width="14.28515625" customWidth="1"/>
    <col min="48" max="48" width="12.140625" customWidth="1"/>
    <col min="49" max="49" width="15.28515625" customWidth="1"/>
    <col min="50" max="50" width="21.28515625" customWidth="1"/>
    <col min="51" max="51" width="20.140625" customWidth="1"/>
    <col min="52" max="52" width="17.85546875" customWidth="1"/>
    <col min="53" max="53" width="15.140625" customWidth="1"/>
    <col min="54" max="54" width="21.140625" customWidth="1"/>
    <col min="55" max="55" width="19.85546875" customWidth="1"/>
    <col min="56" max="56" width="17.85546875" customWidth="1"/>
    <col min="57" max="57" width="13.28515625" customWidth="1"/>
    <col min="58" max="58" width="19.28515625" customWidth="1"/>
    <col min="59" max="59" width="18.140625" customWidth="1"/>
    <col min="60" max="60" width="16.140625" customWidth="1"/>
    <col min="61" max="61" width="14.140625" customWidth="1"/>
    <col min="62" max="62" width="20.140625" customWidth="1"/>
    <col min="63" max="63" width="18.85546875" customWidth="1"/>
    <col min="64" max="64" width="16.7109375" customWidth="1"/>
    <col min="65" max="65" width="14" customWidth="1"/>
    <col min="66" max="66" width="19.7109375" customWidth="1"/>
    <col min="67" max="67" width="18.7109375" customWidth="1"/>
    <col min="68" max="68" width="16.5703125" customWidth="1"/>
    <col min="69" max="69" width="15.42578125" customWidth="1"/>
    <col min="70" max="70" width="21.42578125" customWidth="1"/>
    <col min="71" max="71" width="20.28515625" customWidth="1"/>
    <col min="72" max="72" width="18.140625" customWidth="1"/>
    <col min="73" max="73" width="15" customWidth="1"/>
    <col min="74" max="74" width="21.140625" customWidth="1"/>
    <col min="75" max="75" width="19.7109375" customWidth="1"/>
    <col min="76" max="76" width="17.7109375" customWidth="1"/>
    <col min="77" max="77" width="8.7109375" customWidth="1"/>
    <col min="78" max="78" width="9.140625" customWidth="1"/>
    <col min="79" max="79" width="8" customWidth="1"/>
    <col min="80" max="80" width="10.28515625" customWidth="1"/>
    <col min="81" max="81" width="9" customWidth="1"/>
    <col min="82" max="82" width="14.7109375" customWidth="1"/>
    <col min="83" max="83" width="13.5703125" customWidth="1"/>
    <col min="84" max="84" width="11.5703125" customWidth="1"/>
    <col min="85" max="85" width="8.85546875" customWidth="1"/>
    <col min="86" max="86" width="14.5703125" customWidth="1"/>
    <col min="87" max="87" width="13.5703125" customWidth="1"/>
    <col min="88" max="88" width="11.7109375" customWidth="1"/>
    <col min="89" max="89" width="7.5703125" customWidth="1"/>
    <col min="90" max="90" width="13" customWidth="1"/>
    <col min="91" max="91" width="11.7109375" customWidth="1"/>
    <col min="92" max="92" width="10.28515625" customWidth="1"/>
    <col min="93" max="93" width="10.42578125" customWidth="1"/>
    <col min="94" max="94" width="13.5703125" customWidth="1"/>
    <col min="95" max="95" width="12.42578125" customWidth="1"/>
    <col min="96" max="97" width="10.42578125" customWidth="1"/>
    <col min="98" max="98" width="13.42578125" customWidth="1"/>
    <col min="99" max="99" width="12.28515625" customWidth="1"/>
    <col min="100" max="100" width="10.28515625" customWidth="1"/>
    <col min="101" max="101" width="11.5703125" customWidth="1"/>
    <col min="102" max="102" width="14.85546875" customWidth="1"/>
    <col min="103" max="103" width="13.85546875" customWidth="1"/>
    <col min="104" max="104" width="11.7109375" customWidth="1"/>
    <col min="105" max="105" width="8.28515625" customWidth="1"/>
    <col min="106" max="106" width="9" customWidth="1"/>
    <col min="107" max="108" width="9.140625" customWidth="1"/>
    <col min="109" max="109" width="8.28515625" customWidth="1"/>
    <col min="110" max="110" width="9.5703125" customWidth="1"/>
    <col min="111" max="111" width="11.85546875" customWidth="1"/>
    <col min="112" max="112" width="8" customWidth="1"/>
    <col min="113" max="113" width="8.28515625" customWidth="1"/>
    <col min="114" max="114" width="13.42578125" customWidth="1"/>
    <col min="115" max="115" width="12.28515625" customWidth="1"/>
    <col min="116" max="116" width="10.28515625" customWidth="1"/>
    <col min="117" max="117" width="8.28515625" customWidth="1"/>
    <col min="118" max="118" width="13.28515625" customWidth="1"/>
    <col min="119" max="119" width="12.140625" customWidth="1"/>
    <col min="120" max="120" width="10.140625" customWidth="1"/>
    <col min="121" max="121" width="7.5703125" customWidth="1"/>
    <col min="122" max="122" width="13.42578125" customWidth="1"/>
    <col min="123" max="123" width="12.28515625" customWidth="1"/>
    <col min="124" max="124" width="10.28515625" customWidth="1"/>
    <col min="125" max="126" width="11.5703125" customWidth="1"/>
    <col min="127" max="127" width="9" customWidth="1"/>
    <col min="128" max="128" width="14.7109375" customWidth="1"/>
    <col min="129" max="129" width="13.5703125" customWidth="1"/>
    <col min="130" max="130" width="11.5703125" customWidth="1"/>
    <col min="131" max="131" width="10.140625" customWidth="1"/>
    <col min="132" max="132" width="16.28515625" customWidth="1"/>
    <col min="133" max="133" width="15.42578125" customWidth="1"/>
    <col min="134" max="134" width="12.7109375" customWidth="1"/>
    <col min="135" max="135" width="11.5703125" customWidth="1"/>
    <col min="136" max="136" width="13.5703125" customWidth="1"/>
    <col min="137" max="137" width="14.42578125" customWidth="1"/>
    <col min="138" max="138" width="16.28515625" customWidth="1"/>
    <col min="139" max="139" width="11.7109375" customWidth="1"/>
    <col min="140" max="140" width="13" customWidth="1"/>
    <col min="141" max="141" width="20.85546875" customWidth="1"/>
    <col min="142" max="142" width="20.7109375" customWidth="1"/>
    <col min="143" max="143" width="23.85546875" customWidth="1"/>
    <col min="144" max="144" width="15" customWidth="1"/>
    <col min="145" max="146" width="22.28515625" customWidth="1"/>
    <col min="147" max="147" width="21.140625" customWidth="1"/>
    <col min="148" max="148" width="19" customWidth="1"/>
    <col min="149" max="149" width="14.5703125" customWidth="1"/>
    <col min="150" max="150" width="14.42578125" customWidth="1"/>
    <col min="151" max="151" width="17.5703125" customWidth="1"/>
    <col min="152" max="152" width="19.140625" customWidth="1"/>
    <col min="153" max="154" width="15.85546875" customWidth="1"/>
    <col min="155" max="155" width="14.7109375" customWidth="1"/>
    <col min="156" max="156" width="12.5703125" customWidth="1"/>
    <col min="157" max="157" width="14.140625" customWidth="1"/>
    <col min="158" max="158" width="18.42578125" customWidth="1"/>
  </cols>
  <sheetData>
    <row r="1" spans="1:159" ht="18" thickBot="1" x14ac:dyDescent="0.3">
      <c r="A1" s="164" t="s">
        <v>0</v>
      </c>
      <c r="B1" s="164" t="s">
        <v>1</v>
      </c>
      <c r="C1" s="164" t="s">
        <v>2</v>
      </c>
      <c r="D1" s="164" t="s">
        <v>3</v>
      </c>
      <c r="E1" s="164" t="s">
        <v>4</v>
      </c>
      <c r="F1" s="164" t="s">
        <v>5</v>
      </c>
      <c r="G1" s="164" t="s">
        <v>6</v>
      </c>
      <c r="H1" s="164" t="s">
        <v>7</v>
      </c>
      <c r="I1" s="164" t="s">
        <v>8</v>
      </c>
      <c r="J1" s="164" t="s">
        <v>9</v>
      </c>
      <c r="K1" s="164" t="s">
        <v>10</v>
      </c>
      <c r="L1" s="164" t="s">
        <v>11</v>
      </c>
      <c r="M1" s="164" t="s">
        <v>12</v>
      </c>
      <c r="N1" s="164" t="s">
        <v>13</v>
      </c>
      <c r="O1" s="164" t="s">
        <v>14</v>
      </c>
      <c r="P1" s="164" t="s">
        <v>15</v>
      </c>
      <c r="Q1" s="164" t="s">
        <v>16</v>
      </c>
      <c r="R1" s="164" t="s">
        <v>17</v>
      </c>
      <c r="S1" s="164" t="s">
        <v>18</v>
      </c>
      <c r="T1" s="164" t="s">
        <v>19</v>
      </c>
      <c r="U1" s="164" t="s">
        <v>20</v>
      </c>
      <c r="V1" s="164" t="s">
        <v>21</v>
      </c>
      <c r="W1" s="164" t="s">
        <v>22</v>
      </c>
      <c r="X1" s="164" t="s">
        <v>23</v>
      </c>
      <c r="Y1" s="164" t="s">
        <v>24</v>
      </c>
      <c r="Z1" s="164" t="s">
        <v>25</v>
      </c>
      <c r="AA1" s="164" t="s">
        <v>26</v>
      </c>
      <c r="AB1" s="164" t="s">
        <v>27</v>
      </c>
      <c r="AC1" s="164" t="s">
        <v>28</v>
      </c>
      <c r="AD1" s="164" t="s">
        <v>29</v>
      </c>
      <c r="AE1" s="164" t="s">
        <v>30</v>
      </c>
      <c r="AF1" s="164" t="s">
        <v>31</v>
      </c>
      <c r="AG1" s="164" t="s">
        <v>32</v>
      </c>
      <c r="AH1" s="164" t="s">
        <v>33</v>
      </c>
      <c r="AI1" s="164" t="s">
        <v>34</v>
      </c>
      <c r="AJ1" s="164" t="s">
        <v>35</v>
      </c>
      <c r="AK1" s="164" t="s">
        <v>36</v>
      </c>
      <c r="AL1" s="164" t="s">
        <v>37</v>
      </c>
      <c r="AM1" s="164" t="s">
        <v>38</v>
      </c>
      <c r="AN1" s="164" t="s">
        <v>39</v>
      </c>
      <c r="AO1" s="164" t="s">
        <v>40</v>
      </c>
      <c r="AP1" s="164" t="s">
        <v>41</v>
      </c>
      <c r="AQ1" s="164" t="s">
        <v>42</v>
      </c>
      <c r="AR1" s="164" t="s">
        <v>43</v>
      </c>
      <c r="AS1" s="164" t="s">
        <v>44</v>
      </c>
      <c r="AT1" s="164" t="s">
        <v>45</v>
      </c>
      <c r="AU1" s="164" t="s">
        <v>46</v>
      </c>
      <c r="AV1" s="164" t="s">
        <v>47</v>
      </c>
      <c r="AW1" s="164" t="s">
        <v>48</v>
      </c>
      <c r="AX1" s="164" t="s">
        <v>49</v>
      </c>
      <c r="AY1" s="164" t="s">
        <v>50</v>
      </c>
      <c r="AZ1" s="164" t="s">
        <v>51</v>
      </c>
      <c r="BA1" s="164" t="s">
        <v>52</v>
      </c>
      <c r="BB1" s="164" t="s">
        <v>53</v>
      </c>
      <c r="BC1" s="164" t="s">
        <v>54</v>
      </c>
      <c r="BD1" s="164" t="s">
        <v>55</v>
      </c>
      <c r="BE1" s="164" t="s">
        <v>56</v>
      </c>
      <c r="BF1" s="164" t="s">
        <v>57</v>
      </c>
      <c r="BG1" s="164" t="s">
        <v>58</v>
      </c>
      <c r="BH1" s="164" t="s">
        <v>59</v>
      </c>
      <c r="BI1" s="164" t="s">
        <v>60</v>
      </c>
      <c r="BJ1" s="164" t="s">
        <v>61</v>
      </c>
      <c r="BK1" s="164" t="s">
        <v>62</v>
      </c>
      <c r="BL1" s="164" t="s">
        <v>63</v>
      </c>
      <c r="BM1" s="164" t="s">
        <v>64</v>
      </c>
      <c r="BN1" s="164" t="s">
        <v>65</v>
      </c>
      <c r="BO1" s="164" t="s">
        <v>66</v>
      </c>
      <c r="BP1" s="164" t="s">
        <v>67</v>
      </c>
      <c r="BQ1" s="164" t="s">
        <v>68</v>
      </c>
      <c r="BR1" s="164" t="s">
        <v>69</v>
      </c>
      <c r="BS1" s="164" t="s">
        <v>70</v>
      </c>
      <c r="BT1" s="164" t="s">
        <v>71</v>
      </c>
      <c r="BU1" s="164" t="s">
        <v>72</v>
      </c>
      <c r="BV1" s="164" t="s">
        <v>73</v>
      </c>
      <c r="BW1" s="164" t="s">
        <v>74</v>
      </c>
      <c r="BX1" s="164" t="s">
        <v>75</v>
      </c>
      <c r="BY1" s="164" t="s">
        <v>76</v>
      </c>
      <c r="BZ1" s="164" t="s">
        <v>77</v>
      </c>
      <c r="CA1" s="164" t="s">
        <v>78</v>
      </c>
      <c r="CB1" s="164" t="s">
        <v>79</v>
      </c>
      <c r="CC1" s="164" t="s">
        <v>80</v>
      </c>
      <c r="CD1" s="164" t="s">
        <v>81</v>
      </c>
      <c r="CE1" s="164" t="s">
        <v>82</v>
      </c>
      <c r="CF1" s="164" t="s">
        <v>83</v>
      </c>
      <c r="CG1" s="164" t="s">
        <v>84</v>
      </c>
      <c r="CH1" s="164" t="s">
        <v>85</v>
      </c>
      <c r="CI1" s="164" t="s">
        <v>86</v>
      </c>
      <c r="CJ1" s="164" t="s">
        <v>87</v>
      </c>
      <c r="CK1" s="164" t="s">
        <v>88</v>
      </c>
      <c r="CL1" s="164" t="s">
        <v>89</v>
      </c>
      <c r="CM1" s="164" t="s">
        <v>90</v>
      </c>
      <c r="CN1" s="164" t="s">
        <v>91</v>
      </c>
      <c r="CO1" s="164" t="s">
        <v>92</v>
      </c>
      <c r="CP1" s="164" t="s">
        <v>93</v>
      </c>
      <c r="CQ1" s="164" t="s">
        <v>94</v>
      </c>
      <c r="CR1" s="164" t="s">
        <v>95</v>
      </c>
      <c r="CS1" s="164" t="s">
        <v>96</v>
      </c>
      <c r="CT1" s="164" t="s">
        <v>97</v>
      </c>
      <c r="CU1" s="164" t="s">
        <v>98</v>
      </c>
      <c r="CV1" s="164" t="s">
        <v>99</v>
      </c>
      <c r="CW1" s="164" t="s">
        <v>100</v>
      </c>
      <c r="CX1" s="164" t="s">
        <v>101</v>
      </c>
      <c r="CY1" s="164" t="s">
        <v>102</v>
      </c>
      <c r="CZ1" s="164" t="s">
        <v>103</v>
      </c>
      <c r="DA1" s="164" t="s">
        <v>104</v>
      </c>
      <c r="DB1" s="164" t="s">
        <v>105</v>
      </c>
      <c r="DC1" s="164" t="s">
        <v>106</v>
      </c>
      <c r="DD1" s="164" t="s">
        <v>107</v>
      </c>
      <c r="DE1" s="164" t="s">
        <v>108</v>
      </c>
      <c r="DF1" s="164" t="s">
        <v>109</v>
      </c>
      <c r="DG1" s="164" t="s">
        <v>110</v>
      </c>
      <c r="DH1" s="164" t="s">
        <v>111</v>
      </c>
      <c r="DI1" s="164" t="s">
        <v>112</v>
      </c>
      <c r="DJ1" s="164" t="s">
        <v>113</v>
      </c>
      <c r="DK1" s="164" t="s">
        <v>114</v>
      </c>
      <c r="DL1" s="164" t="s">
        <v>115</v>
      </c>
      <c r="DM1" s="164" t="s">
        <v>116</v>
      </c>
      <c r="DN1" s="164" t="s">
        <v>117</v>
      </c>
      <c r="DO1" s="164" t="s">
        <v>118</v>
      </c>
      <c r="DP1" s="164" t="s">
        <v>119</v>
      </c>
      <c r="DQ1" s="164" t="s">
        <v>120</v>
      </c>
      <c r="DR1" s="164" t="s">
        <v>121</v>
      </c>
      <c r="DS1" s="164" t="s">
        <v>122</v>
      </c>
      <c r="DT1" s="164" t="s">
        <v>123</v>
      </c>
      <c r="DU1" s="164" t="s">
        <v>124</v>
      </c>
      <c r="DV1" s="164" t="s">
        <v>125</v>
      </c>
      <c r="DW1" s="164" t="s">
        <v>126</v>
      </c>
      <c r="DX1" s="164" t="s">
        <v>127</v>
      </c>
      <c r="DY1" s="164" t="s">
        <v>128</v>
      </c>
      <c r="DZ1" s="164" t="s">
        <v>129</v>
      </c>
      <c r="EA1" s="164" t="s">
        <v>130</v>
      </c>
      <c r="EB1" s="164" t="s">
        <v>131</v>
      </c>
      <c r="EC1" s="164" t="s">
        <v>132</v>
      </c>
      <c r="ED1" s="164" t="s">
        <v>133</v>
      </c>
      <c r="EE1" s="164" t="s">
        <v>134</v>
      </c>
      <c r="EF1" s="164" t="s">
        <v>135</v>
      </c>
      <c r="EG1" s="164" t="s">
        <v>136</v>
      </c>
      <c r="EH1" s="164" t="s">
        <v>137</v>
      </c>
      <c r="EI1" s="164" t="s">
        <v>138</v>
      </c>
      <c r="EJ1" s="164" t="s">
        <v>139</v>
      </c>
      <c r="EK1" s="164" t="s">
        <v>140</v>
      </c>
      <c r="EL1" s="164" t="s">
        <v>141</v>
      </c>
      <c r="EM1" s="164" t="s">
        <v>142</v>
      </c>
      <c r="EN1" s="164" t="s">
        <v>72</v>
      </c>
      <c r="EO1" s="164" t="s">
        <v>143</v>
      </c>
      <c r="EP1" s="164" t="s">
        <v>144</v>
      </c>
      <c r="EQ1" s="164" t="s">
        <v>145</v>
      </c>
      <c r="ER1" s="164" t="s">
        <v>146</v>
      </c>
      <c r="ES1" s="164" t="s">
        <v>147</v>
      </c>
      <c r="ET1" s="164" t="s">
        <v>148</v>
      </c>
      <c r="EU1" s="164" t="s">
        <v>149</v>
      </c>
      <c r="EV1" s="164" t="s">
        <v>150</v>
      </c>
      <c r="EW1" s="164" t="s">
        <v>151</v>
      </c>
      <c r="EX1" s="164" t="s">
        <v>152</v>
      </c>
      <c r="EY1" s="164" t="s">
        <v>153</v>
      </c>
      <c r="EZ1" s="164" t="s">
        <v>154</v>
      </c>
      <c r="FA1" s="164" t="s">
        <v>155</v>
      </c>
      <c r="FB1" s="164" t="s">
        <v>156</v>
      </c>
      <c r="FC1" s="160" t="s">
        <v>469</v>
      </c>
    </row>
    <row r="2" spans="1:159" ht="17.25" thickBot="1" x14ac:dyDescent="0.3">
      <c r="A2" s="226">
        <v>45981</v>
      </c>
      <c r="B2" s="227" t="s">
        <v>175</v>
      </c>
      <c r="C2" s="227" t="s">
        <v>683</v>
      </c>
      <c r="D2" s="228">
        <v>500</v>
      </c>
      <c r="E2" s="228">
        <v>5</v>
      </c>
      <c r="F2" s="231">
        <v>1141.5</v>
      </c>
      <c r="G2" s="231">
        <v>1118.9000000000001</v>
      </c>
      <c r="H2" s="228">
        <v>22.6</v>
      </c>
      <c r="I2" s="229">
        <v>2.0199999999999999E-2</v>
      </c>
      <c r="J2" s="231">
        <v>1142.0999999999999</v>
      </c>
      <c r="K2" s="231">
        <v>1119.2</v>
      </c>
      <c r="L2" s="228">
        <v>22.9</v>
      </c>
      <c r="M2" s="229">
        <v>2.0500000000000001E-2</v>
      </c>
      <c r="N2" s="231">
        <v>1141.5</v>
      </c>
      <c r="O2" s="231">
        <v>1118.9000000000001</v>
      </c>
      <c r="P2" s="228">
        <v>22.6</v>
      </c>
      <c r="Q2" s="229">
        <v>2.0199999999999999E-2</v>
      </c>
      <c r="R2" s="231">
        <v>1146.8</v>
      </c>
      <c r="S2" s="231">
        <v>1125.8</v>
      </c>
      <c r="T2" s="228">
        <v>21</v>
      </c>
      <c r="U2" s="229">
        <v>1.8700000000000001E-2</v>
      </c>
      <c r="V2" s="231">
        <v>1152.2</v>
      </c>
      <c r="W2" s="231">
        <v>1130</v>
      </c>
      <c r="X2" s="228">
        <v>22.2</v>
      </c>
      <c r="Y2" s="229">
        <v>1.9599999999999999E-2</v>
      </c>
      <c r="Z2" s="228">
        <v>-0.6</v>
      </c>
      <c r="AA2" s="228">
        <v>-0.3</v>
      </c>
      <c r="AB2" s="228">
        <v>-0.3</v>
      </c>
      <c r="AC2" s="229">
        <v>-5.0000000000000001E-4</v>
      </c>
      <c r="AD2" s="228">
        <v>-0.6</v>
      </c>
      <c r="AE2" s="228">
        <v>-0.3</v>
      </c>
      <c r="AF2" s="228">
        <v>-0.3</v>
      </c>
      <c r="AG2" s="229">
        <v>-5.0000000000000001E-4</v>
      </c>
      <c r="AH2" s="228">
        <v>4.7</v>
      </c>
      <c r="AI2" s="228">
        <v>6.6</v>
      </c>
      <c r="AJ2" s="228">
        <v>-1.9</v>
      </c>
      <c r="AK2" s="229">
        <v>4.1000000000000003E-3</v>
      </c>
      <c r="AL2" s="228">
        <v>10.1</v>
      </c>
      <c r="AM2" s="228">
        <v>10.8</v>
      </c>
      <c r="AN2" s="228">
        <v>-0.7</v>
      </c>
      <c r="AO2" s="229">
        <v>8.8000000000000005E-3</v>
      </c>
      <c r="AP2" s="231">
        <v>1132.46</v>
      </c>
      <c r="AQ2" s="231">
        <v>1137.45</v>
      </c>
      <c r="AR2" s="228">
        <v>0</v>
      </c>
      <c r="AS2" s="228">
        <v>395</v>
      </c>
      <c r="AT2" s="228">
        <v>192</v>
      </c>
      <c r="AU2" s="228">
        <v>203</v>
      </c>
      <c r="AV2" s="229">
        <v>1.0591999999999999</v>
      </c>
      <c r="AW2" s="228">
        <v>243</v>
      </c>
      <c r="AX2" s="228">
        <v>136</v>
      </c>
      <c r="AY2" s="228">
        <v>107</v>
      </c>
      <c r="AZ2" s="229">
        <v>0.78969999999999996</v>
      </c>
      <c r="BA2" s="228">
        <v>151</v>
      </c>
      <c r="BB2" s="228">
        <v>55</v>
      </c>
      <c r="BC2" s="228">
        <v>97</v>
      </c>
      <c r="BD2" s="229">
        <v>1.7759</v>
      </c>
      <c r="BE2" s="228">
        <v>1</v>
      </c>
      <c r="BF2" s="228">
        <v>2</v>
      </c>
      <c r="BG2" s="228">
        <v>-1</v>
      </c>
      <c r="BH2" s="229">
        <v>-0.4</v>
      </c>
      <c r="BI2" s="230">
        <v>1066</v>
      </c>
      <c r="BJ2" s="228">
        <v>844</v>
      </c>
      <c r="BK2" s="228">
        <v>222</v>
      </c>
      <c r="BL2" s="229">
        <v>0.26300000000000001</v>
      </c>
      <c r="BM2" s="228">
        <v>336</v>
      </c>
      <c r="BN2" s="228">
        <v>263</v>
      </c>
      <c r="BO2" s="228">
        <v>73</v>
      </c>
      <c r="BP2" s="229">
        <v>0.27700000000000002</v>
      </c>
      <c r="BQ2" s="230">
        <v>1797</v>
      </c>
      <c r="BR2" s="230">
        <v>1299</v>
      </c>
      <c r="BS2" s="228">
        <v>498</v>
      </c>
      <c r="BT2" s="229">
        <v>0.38350000000000001</v>
      </c>
      <c r="BU2" s="230">
        <v>1373324</v>
      </c>
      <c r="BV2" s="230">
        <v>1111452</v>
      </c>
      <c r="BW2" s="230">
        <v>261872</v>
      </c>
      <c r="BX2" s="229">
        <v>0.2356</v>
      </c>
      <c r="BY2" s="228">
        <v>289</v>
      </c>
      <c r="BZ2" s="228">
        <v>309</v>
      </c>
      <c r="CA2" s="228">
        <v>-19</v>
      </c>
      <c r="CB2" s="229">
        <v>-6.25E-2</v>
      </c>
      <c r="CC2" s="228">
        <v>191</v>
      </c>
      <c r="CD2" s="228">
        <v>284</v>
      </c>
      <c r="CE2" s="228">
        <v>-93</v>
      </c>
      <c r="CF2" s="229">
        <v>-0.32640000000000002</v>
      </c>
      <c r="CG2" s="228">
        <v>97</v>
      </c>
      <c r="CH2" s="228">
        <v>24</v>
      </c>
      <c r="CI2" s="228">
        <v>73</v>
      </c>
      <c r="CJ2" s="229">
        <v>3.0451999999999999</v>
      </c>
      <c r="CK2" s="228">
        <v>1</v>
      </c>
      <c r="CL2" s="228">
        <v>1</v>
      </c>
      <c r="CM2" s="228">
        <v>0</v>
      </c>
      <c r="CN2" s="229">
        <v>0.4</v>
      </c>
      <c r="CO2" s="228">
        <v>196</v>
      </c>
      <c r="CP2" s="228">
        <v>219</v>
      </c>
      <c r="CQ2" s="228">
        <v>-23</v>
      </c>
      <c r="CR2" s="229">
        <v>-0.10489999999999999</v>
      </c>
      <c r="CS2" s="228">
        <v>130</v>
      </c>
      <c r="CT2" s="228">
        <v>100</v>
      </c>
      <c r="CU2" s="228">
        <v>30</v>
      </c>
      <c r="CV2" s="229">
        <v>0.30270000000000002</v>
      </c>
      <c r="CW2" s="228">
        <v>616</v>
      </c>
      <c r="CX2" s="228">
        <v>628</v>
      </c>
      <c r="CY2" s="228">
        <v>-12</v>
      </c>
      <c r="CZ2" s="229">
        <v>-1.9099999999999999E-2</v>
      </c>
      <c r="DA2" s="228">
        <v>27.01</v>
      </c>
      <c r="DB2" s="228">
        <v>28.61</v>
      </c>
      <c r="DC2" s="228">
        <v>-1.6</v>
      </c>
      <c r="DD2" s="228">
        <v>-1.6</v>
      </c>
      <c r="DE2" s="228">
        <v>44.66</v>
      </c>
      <c r="DF2" s="228">
        <v>44.69</v>
      </c>
      <c r="DG2" s="228">
        <v>-17.649999999999999</v>
      </c>
      <c r="DH2" s="228">
        <v>-0.03</v>
      </c>
      <c r="DI2" s="228">
        <v>26.62</v>
      </c>
      <c r="DJ2" s="228">
        <v>27.93</v>
      </c>
      <c r="DK2" s="228">
        <v>-1.31</v>
      </c>
      <c r="DL2" s="228">
        <v>-1.31</v>
      </c>
      <c r="DM2" s="228">
        <v>27.95</v>
      </c>
      <c r="DN2" s="228">
        <v>30.79</v>
      </c>
      <c r="DO2" s="228">
        <v>-2.84</v>
      </c>
      <c r="DP2" s="228">
        <v>-2.84</v>
      </c>
      <c r="DQ2" s="228">
        <v>0.66</v>
      </c>
      <c r="DR2" s="228">
        <v>0.46</v>
      </c>
      <c r="DS2" s="228">
        <v>0.2</v>
      </c>
      <c r="DT2" s="229">
        <v>0.43480000000000002</v>
      </c>
      <c r="DU2" s="231">
        <v>1200</v>
      </c>
      <c r="DV2" s="231">
        <v>1100</v>
      </c>
      <c r="DW2" s="228">
        <v>0.31</v>
      </c>
      <c r="DX2" s="228">
        <v>0.31</v>
      </c>
      <c r="DY2" s="228">
        <v>0</v>
      </c>
      <c r="DZ2" s="229">
        <v>0</v>
      </c>
      <c r="EA2" s="229">
        <v>0.33929999999999999</v>
      </c>
      <c r="EB2" s="230">
        <v>217500</v>
      </c>
      <c r="EC2" s="229">
        <v>4.5999999999999999E-3</v>
      </c>
      <c r="ED2" s="229">
        <v>0.33929999999999999</v>
      </c>
      <c r="EE2" s="228">
        <v>4.99</v>
      </c>
      <c r="EF2" s="229">
        <v>4.4000000000000003E-3</v>
      </c>
      <c r="EG2" s="230">
        <v>517370</v>
      </c>
      <c r="EH2" s="230">
        <v>570693</v>
      </c>
      <c r="EI2" s="229">
        <v>-9.3399999999999997E-2</v>
      </c>
      <c r="EJ2" s="229">
        <v>0.37669999999999998</v>
      </c>
      <c r="EK2" s="231">
        <v>1082.6199999999999</v>
      </c>
      <c r="EL2" s="228">
        <v>330.05</v>
      </c>
      <c r="EM2" s="228">
        <v>392.78</v>
      </c>
      <c r="EN2" s="228">
        <v>13.92</v>
      </c>
      <c r="EO2" s="231">
        <v>1805.46</v>
      </c>
      <c r="EP2" s="231">
        <v>1282.77</v>
      </c>
      <c r="EQ2" s="228">
        <v>522.69000000000005</v>
      </c>
      <c r="ER2" s="229">
        <v>0.40749999999999997</v>
      </c>
      <c r="ES2" s="228">
        <v>199.62</v>
      </c>
      <c r="ET2" s="228">
        <v>124.67</v>
      </c>
      <c r="EU2" s="228">
        <v>289.83</v>
      </c>
      <c r="EV2" s="231">
        <v>44660948</v>
      </c>
      <c r="EW2" s="228">
        <v>614.12</v>
      </c>
      <c r="EX2" s="228">
        <v>619.07000000000005</v>
      </c>
      <c r="EY2" s="228">
        <v>-4.95</v>
      </c>
      <c r="EZ2" s="229">
        <v>-8.0000000000000002E-3</v>
      </c>
      <c r="FA2" s="229">
        <v>0.12089999999999999</v>
      </c>
      <c r="FB2" s="227" t="s">
        <v>556</v>
      </c>
      <c r="FC2">
        <f>BY2-CC2</f>
        <v>98</v>
      </c>
    </row>
    <row r="3" spans="1:159" ht="17.25" thickBot="1" x14ac:dyDescent="0.3">
      <c r="A3" s="226">
        <v>45981</v>
      </c>
      <c r="B3" s="227" t="s">
        <v>184</v>
      </c>
      <c r="C3" s="227" t="s">
        <v>553</v>
      </c>
      <c r="D3" s="228">
        <v>125</v>
      </c>
      <c r="E3" s="228">
        <v>5</v>
      </c>
      <c r="F3" s="231">
        <v>5130.5</v>
      </c>
      <c r="G3" s="231">
        <v>5087.5</v>
      </c>
      <c r="H3" s="228">
        <v>43</v>
      </c>
      <c r="I3" s="229">
        <v>8.5000000000000006E-3</v>
      </c>
      <c r="J3" s="231">
        <v>5147</v>
      </c>
      <c r="K3" s="231">
        <v>5083</v>
      </c>
      <c r="L3" s="228">
        <v>64</v>
      </c>
      <c r="M3" s="229">
        <v>1.26E-2</v>
      </c>
      <c r="N3" s="231">
        <v>5130.5</v>
      </c>
      <c r="O3" s="231">
        <v>5087.5</v>
      </c>
      <c r="P3" s="228">
        <v>43</v>
      </c>
      <c r="Q3" s="229">
        <v>8.5000000000000006E-3</v>
      </c>
      <c r="R3" s="231">
        <v>5129.5</v>
      </c>
      <c r="S3" s="231">
        <v>5082.5</v>
      </c>
      <c r="T3" s="228">
        <v>47</v>
      </c>
      <c r="U3" s="229">
        <v>9.1999999999999998E-3</v>
      </c>
      <c r="V3" s="231">
        <v>5140.5</v>
      </c>
      <c r="W3" s="231">
        <v>5094.5</v>
      </c>
      <c r="X3" s="228">
        <v>46</v>
      </c>
      <c r="Y3" s="229">
        <v>8.9999999999999993E-3</v>
      </c>
      <c r="Z3" s="228">
        <v>-16.5</v>
      </c>
      <c r="AA3" s="228">
        <v>4.5</v>
      </c>
      <c r="AB3" s="228">
        <v>-21</v>
      </c>
      <c r="AC3" s="229">
        <v>-3.2000000000000002E-3</v>
      </c>
      <c r="AD3" s="228">
        <v>-16.5</v>
      </c>
      <c r="AE3" s="228">
        <v>4.5</v>
      </c>
      <c r="AF3" s="228">
        <v>-21</v>
      </c>
      <c r="AG3" s="229">
        <v>-3.2000000000000002E-3</v>
      </c>
      <c r="AH3" s="228">
        <v>-17.5</v>
      </c>
      <c r="AI3" s="228">
        <v>-0.5</v>
      </c>
      <c r="AJ3" s="228">
        <v>-17</v>
      </c>
      <c r="AK3" s="229">
        <v>-3.3999999999999998E-3</v>
      </c>
      <c r="AL3" s="228">
        <v>-6.5</v>
      </c>
      <c r="AM3" s="228">
        <v>11.5</v>
      </c>
      <c r="AN3" s="228">
        <v>-18</v>
      </c>
      <c r="AO3" s="229">
        <v>-1.2999999999999999E-3</v>
      </c>
      <c r="AP3" s="231">
        <v>5145.63</v>
      </c>
      <c r="AQ3" s="231">
        <v>5142.93</v>
      </c>
      <c r="AR3" s="228">
        <v>0</v>
      </c>
      <c r="AS3" s="230">
        <v>1612</v>
      </c>
      <c r="AT3" s="228">
        <v>364</v>
      </c>
      <c r="AU3" s="230">
        <v>1247</v>
      </c>
      <c r="AV3" s="229">
        <v>3.4245000000000001</v>
      </c>
      <c r="AW3" s="228">
        <v>820</v>
      </c>
      <c r="AX3" s="228">
        <v>235</v>
      </c>
      <c r="AY3" s="228">
        <v>585</v>
      </c>
      <c r="AZ3" s="229">
        <v>2.4849000000000001</v>
      </c>
      <c r="BA3" s="228">
        <v>781</v>
      </c>
      <c r="BB3" s="228">
        <v>127</v>
      </c>
      <c r="BC3" s="228">
        <v>655</v>
      </c>
      <c r="BD3" s="229">
        <v>5.1733000000000002</v>
      </c>
      <c r="BE3" s="228">
        <v>10</v>
      </c>
      <c r="BF3" s="228">
        <v>2</v>
      </c>
      <c r="BG3" s="228">
        <v>8</v>
      </c>
      <c r="BH3" s="229">
        <v>3.3889</v>
      </c>
      <c r="BI3" s="230">
        <v>1814</v>
      </c>
      <c r="BJ3" s="230">
        <v>1183</v>
      </c>
      <c r="BK3" s="228">
        <v>631</v>
      </c>
      <c r="BL3" s="229">
        <v>0.5333</v>
      </c>
      <c r="BM3" s="228">
        <v>728</v>
      </c>
      <c r="BN3" s="228">
        <v>480</v>
      </c>
      <c r="BO3" s="228">
        <v>248</v>
      </c>
      <c r="BP3" s="229">
        <v>0.5161</v>
      </c>
      <c r="BQ3" s="230">
        <v>4154</v>
      </c>
      <c r="BR3" s="230">
        <v>2028</v>
      </c>
      <c r="BS3" s="230">
        <v>2126</v>
      </c>
      <c r="BT3" s="229">
        <v>1.0486</v>
      </c>
      <c r="BU3" s="230">
        <v>322401</v>
      </c>
      <c r="BV3" s="230">
        <v>264095</v>
      </c>
      <c r="BW3" s="230">
        <v>58306</v>
      </c>
      <c r="BX3" s="229">
        <v>0.2208</v>
      </c>
      <c r="BY3" s="230">
        <v>1607</v>
      </c>
      <c r="BZ3" s="230">
        <v>1856</v>
      </c>
      <c r="CA3" s="228">
        <v>-249</v>
      </c>
      <c r="CB3" s="229">
        <v>-0.13400000000000001</v>
      </c>
      <c r="CC3" s="228">
        <v>894</v>
      </c>
      <c r="CD3" s="230">
        <v>1463</v>
      </c>
      <c r="CE3" s="228">
        <v>-569</v>
      </c>
      <c r="CF3" s="229">
        <v>-0.38879999999999998</v>
      </c>
      <c r="CG3" s="228">
        <v>692</v>
      </c>
      <c r="CH3" s="228">
        <v>372</v>
      </c>
      <c r="CI3" s="228">
        <v>320</v>
      </c>
      <c r="CJ3" s="229">
        <v>0.86019999999999996</v>
      </c>
      <c r="CK3" s="228">
        <v>20</v>
      </c>
      <c r="CL3" s="228">
        <v>21</v>
      </c>
      <c r="CM3" s="228">
        <v>0</v>
      </c>
      <c r="CN3" s="229">
        <v>-6.1999999999999998E-3</v>
      </c>
      <c r="CO3" s="228">
        <v>759</v>
      </c>
      <c r="CP3" s="228">
        <v>886</v>
      </c>
      <c r="CQ3" s="228">
        <v>-127</v>
      </c>
      <c r="CR3" s="229">
        <v>-0.14319999999999999</v>
      </c>
      <c r="CS3" s="228">
        <v>519</v>
      </c>
      <c r="CT3" s="228">
        <v>542</v>
      </c>
      <c r="CU3" s="228">
        <v>-24</v>
      </c>
      <c r="CV3" s="229">
        <v>-4.3400000000000001E-2</v>
      </c>
      <c r="CW3" s="230">
        <v>2885</v>
      </c>
      <c r="CX3" s="230">
        <v>3284</v>
      </c>
      <c r="CY3" s="228">
        <v>-399</v>
      </c>
      <c r="CZ3" s="229">
        <v>-0.1215</v>
      </c>
      <c r="DA3" s="228">
        <v>22.02</v>
      </c>
      <c r="DB3" s="228">
        <v>24.06</v>
      </c>
      <c r="DC3" s="228">
        <v>-2.04</v>
      </c>
      <c r="DD3" s="228">
        <v>-2.04</v>
      </c>
      <c r="DE3" s="228">
        <v>35.4</v>
      </c>
      <c r="DF3" s="228">
        <v>35.450000000000003</v>
      </c>
      <c r="DG3" s="228">
        <v>-13.38</v>
      </c>
      <c r="DH3" s="228">
        <v>-0.05</v>
      </c>
      <c r="DI3" s="228">
        <v>21.8</v>
      </c>
      <c r="DJ3" s="228">
        <v>24.48</v>
      </c>
      <c r="DK3" s="228">
        <v>-2.68</v>
      </c>
      <c r="DL3" s="228">
        <v>-2.68</v>
      </c>
      <c r="DM3" s="228">
        <v>22.42</v>
      </c>
      <c r="DN3" s="228">
        <v>23.02</v>
      </c>
      <c r="DO3" s="228">
        <v>-0.6</v>
      </c>
      <c r="DP3" s="228">
        <v>-0.6</v>
      </c>
      <c r="DQ3" s="228">
        <v>0.68</v>
      </c>
      <c r="DR3" s="228">
        <v>0.61</v>
      </c>
      <c r="DS3" s="228">
        <v>7.0000000000000007E-2</v>
      </c>
      <c r="DT3" s="229">
        <v>0.1148</v>
      </c>
      <c r="DU3" s="231">
        <v>5500</v>
      </c>
      <c r="DV3" s="231">
        <v>5200</v>
      </c>
      <c r="DW3" s="228">
        <v>0.4</v>
      </c>
      <c r="DX3" s="228">
        <v>0.41</v>
      </c>
      <c r="DY3" s="228">
        <v>-0.01</v>
      </c>
      <c r="DZ3" s="229">
        <v>-2.4400000000000002E-2</v>
      </c>
      <c r="EA3" s="229">
        <v>0.44350000000000001</v>
      </c>
      <c r="EB3" s="230">
        <v>765500</v>
      </c>
      <c r="EC3" s="229">
        <v>-2.0000000000000001E-4</v>
      </c>
      <c r="ED3" s="229">
        <v>0.44350000000000001</v>
      </c>
      <c r="EE3" s="228">
        <v>-2.7</v>
      </c>
      <c r="EF3" s="229">
        <v>-5.0000000000000001E-4</v>
      </c>
      <c r="EG3" s="230">
        <v>183681</v>
      </c>
      <c r="EH3" s="230">
        <v>140456</v>
      </c>
      <c r="EI3" s="229">
        <v>0.30769999999999997</v>
      </c>
      <c r="EJ3" s="229">
        <v>0.56969999999999998</v>
      </c>
      <c r="EK3" s="231">
        <v>1867.09</v>
      </c>
      <c r="EL3" s="228">
        <v>722.91</v>
      </c>
      <c r="EM3" s="231">
        <v>1616.05</v>
      </c>
      <c r="EN3" s="228">
        <v>55.82</v>
      </c>
      <c r="EO3" s="231">
        <v>4206.05</v>
      </c>
      <c r="EP3" s="231">
        <v>2044.12</v>
      </c>
      <c r="EQ3" s="231">
        <v>2161.9299999999998</v>
      </c>
      <c r="ER3" s="229">
        <v>1.0576000000000001</v>
      </c>
      <c r="ES3" s="228">
        <v>789.39</v>
      </c>
      <c r="ET3" s="228">
        <v>514.02</v>
      </c>
      <c r="EU3" s="231">
        <v>1606.97</v>
      </c>
      <c r="EV3" s="231">
        <v>7946564</v>
      </c>
      <c r="EW3" s="231">
        <v>2910.38</v>
      </c>
      <c r="EX3" s="231">
        <v>3292.91</v>
      </c>
      <c r="EY3" s="228">
        <v>-382.53</v>
      </c>
      <c r="EZ3" s="229">
        <v>-0.1162</v>
      </c>
      <c r="FA3" s="229">
        <v>0.7077</v>
      </c>
      <c r="FB3" s="227" t="s">
        <v>556</v>
      </c>
      <c r="FC3">
        <f t="shared" ref="FC3:FC66" si="0">BY3-CC3</f>
        <v>713</v>
      </c>
    </row>
    <row r="4" spans="1:159" ht="17.25" thickBot="1" x14ac:dyDescent="0.3">
      <c r="A4" s="226">
        <v>45981</v>
      </c>
      <c r="B4" s="227" t="s">
        <v>175</v>
      </c>
      <c r="C4" s="227" t="s">
        <v>544</v>
      </c>
      <c r="D4" s="228">
        <v>3100</v>
      </c>
      <c r="E4" s="228">
        <v>5</v>
      </c>
      <c r="F4" s="228">
        <v>328</v>
      </c>
      <c r="G4" s="228">
        <v>330.7</v>
      </c>
      <c r="H4" s="228">
        <v>-2.7</v>
      </c>
      <c r="I4" s="229">
        <v>-8.2000000000000007E-3</v>
      </c>
      <c r="J4" s="228">
        <v>327.85</v>
      </c>
      <c r="K4" s="228">
        <v>330.65</v>
      </c>
      <c r="L4" s="228">
        <v>-2.8</v>
      </c>
      <c r="M4" s="229">
        <v>-8.5000000000000006E-3</v>
      </c>
      <c r="N4" s="228">
        <v>328</v>
      </c>
      <c r="O4" s="228">
        <v>330.7</v>
      </c>
      <c r="P4" s="228">
        <v>-2.7</v>
      </c>
      <c r="Q4" s="229">
        <v>-8.2000000000000007E-3</v>
      </c>
      <c r="R4" s="228">
        <v>330.2</v>
      </c>
      <c r="S4" s="228">
        <v>332.95</v>
      </c>
      <c r="T4" s="228">
        <v>-2.75</v>
      </c>
      <c r="U4" s="229">
        <v>-8.3000000000000001E-3</v>
      </c>
      <c r="V4" s="228">
        <v>331.8</v>
      </c>
      <c r="W4" s="228">
        <v>335.1</v>
      </c>
      <c r="X4" s="228">
        <v>-3.3</v>
      </c>
      <c r="Y4" s="229">
        <v>-9.7999999999999997E-3</v>
      </c>
      <c r="Z4" s="228">
        <v>0.15</v>
      </c>
      <c r="AA4" s="228">
        <v>0.05</v>
      </c>
      <c r="AB4" s="228">
        <v>0.1</v>
      </c>
      <c r="AC4" s="229">
        <v>5.0000000000000001E-4</v>
      </c>
      <c r="AD4" s="228">
        <v>0.15</v>
      </c>
      <c r="AE4" s="228">
        <v>0.05</v>
      </c>
      <c r="AF4" s="228">
        <v>0.1</v>
      </c>
      <c r="AG4" s="229">
        <v>5.0000000000000001E-4</v>
      </c>
      <c r="AH4" s="228">
        <v>2.35</v>
      </c>
      <c r="AI4" s="228">
        <v>2.2999999999999998</v>
      </c>
      <c r="AJ4" s="228">
        <v>0.05</v>
      </c>
      <c r="AK4" s="229">
        <v>7.1999999999999998E-3</v>
      </c>
      <c r="AL4" s="228">
        <v>3.95</v>
      </c>
      <c r="AM4" s="228">
        <v>4.45</v>
      </c>
      <c r="AN4" s="228">
        <v>-0.5</v>
      </c>
      <c r="AO4" s="229">
        <v>1.2E-2</v>
      </c>
      <c r="AP4" s="228">
        <v>330.13</v>
      </c>
      <c r="AQ4" s="228">
        <v>332.42</v>
      </c>
      <c r="AR4" s="228">
        <v>0</v>
      </c>
      <c r="AS4" s="230">
        <v>1298</v>
      </c>
      <c r="AT4" s="228">
        <v>299</v>
      </c>
      <c r="AU4" s="228">
        <v>999</v>
      </c>
      <c r="AV4" s="229">
        <v>3.34</v>
      </c>
      <c r="AW4" s="228">
        <v>698</v>
      </c>
      <c r="AX4" s="228">
        <v>220</v>
      </c>
      <c r="AY4" s="228">
        <v>478</v>
      </c>
      <c r="AZ4" s="229">
        <v>2.1758000000000002</v>
      </c>
      <c r="BA4" s="228">
        <v>596</v>
      </c>
      <c r="BB4" s="228">
        <v>74</v>
      </c>
      <c r="BC4" s="228">
        <v>522</v>
      </c>
      <c r="BD4" s="229">
        <v>7.0743999999999998</v>
      </c>
      <c r="BE4" s="228">
        <v>4</v>
      </c>
      <c r="BF4" s="228">
        <v>5</v>
      </c>
      <c r="BG4" s="228">
        <v>-2</v>
      </c>
      <c r="BH4" s="229">
        <v>-0.27779999999999999</v>
      </c>
      <c r="BI4" s="228">
        <v>671</v>
      </c>
      <c r="BJ4" s="228">
        <v>834</v>
      </c>
      <c r="BK4" s="228">
        <v>-163</v>
      </c>
      <c r="BL4" s="229">
        <v>-0.19520000000000001</v>
      </c>
      <c r="BM4" s="228">
        <v>324</v>
      </c>
      <c r="BN4" s="228">
        <v>268</v>
      </c>
      <c r="BO4" s="228">
        <v>56</v>
      </c>
      <c r="BP4" s="229">
        <v>0.20799999999999999</v>
      </c>
      <c r="BQ4" s="230">
        <v>2293</v>
      </c>
      <c r="BR4" s="230">
        <v>1401</v>
      </c>
      <c r="BS4" s="228">
        <v>892</v>
      </c>
      <c r="BT4" s="229">
        <v>0.63639999999999997</v>
      </c>
      <c r="BU4" s="230">
        <v>2041606</v>
      </c>
      <c r="BV4" s="230">
        <v>1968070</v>
      </c>
      <c r="BW4" s="230">
        <v>73536</v>
      </c>
      <c r="BX4" s="229">
        <v>3.7400000000000003E-2</v>
      </c>
      <c r="BY4" s="230">
        <v>2556</v>
      </c>
      <c r="BZ4" s="230">
        <v>2578</v>
      </c>
      <c r="CA4" s="228">
        <v>-22</v>
      </c>
      <c r="CB4" s="229">
        <v>-8.6999999999999994E-3</v>
      </c>
      <c r="CC4" s="230">
        <v>1924</v>
      </c>
      <c r="CD4" s="230">
        <v>2468</v>
      </c>
      <c r="CE4" s="228">
        <v>-543</v>
      </c>
      <c r="CF4" s="229">
        <v>-0.22020000000000001</v>
      </c>
      <c r="CG4" s="228">
        <v>618</v>
      </c>
      <c r="CH4" s="228">
        <v>97</v>
      </c>
      <c r="CI4" s="228">
        <v>521</v>
      </c>
      <c r="CJ4" s="229">
        <v>5.3521000000000001</v>
      </c>
      <c r="CK4" s="228">
        <v>14</v>
      </c>
      <c r="CL4" s="228">
        <v>13</v>
      </c>
      <c r="CM4" s="228">
        <v>0</v>
      </c>
      <c r="CN4" s="229">
        <v>1.5299999999999999E-2</v>
      </c>
      <c r="CO4" s="228">
        <v>609</v>
      </c>
      <c r="CP4" s="228">
        <v>675</v>
      </c>
      <c r="CQ4" s="228">
        <v>-66</v>
      </c>
      <c r="CR4" s="229">
        <v>-9.7699999999999995E-2</v>
      </c>
      <c r="CS4" s="228">
        <v>471</v>
      </c>
      <c r="CT4" s="228">
        <v>502</v>
      </c>
      <c r="CU4" s="228">
        <v>-31</v>
      </c>
      <c r="CV4" s="229">
        <v>-6.1800000000000001E-2</v>
      </c>
      <c r="CW4" s="230">
        <v>3636</v>
      </c>
      <c r="CX4" s="230">
        <v>3756</v>
      </c>
      <c r="CY4" s="228">
        <v>-119</v>
      </c>
      <c r="CZ4" s="229">
        <v>-3.1800000000000002E-2</v>
      </c>
      <c r="DA4" s="228">
        <v>26.08</v>
      </c>
      <c r="DB4" s="228">
        <v>28.37</v>
      </c>
      <c r="DC4" s="228">
        <v>-2.29</v>
      </c>
      <c r="DD4" s="228">
        <v>-2.29</v>
      </c>
      <c r="DE4" s="228">
        <v>39.43</v>
      </c>
      <c r="DF4" s="228">
        <v>39.51</v>
      </c>
      <c r="DG4" s="228">
        <v>-13.35</v>
      </c>
      <c r="DH4" s="228">
        <v>-0.08</v>
      </c>
      <c r="DI4" s="228">
        <v>26.13</v>
      </c>
      <c r="DJ4" s="228">
        <v>28.17</v>
      </c>
      <c r="DK4" s="228">
        <v>-2.04</v>
      </c>
      <c r="DL4" s="228">
        <v>-2.04</v>
      </c>
      <c r="DM4" s="228">
        <v>26.01</v>
      </c>
      <c r="DN4" s="228">
        <v>28.99</v>
      </c>
      <c r="DO4" s="228">
        <v>-2.98</v>
      </c>
      <c r="DP4" s="228">
        <v>-2.98</v>
      </c>
      <c r="DQ4" s="228">
        <v>0.77</v>
      </c>
      <c r="DR4" s="228">
        <v>0.74</v>
      </c>
      <c r="DS4" s="228">
        <v>0.03</v>
      </c>
      <c r="DT4" s="229">
        <v>4.0500000000000001E-2</v>
      </c>
      <c r="DU4" s="228">
        <v>350</v>
      </c>
      <c r="DV4" s="228">
        <v>320</v>
      </c>
      <c r="DW4" s="228">
        <v>0.48</v>
      </c>
      <c r="DX4" s="228">
        <v>0.32</v>
      </c>
      <c r="DY4" s="228">
        <v>0.16</v>
      </c>
      <c r="DZ4" s="229">
        <v>0.5</v>
      </c>
      <c r="EA4" s="229">
        <v>0.24709999999999999</v>
      </c>
      <c r="EB4" s="230">
        <v>3372800</v>
      </c>
      <c r="EC4" s="229">
        <v>6.7000000000000002E-3</v>
      </c>
      <c r="ED4" s="229">
        <v>0.24709999999999999</v>
      </c>
      <c r="EE4" s="228">
        <v>2.29</v>
      </c>
      <c r="EF4" s="229">
        <v>6.8999999999999999E-3</v>
      </c>
      <c r="EG4" s="230">
        <v>872993</v>
      </c>
      <c r="EH4" s="230">
        <v>860089</v>
      </c>
      <c r="EI4" s="229">
        <v>1.4999999999999999E-2</v>
      </c>
      <c r="EJ4" s="229">
        <v>0.42759999999999998</v>
      </c>
      <c r="EK4" s="228">
        <v>700.2</v>
      </c>
      <c r="EL4" s="228">
        <v>320.98</v>
      </c>
      <c r="EM4" s="231">
        <v>1310.48</v>
      </c>
      <c r="EN4" s="228">
        <v>23.38</v>
      </c>
      <c r="EO4" s="231">
        <v>2331.65</v>
      </c>
      <c r="EP4" s="231">
        <v>1444.61</v>
      </c>
      <c r="EQ4" s="228">
        <v>887.05</v>
      </c>
      <c r="ER4" s="229">
        <v>0.61399999999999999</v>
      </c>
      <c r="ES4" s="228">
        <v>625.70000000000005</v>
      </c>
      <c r="ET4" s="228">
        <v>447.13</v>
      </c>
      <c r="EU4" s="231">
        <v>2560.23</v>
      </c>
      <c r="EV4" s="231">
        <v>122316423</v>
      </c>
      <c r="EW4" s="231">
        <v>3633.06</v>
      </c>
      <c r="EX4" s="231">
        <v>3773.17</v>
      </c>
      <c r="EY4" s="228">
        <v>-140.11000000000001</v>
      </c>
      <c r="EZ4" s="229">
        <v>-3.7100000000000001E-2</v>
      </c>
      <c r="FA4" s="229">
        <v>0.90639999999999998</v>
      </c>
      <c r="FB4" s="227" t="s">
        <v>568</v>
      </c>
      <c r="FC4">
        <f t="shared" si="0"/>
        <v>632</v>
      </c>
    </row>
    <row r="5" spans="1:159" ht="17.25" thickBot="1" x14ac:dyDescent="0.3">
      <c r="A5" s="226">
        <v>45981</v>
      </c>
      <c r="B5" s="227" t="s">
        <v>161</v>
      </c>
      <c r="C5" s="227" t="s">
        <v>579</v>
      </c>
      <c r="D5" s="228">
        <v>675</v>
      </c>
      <c r="E5" s="228">
        <v>5</v>
      </c>
      <c r="F5" s="228">
        <v>991.9</v>
      </c>
      <c r="G5" s="231">
        <v>1005.65</v>
      </c>
      <c r="H5" s="228">
        <v>-13.75</v>
      </c>
      <c r="I5" s="229">
        <v>-1.37E-2</v>
      </c>
      <c r="J5" s="228">
        <v>993.6</v>
      </c>
      <c r="K5" s="231">
        <v>1006.25</v>
      </c>
      <c r="L5" s="228">
        <v>-12.65</v>
      </c>
      <c r="M5" s="229">
        <v>-1.26E-2</v>
      </c>
      <c r="N5" s="228">
        <v>991.9</v>
      </c>
      <c r="O5" s="231">
        <v>1005.65</v>
      </c>
      <c r="P5" s="228">
        <v>-13.75</v>
      </c>
      <c r="Q5" s="229">
        <v>-1.37E-2</v>
      </c>
      <c r="R5" s="228">
        <v>998.45</v>
      </c>
      <c r="S5" s="231">
        <v>1012.05</v>
      </c>
      <c r="T5" s="228">
        <v>-13.6</v>
      </c>
      <c r="U5" s="229">
        <v>-1.34E-2</v>
      </c>
      <c r="V5" s="231">
        <v>1004.05</v>
      </c>
      <c r="W5" s="231">
        <v>1018.4</v>
      </c>
      <c r="X5" s="228">
        <v>-14.35</v>
      </c>
      <c r="Y5" s="229">
        <v>-1.41E-2</v>
      </c>
      <c r="Z5" s="228">
        <v>-1.7</v>
      </c>
      <c r="AA5" s="228">
        <v>-0.6</v>
      </c>
      <c r="AB5" s="228">
        <v>-1.1000000000000001</v>
      </c>
      <c r="AC5" s="229">
        <v>-1.6999999999999999E-3</v>
      </c>
      <c r="AD5" s="228">
        <v>-1.7</v>
      </c>
      <c r="AE5" s="228">
        <v>-0.6</v>
      </c>
      <c r="AF5" s="228">
        <v>-1.1000000000000001</v>
      </c>
      <c r="AG5" s="229">
        <v>-1.6999999999999999E-3</v>
      </c>
      <c r="AH5" s="228">
        <v>4.8499999999999996</v>
      </c>
      <c r="AI5" s="228">
        <v>5.8</v>
      </c>
      <c r="AJ5" s="228">
        <v>-0.95</v>
      </c>
      <c r="AK5" s="229">
        <v>4.8999999999999998E-3</v>
      </c>
      <c r="AL5" s="228">
        <v>10.45</v>
      </c>
      <c r="AM5" s="228">
        <v>12.15</v>
      </c>
      <c r="AN5" s="228">
        <v>-1.7</v>
      </c>
      <c r="AO5" s="229">
        <v>1.0500000000000001E-2</v>
      </c>
      <c r="AP5" s="231">
        <v>1001.65</v>
      </c>
      <c r="AQ5" s="231">
        <v>1008.3</v>
      </c>
      <c r="AR5" s="228">
        <v>0</v>
      </c>
      <c r="AS5" s="230">
        <v>1544</v>
      </c>
      <c r="AT5" s="228">
        <v>421</v>
      </c>
      <c r="AU5" s="230">
        <v>1123</v>
      </c>
      <c r="AV5" s="229">
        <v>2.6659000000000002</v>
      </c>
      <c r="AW5" s="228">
        <v>800</v>
      </c>
      <c r="AX5" s="228">
        <v>312</v>
      </c>
      <c r="AY5" s="228">
        <v>488</v>
      </c>
      <c r="AZ5" s="229">
        <v>1.5626</v>
      </c>
      <c r="BA5" s="228">
        <v>742</v>
      </c>
      <c r="BB5" s="228">
        <v>106</v>
      </c>
      <c r="BC5" s="228">
        <v>636</v>
      </c>
      <c r="BD5" s="229">
        <v>5.9829999999999997</v>
      </c>
      <c r="BE5" s="228">
        <v>2</v>
      </c>
      <c r="BF5" s="228">
        <v>3</v>
      </c>
      <c r="BG5" s="228">
        <v>-1</v>
      </c>
      <c r="BH5" s="229">
        <v>-0.3659</v>
      </c>
      <c r="BI5" s="230">
        <v>1952</v>
      </c>
      <c r="BJ5" s="230">
        <v>3207</v>
      </c>
      <c r="BK5" s="230">
        <v>-1254</v>
      </c>
      <c r="BL5" s="229">
        <v>-0.3911</v>
      </c>
      <c r="BM5" s="228">
        <v>441</v>
      </c>
      <c r="BN5" s="228">
        <v>943</v>
      </c>
      <c r="BO5" s="228">
        <v>-501</v>
      </c>
      <c r="BP5" s="229">
        <v>-0.53180000000000005</v>
      </c>
      <c r="BQ5" s="230">
        <v>3938</v>
      </c>
      <c r="BR5" s="230">
        <v>4570</v>
      </c>
      <c r="BS5" s="228">
        <v>-633</v>
      </c>
      <c r="BT5" s="229">
        <v>-0.1384</v>
      </c>
      <c r="BU5" s="230">
        <v>883566</v>
      </c>
      <c r="BV5" s="230">
        <v>1676299</v>
      </c>
      <c r="BW5" s="230">
        <v>-792733</v>
      </c>
      <c r="BX5" s="229">
        <v>-0.47289999999999999</v>
      </c>
      <c r="BY5" s="230">
        <v>1954</v>
      </c>
      <c r="BZ5" s="230">
        <v>1978</v>
      </c>
      <c r="CA5" s="228">
        <v>-24</v>
      </c>
      <c r="CB5" s="229">
        <v>-1.2E-2</v>
      </c>
      <c r="CC5" s="230">
        <v>1159</v>
      </c>
      <c r="CD5" s="230">
        <v>1869</v>
      </c>
      <c r="CE5" s="228">
        <v>-709</v>
      </c>
      <c r="CF5" s="229">
        <v>-0.37959999999999999</v>
      </c>
      <c r="CG5" s="228">
        <v>788</v>
      </c>
      <c r="CH5" s="228">
        <v>102</v>
      </c>
      <c r="CI5" s="228">
        <v>686</v>
      </c>
      <c r="CJ5" s="229">
        <v>6.6947999999999999</v>
      </c>
      <c r="CK5" s="228">
        <v>6</v>
      </c>
      <c r="CL5" s="228">
        <v>6</v>
      </c>
      <c r="CM5" s="228">
        <v>0</v>
      </c>
      <c r="CN5" s="229">
        <v>0</v>
      </c>
      <c r="CO5" s="228">
        <v>710</v>
      </c>
      <c r="CP5" s="228">
        <v>686</v>
      </c>
      <c r="CQ5" s="228">
        <v>24</v>
      </c>
      <c r="CR5" s="229">
        <v>3.5099999999999999E-2</v>
      </c>
      <c r="CS5" s="228">
        <v>411</v>
      </c>
      <c r="CT5" s="228">
        <v>433</v>
      </c>
      <c r="CU5" s="228">
        <v>-22</v>
      </c>
      <c r="CV5" s="229">
        <v>-5.1499999999999997E-2</v>
      </c>
      <c r="CW5" s="230">
        <v>3074</v>
      </c>
      <c r="CX5" s="230">
        <v>3096</v>
      </c>
      <c r="CY5" s="228">
        <v>-22</v>
      </c>
      <c r="CZ5" s="229">
        <v>-7.1000000000000004E-3</v>
      </c>
      <c r="DA5" s="228">
        <v>34.47</v>
      </c>
      <c r="DB5" s="228">
        <v>37.96</v>
      </c>
      <c r="DC5" s="228">
        <v>-3.49</v>
      </c>
      <c r="DD5" s="228">
        <v>-3.49</v>
      </c>
      <c r="DE5" s="228">
        <v>53.79</v>
      </c>
      <c r="DF5" s="228">
        <v>53.9</v>
      </c>
      <c r="DG5" s="228">
        <v>-19.32</v>
      </c>
      <c r="DH5" s="228">
        <v>-0.11</v>
      </c>
      <c r="DI5" s="228">
        <v>34.67</v>
      </c>
      <c r="DJ5" s="228">
        <v>38.53</v>
      </c>
      <c r="DK5" s="228">
        <v>-3.86</v>
      </c>
      <c r="DL5" s="228">
        <v>-3.86</v>
      </c>
      <c r="DM5" s="228">
        <v>34.03</v>
      </c>
      <c r="DN5" s="228">
        <v>36.03</v>
      </c>
      <c r="DO5" s="228">
        <v>-2</v>
      </c>
      <c r="DP5" s="228">
        <v>-2</v>
      </c>
      <c r="DQ5" s="228">
        <v>0.57999999999999996</v>
      </c>
      <c r="DR5" s="228">
        <v>0.63</v>
      </c>
      <c r="DS5" s="228">
        <v>-0.05</v>
      </c>
      <c r="DT5" s="229">
        <v>-7.9399999999999998E-2</v>
      </c>
      <c r="DU5" s="231">
        <v>1100</v>
      </c>
      <c r="DV5" s="228">
        <v>950</v>
      </c>
      <c r="DW5" s="228">
        <v>0.23</v>
      </c>
      <c r="DX5" s="228">
        <v>0.28999999999999998</v>
      </c>
      <c r="DY5" s="228">
        <v>-0.06</v>
      </c>
      <c r="DZ5" s="229">
        <v>-0.2069</v>
      </c>
      <c r="EA5" s="229">
        <v>0.40660000000000002</v>
      </c>
      <c r="EB5" s="230">
        <v>1095525</v>
      </c>
      <c r="EC5" s="229">
        <v>6.6E-3</v>
      </c>
      <c r="ED5" s="229">
        <v>0.40660000000000002</v>
      </c>
      <c r="EE5" s="228">
        <v>6.65</v>
      </c>
      <c r="EF5" s="229">
        <v>6.6E-3</v>
      </c>
      <c r="EG5" s="230">
        <v>333899</v>
      </c>
      <c r="EH5" s="230">
        <v>430083</v>
      </c>
      <c r="EI5" s="229">
        <v>-0.22359999999999999</v>
      </c>
      <c r="EJ5" s="229">
        <v>0.37790000000000001</v>
      </c>
      <c r="EK5" s="231">
        <v>2067.63</v>
      </c>
      <c r="EL5" s="228">
        <v>437.31</v>
      </c>
      <c r="EM5" s="231">
        <v>1564.25</v>
      </c>
      <c r="EN5" s="228">
        <v>44.5</v>
      </c>
      <c r="EO5" s="231">
        <v>4069.18</v>
      </c>
      <c r="EP5" s="231">
        <v>4808.07</v>
      </c>
      <c r="EQ5" s="228">
        <v>-738.89</v>
      </c>
      <c r="ER5" s="229">
        <v>-0.1537</v>
      </c>
      <c r="ES5" s="228">
        <v>748.43</v>
      </c>
      <c r="ET5" s="228">
        <v>391.51</v>
      </c>
      <c r="EU5" s="231">
        <v>1959.25</v>
      </c>
      <c r="EV5" s="231">
        <v>51907388</v>
      </c>
      <c r="EW5" s="231">
        <v>3099.18</v>
      </c>
      <c r="EX5" s="231">
        <v>3143.86</v>
      </c>
      <c r="EY5" s="228">
        <v>-44.68</v>
      </c>
      <c r="EZ5" s="229">
        <v>-1.4200000000000001E-2</v>
      </c>
      <c r="FA5" s="229">
        <v>0.59709999999999996</v>
      </c>
      <c r="FB5" s="227" t="s">
        <v>568</v>
      </c>
      <c r="FC5">
        <f t="shared" si="0"/>
        <v>795</v>
      </c>
    </row>
    <row r="6" spans="1:159" ht="17.25" thickBot="1" x14ac:dyDescent="0.3">
      <c r="A6" s="226">
        <v>45981</v>
      </c>
      <c r="B6" s="227" t="s">
        <v>215</v>
      </c>
      <c r="C6" s="227" t="s">
        <v>159</v>
      </c>
      <c r="D6" s="228">
        <v>309</v>
      </c>
      <c r="E6" s="228">
        <v>5</v>
      </c>
      <c r="F6" s="231">
        <v>2450.9</v>
      </c>
      <c r="G6" s="231">
        <v>2438.1999999999998</v>
      </c>
      <c r="H6" s="228">
        <v>12.7</v>
      </c>
      <c r="I6" s="229">
        <v>5.1999999999999998E-3</v>
      </c>
      <c r="J6" s="231">
        <v>2446.1</v>
      </c>
      <c r="K6" s="231">
        <v>2433.1</v>
      </c>
      <c r="L6" s="228">
        <v>13</v>
      </c>
      <c r="M6" s="229">
        <v>5.3E-3</v>
      </c>
      <c r="N6" s="231">
        <v>2450.9</v>
      </c>
      <c r="O6" s="231">
        <v>2438.1999999999998</v>
      </c>
      <c r="P6" s="228">
        <v>12.7</v>
      </c>
      <c r="Q6" s="229">
        <v>5.1999999999999998E-3</v>
      </c>
      <c r="R6" s="231">
        <v>2466</v>
      </c>
      <c r="S6" s="231">
        <v>2453.5</v>
      </c>
      <c r="T6" s="228">
        <v>12.5</v>
      </c>
      <c r="U6" s="229">
        <v>5.1000000000000004E-3</v>
      </c>
      <c r="V6" s="231">
        <v>2480.6999999999998</v>
      </c>
      <c r="W6" s="231">
        <v>2468.4</v>
      </c>
      <c r="X6" s="228">
        <v>12.3</v>
      </c>
      <c r="Y6" s="229">
        <v>5.0000000000000001E-3</v>
      </c>
      <c r="Z6" s="228">
        <v>4.8</v>
      </c>
      <c r="AA6" s="228">
        <v>5.0999999999999996</v>
      </c>
      <c r="AB6" s="228">
        <v>-0.3</v>
      </c>
      <c r="AC6" s="229">
        <v>2E-3</v>
      </c>
      <c r="AD6" s="228">
        <v>4.8</v>
      </c>
      <c r="AE6" s="228">
        <v>5.0999999999999996</v>
      </c>
      <c r="AF6" s="228">
        <v>-0.3</v>
      </c>
      <c r="AG6" s="229">
        <v>2E-3</v>
      </c>
      <c r="AH6" s="228">
        <v>19.899999999999999</v>
      </c>
      <c r="AI6" s="228">
        <v>20.399999999999999</v>
      </c>
      <c r="AJ6" s="228">
        <v>-0.5</v>
      </c>
      <c r="AK6" s="229">
        <v>8.0999999999999996E-3</v>
      </c>
      <c r="AL6" s="228">
        <v>34.6</v>
      </c>
      <c r="AM6" s="228">
        <v>35.299999999999997</v>
      </c>
      <c r="AN6" s="228">
        <v>-0.7</v>
      </c>
      <c r="AO6" s="229">
        <v>1.41E-2</v>
      </c>
      <c r="AP6" s="231">
        <v>2458.21</v>
      </c>
      <c r="AQ6" s="231">
        <v>2471.5700000000002</v>
      </c>
      <c r="AR6" s="228">
        <v>0</v>
      </c>
      <c r="AS6" s="230">
        <v>1722</v>
      </c>
      <c r="AT6" s="228">
        <v>586</v>
      </c>
      <c r="AU6" s="230">
        <v>1136</v>
      </c>
      <c r="AV6" s="229">
        <v>1.9396</v>
      </c>
      <c r="AW6" s="228">
        <v>925</v>
      </c>
      <c r="AX6" s="228">
        <v>404</v>
      </c>
      <c r="AY6" s="228">
        <v>521</v>
      </c>
      <c r="AZ6" s="229">
        <v>1.2886</v>
      </c>
      <c r="BA6" s="228">
        <v>786</v>
      </c>
      <c r="BB6" s="228">
        <v>177</v>
      </c>
      <c r="BC6" s="228">
        <v>609</v>
      </c>
      <c r="BD6" s="229">
        <v>3.4363000000000001</v>
      </c>
      <c r="BE6" s="228">
        <v>10</v>
      </c>
      <c r="BF6" s="228">
        <v>4</v>
      </c>
      <c r="BG6" s="228">
        <v>6</v>
      </c>
      <c r="BH6" s="229">
        <v>1.4544999999999999</v>
      </c>
      <c r="BI6" s="230">
        <v>7745</v>
      </c>
      <c r="BJ6" s="230">
        <v>3290</v>
      </c>
      <c r="BK6" s="230">
        <v>4455</v>
      </c>
      <c r="BL6" s="229">
        <v>1.3541000000000001</v>
      </c>
      <c r="BM6" s="230">
        <v>2877</v>
      </c>
      <c r="BN6" s="230">
        <v>1678</v>
      </c>
      <c r="BO6" s="230">
        <v>1199</v>
      </c>
      <c r="BP6" s="229">
        <v>0.71419999999999995</v>
      </c>
      <c r="BQ6" s="230">
        <v>12344</v>
      </c>
      <c r="BR6" s="230">
        <v>5554</v>
      </c>
      <c r="BS6" s="230">
        <v>6790</v>
      </c>
      <c r="BT6" s="229">
        <v>1.2223999999999999</v>
      </c>
      <c r="BU6" s="230">
        <v>1581302</v>
      </c>
      <c r="BV6" s="230">
        <v>808088</v>
      </c>
      <c r="BW6" s="230">
        <v>773214</v>
      </c>
      <c r="BX6" s="229">
        <v>0.95679999999999998</v>
      </c>
      <c r="BY6" s="230">
        <v>3203</v>
      </c>
      <c r="BZ6" s="230">
        <v>3130</v>
      </c>
      <c r="CA6" s="228">
        <v>73</v>
      </c>
      <c r="CB6" s="229">
        <v>2.3199999999999998E-2</v>
      </c>
      <c r="CC6" s="230">
        <v>2129</v>
      </c>
      <c r="CD6" s="230">
        <v>2614</v>
      </c>
      <c r="CE6" s="228">
        <v>-485</v>
      </c>
      <c r="CF6" s="229">
        <v>-0.18559999999999999</v>
      </c>
      <c r="CG6" s="230">
        <v>1052</v>
      </c>
      <c r="CH6" s="228">
        <v>497</v>
      </c>
      <c r="CI6" s="228">
        <v>554</v>
      </c>
      <c r="CJ6" s="229">
        <v>1.1140000000000001</v>
      </c>
      <c r="CK6" s="228">
        <v>23</v>
      </c>
      <c r="CL6" s="228">
        <v>19</v>
      </c>
      <c r="CM6" s="228">
        <v>4</v>
      </c>
      <c r="CN6" s="229">
        <v>0.19520000000000001</v>
      </c>
      <c r="CO6" s="230">
        <v>2749</v>
      </c>
      <c r="CP6" s="230">
        <v>2610</v>
      </c>
      <c r="CQ6" s="228">
        <v>139</v>
      </c>
      <c r="CR6" s="229">
        <v>5.33E-2</v>
      </c>
      <c r="CS6" s="230">
        <v>1838</v>
      </c>
      <c r="CT6" s="230">
        <v>1850</v>
      </c>
      <c r="CU6" s="228">
        <v>-12</v>
      </c>
      <c r="CV6" s="229">
        <v>-6.7000000000000002E-3</v>
      </c>
      <c r="CW6" s="230">
        <v>7790</v>
      </c>
      <c r="CX6" s="230">
        <v>7590</v>
      </c>
      <c r="CY6" s="228">
        <v>199</v>
      </c>
      <c r="CZ6" s="229">
        <v>2.63E-2</v>
      </c>
      <c r="DA6" s="228">
        <v>28.32</v>
      </c>
      <c r="DB6" s="228">
        <v>29.37</v>
      </c>
      <c r="DC6" s="228">
        <v>-1.05</v>
      </c>
      <c r="DD6" s="228">
        <v>-1.05</v>
      </c>
      <c r="DE6" s="228">
        <v>47.88</v>
      </c>
      <c r="DF6" s="228">
        <v>47.99</v>
      </c>
      <c r="DG6" s="228">
        <v>-19.559999999999999</v>
      </c>
      <c r="DH6" s="228">
        <v>-0.11</v>
      </c>
      <c r="DI6" s="228">
        <v>27.98</v>
      </c>
      <c r="DJ6" s="228">
        <v>28.01</v>
      </c>
      <c r="DK6" s="228">
        <v>-0.03</v>
      </c>
      <c r="DL6" s="228">
        <v>-0.03</v>
      </c>
      <c r="DM6" s="228">
        <v>28.89</v>
      </c>
      <c r="DN6" s="228">
        <v>32.020000000000003</v>
      </c>
      <c r="DO6" s="228">
        <v>-3.13</v>
      </c>
      <c r="DP6" s="228">
        <v>-3.13</v>
      </c>
      <c r="DQ6" s="228">
        <v>0.67</v>
      </c>
      <c r="DR6" s="228">
        <v>0.71</v>
      </c>
      <c r="DS6" s="228">
        <v>-0.04</v>
      </c>
      <c r="DT6" s="229">
        <v>-5.6300000000000003E-2</v>
      </c>
      <c r="DU6" s="231">
        <v>2520.65</v>
      </c>
      <c r="DV6" s="231">
        <v>2423.6999999999998</v>
      </c>
      <c r="DW6" s="228">
        <v>0.37</v>
      </c>
      <c r="DX6" s="228">
        <v>0.51</v>
      </c>
      <c r="DY6" s="228">
        <v>-0.14000000000000001</v>
      </c>
      <c r="DZ6" s="229">
        <v>-0.27450000000000002</v>
      </c>
      <c r="EA6" s="229">
        <v>0.33539999999999998</v>
      </c>
      <c r="EB6" s="230">
        <v>2107071</v>
      </c>
      <c r="EC6" s="229">
        <v>6.1999999999999998E-3</v>
      </c>
      <c r="ED6" s="229">
        <v>0.33539999999999998</v>
      </c>
      <c r="EE6" s="228">
        <v>13.36</v>
      </c>
      <c r="EF6" s="229">
        <v>5.4000000000000003E-3</v>
      </c>
      <c r="EG6" s="230">
        <v>430122</v>
      </c>
      <c r="EH6" s="230">
        <v>286933</v>
      </c>
      <c r="EI6" s="229">
        <v>0.499</v>
      </c>
      <c r="EJ6" s="229">
        <v>0.27200000000000002</v>
      </c>
      <c r="EK6" s="231">
        <v>7985.48</v>
      </c>
      <c r="EL6" s="231">
        <v>2843.1</v>
      </c>
      <c r="EM6" s="231">
        <v>1731.33</v>
      </c>
      <c r="EN6" s="228">
        <v>142.28</v>
      </c>
      <c r="EO6" s="231">
        <v>12559.91</v>
      </c>
      <c r="EP6" s="231">
        <v>5583.8</v>
      </c>
      <c r="EQ6" s="231">
        <v>6976.1</v>
      </c>
      <c r="ER6" s="229">
        <v>1.2493000000000001</v>
      </c>
      <c r="ES6" s="231">
        <v>2825.27</v>
      </c>
      <c r="ET6" s="231">
        <v>1767.35</v>
      </c>
      <c r="EU6" s="231">
        <v>3209.87</v>
      </c>
      <c r="EV6" s="231">
        <v>30942206</v>
      </c>
      <c r="EW6" s="231">
        <v>7802.5</v>
      </c>
      <c r="EX6" s="231">
        <v>7571.75</v>
      </c>
      <c r="EY6" s="228">
        <v>230.75</v>
      </c>
      <c r="EZ6" s="229">
        <v>3.0499999999999999E-2</v>
      </c>
      <c r="FA6" s="229">
        <v>1.0271999999999999</v>
      </c>
      <c r="FB6" s="227" t="s">
        <v>555</v>
      </c>
      <c r="FC6">
        <f t="shared" si="0"/>
        <v>1074</v>
      </c>
    </row>
    <row r="7" spans="1:159" ht="17.25" thickBot="1" x14ac:dyDescent="0.3">
      <c r="A7" s="226">
        <v>45981</v>
      </c>
      <c r="B7" s="227" t="s">
        <v>161</v>
      </c>
      <c r="C7" s="227" t="s">
        <v>606</v>
      </c>
      <c r="D7" s="228">
        <v>600</v>
      </c>
      <c r="E7" s="228">
        <v>5</v>
      </c>
      <c r="F7" s="231">
        <v>1058.4000000000001</v>
      </c>
      <c r="G7" s="231">
        <v>1069.2</v>
      </c>
      <c r="H7" s="228">
        <v>-10.8</v>
      </c>
      <c r="I7" s="229">
        <v>-1.01E-2</v>
      </c>
      <c r="J7" s="231">
        <v>1060</v>
      </c>
      <c r="K7" s="231">
        <v>1069.9000000000001</v>
      </c>
      <c r="L7" s="228">
        <v>-9.9</v>
      </c>
      <c r="M7" s="229">
        <v>-9.2999999999999992E-3</v>
      </c>
      <c r="N7" s="231">
        <v>1058.4000000000001</v>
      </c>
      <c r="O7" s="231">
        <v>1069.2</v>
      </c>
      <c r="P7" s="228">
        <v>-10.8</v>
      </c>
      <c r="Q7" s="229">
        <v>-1.01E-2</v>
      </c>
      <c r="R7" s="231">
        <v>1065.4000000000001</v>
      </c>
      <c r="S7" s="231">
        <v>1077</v>
      </c>
      <c r="T7" s="228">
        <v>-11.6</v>
      </c>
      <c r="U7" s="229">
        <v>-1.0800000000000001E-2</v>
      </c>
      <c r="V7" s="231">
        <v>1073.8</v>
      </c>
      <c r="W7" s="231">
        <v>1082.4000000000001</v>
      </c>
      <c r="X7" s="228">
        <v>-8.6</v>
      </c>
      <c r="Y7" s="229">
        <v>-7.9000000000000008E-3</v>
      </c>
      <c r="Z7" s="228">
        <v>-1.6</v>
      </c>
      <c r="AA7" s="228">
        <v>-0.7</v>
      </c>
      <c r="AB7" s="228">
        <v>-0.9</v>
      </c>
      <c r="AC7" s="229">
        <v>-1.5E-3</v>
      </c>
      <c r="AD7" s="228">
        <v>-1.6</v>
      </c>
      <c r="AE7" s="228">
        <v>-0.7</v>
      </c>
      <c r="AF7" s="228">
        <v>-0.9</v>
      </c>
      <c r="AG7" s="229">
        <v>-1.5E-3</v>
      </c>
      <c r="AH7" s="228">
        <v>5.4</v>
      </c>
      <c r="AI7" s="228">
        <v>7.1</v>
      </c>
      <c r="AJ7" s="228">
        <v>-1.7</v>
      </c>
      <c r="AK7" s="229">
        <v>5.1000000000000004E-3</v>
      </c>
      <c r="AL7" s="228">
        <v>13.8</v>
      </c>
      <c r="AM7" s="228">
        <v>12.5</v>
      </c>
      <c r="AN7" s="228">
        <v>1.3</v>
      </c>
      <c r="AO7" s="229">
        <v>1.2999999999999999E-2</v>
      </c>
      <c r="AP7" s="231">
        <v>1070.06</v>
      </c>
      <c r="AQ7" s="231">
        <v>1077.1400000000001</v>
      </c>
      <c r="AR7" s="228">
        <v>0</v>
      </c>
      <c r="AS7" s="228">
        <v>993</v>
      </c>
      <c r="AT7" s="228">
        <v>703</v>
      </c>
      <c r="AU7" s="228">
        <v>291</v>
      </c>
      <c r="AV7" s="229">
        <v>0.41399999999999998</v>
      </c>
      <c r="AW7" s="228">
        <v>526</v>
      </c>
      <c r="AX7" s="228">
        <v>466</v>
      </c>
      <c r="AY7" s="228">
        <v>60</v>
      </c>
      <c r="AZ7" s="229">
        <v>0.128</v>
      </c>
      <c r="BA7" s="228">
        <v>461</v>
      </c>
      <c r="BB7" s="228">
        <v>229</v>
      </c>
      <c r="BC7" s="228">
        <v>232</v>
      </c>
      <c r="BD7" s="229">
        <v>1.0133000000000001</v>
      </c>
      <c r="BE7" s="228">
        <v>6</v>
      </c>
      <c r="BF7" s="228">
        <v>7</v>
      </c>
      <c r="BG7" s="228">
        <v>-1</v>
      </c>
      <c r="BH7" s="229">
        <v>-0.1404</v>
      </c>
      <c r="BI7" s="230">
        <v>2692</v>
      </c>
      <c r="BJ7" s="230">
        <v>4712</v>
      </c>
      <c r="BK7" s="230">
        <v>-2020</v>
      </c>
      <c r="BL7" s="229">
        <v>-0.42870000000000003</v>
      </c>
      <c r="BM7" s="228">
        <v>868</v>
      </c>
      <c r="BN7" s="230">
        <v>1712</v>
      </c>
      <c r="BO7" s="228">
        <v>-844</v>
      </c>
      <c r="BP7" s="229">
        <v>-0.49309999999999998</v>
      </c>
      <c r="BQ7" s="230">
        <v>4554</v>
      </c>
      <c r="BR7" s="230">
        <v>7127</v>
      </c>
      <c r="BS7" s="230">
        <v>-2573</v>
      </c>
      <c r="BT7" s="229">
        <v>-0.36109999999999998</v>
      </c>
      <c r="BU7" s="230">
        <v>1445977</v>
      </c>
      <c r="BV7" s="230">
        <v>2276680</v>
      </c>
      <c r="BW7" s="230">
        <v>-830703</v>
      </c>
      <c r="BX7" s="229">
        <v>-0.3649</v>
      </c>
      <c r="BY7" s="230">
        <v>2572</v>
      </c>
      <c r="BZ7" s="230">
        <v>2578</v>
      </c>
      <c r="CA7" s="228">
        <v>-6</v>
      </c>
      <c r="CB7" s="229">
        <v>-2.2000000000000001E-3</v>
      </c>
      <c r="CC7" s="230">
        <v>1851</v>
      </c>
      <c r="CD7" s="230">
        <v>2219</v>
      </c>
      <c r="CE7" s="228">
        <v>-369</v>
      </c>
      <c r="CF7" s="229">
        <v>-0.16619999999999999</v>
      </c>
      <c r="CG7" s="228">
        <v>697</v>
      </c>
      <c r="CH7" s="228">
        <v>337</v>
      </c>
      <c r="CI7" s="228">
        <v>360</v>
      </c>
      <c r="CJ7" s="229">
        <v>1.0693999999999999</v>
      </c>
      <c r="CK7" s="228">
        <v>25</v>
      </c>
      <c r="CL7" s="228">
        <v>22</v>
      </c>
      <c r="CM7" s="228">
        <v>3</v>
      </c>
      <c r="CN7" s="229">
        <v>0.1404</v>
      </c>
      <c r="CO7" s="230">
        <v>2064</v>
      </c>
      <c r="CP7" s="230">
        <v>2023</v>
      </c>
      <c r="CQ7" s="228">
        <v>41</v>
      </c>
      <c r="CR7" s="229">
        <v>2.0199999999999999E-2</v>
      </c>
      <c r="CS7" s="228">
        <v>934</v>
      </c>
      <c r="CT7" s="228">
        <v>924</v>
      </c>
      <c r="CU7" s="228">
        <v>10</v>
      </c>
      <c r="CV7" s="229">
        <v>1.04E-2</v>
      </c>
      <c r="CW7" s="230">
        <v>5570</v>
      </c>
      <c r="CX7" s="230">
        <v>5525</v>
      </c>
      <c r="CY7" s="228">
        <v>45</v>
      </c>
      <c r="CZ7" s="229">
        <v>8.0999999999999996E-3</v>
      </c>
      <c r="DA7" s="228">
        <v>38.64</v>
      </c>
      <c r="DB7" s="228">
        <v>42.45</v>
      </c>
      <c r="DC7" s="228">
        <v>-3.81</v>
      </c>
      <c r="DD7" s="228">
        <v>-3.81</v>
      </c>
      <c r="DE7" s="228">
        <v>57.58</v>
      </c>
      <c r="DF7" s="228">
        <v>57.71</v>
      </c>
      <c r="DG7" s="228">
        <v>-18.940000000000001</v>
      </c>
      <c r="DH7" s="228">
        <v>-0.13</v>
      </c>
      <c r="DI7" s="228">
        <v>38.9</v>
      </c>
      <c r="DJ7" s="228">
        <v>43.13</v>
      </c>
      <c r="DK7" s="228">
        <v>-4.2300000000000004</v>
      </c>
      <c r="DL7" s="228">
        <v>-4.2300000000000004</v>
      </c>
      <c r="DM7" s="228">
        <v>37.909999999999997</v>
      </c>
      <c r="DN7" s="228">
        <v>40.58</v>
      </c>
      <c r="DO7" s="228">
        <v>-2.67</v>
      </c>
      <c r="DP7" s="228">
        <v>-2.67</v>
      </c>
      <c r="DQ7" s="228">
        <v>0.45</v>
      </c>
      <c r="DR7" s="228">
        <v>0.46</v>
      </c>
      <c r="DS7" s="228">
        <v>-0.01</v>
      </c>
      <c r="DT7" s="229">
        <v>-2.1700000000000001E-2</v>
      </c>
      <c r="DU7" s="231">
        <v>1100</v>
      </c>
      <c r="DV7" s="231">
        <v>1060</v>
      </c>
      <c r="DW7" s="228">
        <v>0.32</v>
      </c>
      <c r="DX7" s="228">
        <v>0.36</v>
      </c>
      <c r="DY7" s="228">
        <v>-0.04</v>
      </c>
      <c r="DZ7" s="229">
        <v>-0.1111</v>
      </c>
      <c r="EA7" s="229">
        <v>0.28060000000000002</v>
      </c>
      <c r="EB7" s="230">
        <v>3389400</v>
      </c>
      <c r="EC7" s="229">
        <v>6.6E-3</v>
      </c>
      <c r="ED7" s="229">
        <v>0.28060000000000002</v>
      </c>
      <c r="EE7" s="228">
        <v>7.08</v>
      </c>
      <c r="EF7" s="229">
        <v>6.6E-3</v>
      </c>
      <c r="EG7" s="230">
        <v>400818</v>
      </c>
      <c r="EH7" s="230">
        <v>535048</v>
      </c>
      <c r="EI7" s="229">
        <v>-0.25090000000000001</v>
      </c>
      <c r="EJ7" s="229">
        <v>0.2772</v>
      </c>
      <c r="EK7" s="231">
        <v>2894.51</v>
      </c>
      <c r="EL7" s="228">
        <v>851.01</v>
      </c>
      <c r="EM7" s="231">
        <v>1007.51</v>
      </c>
      <c r="EN7" s="228">
        <v>86.22</v>
      </c>
      <c r="EO7" s="231">
        <v>4753.03</v>
      </c>
      <c r="EP7" s="231">
        <v>7449.92</v>
      </c>
      <c r="EQ7" s="231">
        <v>-2696.9</v>
      </c>
      <c r="ER7" s="229">
        <v>-0.36199999999999999</v>
      </c>
      <c r="ES7" s="231">
        <v>2225.69</v>
      </c>
      <c r="ET7" s="228">
        <v>918.57</v>
      </c>
      <c r="EU7" s="231">
        <v>2577.39</v>
      </c>
      <c r="EV7" s="231">
        <v>61877951</v>
      </c>
      <c r="EW7" s="231">
        <v>5721.66</v>
      </c>
      <c r="EX7" s="231">
        <v>5706.18</v>
      </c>
      <c r="EY7" s="228">
        <v>15.48</v>
      </c>
      <c r="EZ7" s="229">
        <v>2.7000000000000001E-3</v>
      </c>
      <c r="FA7" s="229">
        <v>0.85050000000000003</v>
      </c>
      <c r="FB7" s="227" t="s">
        <v>568</v>
      </c>
      <c r="FC7">
        <f t="shared" si="0"/>
        <v>721</v>
      </c>
    </row>
    <row r="8" spans="1:159" ht="17.25" thickBot="1" x14ac:dyDescent="0.3">
      <c r="A8" s="226">
        <v>45981</v>
      </c>
      <c r="B8" s="227" t="s">
        <v>215</v>
      </c>
      <c r="C8" s="227" t="s">
        <v>160</v>
      </c>
      <c r="D8" s="228">
        <v>475</v>
      </c>
      <c r="E8" s="228">
        <v>5</v>
      </c>
      <c r="F8" s="231">
        <v>1492.4</v>
      </c>
      <c r="G8" s="231">
        <v>1486.9</v>
      </c>
      <c r="H8" s="228">
        <v>5.5</v>
      </c>
      <c r="I8" s="229">
        <v>3.7000000000000002E-3</v>
      </c>
      <c r="J8" s="231">
        <v>1491.1</v>
      </c>
      <c r="K8" s="231">
        <v>1484.2</v>
      </c>
      <c r="L8" s="228">
        <v>6.9</v>
      </c>
      <c r="M8" s="229">
        <v>4.5999999999999999E-3</v>
      </c>
      <c r="N8" s="231">
        <v>1492.4</v>
      </c>
      <c r="O8" s="231">
        <v>1486.9</v>
      </c>
      <c r="P8" s="228">
        <v>5.5</v>
      </c>
      <c r="Q8" s="229">
        <v>3.7000000000000002E-3</v>
      </c>
      <c r="R8" s="231">
        <v>1502.6</v>
      </c>
      <c r="S8" s="231">
        <v>1496.7</v>
      </c>
      <c r="T8" s="228">
        <v>5.9</v>
      </c>
      <c r="U8" s="229">
        <v>3.8999999999999998E-3</v>
      </c>
      <c r="V8" s="231">
        <v>1510</v>
      </c>
      <c r="W8" s="231">
        <v>1505.8</v>
      </c>
      <c r="X8" s="228">
        <v>4.2</v>
      </c>
      <c r="Y8" s="229">
        <v>2.8E-3</v>
      </c>
      <c r="Z8" s="228">
        <v>1.3</v>
      </c>
      <c r="AA8" s="228">
        <v>2.7</v>
      </c>
      <c r="AB8" s="228">
        <v>-1.4</v>
      </c>
      <c r="AC8" s="229">
        <v>8.9999999999999998E-4</v>
      </c>
      <c r="AD8" s="228">
        <v>1.3</v>
      </c>
      <c r="AE8" s="228">
        <v>2.7</v>
      </c>
      <c r="AF8" s="228">
        <v>-1.4</v>
      </c>
      <c r="AG8" s="229">
        <v>8.9999999999999998E-4</v>
      </c>
      <c r="AH8" s="228">
        <v>11.5</v>
      </c>
      <c r="AI8" s="228">
        <v>12.5</v>
      </c>
      <c r="AJ8" s="228">
        <v>-1</v>
      </c>
      <c r="AK8" s="229">
        <v>7.7000000000000002E-3</v>
      </c>
      <c r="AL8" s="228">
        <v>18.899999999999999</v>
      </c>
      <c r="AM8" s="228">
        <v>21.6</v>
      </c>
      <c r="AN8" s="228">
        <v>-2.7</v>
      </c>
      <c r="AO8" s="229">
        <v>1.2699999999999999E-2</v>
      </c>
      <c r="AP8" s="231">
        <v>1497.08</v>
      </c>
      <c r="AQ8" s="231">
        <v>1507.03</v>
      </c>
      <c r="AR8" s="228">
        <v>0</v>
      </c>
      <c r="AS8" s="230">
        <v>1733</v>
      </c>
      <c r="AT8" s="228">
        <v>695</v>
      </c>
      <c r="AU8" s="230">
        <v>1038</v>
      </c>
      <c r="AV8" s="229">
        <v>1.4944999999999999</v>
      </c>
      <c r="AW8" s="228">
        <v>909</v>
      </c>
      <c r="AX8" s="228">
        <v>424</v>
      </c>
      <c r="AY8" s="228">
        <v>484</v>
      </c>
      <c r="AZ8" s="229">
        <v>1.1409</v>
      </c>
      <c r="BA8" s="228">
        <v>816</v>
      </c>
      <c r="BB8" s="228">
        <v>264</v>
      </c>
      <c r="BC8" s="228">
        <v>552</v>
      </c>
      <c r="BD8" s="229">
        <v>2.0901999999999998</v>
      </c>
      <c r="BE8" s="228">
        <v>7</v>
      </c>
      <c r="BF8" s="228">
        <v>6</v>
      </c>
      <c r="BG8" s="228">
        <v>1</v>
      </c>
      <c r="BH8" s="229">
        <v>0.253</v>
      </c>
      <c r="BI8" s="230">
        <v>3255</v>
      </c>
      <c r="BJ8" s="230">
        <v>2558</v>
      </c>
      <c r="BK8" s="228">
        <v>697</v>
      </c>
      <c r="BL8" s="229">
        <v>0.27239999999999998</v>
      </c>
      <c r="BM8" s="230">
        <v>1172</v>
      </c>
      <c r="BN8" s="230">
        <v>1190</v>
      </c>
      <c r="BO8" s="228">
        <v>-18</v>
      </c>
      <c r="BP8" s="229">
        <v>-1.47E-2</v>
      </c>
      <c r="BQ8" s="230">
        <v>6159</v>
      </c>
      <c r="BR8" s="230">
        <v>4442</v>
      </c>
      <c r="BS8" s="230">
        <v>1717</v>
      </c>
      <c r="BT8" s="229">
        <v>0.3866</v>
      </c>
      <c r="BU8" s="230">
        <v>1549215</v>
      </c>
      <c r="BV8" s="230">
        <v>1838026</v>
      </c>
      <c r="BW8" s="230">
        <v>-288811</v>
      </c>
      <c r="BX8" s="229">
        <v>-0.15709999999999999</v>
      </c>
      <c r="BY8" s="230">
        <v>3835</v>
      </c>
      <c r="BZ8" s="230">
        <v>3790</v>
      </c>
      <c r="CA8" s="228">
        <v>45</v>
      </c>
      <c r="CB8" s="229">
        <v>1.18E-2</v>
      </c>
      <c r="CC8" s="230">
        <v>2540</v>
      </c>
      <c r="CD8" s="230">
        <v>3220</v>
      </c>
      <c r="CE8" s="228">
        <v>-680</v>
      </c>
      <c r="CF8" s="229">
        <v>-0.2112</v>
      </c>
      <c r="CG8" s="230">
        <v>1267</v>
      </c>
      <c r="CH8" s="228">
        <v>545</v>
      </c>
      <c r="CI8" s="228">
        <v>722</v>
      </c>
      <c r="CJ8" s="229">
        <v>1.3258000000000001</v>
      </c>
      <c r="CK8" s="228">
        <v>28</v>
      </c>
      <c r="CL8" s="228">
        <v>25</v>
      </c>
      <c r="CM8" s="228">
        <v>3</v>
      </c>
      <c r="CN8" s="229">
        <v>0.1045</v>
      </c>
      <c r="CO8" s="230">
        <v>1646</v>
      </c>
      <c r="CP8" s="230">
        <v>1726</v>
      </c>
      <c r="CQ8" s="228">
        <v>-80</v>
      </c>
      <c r="CR8" s="229">
        <v>-4.6600000000000003E-2</v>
      </c>
      <c r="CS8" s="228">
        <v>948</v>
      </c>
      <c r="CT8" s="228">
        <v>975</v>
      </c>
      <c r="CU8" s="228">
        <v>-27</v>
      </c>
      <c r="CV8" s="229">
        <v>-2.7799999999999998E-2</v>
      </c>
      <c r="CW8" s="230">
        <v>6429</v>
      </c>
      <c r="CX8" s="230">
        <v>6492</v>
      </c>
      <c r="CY8" s="228">
        <v>-63</v>
      </c>
      <c r="CZ8" s="229">
        <v>-9.7000000000000003E-3</v>
      </c>
      <c r="DA8" s="228">
        <v>23.01</v>
      </c>
      <c r="DB8" s="228">
        <v>24.28</v>
      </c>
      <c r="DC8" s="228">
        <v>-1.27</v>
      </c>
      <c r="DD8" s="228">
        <v>-1.27</v>
      </c>
      <c r="DE8" s="228">
        <v>37.47</v>
      </c>
      <c r="DF8" s="228">
        <v>37.549999999999997</v>
      </c>
      <c r="DG8" s="228">
        <v>-14.46</v>
      </c>
      <c r="DH8" s="228">
        <v>-0.08</v>
      </c>
      <c r="DI8" s="228">
        <v>22.91</v>
      </c>
      <c r="DJ8" s="228">
        <v>24.56</v>
      </c>
      <c r="DK8" s="228">
        <v>-1.65</v>
      </c>
      <c r="DL8" s="228">
        <v>-1.65</v>
      </c>
      <c r="DM8" s="228">
        <v>23.31</v>
      </c>
      <c r="DN8" s="228">
        <v>23.67</v>
      </c>
      <c r="DO8" s="228">
        <v>-0.36</v>
      </c>
      <c r="DP8" s="228">
        <v>-0.36</v>
      </c>
      <c r="DQ8" s="228">
        <v>0.57999999999999996</v>
      </c>
      <c r="DR8" s="228">
        <v>0.56000000000000005</v>
      </c>
      <c r="DS8" s="228">
        <v>0.02</v>
      </c>
      <c r="DT8" s="229">
        <v>3.5700000000000003E-2</v>
      </c>
      <c r="DU8" s="231">
        <v>1500</v>
      </c>
      <c r="DV8" s="231">
        <v>1500</v>
      </c>
      <c r="DW8" s="228">
        <v>0.36</v>
      </c>
      <c r="DX8" s="228">
        <v>0.47</v>
      </c>
      <c r="DY8" s="228">
        <v>-0.11</v>
      </c>
      <c r="DZ8" s="229">
        <v>-0.23400000000000001</v>
      </c>
      <c r="EA8" s="229">
        <v>0.33750000000000002</v>
      </c>
      <c r="EB8" s="230">
        <v>3817575</v>
      </c>
      <c r="EC8" s="229">
        <v>6.7999999999999996E-3</v>
      </c>
      <c r="ED8" s="229">
        <v>0.33750000000000002</v>
      </c>
      <c r="EE8" s="228">
        <v>9.9499999999999993</v>
      </c>
      <c r="EF8" s="229">
        <v>6.6E-3</v>
      </c>
      <c r="EG8" s="230">
        <v>668670</v>
      </c>
      <c r="EH8" s="230">
        <v>1097092</v>
      </c>
      <c r="EI8" s="229">
        <v>-0.39050000000000001</v>
      </c>
      <c r="EJ8" s="229">
        <v>0.43159999999999998</v>
      </c>
      <c r="EK8" s="231">
        <v>3356.22</v>
      </c>
      <c r="EL8" s="231">
        <v>1163.24</v>
      </c>
      <c r="EM8" s="231">
        <v>1743.57</v>
      </c>
      <c r="EN8" s="228">
        <v>81.8</v>
      </c>
      <c r="EO8" s="231">
        <v>6263.03</v>
      </c>
      <c r="EP8" s="231">
        <v>4504.12</v>
      </c>
      <c r="EQ8" s="231">
        <v>1758.91</v>
      </c>
      <c r="ER8" s="229">
        <v>0.39050000000000001</v>
      </c>
      <c r="ES8" s="231">
        <v>1688.21</v>
      </c>
      <c r="ET8" s="228">
        <v>913.54</v>
      </c>
      <c r="EU8" s="231">
        <v>3843.8</v>
      </c>
      <c r="EV8" s="231">
        <v>73799006</v>
      </c>
      <c r="EW8" s="231">
        <v>6445.55</v>
      </c>
      <c r="EX8" s="231">
        <v>6490.37</v>
      </c>
      <c r="EY8" s="228">
        <v>-44.82</v>
      </c>
      <c r="EZ8" s="229">
        <v>-6.8999999999999999E-3</v>
      </c>
      <c r="FA8" s="229">
        <v>0.5837</v>
      </c>
      <c r="FB8" s="227" t="s">
        <v>555</v>
      </c>
      <c r="FC8">
        <f t="shared" si="0"/>
        <v>1295</v>
      </c>
    </row>
    <row r="9" spans="1:159" ht="17.25" thickBot="1" x14ac:dyDescent="0.3">
      <c r="A9" s="226">
        <v>45981</v>
      </c>
      <c r="B9" s="227" t="s">
        <v>170</v>
      </c>
      <c r="C9" s="227" t="s">
        <v>497</v>
      </c>
      <c r="D9" s="228">
        <v>125</v>
      </c>
      <c r="E9" s="228">
        <v>5</v>
      </c>
      <c r="F9" s="231">
        <v>5693.5</v>
      </c>
      <c r="G9" s="231">
        <v>5722.5</v>
      </c>
      <c r="H9" s="228">
        <v>-29</v>
      </c>
      <c r="I9" s="229">
        <v>-5.1000000000000004E-3</v>
      </c>
      <c r="J9" s="231">
        <v>5700</v>
      </c>
      <c r="K9" s="231">
        <v>5724</v>
      </c>
      <c r="L9" s="228">
        <v>-24</v>
      </c>
      <c r="M9" s="229">
        <v>-4.1999999999999997E-3</v>
      </c>
      <c r="N9" s="231">
        <v>5693.5</v>
      </c>
      <c r="O9" s="231">
        <v>5722.5</v>
      </c>
      <c r="P9" s="228">
        <v>-29</v>
      </c>
      <c r="Q9" s="229">
        <v>-5.1000000000000004E-3</v>
      </c>
      <c r="R9" s="231">
        <v>5730</v>
      </c>
      <c r="S9" s="231">
        <v>5756</v>
      </c>
      <c r="T9" s="228">
        <v>-26</v>
      </c>
      <c r="U9" s="229">
        <v>-4.4999999999999997E-3</v>
      </c>
      <c r="V9" s="231">
        <v>5800</v>
      </c>
      <c r="W9" s="231">
        <v>5800</v>
      </c>
      <c r="X9" s="228">
        <v>0</v>
      </c>
      <c r="Y9" s="229">
        <v>0</v>
      </c>
      <c r="Z9" s="228">
        <v>-6.5</v>
      </c>
      <c r="AA9" s="228">
        <v>-1.5</v>
      </c>
      <c r="AB9" s="228">
        <v>-5</v>
      </c>
      <c r="AC9" s="229">
        <v>-1.1000000000000001E-3</v>
      </c>
      <c r="AD9" s="228">
        <v>-6.5</v>
      </c>
      <c r="AE9" s="228">
        <v>-1.5</v>
      </c>
      <c r="AF9" s="228">
        <v>-5</v>
      </c>
      <c r="AG9" s="229">
        <v>-1.1000000000000001E-3</v>
      </c>
      <c r="AH9" s="228">
        <v>30</v>
      </c>
      <c r="AI9" s="228">
        <v>32</v>
      </c>
      <c r="AJ9" s="228">
        <v>-2</v>
      </c>
      <c r="AK9" s="229">
        <v>5.3E-3</v>
      </c>
      <c r="AL9" s="228">
        <v>100</v>
      </c>
      <c r="AM9" s="228">
        <v>76</v>
      </c>
      <c r="AN9" s="228">
        <v>24</v>
      </c>
      <c r="AO9" s="229">
        <v>1.7500000000000002E-2</v>
      </c>
      <c r="AP9" s="231">
        <v>5708.6</v>
      </c>
      <c r="AQ9" s="231">
        <v>5745.89</v>
      </c>
      <c r="AR9" s="228">
        <v>0</v>
      </c>
      <c r="AS9" s="228">
        <v>423</v>
      </c>
      <c r="AT9" s="228">
        <v>74</v>
      </c>
      <c r="AU9" s="228">
        <v>348</v>
      </c>
      <c r="AV9" s="229">
        <v>4.6787999999999998</v>
      </c>
      <c r="AW9" s="228">
        <v>229</v>
      </c>
      <c r="AX9" s="228">
        <v>62</v>
      </c>
      <c r="AY9" s="228">
        <v>167</v>
      </c>
      <c r="AZ9" s="229">
        <v>2.6711999999999998</v>
      </c>
      <c r="BA9" s="228">
        <v>194</v>
      </c>
      <c r="BB9" s="228">
        <v>12</v>
      </c>
      <c r="BC9" s="228">
        <v>182</v>
      </c>
      <c r="BD9" s="229">
        <v>15.311400000000001</v>
      </c>
      <c r="BE9" s="228">
        <v>0</v>
      </c>
      <c r="BF9" s="228">
        <v>0</v>
      </c>
      <c r="BG9" s="228">
        <v>0</v>
      </c>
      <c r="BH9" s="229">
        <v>-1</v>
      </c>
      <c r="BI9" s="228">
        <v>378</v>
      </c>
      <c r="BJ9" s="228">
        <v>437</v>
      </c>
      <c r="BK9" s="228">
        <v>-59</v>
      </c>
      <c r="BL9" s="229">
        <v>-0.13450000000000001</v>
      </c>
      <c r="BM9" s="228">
        <v>138</v>
      </c>
      <c r="BN9" s="228">
        <v>88</v>
      </c>
      <c r="BO9" s="228">
        <v>50</v>
      </c>
      <c r="BP9" s="229">
        <v>0.57189999999999996</v>
      </c>
      <c r="BQ9" s="228">
        <v>939</v>
      </c>
      <c r="BR9" s="228">
        <v>599</v>
      </c>
      <c r="BS9" s="228">
        <v>340</v>
      </c>
      <c r="BT9" s="229">
        <v>0.56669999999999998</v>
      </c>
      <c r="BU9" s="230">
        <v>81353</v>
      </c>
      <c r="BV9" s="230">
        <v>107449</v>
      </c>
      <c r="BW9" s="230">
        <v>-26096</v>
      </c>
      <c r="BX9" s="229">
        <v>-0.2429</v>
      </c>
      <c r="BY9" s="230">
        <v>1007</v>
      </c>
      <c r="BZ9" s="228">
        <v>964</v>
      </c>
      <c r="CA9" s="228">
        <v>42</v>
      </c>
      <c r="CB9" s="229">
        <v>4.3700000000000003E-2</v>
      </c>
      <c r="CC9" s="228">
        <v>821</v>
      </c>
      <c r="CD9" s="228">
        <v>921</v>
      </c>
      <c r="CE9" s="228">
        <v>-100</v>
      </c>
      <c r="CF9" s="229">
        <v>-0.1087</v>
      </c>
      <c r="CG9" s="228">
        <v>184</v>
      </c>
      <c r="CH9" s="228">
        <v>42</v>
      </c>
      <c r="CI9" s="228">
        <v>142</v>
      </c>
      <c r="CJ9" s="229">
        <v>3.371</v>
      </c>
      <c r="CK9" s="228">
        <v>1</v>
      </c>
      <c r="CL9" s="228">
        <v>1</v>
      </c>
      <c r="CM9" s="228">
        <v>0</v>
      </c>
      <c r="CN9" s="229">
        <v>0</v>
      </c>
      <c r="CO9" s="228">
        <v>361</v>
      </c>
      <c r="CP9" s="228">
        <v>354</v>
      </c>
      <c r="CQ9" s="228">
        <v>8</v>
      </c>
      <c r="CR9" s="229">
        <v>2.1700000000000001E-2</v>
      </c>
      <c r="CS9" s="228">
        <v>201</v>
      </c>
      <c r="CT9" s="228">
        <v>217</v>
      </c>
      <c r="CU9" s="228">
        <v>-16</v>
      </c>
      <c r="CV9" s="229">
        <v>-7.3599999999999999E-2</v>
      </c>
      <c r="CW9" s="230">
        <v>1569</v>
      </c>
      <c r="CX9" s="230">
        <v>1536</v>
      </c>
      <c r="CY9" s="228">
        <v>34</v>
      </c>
      <c r="CZ9" s="229">
        <v>2.1999999999999999E-2</v>
      </c>
      <c r="DA9" s="228">
        <v>22.89</v>
      </c>
      <c r="DB9" s="228">
        <v>22.28</v>
      </c>
      <c r="DC9" s="228">
        <v>0.61</v>
      </c>
      <c r="DD9" s="228">
        <v>0.61</v>
      </c>
      <c r="DE9" s="228">
        <v>26.79</v>
      </c>
      <c r="DF9" s="228">
        <v>26.85</v>
      </c>
      <c r="DG9" s="228">
        <v>-3.9</v>
      </c>
      <c r="DH9" s="228">
        <v>-0.06</v>
      </c>
      <c r="DI9" s="228">
        <v>23.14</v>
      </c>
      <c r="DJ9" s="228">
        <v>22.49</v>
      </c>
      <c r="DK9" s="228">
        <v>0.65</v>
      </c>
      <c r="DL9" s="228">
        <v>0.65</v>
      </c>
      <c r="DM9" s="228">
        <v>22.36</v>
      </c>
      <c r="DN9" s="228">
        <v>21.26</v>
      </c>
      <c r="DO9" s="228">
        <v>1.1000000000000001</v>
      </c>
      <c r="DP9" s="228">
        <v>1.1000000000000001</v>
      </c>
      <c r="DQ9" s="228">
        <v>0.56000000000000005</v>
      </c>
      <c r="DR9" s="228">
        <v>0.61</v>
      </c>
      <c r="DS9" s="228">
        <v>-0.05</v>
      </c>
      <c r="DT9" s="229">
        <v>-8.2000000000000003E-2</v>
      </c>
      <c r="DU9" s="231">
        <v>5800</v>
      </c>
      <c r="DV9" s="231">
        <v>5700</v>
      </c>
      <c r="DW9" s="228">
        <v>0.36</v>
      </c>
      <c r="DX9" s="228">
        <v>0.2</v>
      </c>
      <c r="DY9" s="228">
        <v>0.16</v>
      </c>
      <c r="DZ9" s="229">
        <v>0.8</v>
      </c>
      <c r="EA9" s="229">
        <v>0.18429999999999999</v>
      </c>
      <c r="EB9" s="230">
        <v>75875</v>
      </c>
      <c r="EC9" s="229">
        <v>6.4000000000000003E-3</v>
      </c>
      <c r="ED9" s="229">
        <v>0.18429999999999999</v>
      </c>
      <c r="EE9" s="228">
        <v>37.29</v>
      </c>
      <c r="EF9" s="229">
        <v>6.4999999999999997E-3</v>
      </c>
      <c r="EG9" s="230">
        <v>52959</v>
      </c>
      <c r="EH9" s="230">
        <v>71805</v>
      </c>
      <c r="EI9" s="229">
        <v>-0.26250000000000001</v>
      </c>
      <c r="EJ9" s="229">
        <v>0.65100000000000002</v>
      </c>
      <c r="EK9" s="228">
        <v>388.71</v>
      </c>
      <c r="EL9" s="228">
        <v>137.19999999999999</v>
      </c>
      <c r="EM9" s="228">
        <v>425.13</v>
      </c>
      <c r="EN9" s="228">
        <v>49.75</v>
      </c>
      <c r="EO9" s="228">
        <v>951.05</v>
      </c>
      <c r="EP9" s="228">
        <v>615.96</v>
      </c>
      <c r="EQ9" s="228">
        <v>335.09</v>
      </c>
      <c r="ER9" s="229">
        <v>0.54400000000000004</v>
      </c>
      <c r="ES9" s="228">
        <v>374.45</v>
      </c>
      <c r="ET9" s="228">
        <v>198.73</v>
      </c>
      <c r="EU9" s="231">
        <v>1007.74</v>
      </c>
      <c r="EV9" s="231">
        <v>6130387</v>
      </c>
      <c r="EW9" s="231">
        <v>1580.92</v>
      </c>
      <c r="EX9" s="231">
        <v>1551.47</v>
      </c>
      <c r="EY9" s="228">
        <v>29.45</v>
      </c>
      <c r="EZ9" s="229">
        <v>1.9E-2</v>
      </c>
      <c r="FA9" s="229">
        <v>0.44969999999999999</v>
      </c>
      <c r="FB9" s="227" t="s">
        <v>567</v>
      </c>
      <c r="FC9">
        <f t="shared" si="0"/>
        <v>186</v>
      </c>
    </row>
    <row r="10" spans="1:159" ht="17.25" thickBot="1" x14ac:dyDescent="0.3">
      <c r="A10" s="226">
        <v>45981</v>
      </c>
      <c r="B10" s="227" t="s">
        <v>184</v>
      </c>
      <c r="C10" s="227" t="s">
        <v>682</v>
      </c>
      <c r="D10" s="228">
        <v>100</v>
      </c>
      <c r="E10" s="228">
        <v>5</v>
      </c>
      <c r="F10" s="231">
        <v>7271</v>
      </c>
      <c r="G10" s="231">
        <v>7427.5</v>
      </c>
      <c r="H10" s="228">
        <v>-156.5</v>
      </c>
      <c r="I10" s="229">
        <v>-2.1100000000000001E-2</v>
      </c>
      <c r="J10" s="231">
        <v>7256.5</v>
      </c>
      <c r="K10" s="231">
        <v>7411</v>
      </c>
      <c r="L10" s="228">
        <v>-154.5</v>
      </c>
      <c r="M10" s="229">
        <v>-2.0799999999999999E-2</v>
      </c>
      <c r="N10" s="231">
        <v>7271</v>
      </c>
      <c r="O10" s="231">
        <v>7427.5</v>
      </c>
      <c r="P10" s="228">
        <v>-156.5</v>
      </c>
      <c r="Q10" s="229">
        <v>-2.1100000000000001E-2</v>
      </c>
      <c r="R10" s="231">
        <v>7066</v>
      </c>
      <c r="S10" s="231">
        <v>7188</v>
      </c>
      <c r="T10" s="228">
        <v>-122</v>
      </c>
      <c r="U10" s="229">
        <v>-1.7000000000000001E-2</v>
      </c>
      <c r="V10" s="231">
        <v>6946</v>
      </c>
      <c r="W10" s="231">
        <v>7060</v>
      </c>
      <c r="X10" s="228">
        <v>-114</v>
      </c>
      <c r="Y10" s="229">
        <v>-1.61E-2</v>
      </c>
      <c r="Z10" s="228">
        <v>14.5</v>
      </c>
      <c r="AA10" s="228">
        <v>16.5</v>
      </c>
      <c r="AB10" s="228">
        <v>-2</v>
      </c>
      <c r="AC10" s="229">
        <v>2E-3</v>
      </c>
      <c r="AD10" s="228">
        <v>14.5</v>
      </c>
      <c r="AE10" s="228">
        <v>16.5</v>
      </c>
      <c r="AF10" s="228">
        <v>-2</v>
      </c>
      <c r="AG10" s="229">
        <v>2E-3</v>
      </c>
      <c r="AH10" s="228">
        <v>-190.5</v>
      </c>
      <c r="AI10" s="228">
        <v>-223</v>
      </c>
      <c r="AJ10" s="228">
        <v>32.5</v>
      </c>
      <c r="AK10" s="229">
        <v>-2.63E-2</v>
      </c>
      <c r="AL10" s="228">
        <v>-310.5</v>
      </c>
      <c r="AM10" s="228">
        <v>-351</v>
      </c>
      <c r="AN10" s="228">
        <v>40.5</v>
      </c>
      <c r="AO10" s="229">
        <v>-4.2799999999999998E-2</v>
      </c>
      <c r="AP10" s="231">
        <v>7335.12</v>
      </c>
      <c r="AQ10" s="231">
        <v>7110.04</v>
      </c>
      <c r="AR10" s="228">
        <v>0</v>
      </c>
      <c r="AS10" s="228">
        <v>760</v>
      </c>
      <c r="AT10" s="228">
        <v>225</v>
      </c>
      <c r="AU10" s="228">
        <v>536</v>
      </c>
      <c r="AV10" s="229">
        <v>2.3845999999999998</v>
      </c>
      <c r="AW10" s="228">
        <v>394</v>
      </c>
      <c r="AX10" s="228">
        <v>142</v>
      </c>
      <c r="AY10" s="228">
        <v>251</v>
      </c>
      <c r="AZ10" s="229">
        <v>1.7661</v>
      </c>
      <c r="BA10" s="228">
        <v>362</v>
      </c>
      <c r="BB10" s="228">
        <v>82</v>
      </c>
      <c r="BC10" s="228">
        <v>280</v>
      </c>
      <c r="BD10" s="229">
        <v>3.4201000000000001</v>
      </c>
      <c r="BE10" s="228">
        <v>5</v>
      </c>
      <c r="BF10" s="228">
        <v>0</v>
      </c>
      <c r="BG10" s="228">
        <v>4</v>
      </c>
      <c r="BH10" s="229">
        <v>11.4</v>
      </c>
      <c r="BI10" s="230">
        <v>1704</v>
      </c>
      <c r="BJ10" s="230">
        <v>1251</v>
      </c>
      <c r="BK10" s="228">
        <v>453</v>
      </c>
      <c r="BL10" s="229">
        <v>0.36199999999999999</v>
      </c>
      <c r="BM10" s="228">
        <v>907</v>
      </c>
      <c r="BN10" s="228">
        <v>431</v>
      </c>
      <c r="BO10" s="228">
        <v>476</v>
      </c>
      <c r="BP10" s="229">
        <v>1.1054999999999999</v>
      </c>
      <c r="BQ10" s="230">
        <v>3371</v>
      </c>
      <c r="BR10" s="230">
        <v>1906</v>
      </c>
      <c r="BS10" s="230">
        <v>1465</v>
      </c>
      <c r="BT10" s="229">
        <v>0.76829999999999998</v>
      </c>
      <c r="BU10" s="230">
        <v>139454</v>
      </c>
      <c r="BV10" s="230">
        <v>149777</v>
      </c>
      <c r="BW10" s="230">
        <v>-10323</v>
      </c>
      <c r="BX10" s="229">
        <v>-6.8900000000000003E-2</v>
      </c>
      <c r="BY10" s="230">
        <v>1107</v>
      </c>
      <c r="BZ10" s="230">
        <v>1251</v>
      </c>
      <c r="CA10" s="228">
        <v>-144</v>
      </c>
      <c r="CB10" s="229">
        <v>-0.1148</v>
      </c>
      <c r="CC10" s="228">
        <v>612</v>
      </c>
      <c r="CD10" s="228">
        <v>849</v>
      </c>
      <c r="CE10" s="228">
        <v>-237</v>
      </c>
      <c r="CF10" s="229">
        <v>-0.27950000000000003</v>
      </c>
      <c r="CG10" s="228">
        <v>467</v>
      </c>
      <c r="CH10" s="228">
        <v>375</v>
      </c>
      <c r="CI10" s="228">
        <v>93</v>
      </c>
      <c r="CJ10" s="229">
        <v>0.2475</v>
      </c>
      <c r="CK10" s="228">
        <v>28</v>
      </c>
      <c r="CL10" s="228">
        <v>27</v>
      </c>
      <c r="CM10" s="228">
        <v>1</v>
      </c>
      <c r="CN10" s="229">
        <v>4.0500000000000001E-2</v>
      </c>
      <c r="CO10" s="230">
        <v>1173</v>
      </c>
      <c r="CP10" s="230">
        <v>1222</v>
      </c>
      <c r="CQ10" s="228">
        <v>-49</v>
      </c>
      <c r="CR10" s="229">
        <v>-4.0300000000000002E-2</v>
      </c>
      <c r="CS10" s="228">
        <v>690</v>
      </c>
      <c r="CT10" s="228">
        <v>768</v>
      </c>
      <c r="CU10" s="228">
        <v>-78</v>
      </c>
      <c r="CV10" s="229">
        <v>-0.10199999999999999</v>
      </c>
      <c r="CW10" s="230">
        <v>2970</v>
      </c>
      <c r="CX10" s="230">
        <v>3242</v>
      </c>
      <c r="CY10" s="228">
        <v>-271</v>
      </c>
      <c r="CZ10" s="229">
        <v>-8.3699999999999997E-2</v>
      </c>
      <c r="DA10" s="228">
        <v>28.46</v>
      </c>
      <c r="DB10" s="228">
        <v>34.32</v>
      </c>
      <c r="DC10" s="228">
        <v>-5.86</v>
      </c>
      <c r="DD10" s="228">
        <v>-5.86</v>
      </c>
      <c r="DE10" s="228">
        <v>54.33</v>
      </c>
      <c r="DF10" s="228">
        <v>54.39</v>
      </c>
      <c r="DG10" s="228">
        <v>-25.87</v>
      </c>
      <c r="DH10" s="228">
        <v>-0.06</v>
      </c>
      <c r="DI10" s="228">
        <v>28.65</v>
      </c>
      <c r="DJ10" s="228">
        <v>33.08</v>
      </c>
      <c r="DK10" s="228">
        <v>-4.43</v>
      </c>
      <c r="DL10" s="228">
        <v>-4.43</v>
      </c>
      <c r="DM10" s="228">
        <v>27.96</v>
      </c>
      <c r="DN10" s="228">
        <v>37.9</v>
      </c>
      <c r="DO10" s="228">
        <v>-9.94</v>
      </c>
      <c r="DP10" s="228">
        <v>-9.94</v>
      </c>
      <c r="DQ10" s="228">
        <v>0.59</v>
      </c>
      <c r="DR10" s="228">
        <v>0.63</v>
      </c>
      <c r="DS10" s="228">
        <v>-0.04</v>
      </c>
      <c r="DT10" s="229">
        <v>-6.3500000000000001E-2</v>
      </c>
      <c r="DU10" s="231">
        <v>8000</v>
      </c>
      <c r="DV10" s="231">
        <v>7000</v>
      </c>
      <c r="DW10" s="228">
        <v>0.53</v>
      </c>
      <c r="DX10" s="228">
        <v>0.34</v>
      </c>
      <c r="DY10" s="228">
        <v>0.19</v>
      </c>
      <c r="DZ10" s="229">
        <v>0.55879999999999996</v>
      </c>
      <c r="EA10" s="229">
        <v>0.44729999999999998</v>
      </c>
      <c r="EB10" s="230">
        <v>552200</v>
      </c>
      <c r="EC10" s="229">
        <v>-2.8199999999999999E-2</v>
      </c>
      <c r="ED10" s="229">
        <v>0.44729999999999998</v>
      </c>
      <c r="EE10" s="228">
        <v>-225.08</v>
      </c>
      <c r="EF10" s="229">
        <v>-3.0700000000000002E-2</v>
      </c>
      <c r="EG10" s="230">
        <v>52146</v>
      </c>
      <c r="EH10" s="230">
        <v>66214</v>
      </c>
      <c r="EI10" s="229">
        <v>-0.21249999999999999</v>
      </c>
      <c r="EJ10" s="229">
        <v>0.37390000000000001</v>
      </c>
      <c r="EK10" s="231">
        <v>1803.83</v>
      </c>
      <c r="EL10" s="228">
        <v>870.69</v>
      </c>
      <c r="EM10" s="228">
        <v>755.47</v>
      </c>
      <c r="EN10" s="228">
        <v>38.01</v>
      </c>
      <c r="EO10" s="231">
        <v>3429.99</v>
      </c>
      <c r="EP10" s="231">
        <v>1999.9</v>
      </c>
      <c r="EQ10" s="231">
        <v>1430.09</v>
      </c>
      <c r="ER10" s="229">
        <v>0.71509999999999996</v>
      </c>
      <c r="ES10" s="231">
        <v>1258.28</v>
      </c>
      <c r="ET10" s="228">
        <v>672.21</v>
      </c>
      <c r="EU10" s="231">
        <v>1092.8699999999999</v>
      </c>
      <c r="EV10" s="231">
        <v>3067454</v>
      </c>
      <c r="EW10" s="231">
        <v>3023.36</v>
      </c>
      <c r="EX10" s="231">
        <v>3327.47</v>
      </c>
      <c r="EY10" s="228">
        <v>-304.11</v>
      </c>
      <c r="EZ10" s="229">
        <v>-9.1399999999999995E-2</v>
      </c>
      <c r="FA10" s="229">
        <v>1.3318000000000001</v>
      </c>
      <c r="FB10" s="227" t="s">
        <v>568</v>
      </c>
      <c r="FC10">
        <f t="shared" si="0"/>
        <v>495</v>
      </c>
    </row>
    <row r="11" spans="1:159" ht="17.25" thickBot="1" x14ac:dyDescent="0.3">
      <c r="A11" s="226">
        <v>45981</v>
      </c>
      <c r="B11" s="227" t="s">
        <v>157</v>
      </c>
      <c r="C11" s="227" t="s">
        <v>164</v>
      </c>
      <c r="D11" s="228">
        <v>1050</v>
      </c>
      <c r="E11" s="228">
        <v>5</v>
      </c>
      <c r="F11" s="228">
        <v>555.75</v>
      </c>
      <c r="G11" s="228">
        <v>555.54999999999995</v>
      </c>
      <c r="H11" s="228">
        <v>0.2</v>
      </c>
      <c r="I11" s="229">
        <v>4.0000000000000002E-4</v>
      </c>
      <c r="J11" s="228">
        <v>555.75</v>
      </c>
      <c r="K11" s="228">
        <v>555.29999999999995</v>
      </c>
      <c r="L11" s="228">
        <v>0.45</v>
      </c>
      <c r="M11" s="229">
        <v>8.0000000000000004E-4</v>
      </c>
      <c r="N11" s="228">
        <v>555.75</v>
      </c>
      <c r="O11" s="228">
        <v>555.54999999999995</v>
      </c>
      <c r="P11" s="228">
        <v>0.2</v>
      </c>
      <c r="Q11" s="229">
        <v>4.0000000000000002E-4</v>
      </c>
      <c r="R11" s="228">
        <v>559.45000000000005</v>
      </c>
      <c r="S11" s="228">
        <v>559.29999999999995</v>
      </c>
      <c r="T11" s="228">
        <v>0.15</v>
      </c>
      <c r="U11" s="229">
        <v>2.9999999999999997E-4</v>
      </c>
      <c r="V11" s="228">
        <v>563.79999999999995</v>
      </c>
      <c r="W11" s="228">
        <v>563.04999999999995</v>
      </c>
      <c r="X11" s="228">
        <v>0.75</v>
      </c>
      <c r="Y11" s="229">
        <v>1.2999999999999999E-3</v>
      </c>
      <c r="Z11" s="228">
        <v>0</v>
      </c>
      <c r="AA11" s="228">
        <v>0.25</v>
      </c>
      <c r="AB11" s="228">
        <v>-0.25</v>
      </c>
      <c r="AC11" s="229">
        <v>0</v>
      </c>
      <c r="AD11" s="228">
        <v>0</v>
      </c>
      <c r="AE11" s="228">
        <v>0.25</v>
      </c>
      <c r="AF11" s="228">
        <v>-0.25</v>
      </c>
      <c r="AG11" s="229">
        <v>0</v>
      </c>
      <c r="AH11" s="228">
        <v>3.7</v>
      </c>
      <c r="AI11" s="228">
        <v>4</v>
      </c>
      <c r="AJ11" s="228">
        <v>-0.3</v>
      </c>
      <c r="AK11" s="229">
        <v>6.7000000000000002E-3</v>
      </c>
      <c r="AL11" s="228">
        <v>8.0500000000000007</v>
      </c>
      <c r="AM11" s="228">
        <v>7.75</v>
      </c>
      <c r="AN11" s="228">
        <v>0.3</v>
      </c>
      <c r="AO11" s="229">
        <v>1.4500000000000001E-2</v>
      </c>
      <c r="AP11" s="228">
        <v>557.66</v>
      </c>
      <c r="AQ11" s="228">
        <v>561.29</v>
      </c>
      <c r="AR11" s="228">
        <v>0</v>
      </c>
      <c r="AS11" s="230">
        <v>1080</v>
      </c>
      <c r="AT11" s="228">
        <v>248</v>
      </c>
      <c r="AU11" s="228">
        <v>832</v>
      </c>
      <c r="AV11" s="229">
        <v>3.3588</v>
      </c>
      <c r="AW11" s="228">
        <v>565</v>
      </c>
      <c r="AX11" s="228">
        <v>147</v>
      </c>
      <c r="AY11" s="228">
        <v>418</v>
      </c>
      <c r="AZ11" s="229">
        <v>2.8372000000000002</v>
      </c>
      <c r="BA11" s="228">
        <v>509</v>
      </c>
      <c r="BB11" s="228">
        <v>96</v>
      </c>
      <c r="BC11" s="228">
        <v>413</v>
      </c>
      <c r="BD11" s="229">
        <v>4.3003</v>
      </c>
      <c r="BE11" s="228">
        <v>6</v>
      </c>
      <c r="BF11" s="228">
        <v>4</v>
      </c>
      <c r="BG11" s="228">
        <v>1</v>
      </c>
      <c r="BH11" s="229">
        <v>0.30259999999999998</v>
      </c>
      <c r="BI11" s="230">
        <v>1053</v>
      </c>
      <c r="BJ11" s="228">
        <v>894</v>
      </c>
      <c r="BK11" s="228">
        <v>159</v>
      </c>
      <c r="BL11" s="229">
        <v>0.17780000000000001</v>
      </c>
      <c r="BM11" s="228">
        <v>350</v>
      </c>
      <c r="BN11" s="228">
        <v>290</v>
      </c>
      <c r="BO11" s="228">
        <v>60</v>
      </c>
      <c r="BP11" s="229">
        <v>0.20569999999999999</v>
      </c>
      <c r="BQ11" s="230">
        <v>2482</v>
      </c>
      <c r="BR11" s="230">
        <v>1432</v>
      </c>
      <c r="BS11" s="230">
        <v>1051</v>
      </c>
      <c r="BT11" s="229">
        <v>0.73370000000000002</v>
      </c>
      <c r="BU11" s="230">
        <v>1287564</v>
      </c>
      <c r="BV11" s="230">
        <v>860252</v>
      </c>
      <c r="BW11" s="230">
        <v>427312</v>
      </c>
      <c r="BX11" s="229">
        <v>0.49669999999999997</v>
      </c>
      <c r="BY11" s="230">
        <v>2768</v>
      </c>
      <c r="BZ11" s="230">
        <v>2775</v>
      </c>
      <c r="CA11" s="228">
        <v>-7</v>
      </c>
      <c r="CB11" s="229">
        <v>-2.3999999999999998E-3</v>
      </c>
      <c r="CC11" s="230">
        <v>2081</v>
      </c>
      <c r="CD11" s="230">
        <v>2513</v>
      </c>
      <c r="CE11" s="228">
        <v>-432</v>
      </c>
      <c r="CF11" s="229">
        <v>-0.17180000000000001</v>
      </c>
      <c r="CG11" s="228">
        <v>662</v>
      </c>
      <c r="CH11" s="228">
        <v>241</v>
      </c>
      <c r="CI11" s="228">
        <v>421</v>
      </c>
      <c r="CJ11" s="229">
        <v>1.7453000000000001</v>
      </c>
      <c r="CK11" s="228">
        <v>24</v>
      </c>
      <c r="CL11" s="228">
        <v>20</v>
      </c>
      <c r="CM11" s="228">
        <v>4</v>
      </c>
      <c r="CN11" s="229">
        <v>0.2099</v>
      </c>
      <c r="CO11" s="228">
        <v>931</v>
      </c>
      <c r="CP11" s="228">
        <v>950</v>
      </c>
      <c r="CQ11" s="228">
        <v>-19</v>
      </c>
      <c r="CR11" s="229">
        <v>-0.02</v>
      </c>
      <c r="CS11" s="228">
        <v>618</v>
      </c>
      <c r="CT11" s="228">
        <v>615</v>
      </c>
      <c r="CU11" s="228">
        <v>3</v>
      </c>
      <c r="CV11" s="229">
        <v>4.8999999999999998E-3</v>
      </c>
      <c r="CW11" s="230">
        <v>4317</v>
      </c>
      <c r="CX11" s="230">
        <v>4340</v>
      </c>
      <c r="CY11" s="228">
        <v>-23</v>
      </c>
      <c r="CZ11" s="229">
        <v>-5.1999999999999998E-3</v>
      </c>
      <c r="DA11" s="228">
        <v>20.41</v>
      </c>
      <c r="DB11" s="228">
        <v>23.13</v>
      </c>
      <c r="DC11" s="228">
        <v>-2.72</v>
      </c>
      <c r="DD11" s="228">
        <v>-2.72</v>
      </c>
      <c r="DE11" s="228">
        <v>32.770000000000003</v>
      </c>
      <c r="DF11" s="228">
        <v>32.85</v>
      </c>
      <c r="DG11" s="228">
        <v>-12.36</v>
      </c>
      <c r="DH11" s="228">
        <v>-0.08</v>
      </c>
      <c r="DI11" s="228">
        <v>20.75</v>
      </c>
      <c r="DJ11" s="228">
        <v>23.99</v>
      </c>
      <c r="DK11" s="228">
        <v>-3.24</v>
      </c>
      <c r="DL11" s="228">
        <v>-3.24</v>
      </c>
      <c r="DM11" s="228">
        <v>19.78</v>
      </c>
      <c r="DN11" s="228">
        <v>20.47</v>
      </c>
      <c r="DO11" s="228">
        <v>-0.69</v>
      </c>
      <c r="DP11" s="228">
        <v>-0.69</v>
      </c>
      <c r="DQ11" s="228">
        <v>0.66</v>
      </c>
      <c r="DR11" s="228">
        <v>0.65</v>
      </c>
      <c r="DS11" s="228">
        <v>0.01</v>
      </c>
      <c r="DT11" s="229">
        <v>1.54E-2</v>
      </c>
      <c r="DU11" s="228">
        <v>580</v>
      </c>
      <c r="DV11" s="228">
        <v>650</v>
      </c>
      <c r="DW11" s="228">
        <v>0.33</v>
      </c>
      <c r="DX11" s="228">
        <v>0.32</v>
      </c>
      <c r="DY11" s="228">
        <v>0.01</v>
      </c>
      <c r="DZ11" s="229">
        <v>3.1300000000000001E-2</v>
      </c>
      <c r="EA11" s="229">
        <v>0.248</v>
      </c>
      <c r="EB11" s="230">
        <v>4700850</v>
      </c>
      <c r="EC11" s="229">
        <v>6.7000000000000002E-3</v>
      </c>
      <c r="ED11" s="229">
        <v>0.248</v>
      </c>
      <c r="EE11" s="228">
        <v>3.63</v>
      </c>
      <c r="EF11" s="229">
        <v>6.4999999999999997E-3</v>
      </c>
      <c r="EG11" s="230">
        <v>628497</v>
      </c>
      <c r="EH11" s="230">
        <v>543118</v>
      </c>
      <c r="EI11" s="229">
        <v>0.15720000000000001</v>
      </c>
      <c r="EJ11" s="229">
        <v>0.48809999999999998</v>
      </c>
      <c r="EK11" s="231">
        <v>1091.53</v>
      </c>
      <c r="EL11" s="228">
        <v>358.21</v>
      </c>
      <c r="EM11" s="231">
        <v>1086.8399999999999</v>
      </c>
      <c r="EN11" s="228">
        <v>33.58</v>
      </c>
      <c r="EO11" s="231">
        <v>2536.58</v>
      </c>
      <c r="EP11" s="231">
        <v>1474.55</v>
      </c>
      <c r="EQ11" s="231">
        <v>1062.03</v>
      </c>
      <c r="ER11" s="229">
        <v>0.72019999999999995</v>
      </c>
      <c r="ES11" s="228">
        <v>986.31</v>
      </c>
      <c r="ET11" s="228">
        <v>631.79999999999995</v>
      </c>
      <c r="EU11" s="231">
        <v>2772.65</v>
      </c>
      <c r="EV11" s="231">
        <v>119762774</v>
      </c>
      <c r="EW11" s="231">
        <v>4390.76</v>
      </c>
      <c r="EX11" s="231">
        <v>4411.3599999999997</v>
      </c>
      <c r="EY11" s="228">
        <v>-20.6</v>
      </c>
      <c r="EZ11" s="229">
        <v>-4.7000000000000002E-3</v>
      </c>
      <c r="FA11" s="229">
        <v>0.64859999999999995</v>
      </c>
      <c r="FB11" s="227" t="s">
        <v>556</v>
      </c>
      <c r="FC11">
        <f t="shared" si="0"/>
        <v>687</v>
      </c>
    </row>
    <row r="12" spans="1:159" ht="17.25" thickBot="1" x14ac:dyDescent="0.3">
      <c r="A12" s="226">
        <v>45981</v>
      </c>
      <c r="B12" s="227" t="s">
        <v>175</v>
      </c>
      <c r="C12" s="227" t="s">
        <v>609</v>
      </c>
      <c r="D12" s="228">
        <v>250</v>
      </c>
      <c r="E12" s="228">
        <v>5</v>
      </c>
      <c r="F12" s="231">
        <v>2811.4</v>
      </c>
      <c r="G12" s="231">
        <v>2817.1</v>
      </c>
      <c r="H12" s="228">
        <v>-5.7</v>
      </c>
      <c r="I12" s="229">
        <v>-2E-3</v>
      </c>
      <c r="J12" s="231">
        <v>2814.3</v>
      </c>
      <c r="K12" s="231">
        <v>2813.9</v>
      </c>
      <c r="L12" s="228">
        <v>0.4</v>
      </c>
      <c r="M12" s="229">
        <v>1E-4</v>
      </c>
      <c r="N12" s="231">
        <v>2811.4</v>
      </c>
      <c r="O12" s="231">
        <v>2817.1</v>
      </c>
      <c r="P12" s="228">
        <v>-5.7</v>
      </c>
      <c r="Q12" s="229">
        <v>-2E-3</v>
      </c>
      <c r="R12" s="231">
        <v>2807.3</v>
      </c>
      <c r="S12" s="231">
        <v>2808.1</v>
      </c>
      <c r="T12" s="228">
        <v>-0.8</v>
      </c>
      <c r="U12" s="229">
        <v>-2.9999999999999997E-4</v>
      </c>
      <c r="V12" s="231">
        <v>2807.3</v>
      </c>
      <c r="W12" s="231">
        <v>2805</v>
      </c>
      <c r="X12" s="228">
        <v>2.2999999999999998</v>
      </c>
      <c r="Y12" s="229">
        <v>8.0000000000000004E-4</v>
      </c>
      <c r="Z12" s="228">
        <v>-2.9</v>
      </c>
      <c r="AA12" s="228">
        <v>3.2</v>
      </c>
      <c r="AB12" s="228">
        <v>-6.1</v>
      </c>
      <c r="AC12" s="229">
        <v>-1E-3</v>
      </c>
      <c r="AD12" s="228">
        <v>-2.9</v>
      </c>
      <c r="AE12" s="228">
        <v>3.2</v>
      </c>
      <c r="AF12" s="228">
        <v>-6.1</v>
      </c>
      <c r="AG12" s="229">
        <v>-1E-3</v>
      </c>
      <c r="AH12" s="228">
        <v>-7</v>
      </c>
      <c r="AI12" s="228">
        <v>-5.8</v>
      </c>
      <c r="AJ12" s="228">
        <v>-1.2</v>
      </c>
      <c r="AK12" s="229">
        <v>-2.5000000000000001E-3</v>
      </c>
      <c r="AL12" s="228">
        <v>-7</v>
      </c>
      <c r="AM12" s="228">
        <v>-8.9</v>
      </c>
      <c r="AN12" s="228">
        <v>1.9</v>
      </c>
      <c r="AO12" s="229">
        <v>-2.5000000000000001E-3</v>
      </c>
      <c r="AP12" s="231">
        <v>2820.27</v>
      </c>
      <c r="AQ12" s="231">
        <v>2817.04</v>
      </c>
      <c r="AR12" s="228">
        <v>0</v>
      </c>
      <c r="AS12" s="228">
        <v>883</v>
      </c>
      <c r="AT12" s="228">
        <v>390</v>
      </c>
      <c r="AU12" s="228">
        <v>493</v>
      </c>
      <c r="AV12" s="229">
        <v>1.2626999999999999</v>
      </c>
      <c r="AW12" s="228">
        <v>482</v>
      </c>
      <c r="AX12" s="228">
        <v>273</v>
      </c>
      <c r="AY12" s="228">
        <v>209</v>
      </c>
      <c r="AZ12" s="229">
        <v>0.76549999999999996</v>
      </c>
      <c r="BA12" s="228">
        <v>397</v>
      </c>
      <c r="BB12" s="228">
        <v>112</v>
      </c>
      <c r="BC12" s="228">
        <v>285</v>
      </c>
      <c r="BD12" s="229">
        <v>2.5402</v>
      </c>
      <c r="BE12" s="228">
        <v>5</v>
      </c>
      <c r="BF12" s="228">
        <v>5</v>
      </c>
      <c r="BG12" s="228">
        <v>-1</v>
      </c>
      <c r="BH12" s="229">
        <v>-0.1333</v>
      </c>
      <c r="BI12" s="230">
        <v>2480</v>
      </c>
      <c r="BJ12" s="230">
        <v>1826</v>
      </c>
      <c r="BK12" s="228">
        <v>654</v>
      </c>
      <c r="BL12" s="229">
        <v>0.35799999999999998</v>
      </c>
      <c r="BM12" s="230">
        <v>1503</v>
      </c>
      <c r="BN12" s="230">
        <v>1210</v>
      </c>
      <c r="BO12" s="228">
        <v>293</v>
      </c>
      <c r="BP12" s="229">
        <v>0.24199999999999999</v>
      </c>
      <c r="BQ12" s="230">
        <v>4867</v>
      </c>
      <c r="BR12" s="230">
        <v>3427</v>
      </c>
      <c r="BS12" s="230">
        <v>1440</v>
      </c>
      <c r="BT12" s="229">
        <v>0.42009999999999997</v>
      </c>
      <c r="BU12" s="230">
        <v>724508</v>
      </c>
      <c r="BV12" s="230">
        <v>743631</v>
      </c>
      <c r="BW12" s="230">
        <v>-19123</v>
      </c>
      <c r="BX12" s="229">
        <v>-2.5700000000000001E-2</v>
      </c>
      <c r="BY12" s="228">
        <v>961</v>
      </c>
      <c r="BZ12" s="230">
        <v>1057</v>
      </c>
      <c r="CA12" s="228">
        <v>-96</v>
      </c>
      <c r="CB12" s="229">
        <v>-9.0999999999999998E-2</v>
      </c>
      <c r="CC12" s="228">
        <v>626</v>
      </c>
      <c r="CD12" s="228">
        <v>840</v>
      </c>
      <c r="CE12" s="228">
        <v>-214</v>
      </c>
      <c r="CF12" s="229">
        <v>-0.2545</v>
      </c>
      <c r="CG12" s="228">
        <v>319</v>
      </c>
      <c r="CH12" s="228">
        <v>202</v>
      </c>
      <c r="CI12" s="228">
        <v>117</v>
      </c>
      <c r="CJ12" s="229">
        <v>0.57799999999999996</v>
      </c>
      <c r="CK12" s="228">
        <v>16</v>
      </c>
      <c r="CL12" s="228">
        <v>15</v>
      </c>
      <c r="CM12" s="228">
        <v>1</v>
      </c>
      <c r="CN12" s="229">
        <v>5.9400000000000001E-2</v>
      </c>
      <c r="CO12" s="228">
        <v>749</v>
      </c>
      <c r="CP12" s="228">
        <v>721</v>
      </c>
      <c r="CQ12" s="228">
        <v>28</v>
      </c>
      <c r="CR12" s="229">
        <v>3.9100000000000003E-2</v>
      </c>
      <c r="CS12" s="228">
        <v>829</v>
      </c>
      <c r="CT12" s="228">
        <v>773</v>
      </c>
      <c r="CU12" s="228">
        <v>57</v>
      </c>
      <c r="CV12" s="229">
        <v>7.3300000000000004E-2</v>
      </c>
      <c r="CW12" s="230">
        <v>2540</v>
      </c>
      <c r="CX12" s="230">
        <v>2551</v>
      </c>
      <c r="CY12" s="228">
        <v>-11</v>
      </c>
      <c r="CZ12" s="229">
        <v>-4.4999999999999997E-3</v>
      </c>
      <c r="DA12" s="228">
        <v>35.090000000000003</v>
      </c>
      <c r="DB12" s="228">
        <v>36.270000000000003</v>
      </c>
      <c r="DC12" s="228">
        <v>-1.18</v>
      </c>
      <c r="DD12" s="228">
        <v>-1.18</v>
      </c>
      <c r="DE12" s="228">
        <v>53.76</v>
      </c>
      <c r="DF12" s="228">
        <v>53.89</v>
      </c>
      <c r="DG12" s="228">
        <v>-18.670000000000002</v>
      </c>
      <c r="DH12" s="228">
        <v>-0.13</v>
      </c>
      <c r="DI12" s="228">
        <v>35.020000000000003</v>
      </c>
      <c r="DJ12" s="228">
        <v>34.92</v>
      </c>
      <c r="DK12" s="228">
        <v>0.1</v>
      </c>
      <c r="DL12" s="228">
        <v>0.1</v>
      </c>
      <c r="DM12" s="228">
        <v>35.44</v>
      </c>
      <c r="DN12" s="228">
        <v>38.31</v>
      </c>
      <c r="DO12" s="228">
        <v>-2.87</v>
      </c>
      <c r="DP12" s="228">
        <v>-2.87</v>
      </c>
      <c r="DQ12" s="228">
        <v>1.1100000000000001</v>
      </c>
      <c r="DR12" s="228">
        <v>1.07</v>
      </c>
      <c r="DS12" s="228">
        <v>0.04</v>
      </c>
      <c r="DT12" s="229">
        <v>3.7400000000000003E-2</v>
      </c>
      <c r="DU12" s="231">
        <v>2900</v>
      </c>
      <c r="DV12" s="231">
        <v>2650</v>
      </c>
      <c r="DW12" s="228">
        <v>0.61</v>
      </c>
      <c r="DX12" s="228">
        <v>0.66</v>
      </c>
      <c r="DY12" s="228">
        <v>-0.05</v>
      </c>
      <c r="DZ12" s="229">
        <v>-7.5800000000000006E-2</v>
      </c>
      <c r="EA12" s="229">
        <v>0.34839999999999999</v>
      </c>
      <c r="EB12" s="230">
        <v>772750</v>
      </c>
      <c r="EC12" s="229">
        <v>-1.5E-3</v>
      </c>
      <c r="ED12" s="229">
        <v>0.34839999999999999</v>
      </c>
      <c r="EE12" s="228">
        <v>-3.23</v>
      </c>
      <c r="EF12" s="229">
        <v>-1.1000000000000001E-3</v>
      </c>
      <c r="EG12" s="230">
        <v>210788</v>
      </c>
      <c r="EH12" s="230">
        <v>203115</v>
      </c>
      <c r="EI12" s="229">
        <v>3.78E-2</v>
      </c>
      <c r="EJ12" s="229">
        <v>0.29089999999999999</v>
      </c>
      <c r="EK12" s="231">
        <v>2591.0100000000002</v>
      </c>
      <c r="EL12" s="231">
        <v>1450.65</v>
      </c>
      <c r="EM12" s="228">
        <v>885.59</v>
      </c>
      <c r="EN12" s="228">
        <v>64.53</v>
      </c>
      <c r="EO12" s="231">
        <v>4927.25</v>
      </c>
      <c r="EP12" s="231">
        <v>3470.83</v>
      </c>
      <c r="EQ12" s="231">
        <v>1456.41</v>
      </c>
      <c r="ER12" s="229">
        <v>0.41959999999999997</v>
      </c>
      <c r="ES12" s="228">
        <v>746.46</v>
      </c>
      <c r="ET12" s="228">
        <v>768.5</v>
      </c>
      <c r="EU12" s="228">
        <v>960.59</v>
      </c>
      <c r="EV12" s="231">
        <v>9647634</v>
      </c>
      <c r="EW12" s="231">
        <v>2475.5500000000002</v>
      </c>
      <c r="EX12" s="231">
        <v>2489.19</v>
      </c>
      <c r="EY12" s="228">
        <v>-13.64</v>
      </c>
      <c r="EZ12" s="229">
        <v>-5.4999999999999997E-3</v>
      </c>
      <c r="FA12" s="229">
        <v>0.93640000000000001</v>
      </c>
      <c r="FB12" s="227" t="s">
        <v>568</v>
      </c>
      <c r="FC12">
        <f t="shared" si="0"/>
        <v>335</v>
      </c>
    </row>
    <row r="13" spans="1:159" ht="17.25" thickBot="1" x14ac:dyDescent="0.3">
      <c r="A13" s="226">
        <v>45981</v>
      </c>
      <c r="B13" s="227" t="s">
        <v>227</v>
      </c>
      <c r="C13" s="227" t="s">
        <v>598</v>
      </c>
      <c r="D13" s="228">
        <v>350</v>
      </c>
      <c r="E13" s="228">
        <v>5</v>
      </c>
      <c r="F13" s="231">
        <v>1722.3</v>
      </c>
      <c r="G13" s="231">
        <v>1724.6</v>
      </c>
      <c r="H13" s="228">
        <v>-2.2999999999999998</v>
      </c>
      <c r="I13" s="229">
        <v>-1.2999999999999999E-3</v>
      </c>
      <c r="J13" s="231">
        <v>1721.2</v>
      </c>
      <c r="K13" s="231">
        <v>1720.9</v>
      </c>
      <c r="L13" s="228">
        <v>0.3</v>
      </c>
      <c r="M13" s="229">
        <v>2.0000000000000001E-4</v>
      </c>
      <c r="N13" s="231">
        <v>1722.3</v>
      </c>
      <c r="O13" s="231">
        <v>1724.6</v>
      </c>
      <c r="P13" s="228">
        <v>-2.2999999999999998</v>
      </c>
      <c r="Q13" s="229">
        <v>-1.2999999999999999E-3</v>
      </c>
      <c r="R13" s="231">
        <v>1733.8</v>
      </c>
      <c r="S13" s="231">
        <v>1735.5</v>
      </c>
      <c r="T13" s="228">
        <v>-1.7</v>
      </c>
      <c r="U13" s="229">
        <v>-1E-3</v>
      </c>
      <c r="V13" s="231">
        <v>1735.7</v>
      </c>
      <c r="W13" s="231">
        <v>1744.9</v>
      </c>
      <c r="X13" s="228">
        <v>-9.1999999999999993</v>
      </c>
      <c r="Y13" s="229">
        <v>-5.3E-3</v>
      </c>
      <c r="Z13" s="228">
        <v>1.1000000000000001</v>
      </c>
      <c r="AA13" s="228">
        <v>3.7</v>
      </c>
      <c r="AB13" s="228">
        <v>-2.6</v>
      </c>
      <c r="AC13" s="229">
        <v>5.9999999999999995E-4</v>
      </c>
      <c r="AD13" s="228">
        <v>1.1000000000000001</v>
      </c>
      <c r="AE13" s="228">
        <v>3.7</v>
      </c>
      <c r="AF13" s="228">
        <v>-2.6</v>
      </c>
      <c r="AG13" s="229">
        <v>5.9999999999999995E-4</v>
      </c>
      <c r="AH13" s="228">
        <v>12.6</v>
      </c>
      <c r="AI13" s="228">
        <v>14.6</v>
      </c>
      <c r="AJ13" s="228">
        <v>-2</v>
      </c>
      <c r="AK13" s="229">
        <v>7.3000000000000001E-3</v>
      </c>
      <c r="AL13" s="228">
        <v>14.5</v>
      </c>
      <c r="AM13" s="228">
        <v>24</v>
      </c>
      <c r="AN13" s="228">
        <v>-9.5</v>
      </c>
      <c r="AO13" s="229">
        <v>8.3999999999999995E-3</v>
      </c>
      <c r="AP13" s="231">
        <v>1726.58</v>
      </c>
      <c r="AQ13" s="231">
        <v>1739.13</v>
      </c>
      <c r="AR13" s="228">
        <v>0</v>
      </c>
      <c r="AS13" s="228">
        <v>740</v>
      </c>
      <c r="AT13" s="228">
        <v>267</v>
      </c>
      <c r="AU13" s="228">
        <v>473</v>
      </c>
      <c r="AV13" s="229">
        <v>1.7748999999999999</v>
      </c>
      <c r="AW13" s="228">
        <v>381</v>
      </c>
      <c r="AX13" s="228">
        <v>176</v>
      </c>
      <c r="AY13" s="228">
        <v>204</v>
      </c>
      <c r="AZ13" s="229">
        <v>1.1600999999999999</v>
      </c>
      <c r="BA13" s="228">
        <v>358</v>
      </c>
      <c r="BB13" s="228">
        <v>89</v>
      </c>
      <c r="BC13" s="228">
        <v>269</v>
      </c>
      <c r="BD13" s="229">
        <v>3.0318999999999998</v>
      </c>
      <c r="BE13" s="228">
        <v>2</v>
      </c>
      <c r="BF13" s="228">
        <v>2</v>
      </c>
      <c r="BG13" s="228">
        <v>0</v>
      </c>
      <c r="BH13" s="229">
        <v>-6.9000000000000006E-2</v>
      </c>
      <c r="BI13" s="228">
        <v>499</v>
      </c>
      <c r="BJ13" s="228">
        <v>447</v>
      </c>
      <c r="BK13" s="228">
        <v>53</v>
      </c>
      <c r="BL13" s="229">
        <v>0.11799999999999999</v>
      </c>
      <c r="BM13" s="228">
        <v>190</v>
      </c>
      <c r="BN13" s="228">
        <v>167</v>
      </c>
      <c r="BO13" s="228">
        <v>23</v>
      </c>
      <c r="BP13" s="229">
        <v>0.1394</v>
      </c>
      <c r="BQ13" s="230">
        <v>1429</v>
      </c>
      <c r="BR13" s="228">
        <v>880</v>
      </c>
      <c r="BS13" s="228">
        <v>549</v>
      </c>
      <c r="BT13" s="229">
        <v>0.624</v>
      </c>
      <c r="BU13" s="230">
        <v>1114903</v>
      </c>
      <c r="BV13" s="230">
        <v>822947</v>
      </c>
      <c r="BW13" s="230">
        <v>291956</v>
      </c>
      <c r="BX13" s="229">
        <v>0.3548</v>
      </c>
      <c r="BY13" s="230">
        <v>1318</v>
      </c>
      <c r="BZ13" s="230">
        <v>1285</v>
      </c>
      <c r="CA13" s="228">
        <v>32</v>
      </c>
      <c r="CB13" s="229">
        <v>2.52E-2</v>
      </c>
      <c r="CC13" s="228">
        <v>973</v>
      </c>
      <c r="CD13" s="230">
        <v>1207</v>
      </c>
      <c r="CE13" s="228">
        <v>-234</v>
      </c>
      <c r="CF13" s="229">
        <v>-0.19389999999999999</v>
      </c>
      <c r="CG13" s="228">
        <v>343</v>
      </c>
      <c r="CH13" s="228">
        <v>77</v>
      </c>
      <c r="CI13" s="228">
        <v>266</v>
      </c>
      <c r="CJ13" s="229">
        <v>3.4704999999999999</v>
      </c>
      <c r="CK13" s="228">
        <v>2</v>
      </c>
      <c r="CL13" s="228">
        <v>2</v>
      </c>
      <c r="CM13" s="228">
        <v>0</v>
      </c>
      <c r="CN13" s="229">
        <v>6.0600000000000001E-2</v>
      </c>
      <c r="CO13" s="228">
        <v>397</v>
      </c>
      <c r="CP13" s="228">
        <v>374</v>
      </c>
      <c r="CQ13" s="228">
        <v>23</v>
      </c>
      <c r="CR13" s="229">
        <v>6.1100000000000002E-2</v>
      </c>
      <c r="CS13" s="228">
        <v>262</v>
      </c>
      <c r="CT13" s="228">
        <v>259</v>
      </c>
      <c r="CU13" s="228">
        <v>3</v>
      </c>
      <c r="CV13" s="229">
        <v>1.21E-2</v>
      </c>
      <c r="CW13" s="230">
        <v>1976</v>
      </c>
      <c r="CX13" s="230">
        <v>1918</v>
      </c>
      <c r="CY13" s="228">
        <v>58</v>
      </c>
      <c r="CZ13" s="229">
        <v>3.0499999999999999E-2</v>
      </c>
      <c r="DA13" s="228">
        <v>24.28</v>
      </c>
      <c r="DB13" s="228">
        <v>26.76</v>
      </c>
      <c r="DC13" s="228">
        <v>-2.48</v>
      </c>
      <c r="DD13" s="228">
        <v>-2.48</v>
      </c>
      <c r="DE13" s="228">
        <v>33.29</v>
      </c>
      <c r="DF13" s="228">
        <v>33.369999999999997</v>
      </c>
      <c r="DG13" s="228">
        <v>-9.01</v>
      </c>
      <c r="DH13" s="228">
        <v>-0.08</v>
      </c>
      <c r="DI13" s="228">
        <v>24.1</v>
      </c>
      <c r="DJ13" s="228">
        <v>28.36</v>
      </c>
      <c r="DK13" s="228">
        <v>-4.26</v>
      </c>
      <c r="DL13" s="228">
        <v>-4.26</v>
      </c>
      <c r="DM13" s="228">
        <v>24.55</v>
      </c>
      <c r="DN13" s="228">
        <v>22.49</v>
      </c>
      <c r="DO13" s="228">
        <v>2.06</v>
      </c>
      <c r="DP13" s="228">
        <v>2.06</v>
      </c>
      <c r="DQ13" s="228">
        <v>0.66</v>
      </c>
      <c r="DR13" s="228">
        <v>0.69</v>
      </c>
      <c r="DS13" s="228">
        <v>-0.03</v>
      </c>
      <c r="DT13" s="229">
        <v>-4.3499999999999997E-2</v>
      </c>
      <c r="DU13" s="231">
        <v>1800</v>
      </c>
      <c r="DV13" s="231">
        <v>1700</v>
      </c>
      <c r="DW13" s="228">
        <v>0.38</v>
      </c>
      <c r="DX13" s="228">
        <v>0.37</v>
      </c>
      <c r="DY13" s="228">
        <v>0.01</v>
      </c>
      <c r="DZ13" s="229">
        <v>2.7E-2</v>
      </c>
      <c r="EA13" s="229">
        <v>0.26190000000000002</v>
      </c>
      <c r="EB13" s="230">
        <v>457100</v>
      </c>
      <c r="EC13" s="229">
        <v>6.7000000000000002E-3</v>
      </c>
      <c r="ED13" s="229">
        <v>0.26190000000000002</v>
      </c>
      <c r="EE13" s="228">
        <v>12.55</v>
      </c>
      <c r="EF13" s="229">
        <v>7.3000000000000001E-3</v>
      </c>
      <c r="EG13" s="230">
        <v>791621</v>
      </c>
      <c r="EH13" s="230">
        <v>618521</v>
      </c>
      <c r="EI13" s="229">
        <v>0.27989999999999998</v>
      </c>
      <c r="EJ13" s="229">
        <v>0.71</v>
      </c>
      <c r="EK13" s="228">
        <v>517.47</v>
      </c>
      <c r="EL13" s="228">
        <v>191.86</v>
      </c>
      <c r="EM13" s="228">
        <v>744.47</v>
      </c>
      <c r="EN13" s="228">
        <v>21.33</v>
      </c>
      <c r="EO13" s="231">
        <v>1453.8</v>
      </c>
      <c r="EP13" s="228">
        <v>914.08</v>
      </c>
      <c r="EQ13" s="228">
        <v>539.73</v>
      </c>
      <c r="ER13" s="229">
        <v>0.59050000000000002</v>
      </c>
      <c r="ES13" s="228">
        <v>417.13</v>
      </c>
      <c r="ET13" s="228">
        <v>265.33</v>
      </c>
      <c r="EU13" s="231">
        <v>1320.16</v>
      </c>
      <c r="EV13" s="231">
        <v>27232196</v>
      </c>
      <c r="EW13" s="231">
        <v>2002.62</v>
      </c>
      <c r="EX13" s="231">
        <v>1945.09</v>
      </c>
      <c r="EY13" s="228">
        <v>57.53</v>
      </c>
      <c r="EZ13" s="229">
        <v>2.9600000000000001E-2</v>
      </c>
      <c r="FA13" s="229">
        <v>0.4214</v>
      </c>
      <c r="FB13" s="227" t="s">
        <v>567</v>
      </c>
      <c r="FC13">
        <f t="shared" si="0"/>
        <v>345</v>
      </c>
    </row>
    <row r="14" spans="1:159" ht="17.25" thickBot="1" x14ac:dyDescent="0.3">
      <c r="A14" s="226">
        <v>45981</v>
      </c>
      <c r="B14" s="227" t="s">
        <v>170</v>
      </c>
      <c r="C14" s="227" t="s">
        <v>165</v>
      </c>
      <c r="D14" s="228">
        <v>125</v>
      </c>
      <c r="E14" s="228">
        <v>5</v>
      </c>
      <c r="F14" s="231">
        <v>7433.5</v>
      </c>
      <c r="G14" s="231">
        <v>7456.5</v>
      </c>
      <c r="H14" s="228">
        <v>-23</v>
      </c>
      <c r="I14" s="229">
        <v>-3.0999999999999999E-3</v>
      </c>
      <c r="J14" s="231">
        <v>7423</v>
      </c>
      <c r="K14" s="231">
        <v>7459</v>
      </c>
      <c r="L14" s="228">
        <v>-36</v>
      </c>
      <c r="M14" s="229">
        <v>-4.7999999999999996E-3</v>
      </c>
      <c r="N14" s="231">
        <v>7433.5</v>
      </c>
      <c r="O14" s="231">
        <v>7456.5</v>
      </c>
      <c r="P14" s="228">
        <v>-23</v>
      </c>
      <c r="Q14" s="229">
        <v>-3.0999999999999999E-3</v>
      </c>
      <c r="R14" s="231">
        <v>7483.5</v>
      </c>
      <c r="S14" s="231">
        <v>7505.5</v>
      </c>
      <c r="T14" s="228">
        <v>-22</v>
      </c>
      <c r="U14" s="229">
        <v>-2.8999999999999998E-3</v>
      </c>
      <c r="V14" s="231">
        <v>7531</v>
      </c>
      <c r="W14" s="231">
        <v>7550</v>
      </c>
      <c r="X14" s="228">
        <v>-19</v>
      </c>
      <c r="Y14" s="229">
        <v>-2.5000000000000001E-3</v>
      </c>
      <c r="Z14" s="228">
        <v>10.5</v>
      </c>
      <c r="AA14" s="228">
        <v>-2.5</v>
      </c>
      <c r="AB14" s="228">
        <v>13</v>
      </c>
      <c r="AC14" s="229">
        <v>1.4E-3</v>
      </c>
      <c r="AD14" s="228">
        <v>10.5</v>
      </c>
      <c r="AE14" s="228">
        <v>-2.5</v>
      </c>
      <c r="AF14" s="228">
        <v>13</v>
      </c>
      <c r="AG14" s="229">
        <v>1.4E-3</v>
      </c>
      <c r="AH14" s="228">
        <v>60.5</v>
      </c>
      <c r="AI14" s="228">
        <v>46.5</v>
      </c>
      <c r="AJ14" s="228">
        <v>14</v>
      </c>
      <c r="AK14" s="229">
        <v>8.2000000000000007E-3</v>
      </c>
      <c r="AL14" s="228">
        <v>108</v>
      </c>
      <c r="AM14" s="228">
        <v>91</v>
      </c>
      <c r="AN14" s="228">
        <v>17</v>
      </c>
      <c r="AO14" s="229">
        <v>1.4500000000000001E-2</v>
      </c>
      <c r="AP14" s="231">
        <v>7458.57</v>
      </c>
      <c r="AQ14" s="231">
        <v>7507.65</v>
      </c>
      <c r="AR14" s="228">
        <v>0</v>
      </c>
      <c r="AS14" s="228">
        <v>965</v>
      </c>
      <c r="AT14" s="228">
        <v>460</v>
      </c>
      <c r="AU14" s="228">
        <v>506</v>
      </c>
      <c r="AV14" s="229">
        <v>1.1001000000000001</v>
      </c>
      <c r="AW14" s="228">
        <v>504</v>
      </c>
      <c r="AX14" s="228">
        <v>330</v>
      </c>
      <c r="AY14" s="228">
        <v>174</v>
      </c>
      <c r="AZ14" s="229">
        <v>0.52800000000000002</v>
      </c>
      <c r="BA14" s="228">
        <v>457</v>
      </c>
      <c r="BB14" s="228">
        <v>125</v>
      </c>
      <c r="BC14" s="228">
        <v>333</v>
      </c>
      <c r="BD14" s="229">
        <v>2.6716000000000002</v>
      </c>
      <c r="BE14" s="228">
        <v>4</v>
      </c>
      <c r="BF14" s="228">
        <v>5</v>
      </c>
      <c r="BG14" s="228">
        <v>-1</v>
      </c>
      <c r="BH14" s="229">
        <v>-0.2545</v>
      </c>
      <c r="BI14" s="230">
        <v>2007</v>
      </c>
      <c r="BJ14" s="230">
        <v>3839</v>
      </c>
      <c r="BK14" s="230">
        <v>-1832</v>
      </c>
      <c r="BL14" s="229">
        <v>-0.47720000000000001</v>
      </c>
      <c r="BM14" s="228">
        <v>645</v>
      </c>
      <c r="BN14" s="230">
        <v>1149</v>
      </c>
      <c r="BO14" s="228">
        <v>-504</v>
      </c>
      <c r="BP14" s="229">
        <v>-0.439</v>
      </c>
      <c r="BQ14" s="230">
        <v>3617</v>
      </c>
      <c r="BR14" s="230">
        <v>5448</v>
      </c>
      <c r="BS14" s="230">
        <v>-1831</v>
      </c>
      <c r="BT14" s="229">
        <v>-0.33610000000000001</v>
      </c>
      <c r="BU14" s="230">
        <v>230369</v>
      </c>
      <c r="BV14" s="230">
        <v>488895</v>
      </c>
      <c r="BW14" s="230">
        <v>-258526</v>
      </c>
      <c r="BX14" s="229">
        <v>-0.52880000000000005</v>
      </c>
      <c r="BY14" s="230">
        <v>2202</v>
      </c>
      <c r="BZ14" s="230">
        <v>2214</v>
      </c>
      <c r="CA14" s="228">
        <v>-12</v>
      </c>
      <c r="CB14" s="229">
        <v>-5.1999999999999998E-3</v>
      </c>
      <c r="CC14" s="230">
        <v>1561</v>
      </c>
      <c r="CD14" s="230">
        <v>1947</v>
      </c>
      <c r="CE14" s="228">
        <v>-386</v>
      </c>
      <c r="CF14" s="229">
        <v>-0.1981</v>
      </c>
      <c r="CG14" s="228">
        <v>622</v>
      </c>
      <c r="CH14" s="228">
        <v>250</v>
      </c>
      <c r="CI14" s="228">
        <v>373</v>
      </c>
      <c r="CJ14" s="229">
        <v>1.4926999999999999</v>
      </c>
      <c r="CK14" s="228">
        <v>19</v>
      </c>
      <c r="CL14" s="228">
        <v>17</v>
      </c>
      <c r="CM14" s="228">
        <v>1</v>
      </c>
      <c r="CN14" s="229">
        <v>7.9799999999999996E-2</v>
      </c>
      <c r="CO14" s="230">
        <v>1657</v>
      </c>
      <c r="CP14" s="230">
        <v>1729</v>
      </c>
      <c r="CQ14" s="228">
        <v>-72</v>
      </c>
      <c r="CR14" s="229">
        <v>-4.1599999999999998E-2</v>
      </c>
      <c r="CS14" s="228">
        <v>681</v>
      </c>
      <c r="CT14" s="228">
        <v>714</v>
      </c>
      <c r="CU14" s="228">
        <v>-32</v>
      </c>
      <c r="CV14" s="229">
        <v>-4.5199999999999997E-2</v>
      </c>
      <c r="CW14" s="230">
        <v>4540</v>
      </c>
      <c r="CX14" s="230">
        <v>4656</v>
      </c>
      <c r="CY14" s="228">
        <v>-116</v>
      </c>
      <c r="CZ14" s="229">
        <v>-2.4799999999999999E-2</v>
      </c>
      <c r="DA14" s="228">
        <v>18.53</v>
      </c>
      <c r="DB14" s="228">
        <v>20.059999999999999</v>
      </c>
      <c r="DC14" s="228">
        <v>-1.53</v>
      </c>
      <c r="DD14" s="228">
        <v>-1.53</v>
      </c>
      <c r="DE14" s="228">
        <v>25.73</v>
      </c>
      <c r="DF14" s="228">
        <v>25.79</v>
      </c>
      <c r="DG14" s="228">
        <v>-7.2</v>
      </c>
      <c r="DH14" s="228">
        <v>-0.06</v>
      </c>
      <c r="DI14" s="228">
        <v>18.37</v>
      </c>
      <c r="DJ14" s="228">
        <v>20.18</v>
      </c>
      <c r="DK14" s="228">
        <v>-1.81</v>
      </c>
      <c r="DL14" s="228">
        <v>-1.81</v>
      </c>
      <c r="DM14" s="228">
        <v>19.07</v>
      </c>
      <c r="DN14" s="228">
        <v>19.649999999999999</v>
      </c>
      <c r="DO14" s="228">
        <v>-0.57999999999999996</v>
      </c>
      <c r="DP14" s="228">
        <v>-0.57999999999999996</v>
      </c>
      <c r="DQ14" s="228">
        <v>0.41</v>
      </c>
      <c r="DR14" s="228">
        <v>0.41</v>
      </c>
      <c r="DS14" s="228">
        <v>0</v>
      </c>
      <c r="DT14" s="229">
        <v>0</v>
      </c>
      <c r="DU14" s="231">
        <v>7500</v>
      </c>
      <c r="DV14" s="231">
        <v>7000</v>
      </c>
      <c r="DW14" s="228">
        <v>0.32</v>
      </c>
      <c r="DX14" s="228">
        <v>0.3</v>
      </c>
      <c r="DY14" s="228">
        <v>0.02</v>
      </c>
      <c r="DZ14" s="229">
        <v>6.6699999999999995E-2</v>
      </c>
      <c r="EA14" s="229">
        <v>0.29110000000000003</v>
      </c>
      <c r="EB14" s="230">
        <v>359375</v>
      </c>
      <c r="EC14" s="229">
        <v>6.7000000000000002E-3</v>
      </c>
      <c r="ED14" s="229">
        <v>0.29110000000000003</v>
      </c>
      <c r="EE14" s="228">
        <v>49.08</v>
      </c>
      <c r="EF14" s="229">
        <v>6.6E-3</v>
      </c>
      <c r="EG14" s="230">
        <v>150569</v>
      </c>
      <c r="EH14" s="230">
        <v>311375</v>
      </c>
      <c r="EI14" s="229">
        <v>-0.51639999999999997</v>
      </c>
      <c r="EJ14" s="229">
        <v>0.65359999999999996</v>
      </c>
      <c r="EK14" s="231">
        <v>2082.13</v>
      </c>
      <c r="EL14" s="228">
        <v>638.04999999999995</v>
      </c>
      <c r="EM14" s="228">
        <v>971.47</v>
      </c>
      <c r="EN14" s="228">
        <v>35.18</v>
      </c>
      <c r="EO14" s="231">
        <v>3691.64</v>
      </c>
      <c r="EP14" s="231">
        <v>5550.77</v>
      </c>
      <c r="EQ14" s="231">
        <v>-1859.13</v>
      </c>
      <c r="ER14" s="229">
        <v>-0.33489999999999998</v>
      </c>
      <c r="ES14" s="231">
        <v>1753.27</v>
      </c>
      <c r="ET14" s="228">
        <v>678.21</v>
      </c>
      <c r="EU14" s="231">
        <v>2206.89</v>
      </c>
      <c r="EV14" s="231">
        <v>15240043</v>
      </c>
      <c r="EW14" s="231">
        <v>4638.3599999999997</v>
      </c>
      <c r="EX14" s="231">
        <v>4763.01</v>
      </c>
      <c r="EY14" s="228">
        <v>-124.65</v>
      </c>
      <c r="EZ14" s="229">
        <v>-2.6200000000000001E-2</v>
      </c>
      <c r="FA14" s="229">
        <v>0.40079999999999999</v>
      </c>
      <c r="FB14" s="227" t="s">
        <v>568</v>
      </c>
      <c r="FC14">
        <f t="shared" si="0"/>
        <v>641</v>
      </c>
    </row>
    <row r="15" spans="1:159" ht="17.25" thickBot="1" x14ac:dyDescent="0.3">
      <c r="A15" s="226">
        <v>45981</v>
      </c>
      <c r="B15" s="227" t="s">
        <v>162</v>
      </c>
      <c r="C15" s="227" t="s">
        <v>167</v>
      </c>
      <c r="D15" s="228">
        <v>5000</v>
      </c>
      <c r="E15" s="228">
        <v>5</v>
      </c>
      <c r="F15" s="228">
        <v>146.66</v>
      </c>
      <c r="G15" s="228">
        <v>145.59</v>
      </c>
      <c r="H15" s="228">
        <v>1.07</v>
      </c>
      <c r="I15" s="229">
        <v>7.3000000000000001E-3</v>
      </c>
      <c r="J15" s="228">
        <v>146.24</v>
      </c>
      <c r="K15" s="228">
        <v>145.46</v>
      </c>
      <c r="L15" s="228">
        <v>0.78</v>
      </c>
      <c r="M15" s="229">
        <v>5.4000000000000003E-3</v>
      </c>
      <c r="N15" s="228">
        <v>146.66</v>
      </c>
      <c r="O15" s="228">
        <v>145.59</v>
      </c>
      <c r="P15" s="228">
        <v>1.07</v>
      </c>
      <c r="Q15" s="229">
        <v>7.3000000000000001E-3</v>
      </c>
      <c r="R15" s="228">
        <v>145.75</v>
      </c>
      <c r="S15" s="228">
        <v>144.16999999999999</v>
      </c>
      <c r="T15" s="228">
        <v>1.58</v>
      </c>
      <c r="U15" s="229">
        <v>1.0999999999999999E-2</v>
      </c>
      <c r="V15" s="228">
        <v>145.29</v>
      </c>
      <c r="W15" s="228">
        <v>143.76</v>
      </c>
      <c r="X15" s="228">
        <v>1.53</v>
      </c>
      <c r="Y15" s="229">
        <v>1.06E-2</v>
      </c>
      <c r="Z15" s="228">
        <v>0.42</v>
      </c>
      <c r="AA15" s="228">
        <v>0.13</v>
      </c>
      <c r="AB15" s="228">
        <v>0.28999999999999998</v>
      </c>
      <c r="AC15" s="229">
        <v>2.8999999999999998E-3</v>
      </c>
      <c r="AD15" s="228">
        <v>0.42</v>
      </c>
      <c r="AE15" s="228">
        <v>0.13</v>
      </c>
      <c r="AF15" s="228">
        <v>0.28999999999999998</v>
      </c>
      <c r="AG15" s="229">
        <v>2.8999999999999998E-3</v>
      </c>
      <c r="AH15" s="228">
        <v>-0.49</v>
      </c>
      <c r="AI15" s="228">
        <v>-1.29</v>
      </c>
      <c r="AJ15" s="228">
        <v>0.8</v>
      </c>
      <c r="AK15" s="229">
        <v>-3.3999999999999998E-3</v>
      </c>
      <c r="AL15" s="228">
        <v>-0.95</v>
      </c>
      <c r="AM15" s="228">
        <v>-1.7</v>
      </c>
      <c r="AN15" s="228">
        <v>0.75</v>
      </c>
      <c r="AO15" s="229">
        <v>-6.4999999999999997E-3</v>
      </c>
      <c r="AP15" s="228">
        <v>146.22</v>
      </c>
      <c r="AQ15" s="228">
        <v>144.84</v>
      </c>
      <c r="AR15" s="228">
        <v>0</v>
      </c>
      <c r="AS15" s="230">
        <v>1861</v>
      </c>
      <c r="AT15" s="228">
        <v>411</v>
      </c>
      <c r="AU15" s="230">
        <v>1449</v>
      </c>
      <c r="AV15" s="229">
        <v>3.5230000000000001</v>
      </c>
      <c r="AW15" s="228">
        <v>978</v>
      </c>
      <c r="AX15" s="228">
        <v>281</v>
      </c>
      <c r="AY15" s="228">
        <v>697</v>
      </c>
      <c r="AZ15" s="229">
        <v>2.4803999999999999</v>
      </c>
      <c r="BA15" s="228">
        <v>878</v>
      </c>
      <c r="BB15" s="228">
        <v>126</v>
      </c>
      <c r="BC15" s="228">
        <v>752</v>
      </c>
      <c r="BD15" s="229">
        <v>5.9530000000000003</v>
      </c>
      <c r="BE15" s="228">
        <v>5</v>
      </c>
      <c r="BF15" s="228">
        <v>4</v>
      </c>
      <c r="BG15" s="228">
        <v>1</v>
      </c>
      <c r="BH15" s="229">
        <v>0.1429</v>
      </c>
      <c r="BI15" s="230">
        <v>1258</v>
      </c>
      <c r="BJ15" s="230">
        <v>1161</v>
      </c>
      <c r="BK15" s="228">
        <v>97</v>
      </c>
      <c r="BL15" s="229">
        <v>8.3199999999999996E-2</v>
      </c>
      <c r="BM15" s="228">
        <v>559</v>
      </c>
      <c r="BN15" s="228">
        <v>595</v>
      </c>
      <c r="BO15" s="228">
        <v>-36</v>
      </c>
      <c r="BP15" s="229">
        <v>-6.0299999999999999E-2</v>
      </c>
      <c r="BQ15" s="230">
        <v>3678</v>
      </c>
      <c r="BR15" s="230">
        <v>2168</v>
      </c>
      <c r="BS15" s="230">
        <v>1510</v>
      </c>
      <c r="BT15" s="229">
        <v>0.6966</v>
      </c>
      <c r="BU15" s="230">
        <v>8889622</v>
      </c>
      <c r="BV15" s="230">
        <v>6193943</v>
      </c>
      <c r="BW15" s="230">
        <v>2695679</v>
      </c>
      <c r="BX15" s="229">
        <v>0.43519999999999998</v>
      </c>
      <c r="BY15" s="230">
        <v>1958</v>
      </c>
      <c r="BZ15" s="230">
        <v>2404</v>
      </c>
      <c r="CA15" s="228">
        <v>-446</v>
      </c>
      <c r="CB15" s="229">
        <v>-0.1855</v>
      </c>
      <c r="CC15" s="230">
        <v>1188</v>
      </c>
      <c r="CD15" s="230">
        <v>1863</v>
      </c>
      <c r="CE15" s="228">
        <v>-675</v>
      </c>
      <c r="CF15" s="229">
        <v>-0.36249999999999999</v>
      </c>
      <c r="CG15" s="228">
        <v>751</v>
      </c>
      <c r="CH15" s="228">
        <v>522</v>
      </c>
      <c r="CI15" s="228">
        <v>229</v>
      </c>
      <c r="CJ15" s="229">
        <v>0.43809999999999999</v>
      </c>
      <c r="CK15" s="228">
        <v>19</v>
      </c>
      <c r="CL15" s="228">
        <v>19</v>
      </c>
      <c r="CM15" s="228">
        <v>1</v>
      </c>
      <c r="CN15" s="229">
        <v>3.95E-2</v>
      </c>
      <c r="CO15" s="230">
        <v>1014</v>
      </c>
      <c r="CP15" s="230">
        <v>1021</v>
      </c>
      <c r="CQ15" s="228">
        <v>-8</v>
      </c>
      <c r="CR15" s="229">
        <v>-7.4999999999999997E-3</v>
      </c>
      <c r="CS15" s="228">
        <v>717</v>
      </c>
      <c r="CT15" s="228">
        <v>725</v>
      </c>
      <c r="CU15" s="228">
        <v>-8</v>
      </c>
      <c r="CV15" s="229">
        <v>-1.14E-2</v>
      </c>
      <c r="CW15" s="230">
        <v>3688</v>
      </c>
      <c r="CX15" s="230">
        <v>4150</v>
      </c>
      <c r="CY15" s="228">
        <v>-462</v>
      </c>
      <c r="CZ15" s="229">
        <v>-0.1113</v>
      </c>
      <c r="DA15" s="228">
        <v>25.19</v>
      </c>
      <c r="DB15" s="228">
        <v>27.3</v>
      </c>
      <c r="DC15" s="228">
        <v>-2.11</v>
      </c>
      <c r="DD15" s="228">
        <v>-2.11</v>
      </c>
      <c r="DE15" s="228">
        <v>34.78</v>
      </c>
      <c r="DF15" s="228">
        <v>34.86</v>
      </c>
      <c r="DG15" s="228">
        <v>-9.59</v>
      </c>
      <c r="DH15" s="228">
        <v>-0.08</v>
      </c>
      <c r="DI15" s="228">
        <v>25.31</v>
      </c>
      <c r="DJ15" s="228">
        <v>28.02</v>
      </c>
      <c r="DK15" s="228">
        <v>-2.71</v>
      </c>
      <c r="DL15" s="228">
        <v>-2.71</v>
      </c>
      <c r="DM15" s="228">
        <v>24.84</v>
      </c>
      <c r="DN15" s="228">
        <v>25.9</v>
      </c>
      <c r="DO15" s="228">
        <v>-1.06</v>
      </c>
      <c r="DP15" s="228">
        <v>-1.06</v>
      </c>
      <c r="DQ15" s="228">
        <v>0.71</v>
      </c>
      <c r="DR15" s="228">
        <v>0.71</v>
      </c>
      <c r="DS15" s="228">
        <v>0</v>
      </c>
      <c r="DT15" s="229">
        <v>0</v>
      </c>
      <c r="DU15" s="228">
        <v>150</v>
      </c>
      <c r="DV15" s="228">
        <v>140</v>
      </c>
      <c r="DW15" s="228">
        <v>0.44</v>
      </c>
      <c r="DX15" s="228">
        <v>0.51</v>
      </c>
      <c r="DY15" s="228">
        <v>-7.0000000000000007E-2</v>
      </c>
      <c r="DZ15" s="229">
        <v>-0.13730000000000001</v>
      </c>
      <c r="EA15" s="229">
        <v>0.39340000000000003</v>
      </c>
      <c r="EB15" s="230">
        <v>36875000</v>
      </c>
      <c r="EC15" s="229">
        <v>-6.1999999999999998E-3</v>
      </c>
      <c r="ED15" s="229">
        <v>0.39340000000000003</v>
      </c>
      <c r="EE15" s="228">
        <v>-1.38</v>
      </c>
      <c r="EF15" s="229">
        <v>-9.4000000000000004E-3</v>
      </c>
      <c r="EG15" s="230">
        <v>4547118</v>
      </c>
      <c r="EH15" s="230">
        <v>2908319</v>
      </c>
      <c r="EI15" s="229">
        <v>0.5635</v>
      </c>
      <c r="EJ15" s="229">
        <v>0.51149999999999995</v>
      </c>
      <c r="EK15" s="231">
        <v>1302.71</v>
      </c>
      <c r="EL15" s="228">
        <v>546.30999999999995</v>
      </c>
      <c r="EM15" s="231">
        <v>1846.81</v>
      </c>
      <c r="EN15" s="228">
        <v>86.07</v>
      </c>
      <c r="EO15" s="231">
        <v>3695.83</v>
      </c>
      <c r="EP15" s="231">
        <v>2196.36</v>
      </c>
      <c r="EQ15" s="231">
        <v>1499.46</v>
      </c>
      <c r="ER15" s="229">
        <v>0.68269999999999997</v>
      </c>
      <c r="ES15" s="231">
        <v>1041.3699999999999</v>
      </c>
      <c r="ET15" s="228">
        <v>678.82</v>
      </c>
      <c r="EU15" s="231">
        <v>1953.44</v>
      </c>
      <c r="EV15" s="231">
        <v>409181558</v>
      </c>
      <c r="EW15" s="231">
        <v>3673.63</v>
      </c>
      <c r="EX15" s="231">
        <v>4114.8999999999996</v>
      </c>
      <c r="EY15" s="228">
        <v>-441.27</v>
      </c>
      <c r="EZ15" s="229">
        <v>-0.1072</v>
      </c>
      <c r="FA15" s="229">
        <v>0.61460000000000004</v>
      </c>
      <c r="FB15" s="227" t="s">
        <v>556</v>
      </c>
      <c r="FC15">
        <f t="shared" si="0"/>
        <v>770</v>
      </c>
    </row>
    <row r="16" spans="1:159" ht="17.25" thickBot="1" x14ac:dyDescent="0.3">
      <c r="A16" s="226">
        <v>45981</v>
      </c>
      <c r="B16" s="227" t="s">
        <v>168</v>
      </c>
      <c r="C16" s="227" t="s">
        <v>169</v>
      </c>
      <c r="D16" s="228">
        <v>250</v>
      </c>
      <c r="E16" s="228">
        <v>5</v>
      </c>
      <c r="F16" s="231">
        <v>2860</v>
      </c>
      <c r="G16" s="231">
        <v>2889</v>
      </c>
      <c r="H16" s="228">
        <v>-29</v>
      </c>
      <c r="I16" s="229">
        <v>-0.01</v>
      </c>
      <c r="J16" s="231">
        <v>2859.8</v>
      </c>
      <c r="K16" s="231">
        <v>2893.7</v>
      </c>
      <c r="L16" s="228">
        <v>-33.9</v>
      </c>
      <c r="M16" s="229">
        <v>-1.17E-2</v>
      </c>
      <c r="N16" s="231">
        <v>2860</v>
      </c>
      <c r="O16" s="231">
        <v>2889</v>
      </c>
      <c r="P16" s="228">
        <v>-29</v>
      </c>
      <c r="Q16" s="229">
        <v>-0.01</v>
      </c>
      <c r="R16" s="231">
        <v>2874.8</v>
      </c>
      <c r="S16" s="231">
        <v>2900.2</v>
      </c>
      <c r="T16" s="228">
        <v>-25.4</v>
      </c>
      <c r="U16" s="229">
        <v>-8.8000000000000005E-3</v>
      </c>
      <c r="V16" s="231">
        <v>2889.7</v>
      </c>
      <c r="W16" s="231">
        <v>2911.8</v>
      </c>
      <c r="X16" s="228">
        <v>-22.1</v>
      </c>
      <c r="Y16" s="229">
        <v>-7.6E-3</v>
      </c>
      <c r="Z16" s="228">
        <v>0.2</v>
      </c>
      <c r="AA16" s="228">
        <v>-4.7</v>
      </c>
      <c r="AB16" s="228">
        <v>4.9000000000000004</v>
      </c>
      <c r="AC16" s="229">
        <v>1E-4</v>
      </c>
      <c r="AD16" s="228">
        <v>0.2</v>
      </c>
      <c r="AE16" s="228">
        <v>-4.7</v>
      </c>
      <c r="AF16" s="228">
        <v>4.9000000000000004</v>
      </c>
      <c r="AG16" s="229">
        <v>1E-4</v>
      </c>
      <c r="AH16" s="228">
        <v>15</v>
      </c>
      <c r="AI16" s="228">
        <v>6.5</v>
      </c>
      <c r="AJ16" s="228">
        <v>8.5</v>
      </c>
      <c r="AK16" s="229">
        <v>5.1999999999999998E-3</v>
      </c>
      <c r="AL16" s="228">
        <v>29.9</v>
      </c>
      <c r="AM16" s="228">
        <v>18.100000000000001</v>
      </c>
      <c r="AN16" s="228">
        <v>11.8</v>
      </c>
      <c r="AO16" s="229">
        <v>1.0500000000000001E-2</v>
      </c>
      <c r="AP16" s="231">
        <v>2864.94</v>
      </c>
      <c r="AQ16" s="231">
        <v>2877.11</v>
      </c>
      <c r="AR16" s="228">
        <v>0</v>
      </c>
      <c r="AS16" s="230">
        <v>1756</v>
      </c>
      <c r="AT16" s="228">
        <v>623</v>
      </c>
      <c r="AU16" s="230">
        <v>1133</v>
      </c>
      <c r="AV16" s="229">
        <v>1.8170999999999999</v>
      </c>
      <c r="AW16" s="230">
        <v>1056</v>
      </c>
      <c r="AX16" s="228">
        <v>423</v>
      </c>
      <c r="AY16" s="228">
        <v>633</v>
      </c>
      <c r="AZ16" s="229">
        <v>1.496</v>
      </c>
      <c r="BA16" s="228">
        <v>693</v>
      </c>
      <c r="BB16" s="228">
        <v>194</v>
      </c>
      <c r="BC16" s="228">
        <v>499</v>
      </c>
      <c r="BD16" s="229">
        <v>2.5663999999999998</v>
      </c>
      <c r="BE16" s="228">
        <v>7</v>
      </c>
      <c r="BF16" s="228">
        <v>6</v>
      </c>
      <c r="BG16" s="228">
        <v>1</v>
      </c>
      <c r="BH16" s="229">
        <v>0.18820000000000001</v>
      </c>
      <c r="BI16" s="230">
        <v>5675</v>
      </c>
      <c r="BJ16" s="230">
        <v>3595</v>
      </c>
      <c r="BK16" s="230">
        <v>2080</v>
      </c>
      <c r="BL16" s="229">
        <v>0.57850000000000001</v>
      </c>
      <c r="BM16" s="230">
        <v>3864</v>
      </c>
      <c r="BN16" s="230">
        <v>3087</v>
      </c>
      <c r="BO16" s="228">
        <v>777</v>
      </c>
      <c r="BP16" s="229">
        <v>0.25159999999999999</v>
      </c>
      <c r="BQ16" s="230">
        <v>11295</v>
      </c>
      <c r="BR16" s="230">
        <v>7306</v>
      </c>
      <c r="BS16" s="230">
        <v>3989</v>
      </c>
      <c r="BT16" s="229">
        <v>0.54600000000000004</v>
      </c>
      <c r="BU16" s="230">
        <v>1126340</v>
      </c>
      <c r="BV16" s="230">
        <v>1423098</v>
      </c>
      <c r="BW16" s="230">
        <v>-296758</v>
      </c>
      <c r="BX16" s="229">
        <v>-0.20849999999999999</v>
      </c>
      <c r="BY16" s="230">
        <v>3899</v>
      </c>
      <c r="BZ16" s="230">
        <v>4006</v>
      </c>
      <c r="CA16" s="228">
        <v>-107</v>
      </c>
      <c r="CB16" s="229">
        <v>-2.6800000000000001E-2</v>
      </c>
      <c r="CC16" s="230">
        <v>2879</v>
      </c>
      <c r="CD16" s="230">
        <v>3402</v>
      </c>
      <c r="CE16" s="228">
        <v>-523</v>
      </c>
      <c r="CF16" s="229">
        <v>-0.1537</v>
      </c>
      <c r="CG16" s="228">
        <v>996</v>
      </c>
      <c r="CH16" s="228">
        <v>579</v>
      </c>
      <c r="CI16" s="228">
        <v>417</v>
      </c>
      <c r="CJ16" s="229">
        <v>0.72009999999999996</v>
      </c>
      <c r="CK16" s="228">
        <v>24</v>
      </c>
      <c r="CL16" s="228">
        <v>25</v>
      </c>
      <c r="CM16" s="228">
        <v>-1</v>
      </c>
      <c r="CN16" s="229">
        <v>-5.11E-2</v>
      </c>
      <c r="CO16" s="230">
        <v>3179</v>
      </c>
      <c r="CP16" s="230">
        <v>3470</v>
      </c>
      <c r="CQ16" s="228">
        <v>-291</v>
      </c>
      <c r="CR16" s="229">
        <v>-8.3900000000000002E-2</v>
      </c>
      <c r="CS16" s="230">
        <v>2513</v>
      </c>
      <c r="CT16" s="230">
        <v>3059</v>
      </c>
      <c r="CU16" s="228">
        <v>-546</v>
      </c>
      <c r="CV16" s="229">
        <v>-0.17849999999999999</v>
      </c>
      <c r="CW16" s="230">
        <v>9590</v>
      </c>
      <c r="CX16" s="230">
        <v>10535</v>
      </c>
      <c r="CY16" s="228">
        <v>-945</v>
      </c>
      <c r="CZ16" s="229">
        <v>-8.9700000000000002E-2</v>
      </c>
      <c r="DA16" s="228">
        <v>19.18</v>
      </c>
      <c r="DB16" s="228">
        <v>20.65</v>
      </c>
      <c r="DC16" s="228">
        <v>-1.47</v>
      </c>
      <c r="DD16" s="228">
        <v>-1.47</v>
      </c>
      <c r="DE16" s="228">
        <v>25.13</v>
      </c>
      <c r="DF16" s="228">
        <v>25.14</v>
      </c>
      <c r="DG16" s="228">
        <v>-5.95</v>
      </c>
      <c r="DH16" s="228">
        <v>-0.01</v>
      </c>
      <c r="DI16" s="228">
        <v>19.25</v>
      </c>
      <c r="DJ16" s="228">
        <v>20.79</v>
      </c>
      <c r="DK16" s="228">
        <v>-1.54</v>
      </c>
      <c r="DL16" s="228">
        <v>-1.54</v>
      </c>
      <c r="DM16" s="228">
        <v>19.079999999999998</v>
      </c>
      <c r="DN16" s="228">
        <v>20.49</v>
      </c>
      <c r="DO16" s="228">
        <v>-1.41</v>
      </c>
      <c r="DP16" s="228">
        <v>-1.41</v>
      </c>
      <c r="DQ16" s="228">
        <v>0.79</v>
      </c>
      <c r="DR16" s="228">
        <v>0.88</v>
      </c>
      <c r="DS16" s="228">
        <v>-0.09</v>
      </c>
      <c r="DT16" s="229">
        <v>-0.1023</v>
      </c>
      <c r="DU16" s="231">
        <v>3000</v>
      </c>
      <c r="DV16" s="231">
        <v>2800</v>
      </c>
      <c r="DW16" s="228">
        <v>0.68</v>
      </c>
      <c r="DX16" s="228">
        <v>0.86</v>
      </c>
      <c r="DY16" s="228">
        <v>-0.18</v>
      </c>
      <c r="DZ16" s="229">
        <v>-0.20930000000000001</v>
      </c>
      <c r="EA16" s="229">
        <v>0.2616</v>
      </c>
      <c r="EB16" s="230">
        <v>2112750</v>
      </c>
      <c r="EC16" s="229">
        <v>5.1999999999999998E-3</v>
      </c>
      <c r="ED16" s="229">
        <v>0.2616</v>
      </c>
      <c r="EE16" s="228">
        <v>12.17</v>
      </c>
      <c r="EF16" s="229">
        <v>4.1999999999999997E-3</v>
      </c>
      <c r="EG16" s="230">
        <v>778002</v>
      </c>
      <c r="EH16" s="230">
        <v>974713</v>
      </c>
      <c r="EI16" s="229">
        <v>-0.20180000000000001</v>
      </c>
      <c r="EJ16" s="229">
        <v>0.69069999999999998</v>
      </c>
      <c r="EK16" s="231">
        <v>5859.3</v>
      </c>
      <c r="EL16" s="231">
        <v>3818.05</v>
      </c>
      <c r="EM16" s="231">
        <v>1762.23</v>
      </c>
      <c r="EN16" s="228">
        <v>158.69</v>
      </c>
      <c r="EO16" s="231">
        <v>11439.59</v>
      </c>
      <c r="EP16" s="231">
        <v>7440.28</v>
      </c>
      <c r="EQ16" s="231">
        <v>3999.31</v>
      </c>
      <c r="ER16" s="229">
        <v>0.53749999999999998</v>
      </c>
      <c r="ES16" s="231">
        <v>3181.12</v>
      </c>
      <c r="ET16" s="231">
        <v>2377.7199999999998</v>
      </c>
      <c r="EU16" s="231">
        <v>3904.08</v>
      </c>
      <c r="EV16" s="231">
        <v>52357280</v>
      </c>
      <c r="EW16" s="231">
        <v>9462.93</v>
      </c>
      <c r="EX16" s="231">
        <v>10445.02</v>
      </c>
      <c r="EY16" s="228">
        <v>-982.09</v>
      </c>
      <c r="EZ16" s="229">
        <v>-9.4E-2</v>
      </c>
      <c r="FA16" s="229">
        <v>0.64049999999999996</v>
      </c>
      <c r="FB16" s="227" t="s">
        <v>568</v>
      </c>
      <c r="FC16">
        <f t="shared" si="0"/>
        <v>1020</v>
      </c>
    </row>
    <row r="17" spans="1:159" ht="17.25" thickBot="1" x14ac:dyDescent="0.3">
      <c r="A17" s="226">
        <v>45981</v>
      </c>
      <c r="B17" s="227" t="s">
        <v>184</v>
      </c>
      <c r="C17" s="227" t="s">
        <v>503</v>
      </c>
      <c r="D17" s="228">
        <v>425</v>
      </c>
      <c r="E17" s="228">
        <v>5</v>
      </c>
      <c r="F17" s="231">
        <v>1465.6</v>
      </c>
      <c r="G17" s="231">
        <v>1454.2</v>
      </c>
      <c r="H17" s="228">
        <v>11.4</v>
      </c>
      <c r="I17" s="229">
        <v>7.7999999999999996E-3</v>
      </c>
      <c r="J17" s="231">
        <v>1462.4</v>
      </c>
      <c r="K17" s="231">
        <v>1448.2</v>
      </c>
      <c r="L17" s="228">
        <v>14.2</v>
      </c>
      <c r="M17" s="229">
        <v>9.7999999999999997E-3</v>
      </c>
      <c r="N17" s="231">
        <v>1465.6</v>
      </c>
      <c r="O17" s="231">
        <v>1454.2</v>
      </c>
      <c r="P17" s="228">
        <v>11.4</v>
      </c>
      <c r="Q17" s="229">
        <v>7.7999999999999996E-3</v>
      </c>
      <c r="R17" s="231">
        <v>1469.6</v>
      </c>
      <c r="S17" s="231">
        <v>1462.4</v>
      </c>
      <c r="T17" s="228">
        <v>7.2</v>
      </c>
      <c r="U17" s="229">
        <v>4.8999999999999998E-3</v>
      </c>
      <c r="V17" s="231">
        <v>1477.4</v>
      </c>
      <c r="W17" s="231">
        <v>1469.3</v>
      </c>
      <c r="X17" s="228">
        <v>8.1</v>
      </c>
      <c r="Y17" s="229">
        <v>5.4999999999999997E-3</v>
      </c>
      <c r="Z17" s="228">
        <v>3.2</v>
      </c>
      <c r="AA17" s="228">
        <v>6</v>
      </c>
      <c r="AB17" s="228">
        <v>-2.8</v>
      </c>
      <c r="AC17" s="229">
        <v>2.2000000000000001E-3</v>
      </c>
      <c r="AD17" s="228">
        <v>3.2</v>
      </c>
      <c r="AE17" s="228">
        <v>6</v>
      </c>
      <c r="AF17" s="228">
        <v>-2.8</v>
      </c>
      <c r="AG17" s="229">
        <v>2.2000000000000001E-3</v>
      </c>
      <c r="AH17" s="228">
        <v>7.2</v>
      </c>
      <c r="AI17" s="228">
        <v>14.2</v>
      </c>
      <c r="AJ17" s="228">
        <v>-7</v>
      </c>
      <c r="AK17" s="229">
        <v>4.8999999999999998E-3</v>
      </c>
      <c r="AL17" s="228">
        <v>15</v>
      </c>
      <c r="AM17" s="228">
        <v>21.1</v>
      </c>
      <c r="AN17" s="228">
        <v>-6.1</v>
      </c>
      <c r="AO17" s="229">
        <v>1.03E-2</v>
      </c>
      <c r="AP17" s="231">
        <v>1462.12</v>
      </c>
      <c r="AQ17" s="231">
        <v>1467.48</v>
      </c>
      <c r="AR17" s="228">
        <v>0</v>
      </c>
      <c r="AS17" s="230">
        <v>1040</v>
      </c>
      <c r="AT17" s="228">
        <v>277</v>
      </c>
      <c r="AU17" s="228">
        <v>763</v>
      </c>
      <c r="AV17" s="229">
        <v>2.7597</v>
      </c>
      <c r="AW17" s="228">
        <v>534</v>
      </c>
      <c r="AX17" s="228">
        <v>195</v>
      </c>
      <c r="AY17" s="228">
        <v>339</v>
      </c>
      <c r="AZ17" s="229">
        <v>1.7361</v>
      </c>
      <c r="BA17" s="228">
        <v>502</v>
      </c>
      <c r="BB17" s="228">
        <v>80</v>
      </c>
      <c r="BC17" s="228">
        <v>423</v>
      </c>
      <c r="BD17" s="229">
        <v>5.2965999999999998</v>
      </c>
      <c r="BE17" s="228">
        <v>3</v>
      </c>
      <c r="BF17" s="228">
        <v>2</v>
      </c>
      <c r="BG17" s="228">
        <v>2</v>
      </c>
      <c r="BH17" s="229">
        <v>1.1537999999999999</v>
      </c>
      <c r="BI17" s="228">
        <v>740</v>
      </c>
      <c r="BJ17" s="228">
        <v>943</v>
      </c>
      <c r="BK17" s="228">
        <v>-203</v>
      </c>
      <c r="BL17" s="229">
        <v>-0.21490000000000001</v>
      </c>
      <c r="BM17" s="228">
        <v>267</v>
      </c>
      <c r="BN17" s="228">
        <v>337</v>
      </c>
      <c r="BO17" s="228">
        <v>-70</v>
      </c>
      <c r="BP17" s="229">
        <v>-0.2069</v>
      </c>
      <c r="BQ17" s="230">
        <v>2047</v>
      </c>
      <c r="BR17" s="230">
        <v>1556</v>
      </c>
      <c r="BS17" s="228">
        <v>491</v>
      </c>
      <c r="BT17" s="229">
        <v>0.31569999999999998</v>
      </c>
      <c r="BU17" s="230">
        <v>350657</v>
      </c>
      <c r="BV17" s="230">
        <v>940317</v>
      </c>
      <c r="BW17" s="230">
        <v>-589660</v>
      </c>
      <c r="BX17" s="229">
        <v>-0.62709999999999999</v>
      </c>
      <c r="BY17" s="230">
        <v>1257</v>
      </c>
      <c r="BZ17" s="230">
        <v>1412</v>
      </c>
      <c r="CA17" s="228">
        <v>-154</v>
      </c>
      <c r="CB17" s="229">
        <v>-0.10920000000000001</v>
      </c>
      <c r="CC17" s="228">
        <v>755</v>
      </c>
      <c r="CD17" s="230">
        <v>1190</v>
      </c>
      <c r="CE17" s="228">
        <v>-434</v>
      </c>
      <c r="CF17" s="229">
        <v>-0.36509999999999998</v>
      </c>
      <c r="CG17" s="228">
        <v>488</v>
      </c>
      <c r="CH17" s="228">
        <v>209</v>
      </c>
      <c r="CI17" s="228">
        <v>279</v>
      </c>
      <c r="CJ17" s="229">
        <v>1.3366</v>
      </c>
      <c r="CK17" s="228">
        <v>14</v>
      </c>
      <c r="CL17" s="228">
        <v>13</v>
      </c>
      <c r="CM17" s="228">
        <v>1</v>
      </c>
      <c r="CN17" s="229">
        <v>7.7299999999999994E-2</v>
      </c>
      <c r="CO17" s="228">
        <v>685</v>
      </c>
      <c r="CP17" s="228">
        <v>752</v>
      </c>
      <c r="CQ17" s="228">
        <v>-67</v>
      </c>
      <c r="CR17" s="229">
        <v>-8.8999999999999996E-2</v>
      </c>
      <c r="CS17" s="228">
        <v>388</v>
      </c>
      <c r="CT17" s="228">
        <v>408</v>
      </c>
      <c r="CU17" s="228">
        <v>-20</v>
      </c>
      <c r="CV17" s="229">
        <v>-4.99E-2</v>
      </c>
      <c r="CW17" s="230">
        <v>2330</v>
      </c>
      <c r="CX17" s="230">
        <v>2572</v>
      </c>
      <c r="CY17" s="228">
        <v>-241</v>
      </c>
      <c r="CZ17" s="229">
        <v>-9.3899999999999997E-2</v>
      </c>
      <c r="DA17" s="228">
        <v>24.4</v>
      </c>
      <c r="DB17" s="228">
        <v>27.84</v>
      </c>
      <c r="DC17" s="228">
        <v>-3.44</v>
      </c>
      <c r="DD17" s="228">
        <v>-3.44</v>
      </c>
      <c r="DE17" s="228">
        <v>34.18</v>
      </c>
      <c r="DF17" s="228">
        <v>34.25</v>
      </c>
      <c r="DG17" s="228">
        <v>-9.7799999999999994</v>
      </c>
      <c r="DH17" s="228">
        <v>-7.0000000000000007E-2</v>
      </c>
      <c r="DI17" s="228">
        <v>24.61</v>
      </c>
      <c r="DJ17" s="228">
        <v>28.11</v>
      </c>
      <c r="DK17" s="228">
        <v>-3.5</v>
      </c>
      <c r="DL17" s="228">
        <v>-3.5</v>
      </c>
      <c r="DM17" s="228">
        <v>23.91</v>
      </c>
      <c r="DN17" s="228">
        <v>27.11</v>
      </c>
      <c r="DO17" s="228">
        <v>-3.2</v>
      </c>
      <c r="DP17" s="228">
        <v>-3.2</v>
      </c>
      <c r="DQ17" s="228">
        <v>0.56999999999999995</v>
      </c>
      <c r="DR17" s="228">
        <v>0.54</v>
      </c>
      <c r="DS17" s="228">
        <v>0.03</v>
      </c>
      <c r="DT17" s="229">
        <v>5.5599999999999997E-2</v>
      </c>
      <c r="DU17" s="231">
        <v>1600</v>
      </c>
      <c r="DV17" s="231">
        <v>1400</v>
      </c>
      <c r="DW17" s="228">
        <v>0.36</v>
      </c>
      <c r="DX17" s="228">
        <v>0.36</v>
      </c>
      <c r="DY17" s="228">
        <v>0</v>
      </c>
      <c r="DZ17" s="229">
        <v>0</v>
      </c>
      <c r="EA17" s="229">
        <v>0.3992</v>
      </c>
      <c r="EB17" s="230">
        <v>1513425</v>
      </c>
      <c r="EC17" s="229">
        <v>2.7000000000000001E-3</v>
      </c>
      <c r="ED17" s="229">
        <v>0.3992</v>
      </c>
      <c r="EE17" s="228">
        <v>5.36</v>
      </c>
      <c r="EF17" s="229">
        <v>3.7000000000000002E-3</v>
      </c>
      <c r="EG17" s="230">
        <v>171393</v>
      </c>
      <c r="EH17" s="230">
        <v>556182</v>
      </c>
      <c r="EI17" s="229">
        <v>-0.69179999999999997</v>
      </c>
      <c r="EJ17" s="229">
        <v>0.48880000000000001</v>
      </c>
      <c r="EK17" s="228">
        <v>768.38</v>
      </c>
      <c r="EL17" s="228">
        <v>260.47000000000003</v>
      </c>
      <c r="EM17" s="231">
        <v>1039.42</v>
      </c>
      <c r="EN17" s="228">
        <v>56.61</v>
      </c>
      <c r="EO17" s="231">
        <v>2068.27</v>
      </c>
      <c r="EP17" s="231">
        <v>1579.56</v>
      </c>
      <c r="EQ17" s="228">
        <v>488.71</v>
      </c>
      <c r="ER17" s="229">
        <v>0.30940000000000001</v>
      </c>
      <c r="ES17" s="228">
        <v>724.24</v>
      </c>
      <c r="ET17" s="228">
        <v>381.78</v>
      </c>
      <c r="EU17" s="231">
        <v>1258.9100000000001</v>
      </c>
      <c r="EV17" s="231">
        <v>18495534</v>
      </c>
      <c r="EW17" s="231">
        <v>2364.94</v>
      </c>
      <c r="EX17" s="231">
        <v>2597.88</v>
      </c>
      <c r="EY17" s="228">
        <v>-232.94</v>
      </c>
      <c r="EZ17" s="229">
        <v>-8.9700000000000002E-2</v>
      </c>
      <c r="FA17" s="229">
        <v>0.85960000000000003</v>
      </c>
      <c r="FB17" s="227" t="s">
        <v>556</v>
      </c>
      <c r="FC17">
        <f t="shared" si="0"/>
        <v>502</v>
      </c>
    </row>
    <row r="18" spans="1:159" ht="17.25" thickBot="1" x14ac:dyDescent="0.3">
      <c r="A18" s="226">
        <v>45981</v>
      </c>
      <c r="B18" s="227" t="s">
        <v>172</v>
      </c>
      <c r="C18" s="227" t="s">
        <v>495</v>
      </c>
      <c r="D18" s="228">
        <v>1000</v>
      </c>
      <c r="E18" s="228">
        <v>5</v>
      </c>
      <c r="F18" s="228">
        <v>920.35</v>
      </c>
      <c r="G18" s="228">
        <v>924.75</v>
      </c>
      <c r="H18" s="228">
        <v>-4.4000000000000004</v>
      </c>
      <c r="I18" s="229">
        <v>-4.7999999999999996E-3</v>
      </c>
      <c r="J18" s="228">
        <v>919.3</v>
      </c>
      <c r="K18" s="228">
        <v>925.65</v>
      </c>
      <c r="L18" s="228">
        <v>-6.35</v>
      </c>
      <c r="M18" s="229">
        <v>-6.8999999999999999E-3</v>
      </c>
      <c r="N18" s="228">
        <v>920.35</v>
      </c>
      <c r="O18" s="228">
        <v>924.75</v>
      </c>
      <c r="P18" s="228">
        <v>-4.4000000000000004</v>
      </c>
      <c r="Q18" s="229">
        <v>-4.7999999999999996E-3</v>
      </c>
      <c r="R18" s="228">
        <v>926.4</v>
      </c>
      <c r="S18" s="228">
        <v>929.85</v>
      </c>
      <c r="T18" s="228">
        <v>-3.45</v>
      </c>
      <c r="U18" s="229">
        <v>-3.7000000000000002E-3</v>
      </c>
      <c r="V18" s="228">
        <v>930.15</v>
      </c>
      <c r="W18" s="228">
        <v>933.2</v>
      </c>
      <c r="X18" s="228">
        <v>-3.05</v>
      </c>
      <c r="Y18" s="229">
        <v>-3.3E-3</v>
      </c>
      <c r="Z18" s="228">
        <v>1.05</v>
      </c>
      <c r="AA18" s="228">
        <v>-0.9</v>
      </c>
      <c r="AB18" s="228">
        <v>1.95</v>
      </c>
      <c r="AC18" s="229">
        <v>1.1000000000000001E-3</v>
      </c>
      <c r="AD18" s="228">
        <v>1.05</v>
      </c>
      <c r="AE18" s="228">
        <v>-0.9</v>
      </c>
      <c r="AF18" s="228">
        <v>1.95</v>
      </c>
      <c r="AG18" s="229">
        <v>1.1000000000000001E-3</v>
      </c>
      <c r="AH18" s="228">
        <v>7.1</v>
      </c>
      <c r="AI18" s="228">
        <v>4.2</v>
      </c>
      <c r="AJ18" s="228">
        <v>2.9</v>
      </c>
      <c r="AK18" s="229">
        <v>7.7000000000000002E-3</v>
      </c>
      <c r="AL18" s="228">
        <v>10.85</v>
      </c>
      <c r="AM18" s="228">
        <v>7.55</v>
      </c>
      <c r="AN18" s="228">
        <v>3.3</v>
      </c>
      <c r="AO18" s="229">
        <v>1.18E-2</v>
      </c>
      <c r="AP18" s="228">
        <v>920.99</v>
      </c>
      <c r="AQ18" s="228">
        <v>926.7</v>
      </c>
      <c r="AR18" s="228">
        <v>0</v>
      </c>
      <c r="AS18" s="228">
        <v>951</v>
      </c>
      <c r="AT18" s="228">
        <v>487</v>
      </c>
      <c r="AU18" s="228">
        <v>464</v>
      </c>
      <c r="AV18" s="229">
        <v>0.9516</v>
      </c>
      <c r="AW18" s="228">
        <v>492</v>
      </c>
      <c r="AX18" s="228">
        <v>321</v>
      </c>
      <c r="AY18" s="228">
        <v>171</v>
      </c>
      <c r="AZ18" s="229">
        <v>0.53369999999999995</v>
      </c>
      <c r="BA18" s="228">
        <v>456</v>
      </c>
      <c r="BB18" s="228">
        <v>162</v>
      </c>
      <c r="BC18" s="228">
        <v>293</v>
      </c>
      <c r="BD18" s="229">
        <v>1.8050999999999999</v>
      </c>
      <c r="BE18" s="228">
        <v>3</v>
      </c>
      <c r="BF18" s="228">
        <v>4</v>
      </c>
      <c r="BG18" s="228">
        <v>-1</v>
      </c>
      <c r="BH18" s="229">
        <v>-0.20930000000000001</v>
      </c>
      <c r="BI18" s="228">
        <v>671</v>
      </c>
      <c r="BJ18" s="230">
        <v>1415</v>
      </c>
      <c r="BK18" s="228">
        <v>-745</v>
      </c>
      <c r="BL18" s="229">
        <v>-0.52600000000000002</v>
      </c>
      <c r="BM18" s="228">
        <v>519</v>
      </c>
      <c r="BN18" s="228">
        <v>821</v>
      </c>
      <c r="BO18" s="228">
        <v>-302</v>
      </c>
      <c r="BP18" s="229">
        <v>-0.36749999999999999</v>
      </c>
      <c r="BQ18" s="230">
        <v>2141</v>
      </c>
      <c r="BR18" s="230">
        <v>2723</v>
      </c>
      <c r="BS18" s="228">
        <v>-583</v>
      </c>
      <c r="BT18" s="229">
        <v>-0.214</v>
      </c>
      <c r="BU18" s="230">
        <v>626769</v>
      </c>
      <c r="BV18" s="230">
        <v>3123515</v>
      </c>
      <c r="BW18" s="230">
        <v>-2496746</v>
      </c>
      <c r="BX18" s="229">
        <v>-0.79930000000000001</v>
      </c>
      <c r="BY18" s="230">
        <v>1569</v>
      </c>
      <c r="BZ18" s="230">
        <v>1550</v>
      </c>
      <c r="CA18" s="228">
        <v>19</v>
      </c>
      <c r="CB18" s="229">
        <v>1.23E-2</v>
      </c>
      <c r="CC18" s="230">
        <v>1019</v>
      </c>
      <c r="CD18" s="230">
        <v>1343</v>
      </c>
      <c r="CE18" s="228">
        <v>-325</v>
      </c>
      <c r="CF18" s="229">
        <v>-0.24179999999999999</v>
      </c>
      <c r="CG18" s="228">
        <v>537</v>
      </c>
      <c r="CH18" s="228">
        <v>193</v>
      </c>
      <c r="CI18" s="228">
        <v>343</v>
      </c>
      <c r="CJ18" s="229">
        <v>1.7753000000000001</v>
      </c>
      <c r="CK18" s="228">
        <v>13</v>
      </c>
      <c r="CL18" s="228">
        <v>13</v>
      </c>
      <c r="CM18" s="228">
        <v>1</v>
      </c>
      <c r="CN18" s="229">
        <v>4.3200000000000002E-2</v>
      </c>
      <c r="CO18" s="228">
        <v>612</v>
      </c>
      <c r="CP18" s="228">
        <v>617</v>
      </c>
      <c r="CQ18" s="228">
        <v>-5</v>
      </c>
      <c r="CR18" s="229">
        <v>-8.8000000000000005E-3</v>
      </c>
      <c r="CS18" s="228">
        <v>592</v>
      </c>
      <c r="CT18" s="228">
        <v>649</v>
      </c>
      <c r="CU18" s="228">
        <v>-57</v>
      </c>
      <c r="CV18" s="229">
        <v>-8.8400000000000006E-2</v>
      </c>
      <c r="CW18" s="230">
        <v>2772</v>
      </c>
      <c r="CX18" s="230">
        <v>2816</v>
      </c>
      <c r="CY18" s="228">
        <v>-44</v>
      </c>
      <c r="CZ18" s="229">
        <v>-1.55E-2</v>
      </c>
      <c r="DA18" s="228">
        <v>24.22</v>
      </c>
      <c r="DB18" s="228">
        <v>23.85</v>
      </c>
      <c r="DC18" s="228">
        <v>0.37</v>
      </c>
      <c r="DD18" s="228">
        <v>0.37</v>
      </c>
      <c r="DE18" s="228">
        <v>36.74</v>
      </c>
      <c r="DF18" s="228">
        <v>36.82</v>
      </c>
      <c r="DG18" s="228">
        <v>-12.52</v>
      </c>
      <c r="DH18" s="228">
        <v>-0.08</v>
      </c>
      <c r="DI18" s="228">
        <v>24.16</v>
      </c>
      <c r="DJ18" s="228">
        <v>22.94</v>
      </c>
      <c r="DK18" s="228">
        <v>1.22</v>
      </c>
      <c r="DL18" s="228">
        <v>1.22</v>
      </c>
      <c r="DM18" s="228">
        <v>24.3</v>
      </c>
      <c r="DN18" s="228">
        <v>25.41</v>
      </c>
      <c r="DO18" s="228">
        <v>-1.1100000000000001</v>
      </c>
      <c r="DP18" s="228">
        <v>-1.1100000000000001</v>
      </c>
      <c r="DQ18" s="228">
        <v>0.97</v>
      </c>
      <c r="DR18" s="228">
        <v>1.05</v>
      </c>
      <c r="DS18" s="228">
        <v>-0.08</v>
      </c>
      <c r="DT18" s="229">
        <v>-7.6200000000000004E-2</v>
      </c>
      <c r="DU18" s="228">
        <v>930</v>
      </c>
      <c r="DV18" s="228">
        <v>900</v>
      </c>
      <c r="DW18" s="228">
        <v>0.77</v>
      </c>
      <c r="DX18" s="228">
        <v>0.57999999999999996</v>
      </c>
      <c r="DY18" s="228">
        <v>0.19</v>
      </c>
      <c r="DZ18" s="229">
        <v>0.3276</v>
      </c>
      <c r="EA18" s="229">
        <v>0.35060000000000002</v>
      </c>
      <c r="EB18" s="230">
        <v>2240000</v>
      </c>
      <c r="EC18" s="229">
        <v>6.6E-3</v>
      </c>
      <c r="ED18" s="229">
        <v>0.35060000000000002</v>
      </c>
      <c r="EE18" s="228">
        <v>5.71</v>
      </c>
      <c r="EF18" s="229">
        <v>6.1999999999999998E-3</v>
      </c>
      <c r="EG18" s="230">
        <v>283083</v>
      </c>
      <c r="EH18" s="230">
        <v>2313590</v>
      </c>
      <c r="EI18" s="229">
        <v>-0.87760000000000005</v>
      </c>
      <c r="EJ18" s="229">
        <v>0.45169999999999999</v>
      </c>
      <c r="EK18" s="228">
        <v>689.07</v>
      </c>
      <c r="EL18" s="228">
        <v>506.93</v>
      </c>
      <c r="EM18" s="228">
        <v>954.24</v>
      </c>
      <c r="EN18" s="228">
        <v>45.8</v>
      </c>
      <c r="EO18" s="231">
        <v>2150.2399999999998</v>
      </c>
      <c r="EP18" s="231">
        <v>2749.24</v>
      </c>
      <c r="EQ18" s="228">
        <v>-599</v>
      </c>
      <c r="ER18" s="229">
        <v>-0.21790000000000001</v>
      </c>
      <c r="ES18" s="228">
        <v>617.48</v>
      </c>
      <c r="ET18" s="228">
        <v>554.20000000000005</v>
      </c>
      <c r="EU18" s="231">
        <v>1572.31</v>
      </c>
      <c r="EV18" s="231">
        <v>86234186</v>
      </c>
      <c r="EW18" s="231">
        <v>2744</v>
      </c>
      <c r="EX18" s="231">
        <v>2787.42</v>
      </c>
      <c r="EY18" s="228">
        <v>-43.42</v>
      </c>
      <c r="EZ18" s="229">
        <v>-1.5599999999999999E-2</v>
      </c>
      <c r="FA18" s="229">
        <v>0.3493</v>
      </c>
      <c r="FB18" s="227" t="s">
        <v>567</v>
      </c>
      <c r="FC18">
        <f t="shared" si="0"/>
        <v>550</v>
      </c>
    </row>
    <row r="19" spans="1:159" ht="17.25" thickBot="1" x14ac:dyDescent="0.3">
      <c r="A19" s="226">
        <v>45981</v>
      </c>
      <c r="B19" s="227" t="s">
        <v>170</v>
      </c>
      <c r="C19" s="227" t="s">
        <v>171</v>
      </c>
      <c r="D19" s="228">
        <v>550</v>
      </c>
      <c r="E19" s="228">
        <v>5</v>
      </c>
      <c r="F19" s="231">
        <v>1208.7</v>
      </c>
      <c r="G19" s="231">
        <v>1235.2</v>
      </c>
      <c r="H19" s="228">
        <v>-26.5</v>
      </c>
      <c r="I19" s="229">
        <v>-2.1499999999999998E-2</v>
      </c>
      <c r="J19" s="231">
        <v>1207.7</v>
      </c>
      <c r="K19" s="231">
        <v>1235.8</v>
      </c>
      <c r="L19" s="228">
        <v>-28.1</v>
      </c>
      <c r="M19" s="229">
        <v>-2.2700000000000001E-2</v>
      </c>
      <c r="N19" s="231">
        <v>1208.7</v>
      </c>
      <c r="O19" s="231">
        <v>1235.2</v>
      </c>
      <c r="P19" s="228">
        <v>-26.5</v>
      </c>
      <c r="Q19" s="229">
        <v>-2.1499999999999998E-2</v>
      </c>
      <c r="R19" s="231">
        <v>1216.8</v>
      </c>
      <c r="S19" s="231">
        <v>1243.4000000000001</v>
      </c>
      <c r="T19" s="228">
        <v>-26.6</v>
      </c>
      <c r="U19" s="229">
        <v>-2.1399999999999999E-2</v>
      </c>
      <c r="V19" s="231">
        <v>1225.3</v>
      </c>
      <c r="W19" s="231">
        <v>1249.5</v>
      </c>
      <c r="X19" s="228">
        <v>-24.2</v>
      </c>
      <c r="Y19" s="229">
        <v>-1.9400000000000001E-2</v>
      </c>
      <c r="Z19" s="228">
        <v>1</v>
      </c>
      <c r="AA19" s="228">
        <v>-0.6</v>
      </c>
      <c r="AB19" s="228">
        <v>1.6</v>
      </c>
      <c r="AC19" s="229">
        <v>8.0000000000000004E-4</v>
      </c>
      <c r="AD19" s="228">
        <v>1</v>
      </c>
      <c r="AE19" s="228">
        <v>-0.6</v>
      </c>
      <c r="AF19" s="228">
        <v>1.6</v>
      </c>
      <c r="AG19" s="229">
        <v>8.0000000000000004E-4</v>
      </c>
      <c r="AH19" s="228">
        <v>9.1</v>
      </c>
      <c r="AI19" s="228">
        <v>7.6</v>
      </c>
      <c r="AJ19" s="228">
        <v>1.5</v>
      </c>
      <c r="AK19" s="229">
        <v>7.4999999999999997E-3</v>
      </c>
      <c r="AL19" s="228">
        <v>17.600000000000001</v>
      </c>
      <c r="AM19" s="228">
        <v>13.7</v>
      </c>
      <c r="AN19" s="228">
        <v>3.9</v>
      </c>
      <c r="AO19" s="229">
        <v>1.46E-2</v>
      </c>
      <c r="AP19" s="231">
        <v>1218</v>
      </c>
      <c r="AQ19" s="231">
        <v>1225.8900000000001</v>
      </c>
      <c r="AR19" s="228">
        <v>0</v>
      </c>
      <c r="AS19" s="230">
        <v>1610</v>
      </c>
      <c r="AT19" s="228">
        <v>443</v>
      </c>
      <c r="AU19" s="230">
        <v>1167</v>
      </c>
      <c r="AV19" s="229">
        <v>2.6352000000000002</v>
      </c>
      <c r="AW19" s="228">
        <v>864</v>
      </c>
      <c r="AX19" s="228">
        <v>265</v>
      </c>
      <c r="AY19" s="228">
        <v>598</v>
      </c>
      <c r="AZ19" s="229">
        <v>2.2559</v>
      </c>
      <c r="BA19" s="228">
        <v>743</v>
      </c>
      <c r="BB19" s="228">
        <v>177</v>
      </c>
      <c r="BC19" s="228">
        <v>566</v>
      </c>
      <c r="BD19" s="229">
        <v>3.2094</v>
      </c>
      <c r="BE19" s="228">
        <v>4</v>
      </c>
      <c r="BF19" s="228">
        <v>1</v>
      </c>
      <c r="BG19" s="228">
        <v>3</v>
      </c>
      <c r="BH19" s="229">
        <v>2.0526</v>
      </c>
      <c r="BI19" s="230">
        <v>1069</v>
      </c>
      <c r="BJ19" s="228">
        <v>699</v>
      </c>
      <c r="BK19" s="228">
        <v>370</v>
      </c>
      <c r="BL19" s="229">
        <v>0.52949999999999997</v>
      </c>
      <c r="BM19" s="228">
        <v>965</v>
      </c>
      <c r="BN19" s="228">
        <v>514</v>
      </c>
      <c r="BO19" s="228">
        <v>451</v>
      </c>
      <c r="BP19" s="229">
        <v>0.878</v>
      </c>
      <c r="BQ19" s="230">
        <v>3644</v>
      </c>
      <c r="BR19" s="230">
        <v>1656</v>
      </c>
      <c r="BS19" s="230">
        <v>1989</v>
      </c>
      <c r="BT19" s="229">
        <v>1.2012</v>
      </c>
      <c r="BU19" s="230">
        <v>787756</v>
      </c>
      <c r="BV19" s="230">
        <v>763336</v>
      </c>
      <c r="BW19" s="230">
        <v>24420</v>
      </c>
      <c r="BX19" s="229">
        <v>3.2000000000000001E-2</v>
      </c>
      <c r="BY19" s="230">
        <v>2902</v>
      </c>
      <c r="BZ19" s="230">
        <v>2938</v>
      </c>
      <c r="CA19" s="228">
        <v>-36</v>
      </c>
      <c r="CB19" s="229">
        <v>-1.23E-2</v>
      </c>
      <c r="CC19" s="230">
        <v>1651</v>
      </c>
      <c r="CD19" s="230">
        <v>2321</v>
      </c>
      <c r="CE19" s="228">
        <v>-670</v>
      </c>
      <c r="CF19" s="229">
        <v>-0.2888</v>
      </c>
      <c r="CG19" s="230">
        <v>1246</v>
      </c>
      <c r="CH19" s="228">
        <v>612</v>
      </c>
      <c r="CI19" s="228">
        <v>633</v>
      </c>
      <c r="CJ19" s="229">
        <v>1.0347</v>
      </c>
      <c r="CK19" s="228">
        <v>6</v>
      </c>
      <c r="CL19" s="228">
        <v>5</v>
      </c>
      <c r="CM19" s="228">
        <v>1</v>
      </c>
      <c r="CN19" s="229">
        <v>0.1429</v>
      </c>
      <c r="CO19" s="228">
        <v>563</v>
      </c>
      <c r="CP19" s="228">
        <v>537</v>
      </c>
      <c r="CQ19" s="228">
        <v>26</v>
      </c>
      <c r="CR19" s="229">
        <v>4.9200000000000001E-2</v>
      </c>
      <c r="CS19" s="228">
        <v>531</v>
      </c>
      <c r="CT19" s="228">
        <v>577</v>
      </c>
      <c r="CU19" s="228">
        <v>-46</v>
      </c>
      <c r="CV19" s="229">
        <v>-7.9899999999999999E-2</v>
      </c>
      <c r="CW19" s="230">
        <v>3996</v>
      </c>
      <c r="CX19" s="230">
        <v>4052</v>
      </c>
      <c r="CY19" s="228">
        <v>-56</v>
      </c>
      <c r="CZ19" s="229">
        <v>-1.38E-2</v>
      </c>
      <c r="DA19" s="228">
        <v>24.52</v>
      </c>
      <c r="DB19" s="228">
        <v>25.12</v>
      </c>
      <c r="DC19" s="228">
        <v>-0.6</v>
      </c>
      <c r="DD19" s="228">
        <v>-0.6</v>
      </c>
      <c r="DE19" s="228">
        <v>34.04</v>
      </c>
      <c r="DF19" s="228">
        <v>34</v>
      </c>
      <c r="DG19" s="228">
        <v>-9.52</v>
      </c>
      <c r="DH19" s="228">
        <v>0.04</v>
      </c>
      <c r="DI19" s="228">
        <v>24.88</v>
      </c>
      <c r="DJ19" s="228">
        <v>24</v>
      </c>
      <c r="DK19" s="228">
        <v>0.88</v>
      </c>
      <c r="DL19" s="228">
        <v>0.88</v>
      </c>
      <c r="DM19" s="228">
        <v>23.95</v>
      </c>
      <c r="DN19" s="228">
        <v>26.66</v>
      </c>
      <c r="DO19" s="228">
        <v>-2.71</v>
      </c>
      <c r="DP19" s="228">
        <v>-2.71</v>
      </c>
      <c r="DQ19" s="228">
        <v>0.94</v>
      </c>
      <c r="DR19" s="228">
        <v>1.07</v>
      </c>
      <c r="DS19" s="228">
        <v>-0.13</v>
      </c>
      <c r="DT19" s="229">
        <v>-0.1215</v>
      </c>
      <c r="DU19" s="231">
        <v>1240</v>
      </c>
      <c r="DV19" s="231">
        <v>1160</v>
      </c>
      <c r="DW19" s="228">
        <v>0.9</v>
      </c>
      <c r="DX19" s="228">
        <v>0.74</v>
      </c>
      <c r="DY19" s="228">
        <v>0.16</v>
      </c>
      <c r="DZ19" s="229">
        <v>0.2162</v>
      </c>
      <c r="EA19" s="229">
        <v>0.43130000000000002</v>
      </c>
      <c r="EB19" s="230">
        <v>5107300</v>
      </c>
      <c r="EC19" s="229">
        <v>6.7000000000000002E-3</v>
      </c>
      <c r="ED19" s="229">
        <v>0.43130000000000002</v>
      </c>
      <c r="EE19" s="228">
        <v>7.89</v>
      </c>
      <c r="EF19" s="229">
        <v>6.4999999999999997E-3</v>
      </c>
      <c r="EG19" s="230">
        <v>374457</v>
      </c>
      <c r="EH19" s="230">
        <v>454701</v>
      </c>
      <c r="EI19" s="229">
        <v>-0.17649999999999999</v>
      </c>
      <c r="EJ19" s="229">
        <v>0.4753</v>
      </c>
      <c r="EK19" s="231">
        <v>1111.74</v>
      </c>
      <c r="EL19" s="228">
        <v>961.96</v>
      </c>
      <c r="EM19" s="231">
        <v>1627.73</v>
      </c>
      <c r="EN19" s="228">
        <v>96.56</v>
      </c>
      <c r="EO19" s="231">
        <v>3701.43</v>
      </c>
      <c r="EP19" s="231">
        <v>1705.47</v>
      </c>
      <c r="EQ19" s="231">
        <v>1995.96</v>
      </c>
      <c r="ER19" s="229">
        <v>1.1702999999999999</v>
      </c>
      <c r="ES19" s="228">
        <v>570.41999999999996</v>
      </c>
      <c r="ET19" s="228">
        <v>501.6</v>
      </c>
      <c r="EU19" s="231">
        <v>2910.48</v>
      </c>
      <c r="EV19" s="231">
        <v>41977935</v>
      </c>
      <c r="EW19" s="231">
        <v>3982.5</v>
      </c>
      <c r="EX19" s="231">
        <v>4096.74</v>
      </c>
      <c r="EY19" s="228">
        <v>-114.24</v>
      </c>
      <c r="EZ19" s="229">
        <v>-2.7900000000000001E-2</v>
      </c>
      <c r="FA19" s="229">
        <v>0.78749999999999998</v>
      </c>
      <c r="FB19" s="227" t="s">
        <v>568</v>
      </c>
      <c r="FC19">
        <f t="shared" si="0"/>
        <v>1251</v>
      </c>
    </row>
    <row r="20" spans="1:159" ht="17.25" thickBot="1" x14ac:dyDescent="0.3">
      <c r="A20" s="226">
        <v>45981</v>
      </c>
      <c r="B20" s="227" t="s">
        <v>172</v>
      </c>
      <c r="C20" s="227" t="s">
        <v>173</v>
      </c>
      <c r="D20" s="228">
        <v>625</v>
      </c>
      <c r="E20" s="228">
        <v>5</v>
      </c>
      <c r="F20" s="231">
        <v>1283.7</v>
      </c>
      <c r="G20" s="231">
        <v>1269.5999999999999</v>
      </c>
      <c r="H20" s="228">
        <v>14.1</v>
      </c>
      <c r="I20" s="229">
        <v>1.11E-2</v>
      </c>
      <c r="J20" s="231">
        <v>1285.2</v>
      </c>
      <c r="K20" s="231">
        <v>1270.4000000000001</v>
      </c>
      <c r="L20" s="228">
        <v>14.8</v>
      </c>
      <c r="M20" s="229">
        <v>1.1599999999999999E-2</v>
      </c>
      <c r="N20" s="231">
        <v>1283.7</v>
      </c>
      <c r="O20" s="231">
        <v>1269.5999999999999</v>
      </c>
      <c r="P20" s="228">
        <v>14.1</v>
      </c>
      <c r="Q20" s="229">
        <v>1.11E-2</v>
      </c>
      <c r="R20" s="231">
        <v>1292.9000000000001</v>
      </c>
      <c r="S20" s="231">
        <v>1278</v>
      </c>
      <c r="T20" s="228">
        <v>14.9</v>
      </c>
      <c r="U20" s="229">
        <v>1.17E-2</v>
      </c>
      <c r="V20" s="231">
        <v>1300.5</v>
      </c>
      <c r="W20" s="231">
        <v>1285.2</v>
      </c>
      <c r="X20" s="228">
        <v>15.3</v>
      </c>
      <c r="Y20" s="229">
        <v>1.1900000000000001E-2</v>
      </c>
      <c r="Z20" s="228">
        <v>-1.5</v>
      </c>
      <c r="AA20" s="228">
        <v>-0.8</v>
      </c>
      <c r="AB20" s="228">
        <v>-0.7</v>
      </c>
      <c r="AC20" s="229">
        <v>-1.1999999999999999E-3</v>
      </c>
      <c r="AD20" s="228">
        <v>-1.5</v>
      </c>
      <c r="AE20" s="228">
        <v>-0.8</v>
      </c>
      <c r="AF20" s="228">
        <v>-0.7</v>
      </c>
      <c r="AG20" s="229">
        <v>-1.1999999999999999E-3</v>
      </c>
      <c r="AH20" s="228">
        <v>7.7</v>
      </c>
      <c r="AI20" s="228">
        <v>7.6</v>
      </c>
      <c r="AJ20" s="228">
        <v>0.1</v>
      </c>
      <c r="AK20" s="229">
        <v>6.0000000000000001E-3</v>
      </c>
      <c r="AL20" s="228">
        <v>15.3</v>
      </c>
      <c r="AM20" s="228">
        <v>14.8</v>
      </c>
      <c r="AN20" s="228">
        <v>0.5</v>
      </c>
      <c r="AO20" s="229">
        <v>1.1900000000000001E-2</v>
      </c>
      <c r="AP20" s="231">
        <v>1279.25</v>
      </c>
      <c r="AQ20" s="231">
        <v>1288.5999999999999</v>
      </c>
      <c r="AR20" s="228">
        <v>0</v>
      </c>
      <c r="AS20" s="230">
        <v>8603</v>
      </c>
      <c r="AT20" s="230">
        <v>2120</v>
      </c>
      <c r="AU20" s="230">
        <v>6483</v>
      </c>
      <c r="AV20" s="229">
        <v>3.0575000000000001</v>
      </c>
      <c r="AW20" s="230">
        <v>4551</v>
      </c>
      <c r="AX20" s="230">
        <v>1329</v>
      </c>
      <c r="AY20" s="230">
        <v>3223</v>
      </c>
      <c r="AZ20" s="229">
        <v>2.4255</v>
      </c>
      <c r="BA20" s="230">
        <v>4034</v>
      </c>
      <c r="BB20" s="228">
        <v>781</v>
      </c>
      <c r="BC20" s="230">
        <v>3253</v>
      </c>
      <c r="BD20" s="229">
        <v>4.1623999999999999</v>
      </c>
      <c r="BE20" s="228">
        <v>17</v>
      </c>
      <c r="BF20" s="228">
        <v>10</v>
      </c>
      <c r="BG20" s="228">
        <v>7</v>
      </c>
      <c r="BH20" s="229">
        <v>0.71430000000000005</v>
      </c>
      <c r="BI20" s="230">
        <v>10197</v>
      </c>
      <c r="BJ20" s="230">
        <v>5748</v>
      </c>
      <c r="BK20" s="230">
        <v>4449</v>
      </c>
      <c r="BL20" s="229">
        <v>0.77400000000000002</v>
      </c>
      <c r="BM20" s="230">
        <v>5127</v>
      </c>
      <c r="BN20" s="230">
        <v>3068</v>
      </c>
      <c r="BO20" s="230">
        <v>2059</v>
      </c>
      <c r="BP20" s="229">
        <v>0.67100000000000004</v>
      </c>
      <c r="BQ20" s="230">
        <v>23926</v>
      </c>
      <c r="BR20" s="230">
        <v>10936</v>
      </c>
      <c r="BS20" s="230">
        <v>12990</v>
      </c>
      <c r="BT20" s="229">
        <v>1.1878</v>
      </c>
      <c r="BU20" s="230">
        <v>5871134</v>
      </c>
      <c r="BV20" s="230">
        <v>4166647</v>
      </c>
      <c r="BW20" s="230">
        <v>1704487</v>
      </c>
      <c r="BX20" s="229">
        <v>0.40910000000000002</v>
      </c>
      <c r="BY20" s="230">
        <v>9620</v>
      </c>
      <c r="BZ20" s="230">
        <v>9705</v>
      </c>
      <c r="CA20" s="228">
        <v>-84</v>
      </c>
      <c r="CB20" s="229">
        <v>-8.6999999999999994E-3</v>
      </c>
      <c r="CC20" s="230">
        <v>4545</v>
      </c>
      <c r="CD20" s="230">
        <v>8237</v>
      </c>
      <c r="CE20" s="230">
        <v>-3692</v>
      </c>
      <c r="CF20" s="229">
        <v>-0.44829999999999998</v>
      </c>
      <c r="CG20" s="230">
        <v>5023</v>
      </c>
      <c r="CH20" s="230">
        <v>1420</v>
      </c>
      <c r="CI20" s="230">
        <v>3603</v>
      </c>
      <c r="CJ20" s="229">
        <v>2.5369000000000002</v>
      </c>
      <c r="CK20" s="228">
        <v>53</v>
      </c>
      <c r="CL20" s="228">
        <v>47</v>
      </c>
      <c r="CM20" s="228">
        <v>5</v>
      </c>
      <c r="CN20" s="229">
        <v>0.1153</v>
      </c>
      <c r="CO20" s="230">
        <v>2349</v>
      </c>
      <c r="CP20" s="230">
        <v>2535</v>
      </c>
      <c r="CQ20" s="228">
        <v>-187</v>
      </c>
      <c r="CR20" s="229">
        <v>-7.3700000000000002E-2</v>
      </c>
      <c r="CS20" s="230">
        <v>1783</v>
      </c>
      <c r="CT20" s="230">
        <v>1722</v>
      </c>
      <c r="CU20" s="228">
        <v>61</v>
      </c>
      <c r="CV20" s="229">
        <v>3.5700000000000003E-2</v>
      </c>
      <c r="CW20" s="230">
        <v>13752</v>
      </c>
      <c r="CX20" s="230">
        <v>13962</v>
      </c>
      <c r="CY20" s="228">
        <v>-210</v>
      </c>
      <c r="CZ20" s="229">
        <v>-1.4999999999999999E-2</v>
      </c>
      <c r="DA20" s="228">
        <v>18.12</v>
      </c>
      <c r="DB20" s="228">
        <v>17.54</v>
      </c>
      <c r="DC20" s="228">
        <v>0.57999999999999996</v>
      </c>
      <c r="DD20" s="228">
        <v>0.57999999999999996</v>
      </c>
      <c r="DE20" s="228">
        <v>26.1</v>
      </c>
      <c r="DF20" s="228">
        <v>26.12</v>
      </c>
      <c r="DG20" s="228">
        <v>-7.98</v>
      </c>
      <c r="DH20" s="228">
        <v>-0.02</v>
      </c>
      <c r="DI20" s="228">
        <v>17.78</v>
      </c>
      <c r="DJ20" s="228">
        <v>17.329999999999998</v>
      </c>
      <c r="DK20" s="228">
        <v>0.45</v>
      </c>
      <c r="DL20" s="228">
        <v>0.45</v>
      </c>
      <c r="DM20" s="228">
        <v>18.79</v>
      </c>
      <c r="DN20" s="228">
        <v>17.940000000000001</v>
      </c>
      <c r="DO20" s="228">
        <v>0.85</v>
      </c>
      <c r="DP20" s="228">
        <v>0.85</v>
      </c>
      <c r="DQ20" s="228">
        <v>0.76</v>
      </c>
      <c r="DR20" s="228">
        <v>0.68</v>
      </c>
      <c r="DS20" s="228">
        <v>0.08</v>
      </c>
      <c r="DT20" s="229">
        <v>0.1176</v>
      </c>
      <c r="DU20" s="231">
        <v>1300</v>
      </c>
      <c r="DV20" s="231">
        <v>1260</v>
      </c>
      <c r="DW20" s="228">
        <v>0.5</v>
      </c>
      <c r="DX20" s="228">
        <v>0.53</v>
      </c>
      <c r="DY20" s="228">
        <v>-0.03</v>
      </c>
      <c r="DZ20" s="229">
        <v>-5.6599999999999998E-2</v>
      </c>
      <c r="EA20" s="229">
        <v>0.52759999999999996</v>
      </c>
      <c r="EB20" s="230">
        <v>11431875</v>
      </c>
      <c r="EC20" s="229">
        <v>7.1999999999999998E-3</v>
      </c>
      <c r="ED20" s="229">
        <v>0.52759999999999996</v>
      </c>
      <c r="EE20" s="228">
        <v>9.35</v>
      </c>
      <c r="EF20" s="229">
        <v>7.3000000000000001E-3</v>
      </c>
      <c r="EG20" s="230">
        <v>3345212</v>
      </c>
      <c r="EH20" s="230">
        <v>2904682</v>
      </c>
      <c r="EI20" s="229">
        <v>0.1517</v>
      </c>
      <c r="EJ20" s="229">
        <v>0.56979999999999997</v>
      </c>
      <c r="EK20" s="231">
        <v>10332.209999999999</v>
      </c>
      <c r="EL20" s="231">
        <v>5055.2299999999996</v>
      </c>
      <c r="EM20" s="231">
        <v>8602.49</v>
      </c>
      <c r="EN20" s="228">
        <v>178.15</v>
      </c>
      <c r="EO20" s="231">
        <v>23989.94</v>
      </c>
      <c r="EP20" s="231">
        <v>10890.38</v>
      </c>
      <c r="EQ20" s="231">
        <v>13099.56</v>
      </c>
      <c r="ER20" s="229">
        <v>1.2029000000000001</v>
      </c>
      <c r="ES20" s="231">
        <v>2357.14</v>
      </c>
      <c r="ET20" s="231">
        <v>1703.66</v>
      </c>
      <c r="EU20" s="231">
        <v>9657.14</v>
      </c>
      <c r="EV20" s="231">
        <v>316147681</v>
      </c>
      <c r="EW20" s="231">
        <v>13717.93</v>
      </c>
      <c r="EX20" s="231">
        <v>13781.12</v>
      </c>
      <c r="EY20" s="228">
        <v>-63.19</v>
      </c>
      <c r="EZ20" s="229">
        <v>-4.5999999999999999E-3</v>
      </c>
      <c r="FA20" s="229">
        <v>0.33889999999999998</v>
      </c>
      <c r="FB20" s="227" t="s">
        <v>556</v>
      </c>
      <c r="FC20">
        <f t="shared" si="0"/>
        <v>5075</v>
      </c>
    </row>
    <row r="21" spans="1:159" ht="17.25" thickBot="1" x14ac:dyDescent="0.3">
      <c r="A21" s="226">
        <v>45981</v>
      </c>
      <c r="B21" s="227" t="s">
        <v>162</v>
      </c>
      <c r="C21" s="227" t="s">
        <v>174</v>
      </c>
      <c r="D21" s="228">
        <v>75</v>
      </c>
      <c r="E21" s="228">
        <v>5</v>
      </c>
      <c r="F21" s="231">
        <v>8982</v>
      </c>
      <c r="G21" s="231">
        <v>8885</v>
      </c>
      <c r="H21" s="228">
        <v>97</v>
      </c>
      <c r="I21" s="229">
        <v>1.09E-2</v>
      </c>
      <c r="J21" s="231">
        <v>8979.5</v>
      </c>
      <c r="K21" s="231">
        <v>8884.5</v>
      </c>
      <c r="L21" s="228">
        <v>95</v>
      </c>
      <c r="M21" s="229">
        <v>1.0699999999999999E-2</v>
      </c>
      <c r="N21" s="231">
        <v>8982</v>
      </c>
      <c r="O21" s="231">
        <v>8885</v>
      </c>
      <c r="P21" s="228">
        <v>97</v>
      </c>
      <c r="Q21" s="229">
        <v>1.09E-2</v>
      </c>
      <c r="R21" s="231">
        <v>9001</v>
      </c>
      <c r="S21" s="231">
        <v>8916</v>
      </c>
      <c r="T21" s="228">
        <v>85</v>
      </c>
      <c r="U21" s="229">
        <v>9.4999999999999998E-3</v>
      </c>
      <c r="V21" s="231">
        <v>9028.5</v>
      </c>
      <c r="W21" s="231">
        <v>8940.5</v>
      </c>
      <c r="X21" s="228">
        <v>88</v>
      </c>
      <c r="Y21" s="229">
        <v>9.7999999999999997E-3</v>
      </c>
      <c r="Z21" s="228">
        <v>2.5</v>
      </c>
      <c r="AA21" s="228">
        <v>0.5</v>
      </c>
      <c r="AB21" s="228">
        <v>2</v>
      </c>
      <c r="AC21" s="229">
        <v>2.9999999999999997E-4</v>
      </c>
      <c r="AD21" s="228">
        <v>2.5</v>
      </c>
      <c r="AE21" s="228">
        <v>0.5</v>
      </c>
      <c r="AF21" s="228">
        <v>2</v>
      </c>
      <c r="AG21" s="229">
        <v>2.9999999999999997E-4</v>
      </c>
      <c r="AH21" s="228">
        <v>21.5</v>
      </c>
      <c r="AI21" s="228">
        <v>31.5</v>
      </c>
      <c r="AJ21" s="228">
        <v>-10</v>
      </c>
      <c r="AK21" s="229">
        <v>2.3999999999999998E-3</v>
      </c>
      <c r="AL21" s="228">
        <v>49</v>
      </c>
      <c r="AM21" s="228">
        <v>56</v>
      </c>
      <c r="AN21" s="228">
        <v>-7</v>
      </c>
      <c r="AO21" s="229">
        <v>5.4999999999999997E-3</v>
      </c>
      <c r="AP21" s="231">
        <v>8964.76</v>
      </c>
      <c r="AQ21" s="231">
        <v>8985.15</v>
      </c>
      <c r="AR21" s="228">
        <v>0</v>
      </c>
      <c r="AS21" s="230">
        <v>2848</v>
      </c>
      <c r="AT21" s="228">
        <v>432</v>
      </c>
      <c r="AU21" s="230">
        <v>2417</v>
      </c>
      <c r="AV21" s="229">
        <v>5.5984999999999996</v>
      </c>
      <c r="AW21" s="230">
        <v>1473</v>
      </c>
      <c r="AX21" s="228">
        <v>265</v>
      </c>
      <c r="AY21" s="230">
        <v>1208</v>
      </c>
      <c r="AZ21" s="229">
        <v>4.5517000000000003</v>
      </c>
      <c r="BA21" s="230">
        <v>1370</v>
      </c>
      <c r="BB21" s="228">
        <v>163</v>
      </c>
      <c r="BC21" s="230">
        <v>1208</v>
      </c>
      <c r="BD21" s="229">
        <v>7.4253999999999998</v>
      </c>
      <c r="BE21" s="228">
        <v>5</v>
      </c>
      <c r="BF21" s="228">
        <v>4</v>
      </c>
      <c r="BG21" s="228">
        <v>1</v>
      </c>
      <c r="BH21" s="229">
        <v>0.38179999999999997</v>
      </c>
      <c r="BI21" s="230">
        <v>4548</v>
      </c>
      <c r="BJ21" s="230">
        <v>2508</v>
      </c>
      <c r="BK21" s="230">
        <v>2040</v>
      </c>
      <c r="BL21" s="229">
        <v>0.81340000000000001</v>
      </c>
      <c r="BM21" s="230">
        <v>1996</v>
      </c>
      <c r="BN21" s="228">
        <v>951</v>
      </c>
      <c r="BO21" s="230">
        <v>1045</v>
      </c>
      <c r="BP21" s="229">
        <v>1.0993999999999999</v>
      </c>
      <c r="BQ21" s="230">
        <v>9393</v>
      </c>
      <c r="BR21" s="230">
        <v>3891</v>
      </c>
      <c r="BS21" s="230">
        <v>5502</v>
      </c>
      <c r="BT21" s="229">
        <v>1.4141999999999999</v>
      </c>
      <c r="BU21" s="230">
        <v>196133</v>
      </c>
      <c r="BV21" s="230">
        <v>335993</v>
      </c>
      <c r="BW21" s="230">
        <v>-139860</v>
      </c>
      <c r="BX21" s="229">
        <v>-0.4163</v>
      </c>
      <c r="BY21" s="230">
        <v>3037</v>
      </c>
      <c r="BZ21" s="230">
        <v>3376</v>
      </c>
      <c r="CA21" s="228">
        <v>-339</v>
      </c>
      <c r="CB21" s="229">
        <v>-0.1003</v>
      </c>
      <c r="CC21" s="230">
        <v>1861</v>
      </c>
      <c r="CD21" s="230">
        <v>2942</v>
      </c>
      <c r="CE21" s="230">
        <v>-1081</v>
      </c>
      <c r="CF21" s="229">
        <v>-0.36749999999999999</v>
      </c>
      <c r="CG21" s="230">
        <v>1154</v>
      </c>
      <c r="CH21" s="228">
        <v>412</v>
      </c>
      <c r="CI21" s="228">
        <v>742</v>
      </c>
      <c r="CJ21" s="229">
        <v>1.7998000000000001</v>
      </c>
      <c r="CK21" s="228">
        <v>22</v>
      </c>
      <c r="CL21" s="228">
        <v>21</v>
      </c>
      <c r="CM21" s="228">
        <v>1</v>
      </c>
      <c r="CN21" s="229">
        <v>3.4700000000000002E-2</v>
      </c>
      <c r="CO21" s="230">
        <v>1825</v>
      </c>
      <c r="CP21" s="230">
        <v>1956</v>
      </c>
      <c r="CQ21" s="228">
        <v>-132</v>
      </c>
      <c r="CR21" s="229">
        <v>-6.7299999999999999E-2</v>
      </c>
      <c r="CS21" s="230">
        <v>1099</v>
      </c>
      <c r="CT21" s="230">
        <v>1160</v>
      </c>
      <c r="CU21" s="228">
        <v>-61</v>
      </c>
      <c r="CV21" s="229">
        <v>-5.2699999999999997E-2</v>
      </c>
      <c r="CW21" s="230">
        <v>5961</v>
      </c>
      <c r="CX21" s="230">
        <v>6492</v>
      </c>
      <c r="CY21" s="228">
        <v>-531</v>
      </c>
      <c r="CZ21" s="229">
        <v>-8.1900000000000001E-2</v>
      </c>
      <c r="DA21" s="228">
        <v>22.06</v>
      </c>
      <c r="DB21" s="228">
        <v>23.14</v>
      </c>
      <c r="DC21" s="228">
        <v>-1.08</v>
      </c>
      <c r="DD21" s="228">
        <v>-1.08</v>
      </c>
      <c r="DE21" s="228">
        <v>29.17</v>
      </c>
      <c r="DF21" s="228">
        <v>29.21</v>
      </c>
      <c r="DG21" s="228">
        <v>-7.11</v>
      </c>
      <c r="DH21" s="228">
        <v>-0.04</v>
      </c>
      <c r="DI21" s="228">
        <v>21.46</v>
      </c>
      <c r="DJ21" s="228">
        <v>23.39</v>
      </c>
      <c r="DK21" s="228">
        <v>-1.93</v>
      </c>
      <c r="DL21" s="228">
        <v>-1.93</v>
      </c>
      <c r="DM21" s="228">
        <v>22.87</v>
      </c>
      <c r="DN21" s="228">
        <v>22.5</v>
      </c>
      <c r="DO21" s="228">
        <v>0.37</v>
      </c>
      <c r="DP21" s="228">
        <v>0.37</v>
      </c>
      <c r="DQ21" s="228">
        <v>0.6</v>
      </c>
      <c r="DR21" s="228">
        <v>0.59</v>
      </c>
      <c r="DS21" s="228">
        <v>0.01</v>
      </c>
      <c r="DT21" s="229">
        <v>1.6899999999999998E-2</v>
      </c>
      <c r="DU21" s="231">
        <v>9000</v>
      </c>
      <c r="DV21" s="231">
        <v>8800</v>
      </c>
      <c r="DW21" s="228">
        <v>0.44</v>
      </c>
      <c r="DX21" s="228">
        <v>0.38</v>
      </c>
      <c r="DY21" s="228">
        <v>0.06</v>
      </c>
      <c r="DZ21" s="229">
        <v>0.15790000000000001</v>
      </c>
      <c r="EA21" s="229">
        <v>0.38719999999999999</v>
      </c>
      <c r="EB21" s="230">
        <v>482625</v>
      </c>
      <c r="EC21" s="229">
        <v>2.0999999999999999E-3</v>
      </c>
      <c r="ED21" s="229">
        <v>0.38719999999999999</v>
      </c>
      <c r="EE21" s="228">
        <v>20.39</v>
      </c>
      <c r="EF21" s="229">
        <v>2.3E-3</v>
      </c>
      <c r="EG21" s="230">
        <v>96308</v>
      </c>
      <c r="EH21" s="230">
        <v>234693</v>
      </c>
      <c r="EI21" s="229">
        <v>-0.58960000000000001</v>
      </c>
      <c r="EJ21" s="229">
        <v>0.49099999999999999</v>
      </c>
      <c r="EK21" s="231">
        <v>4677.03</v>
      </c>
      <c r="EL21" s="231">
        <v>1938.95</v>
      </c>
      <c r="EM21" s="231">
        <v>2846.08</v>
      </c>
      <c r="EN21" s="228">
        <v>78.66</v>
      </c>
      <c r="EO21" s="231">
        <v>9462.0499999999993</v>
      </c>
      <c r="EP21" s="231">
        <v>3938.78</v>
      </c>
      <c r="EQ21" s="231">
        <v>5523.27</v>
      </c>
      <c r="ER21" s="229">
        <v>1.4023000000000001</v>
      </c>
      <c r="ES21" s="231">
        <v>1897.49</v>
      </c>
      <c r="ET21" s="231">
        <v>1060.49</v>
      </c>
      <c r="EU21" s="231">
        <v>3039.5</v>
      </c>
      <c r="EV21" s="231">
        <v>12547731</v>
      </c>
      <c r="EW21" s="231">
        <v>5997.48</v>
      </c>
      <c r="EX21" s="231">
        <v>6488.22</v>
      </c>
      <c r="EY21" s="228">
        <v>-490.74</v>
      </c>
      <c r="EZ21" s="229">
        <v>-7.5600000000000001E-2</v>
      </c>
      <c r="FA21" s="229">
        <v>0.52890000000000004</v>
      </c>
      <c r="FB21" s="227" t="s">
        <v>556</v>
      </c>
      <c r="FC21">
        <f t="shared" si="0"/>
        <v>1176</v>
      </c>
    </row>
    <row r="22" spans="1:159" ht="17.25" thickBot="1" x14ac:dyDescent="0.3">
      <c r="A22" s="226">
        <v>45981</v>
      </c>
      <c r="B22" s="227" t="s">
        <v>175</v>
      </c>
      <c r="C22" s="227" t="s">
        <v>176</v>
      </c>
      <c r="D22" s="228">
        <v>250</v>
      </c>
      <c r="E22" s="228">
        <v>5</v>
      </c>
      <c r="F22" s="231">
        <v>2099.3000000000002</v>
      </c>
      <c r="G22" s="231">
        <v>2051</v>
      </c>
      <c r="H22" s="228">
        <v>48.3</v>
      </c>
      <c r="I22" s="229">
        <v>2.35E-2</v>
      </c>
      <c r="J22" s="231">
        <v>2095.6</v>
      </c>
      <c r="K22" s="231">
        <v>2050.1999999999998</v>
      </c>
      <c r="L22" s="228">
        <v>45.4</v>
      </c>
      <c r="M22" s="229">
        <v>2.2100000000000002E-2</v>
      </c>
      <c r="N22" s="231">
        <v>2099.3000000000002</v>
      </c>
      <c r="O22" s="231">
        <v>2051</v>
      </c>
      <c r="P22" s="228">
        <v>48.3</v>
      </c>
      <c r="Q22" s="229">
        <v>2.35E-2</v>
      </c>
      <c r="R22" s="231">
        <v>2114.5</v>
      </c>
      <c r="S22" s="231">
        <v>2065.3000000000002</v>
      </c>
      <c r="T22" s="228">
        <v>49.2</v>
      </c>
      <c r="U22" s="229">
        <v>2.3800000000000002E-2</v>
      </c>
      <c r="V22" s="231">
        <v>2126</v>
      </c>
      <c r="W22" s="231">
        <v>2075.6999999999998</v>
      </c>
      <c r="X22" s="228">
        <v>50.3</v>
      </c>
      <c r="Y22" s="229">
        <v>2.4199999999999999E-2</v>
      </c>
      <c r="Z22" s="228">
        <v>3.7</v>
      </c>
      <c r="AA22" s="228">
        <v>0.8</v>
      </c>
      <c r="AB22" s="228">
        <v>2.9</v>
      </c>
      <c r="AC22" s="229">
        <v>1.8E-3</v>
      </c>
      <c r="AD22" s="228">
        <v>3.7</v>
      </c>
      <c r="AE22" s="228">
        <v>0.8</v>
      </c>
      <c r="AF22" s="228">
        <v>2.9</v>
      </c>
      <c r="AG22" s="229">
        <v>1.8E-3</v>
      </c>
      <c r="AH22" s="228">
        <v>18.899999999999999</v>
      </c>
      <c r="AI22" s="228">
        <v>15.1</v>
      </c>
      <c r="AJ22" s="228">
        <v>3.8</v>
      </c>
      <c r="AK22" s="229">
        <v>8.9999999999999993E-3</v>
      </c>
      <c r="AL22" s="228">
        <v>30.4</v>
      </c>
      <c r="AM22" s="228">
        <v>25.5</v>
      </c>
      <c r="AN22" s="228">
        <v>4.9000000000000004</v>
      </c>
      <c r="AO22" s="229">
        <v>1.4500000000000001E-2</v>
      </c>
      <c r="AP22" s="231">
        <v>2083.7600000000002</v>
      </c>
      <c r="AQ22" s="231">
        <v>2097.84</v>
      </c>
      <c r="AR22" s="228">
        <v>0</v>
      </c>
      <c r="AS22" s="230">
        <v>2618</v>
      </c>
      <c r="AT22" s="228">
        <v>882</v>
      </c>
      <c r="AU22" s="230">
        <v>1736</v>
      </c>
      <c r="AV22" s="229">
        <v>1.9695</v>
      </c>
      <c r="AW22" s="230">
        <v>1373</v>
      </c>
      <c r="AX22" s="228">
        <v>537</v>
      </c>
      <c r="AY22" s="228">
        <v>836</v>
      </c>
      <c r="AZ22" s="229">
        <v>1.5559000000000001</v>
      </c>
      <c r="BA22" s="230">
        <v>1236</v>
      </c>
      <c r="BB22" s="228">
        <v>341</v>
      </c>
      <c r="BC22" s="228">
        <v>895</v>
      </c>
      <c r="BD22" s="229">
        <v>2.625</v>
      </c>
      <c r="BE22" s="228">
        <v>9</v>
      </c>
      <c r="BF22" s="228">
        <v>3</v>
      </c>
      <c r="BG22" s="228">
        <v>5</v>
      </c>
      <c r="BH22" s="229">
        <v>1.6032</v>
      </c>
      <c r="BI22" s="230">
        <v>5169</v>
      </c>
      <c r="BJ22" s="230">
        <v>1877</v>
      </c>
      <c r="BK22" s="230">
        <v>3291</v>
      </c>
      <c r="BL22" s="229">
        <v>1.7533000000000001</v>
      </c>
      <c r="BM22" s="230">
        <v>1941</v>
      </c>
      <c r="BN22" s="228">
        <v>808</v>
      </c>
      <c r="BO22" s="230">
        <v>1133</v>
      </c>
      <c r="BP22" s="229">
        <v>1.4021999999999999</v>
      </c>
      <c r="BQ22" s="230">
        <v>9728</v>
      </c>
      <c r="BR22" s="230">
        <v>3567</v>
      </c>
      <c r="BS22" s="230">
        <v>6161</v>
      </c>
      <c r="BT22" s="229">
        <v>1.7272000000000001</v>
      </c>
      <c r="BU22" s="230">
        <v>1681219</v>
      </c>
      <c r="BV22" s="230">
        <v>720509</v>
      </c>
      <c r="BW22" s="230">
        <v>960710</v>
      </c>
      <c r="BX22" s="229">
        <v>1.3333999999999999</v>
      </c>
      <c r="BY22" s="230">
        <v>4025</v>
      </c>
      <c r="BZ22" s="230">
        <v>4030</v>
      </c>
      <c r="CA22" s="228">
        <v>-4</v>
      </c>
      <c r="CB22" s="229">
        <v>-1.1000000000000001E-3</v>
      </c>
      <c r="CC22" s="230">
        <v>2465</v>
      </c>
      <c r="CD22" s="230">
        <v>3509</v>
      </c>
      <c r="CE22" s="230">
        <v>-1044</v>
      </c>
      <c r="CF22" s="229">
        <v>-0.29759999999999998</v>
      </c>
      <c r="CG22" s="230">
        <v>1544</v>
      </c>
      <c r="CH22" s="228">
        <v>504</v>
      </c>
      <c r="CI22" s="230">
        <v>1039</v>
      </c>
      <c r="CJ22" s="229">
        <v>2.0615000000000001</v>
      </c>
      <c r="CK22" s="228">
        <v>17</v>
      </c>
      <c r="CL22" s="228">
        <v>16</v>
      </c>
      <c r="CM22" s="228">
        <v>0</v>
      </c>
      <c r="CN22" s="229">
        <v>1.9099999999999999E-2</v>
      </c>
      <c r="CO22" s="230">
        <v>1409</v>
      </c>
      <c r="CP22" s="230">
        <v>1522</v>
      </c>
      <c r="CQ22" s="228">
        <v>-113</v>
      </c>
      <c r="CR22" s="229">
        <v>-7.4499999999999997E-2</v>
      </c>
      <c r="CS22" s="230">
        <v>1015</v>
      </c>
      <c r="CT22" s="228">
        <v>927</v>
      </c>
      <c r="CU22" s="228">
        <v>87</v>
      </c>
      <c r="CV22" s="229">
        <v>9.4100000000000003E-2</v>
      </c>
      <c r="CW22" s="230">
        <v>6449</v>
      </c>
      <c r="CX22" s="230">
        <v>6479</v>
      </c>
      <c r="CY22" s="228">
        <v>-30</v>
      </c>
      <c r="CZ22" s="229">
        <v>-4.7000000000000002E-3</v>
      </c>
      <c r="DA22" s="228">
        <v>20.25</v>
      </c>
      <c r="DB22" s="228">
        <v>20.74</v>
      </c>
      <c r="DC22" s="228">
        <v>-0.49</v>
      </c>
      <c r="DD22" s="228">
        <v>-0.49</v>
      </c>
      <c r="DE22" s="228">
        <v>29.05</v>
      </c>
      <c r="DF22" s="228">
        <v>28.95</v>
      </c>
      <c r="DG22" s="228">
        <v>-8.8000000000000007</v>
      </c>
      <c r="DH22" s="228">
        <v>0.1</v>
      </c>
      <c r="DI22" s="228">
        <v>19.940000000000001</v>
      </c>
      <c r="DJ22" s="228">
        <v>20.96</v>
      </c>
      <c r="DK22" s="228">
        <v>-1.02</v>
      </c>
      <c r="DL22" s="228">
        <v>-1.02</v>
      </c>
      <c r="DM22" s="228">
        <v>20.89</v>
      </c>
      <c r="DN22" s="228">
        <v>20.23</v>
      </c>
      <c r="DO22" s="228">
        <v>0.66</v>
      </c>
      <c r="DP22" s="228">
        <v>0.66</v>
      </c>
      <c r="DQ22" s="228">
        <v>0.72</v>
      </c>
      <c r="DR22" s="228">
        <v>0.61</v>
      </c>
      <c r="DS22" s="228">
        <v>0.11</v>
      </c>
      <c r="DT22" s="229">
        <v>0.18029999999999999</v>
      </c>
      <c r="DU22" s="231">
        <v>2100</v>
      </c>
      <c r="DV22" s="231">
        <v>2000</v>
      </c>
      <c r="DW22" s="228">
        <v>0.38</v>
      </c>
      <c r="DX22" s="228">
        <v>0.43</v>
      </c>
      <c r="DY22" s="228">
        <v>-0.05</v>
      </c>
      <c r="DZ22" s="229">
        <v>-0.1163</v>
      </c>
      <c r="EA22" s="229">
        <v>0.38769999999999999</v>
      </c>
      <c r="EB22" s="230">
        <v>2480250</v>
      </c>
      <c r="EC22" s="229">
        <v>7.1999999999999998E-3</v>
      </c>
      <c r="ED22" s="229">
        <v>0.38769999999999999</v>
      </c>
      <c r="EE22" s="228">
        <v>14.08</v>
      </c>
      <c r="EF22" s="229">
        <v>6.7999999999999996E-3</v>
      </c>
      <c r="EG22" s="230">
        <v>896095</v>
      </c>
      <c r="EH22" s="230">
        <v>440994</v>
      </c>
      <c r="EI22" s="229">
        <v>1.032</v>
      </c>
      <c r="EJ22" s="229">
        <v>0.53300000000000003</v>
      </c>
      <c r="EK22" s="231">
        <v>5245.53</v>
      </c>
      <c r="EL22" s="231">
        <v>1909.33</v>
      </c>
      <c r="EM22" s="231">
        <v>2606.9499999999998</v>
      </c>
      <c r="EN22" s="228">
        <v>93.4</v>
      </c>
      <c r="EO22" s="231">
        <v>9761.81</v>
      </c>
      <c r="EP22" s="231">
        <v>3532.26</v>
      </c>
      <c r="EQ22" s="231">
        <v>6229.54</v>
      </c>
      <c r="ER22" s="229">
        <v>1.7636000000000001</v>
      </c>
      <c r="ES22" s="231">
        <v>1440.31</v>
      </c>
      <c r="ET22" s="228">
        <v>969.38</v>
      </c>
      <c r="EU22" s="231">
        <v>4036.59</v>
      </c>
      <c r="EV22" s="231">
        <v>65659712</v>
      </c>
      <c r="EW22" s="231">
        <v>6446.27</v>
      </c>
      <c r="EX22" s="231">
        <v>6370.1</v>
      </c>
      <c r="EY22" s="228">
        <v>76.17</v>
      </c>
      <c r="EZ22" s="229">
        <v>1.2E-2</v>
      </c>
      <c r="FA22" s="229">
        <v>0.46779999999999999</v>
      </c>
      <c r="FB22" s="227" t="s">
        <v>556</v>
      </c>
      <c r="FC22">
        <f t="shared" si="0"/>
        <v>1560</v>
      </c>
    </row>
    <row r="23" spans="1:159" ht="17.25" thickBot="1" x14ac:dyDescent="0.3">
      <c r="A23" s="226">
        <v>45981</v>
      </c>
      <c r="B23" s="227" t="s">
        <v>175</v>
      </c>
      <c r="C23" s="227" t="s">
        <v>177</v>
      </c>
      <c r="D23" s="228">
        <v>750</v>
      </c>
      <c r="E23" s="228">
        <v>5</v>
      </c>
      <c r="F23" s="231">
        <v>1030.0999999999999</v>
      </c>
      <c r="G23" s="231">
        <v>1007.7</v>
      </c>
      <c r="H23" s="228">
        <v>22.4</v>
      </c>
      <c r="I23" s="229">
        <v>2.2200000000000001E-2</v>
      </c>
      <c r="J23" s="231">
        <v>1028.5999999999999</v>
      </c>
      <c r="K23" s="231">
        <v>1005.6</v>
      </c>
      <c r="L23" s="228">
        <v>23</v>
      </c>
      <c r="M23" s="229">
        <v>2.29E-2</v>
      </c>
      <c r="N23" s="231">
        <v>1030.0999999999999</v>
      </c>
      <c r="O23" s="231">
        <v>1007.7</v>
      </c>
      <c r="P23" s="228">
        <v>22.4</v>
      </c>
      <c r="Q23" s="229">
        <v>2.2200000000000001E-2</v>
      </c>
      <c r="R23" s="231">
        <v>1036.9000000000001</v>
      </c>
      <c r="S23" s="231">
        <v>1014.2</v>
      </c>
      <c r="T23" s="228">
        <v>22.7</v>
      </c>
      <c r="U23" s="229">
        <v>2.24E-2</v>
      </c>
      <c r="V23" s="231">
        <v>1042.9000000000001</v>
      </c>
      <c r="W23" s="231">
        <v>1020.6</v>
      </c>
      <c r="X23" s="228">
        <v>22.3</v>
      </c>
      <c r="Y23" s="229">
        <v>2.18E-2</v>
      </c>
      <c r="Z23" s="228">
        <v>1.5</v>
      </c>
      <c r="AA23" s="228">
        <v>2.1</v>
      </c>
      <c r="AB23" s="228">
        <v>-0.6</v>
      </c>
      <c r="AC23" s="229">
        <v>1.5E-3</v>
      </c>
      <c r="AD23" s="228">
        <v>1.5</v>
      </c>
      <c r="AE23" s="228">
        <v>2.1</v>
      </c>
      <c r="AF23" s="228">
        <v>-0.6</v>
      </c>
      <c r="AG23" s="229">
        <v>1.5E-3</v>
      </c>
      <c r="AH23" s="228">
        <v>8.3000000000000007</v>
      </c>
      <c r="AI23" s="228">
        <v>8.6</v>
      </c>
      <c r="AJ23" s="228">
        <v>-0.3</v>
      </c>
      <c r="AK23" s="229">
        <v>8.0999999999999996E-3</v>
      </c>
      <c r="AL23" s="228">
        <v>14.3</v>
      </c>
      <c r="AM23" s="228">
        <v>15</v>
      </c>
      <c r="AN23" s="228">
        <v>-0.7</v>
      </c>
      <c r="AO23" s="229">
        <v>1.3899999999999999E-2</v>
      </c>
      <c r="AP23" s="231">
        <v>1021.95</v>
      </c>
      <c r="AQ23" s="231">
        <v>1028.53</v>
      </c>
      <c r="AR23" s="228">
        <v>0</v>
      </c>
      <c r="AS23" s="230">
        <v>6532</v>
      </c>
      <c r="AT23" s="230">
        <v>1210</v>
      </c>
      <c r="AU23" s="230">
        <v>5322</v>
      </c>
      <c r="AV23" s="229">
        <v>4.3997999999999999</v>
      </c>
      <c r="AW23" s="230">
        <v>3336</v>
      </c>
      <c r="AX23" s="228">
        <v>718</v>
      </c>
      <c r="AY23" s="230">
        <v>2617</v>
      </c>
      <c r="AZ23" s="229">
        <v>3.6440000000000001</v>
      </c>
      <c r="BA23" s="230">
        <v>3179</v>
      </c>
      <c r="BB23" s="228">
        <v>477</v>
      </c>
      <c r="BC23" s="230">
        <v>2702</v>
      </c>
      <c r="BD23" s="229">
        <v>5.6641000000000004</v>
      </c>
      <c r="BE23" s="228">
        <v>18</v>
      </c>
      <c r="BF23" s="228">
        <v>14</v>
      </c>
      <c r="BG23" s="228">
        <v>3</v>
      </c>
      <c r="BH23" s="229">
        <v>0.23530000000000001</v>
      </c>
      <c r="BI23" s="230">
        <v>5589</v>
      </c>
      <c r="BJ23" s="230">
        <v>3770</v>
      </c>
      <c r="BK23" s="230">
        <v>1819</v>
      </c>
      <c r="BL23" s="229">
        <v>0.48249999999999998</v>
      </c>
      <c r="BM23" s="230">
        <v>2470</v>
      </c>
      <c r="BN23" s="230">
        <v>1639</v>
      </c>
      <c r="BO23" s="228">
        <v>831</v>
      </c>
      <c r="BP23" s="229">
        <v>0.5071</v>
      </c>
      <c r="BQ23" s="230">
        <v>14591</v>
      </c>
      <c r="BR23" s="230">
        <v>6619</v>
      </c>
      <c r="BS23" s="230">
        <v>7972</v>
      </c>
      <c r="BT23" s="229">
        <v>1.2044999999999999</v>
      </c>
      <c r="BU23" s="230">
        <v>5923387</v>
      </c>
      <c r="BV23" s="230">
        <v>5841050</v>
      </c>
      <c r="BW23" s="230">
        <v>82337</v>
      </c>
      <c r="BX23" s="229">
        <v>1.41E-2</v>
      </c>
      <c r="BY23" s="230">
        <v>9579</v>
      </c>
      <c r="BZ23" s="230">
        <v>9704</v>
      </c>
      <c r="CA23" s="228">
        <v>-125</v>
      </c>
      <c r="CB23" s="229">
        <v>-1.29E-2</v>
      </c>
      <c r="CC23" s="230">
        <v>5450</v>
      </c>
      <c r="CD23" s="230">
        <v>8378</v>
      </c>
      <c r="CE23" s="230">
        <v>-2928</v>
      </c>
      <c r="CF23" s="229">
        <v>-0.34949999999999998</v>
      </c>
      <c r="CG23" s="230">
        <v>4077</v>
      </c>
      <c r="CH23" s="230">
        <v>1275</v>
      </c>
      <c r="CI23" s="230">
        <v>2803</v>
      </c>
      <c r="CJ23" s="229">
        <v>2.1981000000000002</v>
      </c>
      <c r="CK23" s="228">
        <v>52</v>
      </c>
      <c r="CL23" s="228">
        <v>52</v>
      </c>
      <c r="CM23" s="228">
        <v>0</v>
      </c>
      <c r="CN23" s="229">
        <v>3.0000000000000001E-3</v>
      </c>
      <c r="CO23" s="230">
        <v>2844</v>
      </c>
      <c r="CP23" s="230">
        <v>3441</v>
      </c>
      <c r="CQ23" s="228">
        <v>-597</v>
      </c>
      <c r="CR23" s="229">
        <v>-0.1734</v>
      </c>
      <c r="CS23" s="230">
        <v>1783</v>
      </c>
      <c r="CT23" s="230">
        <v>1924</v>
      </c>
      <c r="CU23" s="228">
        <v>-140</v>
      </c>
      <c r="CV23" s="229">
        <v>-7.2900000000000006E-2</v>
      </c>
      <c r="CW23" s="230">
        <v>14206</v>
      </c>
      <c r="CX23" s="230">
        <v>15069</v>
      </c>
      <c r="CY23" s="228">
        <v>-862</v>
      </c>
      <c r="CZ23" s="229">
        <v>-5.7200000000000001E-2</v>
      </c>
      <c r="DA23" s="228">
        <v>20.41</v>
      </c>
      <c r="DB23" s="228">
        <v>25.25</v>
      </c>
      <c r="DC23" s="228">
        <v>-4.84</v>
      </c>
      <c r="DD23" s="228">
        <v>-4.84</v>
      </c>
      <c r="DE23" s="228">
        <v>32.130000000000003</v>
      </c>
      <c r="DF23" s="228">
        <v>32.07</v>
      </c>
      <c r="DG23" s="228">
        <v>-11.72</v>
      </c>
      <c r="DH23" s="228">
        <v>0.06</v>
      </c>
      <c r="DI23" s="228">
        <v>20.21</v>
      </c>
      <c r="DJ23" s="228">
        <v>26.19</v>
      </c>
      <c r="DK23" s="228">
        <v>-5.98</v>
      </c>
      <c r="DL23" s="228">
        <v>-5.98</v>
      </c>
      <c r="DM23" s="228">
        <v>20.85</v>
      </c>
      <c r="DN23" s="228">
        <v>23.09</v>
      </c>
      <c r="DO23" s="228">
        <v>-2.2400000000000002</v>
      </c>
      <c r="DP23" s="228">
        <v>-2.2400000000000002</v>
      </c>
      <c r="DQ23" s="228">
        <v>0.63</v>
      </c>
      <c r="DR23" s="228">
        <v>0.56000000000000005</v>
      </c>
      <c r="DS23" s="228">
        <v>7.0000000000000007E-2</v>
      </c>
      <c r="DT23" s="229">
        <v>0.125</v>
      </c>
      <c r="DU23" s="231">
        <v>1100</v>
      </c>
      <c r="DV23" s="231">
        <v>1000</v>
      </c>
      <c r="DW23" s="228">
        <v>0.44</v>
      </c>
      <c r="DX23" s="228">
        <v>0.43</v>
      </c>
      <c r="DY23" s="228">
        <v>0.01</v>
      </c>
      <c r="DZ23" s="229">
        <v>2.3300000000000001E-2</v>
      </c>
      <c r="EA23" s="229">
        <v>0.43109999999999998</v>
      </c>
      <c r="EB23" s="230">
        <v>12878250</v>
      </c>
      <c r="EC23" s="229">
        <v>6.6E-3</v>
      </c>
      <c r="ED23" s="229">
        <v>0.43109999999999998</v>
      </c>
      <c r="EE23" s="228">
        <v>6.58</v>
      </c>
      <c r="EF23" s="229">
        <v>6.4000000000000003E-3</v>
      </c>
      <c r="EG23" s="230">
        <v>3465123</v>
      </c>
      <c r="EH23" s="230">
        <v>4240980</v>
      </c>
      <c r="EI23" s="229">
        <v>-0.18290000000000001</v>
      </c>
      <c r="EJ23" s="229">
        <v>0.58499999999999996</v>
      </c>
      <c r="EK23" s="231">
        <v>5727.61</v>
      </c>
      <c r="EL23" s="231">
        <v>2427.4</v>
      </c>
      <c r="EM23" s="231">
        <v>6501</v>
      </c>
      <c r="EN23" s="228">
        <v>124.46</v>
      </c>
      <c r="EO23" s="231">
        <v>14656.01</v>
      </c>
      <c r="EP23" s="231">
        <v>6656.09</v>
      </c>
      <c r="EQ23" s="231">
        <v>7999.92</v>
      </c>
      <c r="ER23" s="229">
        <v>1.2019</v>
      </c>
      <c r="ES23" s="231">
        <v>2993.37</v>
      </c>
      <c r="ET23" s="231">
        <v>1741.24</v>
      </c>
      <c r="EU23" s="231">
        <v>9606.7199999999993</v>
      </c>
      <c r="EV23" s="231">
        <v>281116345</v>
      </c>
      <c r="EW23" s="231">
        <v>14341.34</v>
      </c>
      <c r="EX23" s="231">
        <v>14979.29</v>
      </c>
      <c r="EY23" s="228">
        <v>-637.95000000000005</v>
      </c>
      <c r="EZ23" s="229">
        <v>-4.2599999999999999E-2</v>
      </c>
      <c r="FA23" s="229">
        <v>0.49059999999999998</v>
      </c>
      <c r="FB23" s="227" t="s">
        <v>556</v>
      </c>
      <c r="FC23">
        <f t="shared" si="0"/>
        <v>4129</v>
      </c>
    </row>
    <row r="24" spans="1:159" ht="17.25" thickBot="1" x14ac:dyDescent="0.3">
      <c r="A24" s="226">
        <v>45981</v>
      </c>
      <c r="B24" s="227" t="s">
        <v>172</v>
      </c>
      <c r="C24" s="227" t="s">
        <v>179</v>
      </c>
      <c r="D24" s="228">
        <v>3600</v>
      </c>
      <c r="E24" s="228">
        <v>5</v>
      </c>
      <c r="F24" s="228">
        <v>151.4</v>
      </c>
      <c r="G24" s="228">
        <v>153.16999999999999</v>
      </c>
      <c r="H24" s="228">
        <v>-1.77</v>
      </c>
      <c r="I24" s="229">
        <v>-1.1599999999999999E-2</v>
      </c>
      <c r="J24" s="228">
        <v>151.22</v>
      </c>
      <c r="K24" s="228">
        <v>152.88</v>
      </c>
      <c r="L24" s="228">
        <v>-1.66</v>
      </c>
      <c r="M24" s="229">
        <v>-1.09E-2</v>
      </c>
      <c r="N24" s="228">
        <v>151.4</v>
      </c>
      <c r="O24" s="228">
        <v>153.16999999999999</v>
      </c>
      <c r="P24" s="228">
        <v>-1.77</v>
      </c>
      <c r="Q24" s="229">
        <v>-1.1599999999999999E-2</v>
      </c>
      <c r="R24" s="228">
        <v>152.41999999999999</v>
      </c>
      <c r="S24" s="228">
        <v>154.24</v>
      </c>
      <c r="T24" s="228">
        <v>-1.82</v>
      </c>
      <c r="U24" s="229">
        <v>-1.18E-2</v>
      </c>
      <c r="V24" s="228">
        <v>153.33000000000001</v>
      </c>
      <c r="W24" s="228">
        <v>155.15</v>
      </c>
      <c r="X24" s="228">
        <v>-1.82</v>
      </c>
      <c r="Y24" s="229">
        <v>-1.17E-2</v>
      </c>
      <c r="Z24" s="228">
        <v>0.18</v>
      </c>
      <c r="AA24" s="228">
        <v>0.28999999999999998</v>
      </c>
      <c r="AB24" s="228">
        <v>-0.11</v>
      </c>
      <c r="AC24" s="229">
        <v>1.1999999999999999E-3</v>
      </c>
      <c r="AD24" s="228">
        <v>0.18</v>
      </c>
      <c r="AE24" s="228">
        <v>0.28999999999999998</v>
      </c>
      <c r="AF24" s="228">
        <v>-0.11</v>
      </c>
      <c r="AG24" s="229">
        <v>1.1999999999999999E-3</v>
      </c>
      <c r="AH24" s="228">
        <v>1.2</v>
      </c>
      <c r="AI24" s="228">
        <v>1.36</v>
      </c>
      <c r="AJ24" s="228">
        <v>-0.16</v>
      </c>
      <c r="AK24" s="229">
        <v>7.9000000000000008E-3</v>
      </c>
      <c r="AL24" s="228">
        <v>2.11</v>
      </c>
      <c r="AM24" s="228">
        <v>2.27</v>
      </c>
      <c r="AN24" s="228">
        <v>-0.16</v>
      </c>
      <c r="AO24" s="229">
        <v>1.4E-2</v>
      </c>
      <c r="AP24" s="228">
        <v>152.15</v>
      </c>
      <c r="AQ24" s="228">
        <v>153.16999999999999</v>
      </c>
      <c r="AR24" s="228">
        <v>0</v>
      </c>
      <c r="AS24" s="228">
        <v>664</v>
      </c>
      <c r="AT24" s="228">
        <v>374</v>
      </c>
      <c r="AU24" s="228">
        <v>290</v>
      </c>
      <c r="AV24" s="229">
        <v>0.7742</v>
      </c>
      <c r="AW24" s="228">
        <v>334</v>
      </c>
      <c r="AX24" s="228">
        <v>197</v>
      </c>
      <c r="AY24" s="228">
        <v>137</v>
      </c>
      <c r="AZ24" s="229">
        <v>0.6986</v>
      </c>
      <c r="BA24" s="228">
        <v>323</v>
      </c>
      <c r="BB24" s="228">
        <v>173</v>
      </c>
      <c r="BC24" s="228">
        <v>150</v>
      </c>
      <c r="BD24" s="229">
        <v>0.86629999999999996</v>
      </c>
      <c r="BE24" s="228">
        <v>7</v>
      </c>
      <c r="BF24" s="228">
        <v>5</v>
      </c>
      <c r="BG24" s="228">
        <v>3</v>
      </c>
      <c r="BH24" s="229">
        <v>0.55679999999999996</v>
      </c>
      <c r="BI24" s="228">
        <v>689</v>
      </c>
      <c r="BJ24" s="228">
        <v>678</v>
      </c>
      <c r="BK24" s="228">
        <v>11</v>
      </c>
      <c r="BL24" s="229">
        <v>1.5699999999999999E-2</v>
      </c>
      <c r="BM24" s="228">
        <v>236</v>
      </c>
      <c r="BN24" s="228">
        <v>253</v>
      </c>
      <c r="BO24" s="228">
        <v>-16</v>
      </c>
      <c r="BP24" s="229">
        <v>-6.4899999999999999E-2</v>
      </c>
      <c r="BQ24" s="230">
        <v>1589</v>
      </c>
      <c r="BR24" s="230">
        <v>1305</v>
      </c>
      <c r="BS24" s="228">
        <v>284</v>
      </c>
      <c r="BT24" s="229">
        <v>0.21759999999999999</v>
      </c>
      <c r="BU24" s="230">
        <v>3707444</v>
      </c>
      <c r="BV24" s="230">
        <v>3270933</v>
      </c>
      <c r="BW24" s="230">
        <v>436511</v>
      </c>
      <c r="BX24" s="229">
        <v>0.13350000000000001</v>
      </c>
      <c r="BY24" s="230">
        <v>1999</v>
      </c>
      <c r="BZ24" s="230">
        <v>2023</v>
      </c>
      <c r="CA24" s="228">
        <v>-23</v>
      </c>
      <c r="CB24" s="229">
        <v>-1.15E-2</v>
      </c>
      <c r="CC24" s="230">
        <v>1180</v>
      </c>
      <c r="CD24" s="230">
        <v>1419</v>
      </c>
      <c r="CE24" s="228">
        <v>-238</v>
      </c>
      <c r="CF24" s="229">
        <v>-0.1681</v>
      </c>
      <c r="CG24" s="228">
        <v>775</v>
      </c>
      <c r="CH24" s="228">
        <v>564</v>
      </c>
      <c r="CI24" s="228">
        <v>211</v>
      </c>
      <c r="CJ24" s="229">
        <v>0.37380000000000002</v>
      </c>
      <c r="CK24" s="228">
        <v>45</v>
      </c>
      <c r="CL24" s="228">
        <v>40</v>
      </c>
      <c r="CM24" s="228">
        <v>4</v>
      </c>
      <c r="CN24" s="229">
        <v>0.10680000000000001</v>
      </c>
      <c r="CO24" s="230">
        <v>1250</v>
      </c>
      <c r="CP24" s="230">
        <v>1315</v>
      </c>
      <c r="CQ24" s="228">
        <v>-65</v>
      </c>
      <c r="CR24" s="229">
        <v>-4.9700000000000001E-2</v>
      </c>
      <c r="CS24" s="228">
        <v>678</v>
      </c>
      <c r="CT24" s="228">
        <v>680</v>
      </c>
      <c r="CU24" s="228">
        <v>-2</v>
      </c>
      <c r="CV24" s="229">
        <v>-2.3999999999999998E-3</v>
      </c>
      <c r="CW24" s="230">
        <v>3927</v>
      </c>
      <c r="CX24" s="230">
        <v>4018</v>
      </c>
      <c r="CY24" s="228">
        <v>-90</v>
      </c>
      <c r="CZ24" s="229">
        <v>-2.2499999999999999E-2</v>
      </c>
      <c r="DA24" s="228">
        <v>29.8</v>
      </c>
      <c r="DB24" s="228">
        <v>33.549999999999997</v>
      </c>
      <c r="DC24" s="228">
        <v>-3.75</v>
      </c>
      <c r="DD24" s="228">
        <v>-3.75</v>
      </c>
      <c r="DE24" s="228">
        <v>42.41</v>
      </c>
      <c r="DF24" s="228">
        <v>42.49</v>
      </c>
      <c r="DG24" s="228">
        <v>-12.61</v>
      </c>
      <c r="DH24" s="228">
        <v>-0.08</v>
      </c>
      <c r="DI24" s="228">
        <v>30.18</v>
      </c>
      <c r="DJ24" s="228">
        <v>34.68</v>
      </c>
      <c r="DK24" s="228">
        <v>-4.5</v>
      </c>
      <c r="DL24" s="228">
        <v>-4.5</v>
      </c>
      <c r="DM24" s="228">
        <v>29.14</v>
      </c>
      <c r="DN24" s="228">
        <v>30.53</v>
      </c>
      <c r="DO24" s="228">
        <v>-1.39</v>
      </c>
      <c r="DP24" s="228">
        <v>-1.39</v>
      </c>
      <c r="DQ24" s="228">
        <v>0.54</v>
      </c>
      <c r="DR24" s="228">
        <v>0.52</v>
      </c>
      <c r="DS24" s="228">
        <v>0.02</v>
      </c>
      <c r="DT24" s="229">
        <v>3.85E-2</v>
      </c>
      <c r="DU24" s="228">
        <v>160</v>
      </c>
      <c r="DV24" s="228">
        <v>152.5</v>
      </c>
      <c r="DW24" s="228">
        <v>0.34</v>
      </c>
      <c r="DX24" s="228">
        <v>0.37</v>
      </c>
      <c r="DY24" s="228">
        <v>-0.03</v>
      </c>
      <c r="DZ24" s="229">
        <v>-8.1100000000000005E-2</v>
      </c>
      <c r="EA24" s="229">
        <v>0.40970000000000001</v>
      </c>
      <c r="EB24" s="230">
        <v>39906000</v>
      </c>
      <c r="EC24" s="229">
        <v>6.7000000000000002E-3</v>
      </c>
      <c r="ED24" s="229">
        <v>0.40970000000000001</v>
      </c>
      <c r="EE24" s="228">
        <v>1.02</v>
      </c>
      <c r="EF24" s="229">
        <v>6.7000000000000002E-3</v>
      </c>
      <c r="EG24" s="230">
        <v>1438494</v>
      </c>
      <c r="EH24" s="230">
        <v>1490409</v>
      </c>
      <c r="EI24" s="229">
        <v>-3.4799999999999998E-2</v>
      </c>
      <c r="EJ24" s="229">
        <v>0.38800000000000001</v>
      </c>
      <c r="EK24" s="228">
        <v>737.78</v>
      </c>
      <c r="EL24" s="228">
        <v>241.81</v>
      </c>
      <c r="EM24" s="228">
        <v>669.81</v>
      </c>
      <c r="EN24" s="228">
        <v>50.75</v>
      </c>
      <c r="EO24" s="231">
        <v>1649.41</v>
      </c>
      <c r="EP24" s="231">
        <v>1369.62</v>
      </c>
      <c r="EQ24" s="228">
        <v>279.79000000000002</v>
      </c>
      <c r="ER24" s="229">
        <v>0.20430000000000001</v>
      </c>
      <c r="ES24" s="231">
        <v>1390.1</v>
      </c>
      <c r="ET24" s="228">
        <v>706.3</v>
      </c>
      <c r="EU24" s="231">
        <v>2005.21</v>
      </c>
      <c r="EV24" s="231">
        <v>142752962</v>
      </c>
      <c r="EW24" s="231">
        <v>4101.62</v>
      </c>
      <c r="EX24" s="231">
        <v>4227.93</v>
      </c>
      <c r="EY24" s="228">
        <v>-126.31</v>
      </c>
      <c r="EZ24" s="229">
        <v>-2.9899999999999999E-2</v>
      </c>
      <c r="FA24" s="229">
        <v>1.8171999999999999</v>
      </c>
      <c r="FB24" s="227" t="s">
        <v>568</v>
      </c>
      <c r="FC24">
        <f t="shared" si="0"/>
        <v>819</v>
      </c>
    </row>
    <row r="25" spans="1:159" ht="17.25" thickBot="1" x14ac:dyDescent="0.3">
      <c r="A25" s="226">
        <v>45981</v>
      </c>
      <c r="B25" s="227" t="s">
        <v>172</v>
      </c>
      <c r="C25" s="227" t="s">
        <v>180</v>
      </c>
      <c r="D25" s="228">
        <v>2925</v>
      </c>
      <c r="E25" s="228">
        <v>5</v>
      </c>
      <c r="F25" s="228">
        <v>288.60000000000002</v>
      </c>
      <c r="G25" s="228">
        <v>293.35000000000002</v>
      </c>
      <c r="H25" s="228">
        <v>-4.75</v>
      </c>
      <c r="I25" s="229">
        <v>-1.6199999999999999E-2</v>
      </c>
      <c r="J25" s="228">
        <v>288.25</v>
      </c>
      <c r="K25" s="228">
        <v>293.3</v>
      </c>
      <c r="L25" s="228">
        <v>-5.05</v>
      </c>
      <c r="M25" s="229">
        <v>-1.72E-2</v>
      </c>
      <c r="N25" s="228">
        <v>288.60000000000002</v>
      </c>
      <c r="O25" s="228">
        <v>293.35000000000002</v>
      </c>
      <c r="P25" s="228">
        <v>-4.75</v>
      </c>
      <c r="Q25" s="229">
        <v>-1.6199999999999999E-2</v>
      </c>
      <c r="R25" s="228">
        <v>290.5</v>
      </c>
      <c r="S25" s="228">
        <v>295.3</v>
      </c>
      <c r="T25" s="228">
        <v>-4.8</v>
      </c>
      <c r="U25" s="229">
        <v>-1.6299999999999999E-2</v>
      </c>
      <c r="V25" s="228">
        <v>292.45</v>
      </c>
      <c r="W25" s="228">
        <v>297.25</v>
      </c>
      <c r="X25" s="228">
        <v>-4.8</v>
      </c>
      <c r="Y25" s="229">
        <v>-1.61E-2</v>
      </c>
      <c r="Z25" s="228">
        <v>0.35</v>
      </c>
      <c r="AA25" s="228">
        <v>0.05</v>
      </c>
      <c r="AB25" s="228">
        <v>0.3</v>
      </c>
      <c r="AC25" s="229">
        <v>1.1999999999999999E-3</v>
      </c>
      <c r="AD25" s="228">
        <v>0.35</v>
      </c>
      <c r="AE25" s="228">
        <v>0.05</v>
      </c>
      <c r="AF25" s="228">
        <v>0.3</v>
      </c>
      <c r="AG25" s="229">
        <v>1.1999999999999999E-3</v>
      </c>
      <c r="AH25" s="228">
        <v>2.25</v>
      </c>
      <c r="AI25" s="228">
        <v>2</v>
      </c>
      <c r="AJ25" s="228">
        <v>0.25</v>
      </c>
      <c r="AK25" s="229">
        <v>7.7999999999999996E-3</v>
      </c>
      <c r="AL25" s="228">
        <v>4.2</v>
      </c>
      <c r="AM25" s="228">
        <v>3.95</v>
      </c>
      <c r="AN25" s="228">
        <v>0.25</v>
      </c>
      <c r="AO25" s="229">
        <v>1.46E-2</v>
      </c>
      <c r="AP25" s="228">
        <v>290.72000000000003</v>
      </c>
      <c r="AQ25" s="228">
        <v>292.55</v>
      </c>
      <c r="AR25" s="228">
        <v>0</v>
      </c>
      <c r="AS25" s="230">
        <v>1214</v>
      </c>
      <c r="AT25" s="228">
        <v>833</v>
      </c>
      <c r="AU25" s="228">
        <v>381</v>
      </c>
      <c r="AV25" s="229">
        <v>0.4582</v>
      </c>
      <c r="AW25" s="228">
        <v>655</v>
      </c>
      <c r="AX25" s="228">
        <v>564</v>
      </c>
      <c r="AY25" s="228">
        <v>91</v>
      </c>
      <c r="AZ25" s="229">
        <v>0.16159999999999999</v>
      </c>
      <c r="BA25" s="228">
        <v>548</v>
      </c>
      <c r="BB25" s="228">
        <v>257</v>
      </c>
      <c r="BC25" s="228">
        <v>291</v>
      </c>
      <c r="BD25" s="229">
        <v>1.1362000000000001</v>
      </c>
      <c r="BE25" s="228">
        <v>11</v>
      </c>
      <c r="BF25" s="228">
        <v>12</v>
      </c>
      <c r="BG25" s="228">
        <v>-1</v>
      </c>
      <c r="BH25" s="229">
        <v>-0.1</v>
      </c>
      <c r="BI25" s="230">
        <v>1676</v>
      </c>
      <c r="BJ25" s="230">
        <v>3388</v>
      </c>
      <c r="BK25" s="230">
        <v>-1712</v>
      </c>
      <c r="BL25" s="229">
        <v>-0.50529999999999997</v>
      </c>
      <c r="BM25" s="228">
        <v>850</v>
      </c>
      <c r="BN25" s="230">
        <v>1544</v>
      </c>
      <c r="BO25" s="228">
        <v>-694</v>
      </c>
      <c r="BP25" s="229">
        <v>-0.44950000000000001</v>
      </c>
      <c r="BQ25" s="230">
        <v>3740</v>
      </c>
      <c r="BR25" s="230">
        <v>5764</v>
      </c>
      <c r="BS25" s="230">
        <v>-2025</v>
      </c>
      <c r="BT25" s="229">
        <v>-0.35120000000000001</v>
      </c>
      <c r="BU25" s="230">
        <v>7650180</v>
      </c>
      <c r="BV25" s="230">
        <v>12901335</v>
      </c>
      <c r="BW25" s="230">
        <v>-5251155</v>
      </c>
      <c r="BX25" s="229">
        <v>-0.40699999999999997</v>
      </c>
      <c r="BY25" s="230">
        <v>2927</v>
      </c>
      <c r="BZ25" s="230">
        <v>2895</v>
      </c>
      <c r="CA25" s="228">
        <v>32</v>
      </c>
      <c r="CB25" s="229">
        <v>1.11E-2</v>
      </c>
      <c r="CC25" s="230">
        <v>2110</v>
      </c>
      <c r="CD25" s="230">
        <v>2501</v>
      </c>
      <c r="CE25" s="228">
        <v>-390</v>
      </c>
      <c r="CF25" s="229">
        <v>-0.15609999999999999</v>
      </c>
      <c r="CG25" s="228">
        <v>800</v>
      </c>
      <c r="CH25" s="228">
        <v>381</v>
      </c>
      <c r="CI25" s="228">
        <v>419</v>
      </c>
      <c r="CJ25" s="229">
        <v>1.0971</v>
      </c>
      <c r="CK25" s="228">
        <v>17</v>
      </c>
      <c r="CL25" s="228">
        <v>13</v>
      </c>
      <c r="CM25" s="228">
        <v>4</v>
      </c>
      <c r="CN25" s="229">
        <v>0.30520000000000003</v>
      </c>
      <c r="CO25" s="230">
        <v>1511</v>
      </c>
      <c r="CP25" s="230">
        <v>1476</v>
      </c>
      <c r="CQ25" s="228">
        <v>35</v>
      </c>
      <c r="CR25" s="229">
        <v>2.3400000000000001E-2</v>
      </c>
      <c r="CS25" s="230">
        <v>1105</v>
      </c>
      <c r="CT25" s="230">
        <v>1151</v>
      </c>
      <c r="CU25" s="228">
        <v>-46</v>
      </c>
      <c r="CV25" s="229">
        <v>-0.04</v>
      </c>
      <c r="CW25" s="230">
        <v>5543</v>
      </c>
      <c r="CX25" s="230">
        <v>5523</v>
      </c>
      <c r="CY25" s="228">
        <v>21</v>
      </c>
      <c r="CZ25" s="229">
        <v>3.8E-3</v>
      </c>
      <c r="DA25" s="228">
        <v>21.36</v>
      </c>
      <c r="DB25" s="228">
        <v>25.89</v>
      </c>
      <c r="DC25" s="228">
        <v>-4.53</v>
      </c>
      <c r="DD25" s="228">
        <v>-4.53</v>
      </c>
      <c r="DE25" s="228">
        <v>34.67</v>
      </c>
      <c r="DF25" s="228">
        <v>34.69</v>
      </c>
      <c r="DG25" s="228">
        <v>-13.31</v>
      </c>
      <c r="DH25" s="228">
        <v>-0.02</v>
      </c>
      <c r="DI25" s="228">
        <v>21.59</v>
      </c>
      <c r="DJ25" s="228">
        <v>25.16</v>
      </c>
      <c r="DK25" s="228">
        <v>-3.57</v>
      </c>
      <c r="DL25" s="228">
        <v>-3.57</v>
      </c>
      <c r="DM25" s="228">
        <v>20.88</v>
      </c>
      <c r="DN25" s="228">
        <v>27.49</v>
      </c>
      <c r="DO25" s="228">
        <v>-6.61</v>
      </c>
      <c r="DP25" s="228">
        <v>-6.61</v>
      </c>
      <c r="DQ25" s="228">
        <v>0.73</v>
      </c>
      <c r="DR25" s="228">
        <v>0.78</v>
      </c>
      <c r="DS25" s="228">
        <v>-0.05</v>
      </c>
      <c r="DT25" s="229">
        <v>-6.4100000000000004E-2</v>
      </c>
      <c r="DU25" s="228">
        <v>300</v>
      </c>
      <c r="DV25" s="228">
        <v>280</v>
      </c>
      <c r="DW25" s="228">
        <v>0.51</v>
      </c>
      <c r="DX25" s="228">
        <v>0.46</v>
      </c>
      <c r="DY25" s="228">
        <v>0.05</v>
      </c>
      <c r="DZ25" s="229">
        <v>0.1087</v>
      </c>
      <c r="EA25" s="229">
        <v>0.27910000000000001</v>
      </c>
      <c r="EB25" s="230">
        <v>13668525</v>
      </c>
      <c r="EC25" s="229">
        <v>6.6E-3</v>
      </c>
      <c r="ED25" s="229">
        <v>0.27910000000000001</v>
      </c>
      <c r="EE25" s="228">
        <v>1.83</v>
      </c>
      <c r="EF25" s="229">
        <v>6.3E-3</v>
      </c>
      <c r="EG25" s="230">
        <v>3581644</v>
      </c>
      <c r="EH25" s="230">
        <v>7327090</v>
      </c>
      <c r="EI25" s="229">
        <v>-0.51119999999999999</v>
      </c>
      <c r="EJ25" s="229">
        <v>0.46820000000000001</v>
      </c>
      <c r="EK25" s="231">
        <v>1739.97</v>
      </c>
      <c r="EL25" s="228">
        <v>848.01</v>
      </c>
      <c r="EM25" s="231">
        <v>1226.58</v>
      </c>
      <c r="EN25" s="228">
        <v>73.099999999999994</v>
      </c>
      <c r="EO25" s="231">
        <v>3814.56</v>
      </c>
      <c r="EP25" s="231">
        <v>5887.95</v>
      </c>
      <c r="EQ25" s="231">
        <v>-2073.39</v>
      </c>
      <c r="ER25" s="229">
        <v>-0.35210000000000002</v>
      </c>
      <c r="ES25" s="231">
        <v>1522.8</v>
      </c>
      <c r="ET25" s="231">
        <v>1063.49</v>
      </c>
      <c r="EU25" s="231">
        <v>2932.85</v>
      </c>
      <c r="EV25" s="231">
        <v>257509827</v>
      </c>
      <c r="EW25" s="231">
        <v>5519.15</v>
      </c>
      <c r="EX25" s="231">
        <v>5536.31</v>
      </c>
      <c r="EY25" s="228">
        <v>-17.16</v>
      </c>
      <c r="EZ25" s="229">
        <v>-3.0999999999999999E-3</v>
      </c>
      <c r="FA25" s="229">
        <v>0.74590000000000001</v>
      </c>
      <c r="FB25" s="227" t="s">
        <v>567</v>
      </c>
      <c r="FC25">
        <f t="shared" si="0"/>
        <v>817</v>
      </c>
    </row>
    <row r="26" spans="1:159" ht="17.25" thickBot="1" x14ac:dyDescent="0.3">
      <c r="A26" s="226">
        <v>45981</v>
      </c>
      <c r="B26" s="227" t="s">
        <v>172</v>
      </c>
      <c r="C26" s="227" t="s">
        <v>602</v>
      </c>
      <c r="D26" s="228">
        <v>5200</v>
      </c>
      <c r="E26" s="228">
        <v>5</v>
      </c>
      <c r="F26" s="228">
        <v>147.54</v>
      </c>
      <c r="G26" s="228">
        <v>148.56</v>
      </c>
      <c r="H26" s="228">
        <v>-1.02</v>
      </c>
      <c r="I26" s="229">
        <v>-6.8999999999999999E-3</v>
      </c>
      <c r="J26" s="228">
        <v>147.72</v>
      </c>
      <c r="K26" s="228">
        <v>148.59</v>
      </c>
      <c r="L26" s="228">
        <v>-0.87</v>
      </c>
      <c r="M26" s="229">
        <v>-5.8999999999999999E-3</v>
      </c>
      <c r="N26" s="228">
        <v>147.54</v>
      </c>
      <c r="O26" s="228">
        <v>148.56</v>
      </c>
      <c r="P26" s="228">
        <v>-1.02</v>
      </c>
      <c r="Q26" s="229">
        <v>-6.8999999999999999E-3</v>
      </c>
      <c r="R26" s="228">
        <v>148.47999999999999</v>
      </c>
      <c r="S26" s="228">
        <v>149.56</v>
      </c>
      <c r="T26" s="228">
        <v>-1.08</v>
      </c>
      <c r="U26" s="229">
        <v>-7.1999999999999998E-3</v>
      </c>
      <c r="V26" s="228">
        <v>149.43</v>
      </c>
      <c r="W26" s="228">
        <v>150.5</v>
      </c>
      <c r="X26" s="228">
        <v>-1.07</v>
      </c>
      <c r="Y26" s="229">
        <v>-7.1000000000000004E-3</v>
      </c>
      <c r="Z26" s="228">
        <v>-0.18</v>
      </c>
      <c r="AA26" s="228">
        <v>-0.03</v>
      </c>
      <c r="AB26" s="228">
        <v>-0.15</v>
      </c>
      <c r="AC26" s="229">
        <v>-1.1999999999999999E-3</v>
      </c>
      <c r="AD26" s="228">
        <v>-0.18</v>
      </c>
      <c r="AE26" s="228">
        <v>-0.03</v>
      </c>
      <c r="AF26" s="228">
        <v>-0.15</v>
      </c>
      <c r="AG26" s="229">
        <v>-1.1999999999999999E-3</v>
      </c>
      <c r="AH26" s="228">
        <v>0.76</v>
      </c>
      <c r="AI26" s="228">
        <v>0.97</v>
      </c>
      <c r="AJ26" s="228">
        <v>-0.21</v>
      </c>
      <c r="AK26" s="229">
        <v>5.1000000000000004E-3</v>
      </c>
      <c r="AL26" s="228">
        <v>1.71</v>
      </c>
      <c r="AM26" s="228">
        <v>1.91</v>
      </c>
      <c r="AN26" s="228">
        <v>-0.2</v>
      </c>
      <c r="AO26" s="229">
        <v>1.1599999999999999E-2</v>
      </c>
      <c r="AP26" s="228">
        <v>148.22999999999999</v>
      </c>
      <c r="AQ26" s="228">
        <v>149.24</v>
      </c>
      <c r="AR26" s="228">
        <v>0</v>
      </c>
      <c r="AS26" s="228">
        <v>438</v>
      </c>
      <c r="AT26" s="228">
        <v>194</v>
      </c>
      <c r="AU26" s="228">
        <v>244</v>
      </c>
      <c r="AV26" s="229">
        <v>1.2619</v>
      </c>
      <c r="AW26" s="228">
        <v>242</v>
      </c>
      <c r="AX26" s="228">
        <v>127</v>
      </c>
      <c r="AY26" s="228">
        <v>115</v>
      </c>
      <c r="AZ26" s="229">
        <v>0.91100000000000003</v>
      </c>
      <c r="BA26" s="228">
        <v>194</v>
      </c>
      <c r="BB26" s="228">
        <v>65</v>
      </c>
      <c r="BC26" s="228">
        <v>129</v>
      </c>
      <c r="BD26" s="229">
        <v>2</v>
      </c>
      <c r="BE26" s="228">
        <v>2</v>
      </c>
      <c r="BF26" s="228">
        <v>2</v>
      </c>
      <c r="BG26" s="228">
        <v>0</v>
      </c>
      <c r="BH26" s="229">
        <v>-0.1333</v>
      </c>
      <c r="BI26" s="228">
        <v>253</v>
      </c>
      <c r="BJ26" s="228">
        <v>399</v>
      </c>
      <c r="BK26" s="228">
        <v>-146</v>
      </c>
      <c r="BL26" s="229">
        <v>-0.36549999999999999</v>
      </c>
      <c r="BM26" s="228">
        <v>147</v>
      </c>
      <c r="BN26" s="228">
        <v>214</v>
      </c>
      <c r="BO26" s="228">
        <v>-66</v>
      </c>
      <c r="BP26" s="229">
        <v>-0.30969999999999998</v>
      </c>
      <c r="BQ26" s="228">
        <v>839</v>
      </c>
      <c r="BR26" s="228">
        <v>806</v>
      </c>
      <c r="BS26" s="228">
        <v>32</v>
      </c>
      <c r="BT26" s="229">
        <v>4.02E-2</v>
      </c>
      <c r="BU26" s="230">
        <v>6951693</v>
      </c>
      <c r="BV26" s="230">
        <v>6448691</v>
      </c>
      <c r="BW26" s="230">
        <v>503002</v>
      </c>
      <c r="BX26" s="229">
        <v>7.8E-2</v>
      </c>
      <c r="BY26" s="228">
        <v>780</v>
      </c>
      <c r="BZ26" s="228">
        <v>807</v>
      </c>
      <c r="CA26" s="228">
        <v>-27</v>
      </c>
      <c r="CB26" s="229">
        <v>-3.2899999999999999E-2</v>
      </c>
      <c r="CC26" s="228">
        <v>481</v>
      </c>
      <c r="CD26" s="228">
        <v>663</v>
      </c>
      <c r="CE26" s="228">
        <v>-182</v>
      </c>
      <c r="CF26" s="229">
        <v>-0.27439999999999998</v>
      </c>
      <c r="CG26" s="228">
        <v>290</v>
      </c>
      <c r="CH26" s="228">
        <v>136</v>
      </c>
      <c r="CI26" s="228">
        <v>155</v>
      </c>
      <c r="CJ26" s="229">
        <v>1.1384000000000001</v>
      </c>
      <c r="CK26" s="228">
        <v>9</v>
      </c>
      <c r="CL26" s="228">
        <v>8</v>
      </c>
      <c r="CM26" s="228">
        <v>1</v>
      </c>
      <c r="CN26" s="229">
        <v>0.10580000000000001</v>
      </c>
      <c r="CO26" s="228">
        <v>433</v>
      </c>
      <c r="CP26" s="228">
        <v>448</v>
      </c>
      <c r="CQ26" s="228">
        <v>-15</v>
      </c>
      <c r="CR26" s="229">
        <v>-3.39E-2</v>
      </c>
      <c r="CS26" s="228">
        <v>384</v>
      </c>
      <c r="CT26" s="228">
        <v>358</v>
      </c>
      <c r="CU26" s="228">
        <v>26</v>
      </c>
      <c r="CV26" s="229">
        <v>7.3800000000000004E-2</v>
      </c>
      <c r="CW26" s="230">
        <v>1597</v>
      </c>
      <c r="CX26" s="230">
        <v>1613</v>
      </c>
      <c r="CY26" s="228">
        <v>-15</v>
      </c>
      <c r="CZ26" s="229">
        <v>-9.4999999999999998E-3</v>
      </c>
      <c r="DA26" s="228">
        <v>26.52</v>
      </c>
      <c r="DB26" s="228">
        <v>25.77</v>
      </c>
      <c r="DC26" s="228">
        <v>0.75</v>
      </c>
      <c r="DD26" s="228">
        <v>0.75</v>
      </c>
      <c r="DE26" s="228">
        <v>39.22</v>
      </c>
      <c r="DF26" s="228">
        <v>39.31</v>
      </c>
      <c r="DG26" s="228">
        <v>-12.7</v>
      </c>
      <c r="DH26" s="228">
        <v>-0.09</v>
      </c>
      <c r="DI26" s="228">
        <v>26.33</v>
      </c>
      <c r="DJ26" s="228">
        <v>23.96</v>
      </c>
      <c r="DK26" s="228">
        <v>2.37</v>
      </c>
      <c r="DL26" s="228">
        <v>2.37</v>
      </c>
      <c r="DM26" s="228">
        <v>26.71</v>
      </c>
      <c r="DN26" s="228">
        <v>29.15</v>
      </c>
      <c r="DO26" s="228">
        <v>-2.44</v>
      </c>
      <c r="DP26" s="228">
        <v>-2.44</v>
      </c>
      <c r="DQ26" s="228">
        <v>0.89</v>
      </c>
      <c r="DR26" s="228">
        <v>0.8</v>
      </c>
      <c r="DS26" s="228">
        <v>0.09</v>
      </c>
      <c r="DT26" s="229">
        <v>0.1125</v>
      </c>
      <c r="DU26" s="228">
        <v>150</v>
      </c>
      <c r="DV26" s="228">
        <v>148</v>
      </c>
      <c r="DW26" s="228">
        <v>0.57999999999999996</v>
      </c>
      <c r="DX26" s="228">
        <v>0.54</v>
      </c>
      <c r="DY26" s="228">
        <v>0.04</v>
      </c>
      <c r="DZ26" s="229">
        <v>7.4099999999999999E-2</v>
      </c>
      <c r="EA26" s="229">
        <v>0.38340000000000002</v>
      </c>
      <c r="EB26" s="230">
        <v>9744800</v>
      </c>
      <c r="EC26" s="229">
        <v>6.4000000000000003E-3</v>
      </c>
      <c r="ED26" s="229">
        <v>0.38340000000000002</v>
      </c>
      <c r="EE26" s="228">
        <v>1.01</v>
      </c>
      <c r="EF26" s="229">
        <v>6.7999999999999996E-3</v>
      </c>
      <c r="EG26" s="230">
        <v>4037466</v>
      </c>
      <c r="EH26" s="230">
        <v>3246739</v>
      </c>
      <c r="EI26" s="229">
        <v>0.24349999999999999</v>
      </c>
      <c r="EJ26" s="229">
        <v>0.58079999999999998</v>
      </c>
      <c r="EK26" s="228">
        <v>260.51</v>
      </c>
      <c r="EL26" s="228">
        <v>144.65</v>
      </c>
      <c r="EM26" s="228">
        <v>441.4</v>
      </c>
      <c r="EN26" s="228">
        <v>23.12</v>
      </c>
      <c r="EO26" s="228">
        <v>846.55</v>
      </c>
      <c r="EP26" s="228">
        <v>810.9</v>
      </c>
      <c r="EQ26" s="228">
        <v>35.659999999999997</v>
      </c>
      <c r="ER26" s="229">
        <v>4.3999999999999997E-2</v>
      </c>
      <c r="ES26" s="228">
        <v>434.93</v>
      </c>
      <c r="ET26" s="228">
        <v>363.1</v>
      </c>
      <c r="EU26" s="228">
        <v>782.37</v>
      </c>
      <c r="EV26" s="231">
        <v>181770921</v>
      </c>
      <c r="EW26" s="231">
        <v>1580.39</v>
      </c>
      <c r="EX26" s="231">
        <v>1600.24</v>
      </c>
      <c r="EY26" s="228">
        <v>-19.850000000000001</v>
      </c>
      <c r="EZ26" s="229">
        <v>-1.24E-2</v>
      </c>
      <c r="FA26" s="229">
        <v>0.59550000000000003</v>
      </c>
      <c r="FB26" s="227" t="s">
        <v>568</v>
      </c>
      <c r="FC26">
        <f t="shared" si="0"/>
        <v>299</v>
      </c>
    </row>
    <row r="27" spans="1:159" ht="17.25" thickBot="1" x14ac:dyDescent="0.3">
      <c r="A27" s="226">
        <v>45981</v>
      </c>
      <c r="B27" s="227" t="s">
        <v>181</v>
      </c>
      <c r="C27" s="227" t="s">
        <v>182</v>
      </c>
      <c r="D27" s="228">
        <v>35</v>
      </c>
      <c r="E27" s="228">
        <v>5</v>
      </c>
      <c r="F27" s="231">
        <v>59399</v>
      </c>
      <c r="G27" s="231">
        <v>59227.4</v>
      </c>
      <c r="H27" s="228">
        <v>171.6</v>
      </c>
      <c r="I27" s="229">
        <v>2.8999999999999998E-3</v>
      </c>
      <c r="J27" s="231">
        <v>59347.7</v>
      </c>
      <c r="K27" s="231">
        <v>59216.05</v>
      </c>
      <c r="L27" s="228">
        <v>131.65</v>
      </c>
      <c r="M27" s="229">
        <v>2.2000000000000001E-3</v>
      </c>
      <c r="N27" s="231">
        <v>59399</v>
      </c>
      <c r="O27" s="231">
        <v>59227.4</v>
      </c>
      <c r="P27" s="228">
        <v>171.6</v>
      </c>
      <c r="Q27" s="229">
        <v>2.8999999999999998E-3</v>
      </c>
      <c r="R27" s="231">
        <v>59759</v>
      </c>
      <c r="S27" s="231">
        <v>59585.2</v>
      </c>
      <c r="T27" s="228">
        <v>173.8</v>
      </c>
      <c r="U27" s="229">
        <v>2.8999999999999998E-3</v>
      </c>
      <c r="V27" s="231">
        <v>60084.4</v>
      </c>
      <c r="W27" s="231">
        <v>59912</v>
      </c>
      <c r="X27" s="228">
        <v>172.4</v>
      </c>
      <c r="Y27" s="229">
        <v>2.8999999999999998E-3</v>
      </c>
      <c r="Z27" s="228">
        <v>51.3</v>
      </c>
      <c r="AA27" s="228">
        <v>11.35</v>
      </c>
      <c r="AB27" s="228">
        <v>39.950000000000003</v>
      </c>
      <c r="AC27" s="229">
        <v>8.9999999999999998E-4</v>
      </c>
      <c r="AD27" s="228">
        <v>51.3</v>
      </c>
      <c r="AE27" s="228">
        <v>11.35</v>
      </c>
      <c r="AF27" s="228">
        <v>39.950000000000003</v>
      </c>
      <c r="AG27" s="229">
        <v>8.9999999999999998E-4</v>
      </c>
      <c r="AH27" s="228">
        <v>411.3</v>
      </c>
      <c r="AI27" s="228">
        <v>369.15</v>
      </c>
      <c r="AJ27" s="228">
        <v>42.15</v>
      </c>
      <c r="AK27" s="229">
        <v>6.8999999999999999E-3</v>
      </c>
      <c r="AL27" s="228">
        <v>736.7</v>
      </c>
      <c r="AM27" s="228">
        <v>695.95</v>
      </c>
      <c r="AN27" s="228">
        <v>40.75</v>
      </c>
      <c r="AO27" s="229">
        <v>1.24E-2</v>
      </c>
      <c r="AP27" s="231">
        <v>59342.54</v>
      </c>
      <c r="AQ27" s="231">
        <v>59709.96</v>
      </c>
      <c r="AR27" s="228">
        <v>0</v>
      </c>
      <c r="AS27" s="230">
        <v>6009</v>
      </c>
      <c r="AT27" s="230">
        <v>7028</v>
      </c>
      <c r="AU27" s="230">
        <v>-1018</v>
      </c>
      <c r="AV27" s="229">
        <v>-0.1449</v>
      </c>
      <c r="AW27" s="230">
        <v>4107</v>
      </c>
      <c r="AX27" s="230">
        <v>5256</v>
      </c>
      <c r="AY27" s="230">
        <v>-1149</v>
      </c>
      <c r="AZ27" s="229">
        <v>-0.21859999999999999</v>
      </c>
      <c r="BA27" s="230">
        <v>1659</v>
      </c>
      <c r="BB27" s="230">
        <v>1534</v>
      </c>
      <c r="BC27" s="228">
        <v>125</v>
      </c>
      <c r="BD27" s="229">
        <v>8.1299999999999997E-2</v>
      </c>
      <c r="BE27" s="228">
        <v>243</v>
      </c>
      <c r="BF27" s="228">
        <v>237</v>
      </c>
      <c r="BG27" s="228">
        <v>6</v>
      </c>
      <c r="BH27" s="229">
        <v>2.46E-2</v>
      </c>
      <c r="BI27" s="230">
        <v>526946</v>
      </c>
      <c r="BJ27" s="230">
        <v>584628</v>
      </c>
      <c r="BK27" s="230">
        <v>-57682</v>
      </c>
      <c r="BL27" s="229">
        <v>-9.8699999999999996E-2</v>
      </c>
      <c r="BM27" s="230">
        <v>526834</v>
      </c>
      <c r="BN27" s="230">
        <v>568089</v>
      </c>
      <c r="BO27" s="230">
        <v>-41255</v>
      </c>
      <c r="BP27" s="229">
        <v>-7.2599999999999998E-2</v>
      </c>
      <c r="BQ27" s="230">
        <v>1059789</v>
      </c>
      <c r="BR27" s="230">
        <v>1159745</v>
      </c>
      <c r="BS27" s="230">
        <v>-99956</v>
      </c>
      <c r="BT27" s="229">
        <v>-8.6199999999999999E-2</v>
      </c>
      <c r="BU27" s="228">
        <v>0</v>
      </c>
      <c r="BV27" s="228">
        <v>0</v>
      </c>
      <c r="BW27" s="228">
        <v>0</v>
      </c>
      <c r="BX27" s="229">
        <v>0</v>
      </c>
      <c r="BY27" s="230">
        <v>12959</v>
      </c>
      <c r="BZ27" s="230">
        <v>12479</v>
      </c>
      <c r="CA27" s="228">
        <v>480</v>
      </c>
      <c r="CB27" s="229">
        <v>3.85E-2</v>
      </c>
      <c r="CC27" s="230">
        <v>9558</v>
      </c>
      <c r="CD27" s="230">
        <v>9939</v>
      </c>
      <c r="CE27" s="228">
        <v>-382</v>
      </c>
      <c r="CF27" s="229">
        <v>-3.8399999999999997E-2</v>
      </c>
      <c r="CG27" s="230">
        <v>2962</v>
      </c>
      <c r="CH27" s="230">
        <v>2145</v>
      </c>
      <c r="CI27" s="228">
        <v>817</v>
      </c>
      <c r="CJ27" s="229">
        <v>0.38069999999999998</v>
      </c>
      <c r="CK27" s="228">
        <v>439</v>
      </c>
      <c r="CL27" s="228">
        <v>394</v>
      </c>
      <c r="CM27" s="228">
        <v>45</v>
      </c>
      <c r="CN27" s="229">
        <v>0.1143</v>
      </c>
      <c r="CO27" s="230">
        <v>116913</v>
      </c>
      <c r="CP27" s="230">
        <v>114463</v>
      </c>
      <c r="CQ27" s="230">
        <v>2450</v>
      </c>
      <c r="CR27" s="229">
        <v>2.1399999999999999E-2</v>
      </c>
      <c r="CS27" s="230">
        <v>146369</v>
      </c>
      <c r="CT27" s="230">
        <v>140469</v>
      </c>
      <c r="CU27" s="230">
        <v>5901</v>
      </c>
      <c r="CV27" s="229">
        <v>4.2000000000000003E-2</v>
      </c>
      <c r="CW27" s="230">
        <v>276242</v>
      </c>
      <c r="CX27" s="230">
        <v>267411</v>
      </c>
      <c r="CY27" s="230">
        <v>8830</v>
      </c>
      <c r="CZ27" s="229">
        <v>3.3000000000000002E-2</v>
      </c>
      <c r="DA27" s="228">
        <v>11.34</v>
      </c>
      <c r="DB27" s="228">
        <v>12.99</v>
      </c>
      <c r="DC27" s="228">
        <v>-1.65</v>
      </c>
      <c r="DD27" s="228">
        <v>-1.65</v>
      </c>
      <c r="DE27" s="228">
        <v>16.5</v>
      </c>
      <c r="DF27" s="228">
        <v>16.54</v>
      </c>
      <c r="DG27" s="228">
        <v>-5.16</v>
      </c>
      <c r="DH27" s="228">
        <v>-0.04</v>
      </c>
      <c r="DI27" s="228">
        <v>10.63</v>
      </c>
      <c r="DJ27" s="228">
        <v>12.12</v>
      </c>
      <c r="DK27" s="228">
        <v>-1.49</v>
      </c>
      <c r="DL27" s="228">
        <v>-1.49</v>
      </c>
      <c r="DM27" s="228">
        <v>11.93</v>
      </c>
      <c r="DN27" s="228">
        <v>13.88</v>
      </c>
      <c r="DO27" s="228">
        <v>-1.95</v>
      </c>
      <c r="DP27" s="228">
        <v>-1.95</v>
      </c>
      <c r="DQ27" s="228">
        <v>1.25</v>
      </c>
      <c r="DR27" s="228">
        <v>1.23</v>
      </c>
      <c r="DS27" s="228">
        <v>0.02</v>
      </c>
      <c r="DT27" s="229">
        <v>1.6299999999999999E-2</v>
      </c>
      <c r="DU27" s="231">
        <v>60000</v>
      </c>
      <c r="DV27" s="231">
        <v>58000</v>
      </c>
      <c r="DW27" s="228">
        <v>1</v>
      </c>
      <c r="DX27" s="228">
        <v>0.97</v>
      </c>
      <c r="DY27" s="228">
        <v>0.03</v>
      </c>
      <c r="DZ27" s="229">
        <v>3.09E-2</v>
      </c>
      <c r="EA27" s="229">
        <v>0.26250000000000001</v>
      </c>
      <c r="EB27" s="230">
        <v>427590</v>
      </c>
      <c r="EC27" s="229">
        <v>6.1000000000000004E-3</v>
      </c>
      <c r="ED27" s="229">
        <v>0.26250000000000001</v>
      </c>
      <c r="EE27" s="228">
        <v>367.42</v>
      </c>
      <c r="EF27" s="229">
        <v>6.1999999999999998E-3</v>
      </c>
      <c r="EG27" s="228">
        <v>0</v>
      </c>
      <c r="EH27" s="228">
        <v>0</v>
      </c>
      <c r="EI27" s="229">
        <v>0</v>
      </c>
      <c r="EJ27" s="229">
        <v>0</v>
      </c>
      <c r="EK27" s="231">
        <v>533517.41</v>
      </c>
      <c r="EL27" s="231">
        <v>515360.3</v>
      </c>
      <c r="EM27" s="231">
        <v>5981.42</v>
      </c>
      <c r="EN27" s="228">
        <v>0</v>
      </c>
      <c r="EO27" s="231">
        <v>1054859.1299999999</v>
      </c>
      <c r="EP27" s="231">
        <v>1151822.81</v>
      </c>
      <c r="EQ27" s="231">
        <v>-96963.68</v>
      </c>
      <c r="ER27" s="229">
        <v>-8.4199999999999997E-2</v>
      </c>
      <c r="ES27" s="231">
        <v>118060.67</v>
      </c>
      <c r="ET27" s="231">
        <v>140643.35999999999</v>
      </c>
      <c r="EU27" s="231">
        <v>12982.4</v>
      </c>
      <c r="EV27" s="228">
        <v>0</v>
      </c>
      <c r="EW27" s="231">
        <v>271686.43</v>
      </c>
      <c r="EX27" s="231">
        <v>262529.71000000002</v>
      </c>
      <c r="EY27" s="231">
        <v>9156.7199999999993</v>
      </c>
      <c r="EZ27" s="229">
        <v>3.49E-2</v>
      </c>
      <c r="FA27" s="229">
        <v>0</v>
      </c>
      <c r="FB27" s="227" t="s">
        <v>555</v>
      </c>
      <c r="FC27">
        <f t="shared" si="0"/>
        <v>3401</v>
      </c>
    </row>
    <row r="28" spans="1:159" ht="17.25" thickBot="1" x14ac:dyDescent="0.3">
      <c r="A28" s="226">
        <v>45981</v>
      </c>
      <c r="B28" s="227" t="s">
        <v>184</v>
      </c>
      <c r="C28" s="227" t="s">
        <v>672</v>
      </c>
      <c r="D28" s="228">
        <v>325</v>
      </c>
      <c r="E28" s="228">
        <v>5</v>
      </c>
      <c r="F28" s="231">
        <v>1557.2</v>
      </c>
      <c r="G28" s="231">
        <v>1540.8</v>
      </c>
      <c r="H28" s="228">
        <v>16.399999999999999</v>
      </c>
      <c r="I28" s="229">
        <v>1.06E-2</v>
      </c>
      <c r="J28" s="231">
        <v>1557</v>
      </c>
      <c r="K28" s="231">
        <v>1536.8</v>
      </c>
      <c r="L28" s="228">
        <v>20.2</v>
      </c>
      <c r="M28" s="229">
        <v>1.3100000000000001E-2</v>
      </c>
      <c r="N28" s="231">
        <v>1557.2</v>
      </c>
      <c r="O28" s="231">
        <v>1540.8</v>
      </c>
      <c r="P28" s="228">
        <v>16.399999999999999</v>
      </c>
      <c r="Q28" s="229">
        <v>1.06E-2</v>
      </c>
      <c r="R28" s="231">
        <v>1567.3</v>
      </c>
      <c r="S28" s="231">
        <v>1549.9</v>
      </c>
      <c r="T28" s="228">
        <v>17.399999999999999</v>
      </c>
      <c r="U28" s="229">
        <v>1.12E-2</v>
      </c>
      <c r="V28" s="231">
        <v>1575.9</v>
      </c>
      <c r="W28" s="231">
        <v>1559.7</v>
      </c>
      <c r="X28" s="228">
        <v>16.2</v>
      </c>
      <c r="Y28" s="229">
        <v>1.04E-2</v>
      </c>
      <c r="Z28" s="228">
        <v>0.2</v>
      </c>
      <c r="AA28" s="228">
        <v>4</v>
      </c>
      <c r="AB28" s="228">
        <v>-3.8</v>
      </c>
      <c r="AC28" s="229">
        <v>1E-4</v>
      </c>
      <c r="AD28" s="228">
        <v>0.2</v>
      </c>
      <c r="AE28" s="228">
        <v>4</v>
      </c>
      <c r="AF28" s="228">
        <v>-3.8</v>
      </c>
      <c r="AG28" s="229">
        <v>1E-4</v>
      </c>
      <c r="AH28" s="228">
        <v>10.3</v>
      </c>
      <c r="AI28" s="228">
        <v>13.1</v>
      </c>
      <c r="AJ28" s="228">
        <v>-2.8</v>
      </c>
      <c r="AK28" s="229">
        <v>6.6E-3</v>
      </c>
      <c r="AL28" s="228">
        <v>18.899999999999999</v>
      </c>
      <c r="AM28" s="228">
        <v>22.9</v>
      </c>
      <c r="AN28" s="228">
        <v>-4</v>
      </c>
      <c r="AO28" s="229">
        <v>1.21E-2</v>
      </c>
      <c r="AP28" s="231">
        <v>1564.07</v>
      </c>
      <c r="AQ28" s="231">
        <v>1573.69</v>
      </c>
      <c r="AR28" s="228">
        <v>0</v>
      </c>
      <c r="AS28" s="228">
        <v>467</v>
      </c>
      <c r="AT28" s="228">
        <v>252</v>
      </c>
      <c r="AU28" s="228">
        <v>216</v>
      </c>
      <c r="AV28" s="229">
        <v>0.85709999999999997</v>
      </c>
      <c r="AW28" s="228">
        <v>247</v>
      </c>
      <c r="AX28" s="228">
        <v>153</v>
      </c>
      <c r="AY28" s="228">
        <v>94</v>
      </c>
      <c r="AZ28" s="229">
        <v>0.61519999999999997</v>
      </c>
      <c r="BA28" s="228">
        <v>215</v>
      </c>
      <c r="BB28" s="228">
        <v>96</v>
      </c>
      <c r="BC28" s="228">
        <v>119</v>
      </c>
      <c r="BD28" s="229">
        <v>1.2363</v>
      </c>
      <c r="BE28" s="228">
        <v>5</v>
      </c>
      <c r="BF28" s="228">
        <v>2</v>
      </c>
      <c r="BG28" s="228">
        <v>2</v>
      </c>
      <c r="BH28" s="229">
        <v>1.0667</v>
      </c>
      <c r="BI28" s="230">
        <v>2570</v>
      </c>
      <c r="BJ28" s="230">
        <v>1355</v>
      </c>
      <c r="BK28" s="230">
        <v>1215</v>
      </c>
      <c r="BL28" s="229">
        <v>0.89700000000000002</v>
      </c>
      <c r="BM28" s="228">
        <v>683</v>
      </c>
      <c r="BN28" s="228">
        <v>715</v>
      </c>
      <c r="BO28" s="228">
        <v>-32</v>
      </c>
      <c r="BP28" s="229">
        <v>-4.4900000000000002E-2</v>
      </c>
      <c r="BQ28" s="230">
        <v>3721</v>
      </c>
      <c r="BR28" s="230">
        <v>2322</v>
      </c>
      <c r="BS28" s="230">
        <v>1399</v>
      </c>
      <c r="BT28" s="229">
        <v>0.60260000000000002</v>
      </c>
      <c r="BU28" s="230">
        <v>1902315</v>
      </c>
      <c r="BV28" s="230">
        <v>911856</v>
      </c>
      <c r="BW28" s="230">
        <v>990459</v>
      </c>
      <c r="BX28" s="229">
        <v>1.0862000000000001</v>
      </c>
      <c r="BY28" s="228">
        <v>878</v>
      </c>
      <c r="BZ28" s="228">
        <v>855</v>
      </c>
      <c r="CA28" s="228">
        <v>23</v>
      </c>
      <c r="CB28" s="229">
        <v>2.7199999999999998E-2</v>
      </c>
      <c r="CC28" s="228">
        <v>611</v>
      </c>
      <c r="CD28" s="228">
        <v>697</v>
      </c>
      <c r="CE28" s="228">
        <v>-86</v>
      </c>
      <c r="CF28" s="229">
        <v>-0.1237</v>
      </c>
      <c r="CG28" s="228">
        <v>255</v>
      </c>
      <c r="CH28" s="228">
        <v>147</v>
      </c>
      <c r="CI28" s="228">
        <v>108</v>
      </c>
      <c r="CJ28" s="229">
        <v>0.73209999999999997</v>
      </c>
      <c r="CK28" s="228">
        <v>12</v>
      </c>
      <c r="CL28" s="228">
        <v>10</v>
      </c>
      <c r="CM28" s="228">
        <v>2</v>
      </c>
      <c r="CN28" s="229">
        <v>0.1875</v>
      </c>
      <c r="CO28" s="228">
        <v>785</v>
      </c>
      <c r="CP28" s="228">
        <v>828</v>
      </c>
      <c r="CQ28" s="228">
        <v>-43</v>
      </c>
      <c r="CR28" s="229">
        <v>-5.1999999999999998E-2</v>
      </c>
      <c r="CS28" s="228">
        <v>469</v>
      </c>
      <c r="CT28" s="228">
        <v>488</v>
      </c>
      <c r="CU28" s="228">
        <v>-19</v>
      </c>
      <c r="CV28" s="229">
        <v>-3.7999999999999999E-2</v>
      </c>
      <c r="CW28" s="230">
        <v>2132</v>
      </c>
      <c r="CX28" s="230">
        <v>2171</v>
      </c>
      <c r="CY28" s="228">
        <v>-38</v>
      </c>
      <c r="CZ28" s="229">
        <v>-1.77E-2</v>
      </c>
      <c r="DA28" s="228">
        <v>31.12</v>
      </c>
      <c r="DB28" s="228">
        <v>30.07</v>
      </c>
      <c r="DC28" s="228">
        <v>1.05</v>
      </c>
      <c r="DD28" s="228">
        <v>1.05</v>
      </c>
      <c r="DE28" s="228">
        <v>51.89</v>
      </c>
      <c r="DF28" s="228">
        <v>52</v>
      </c>
      <c r="DG28" s="228">
        <v>-20.77</v>
      </c>
      <c r="DH28" s="228">
        <v>-0.11</v>
      </c>
      <c r="DI28" s="228">
        <v>30.99</v>
      </c>
      <c r="DJ28" s="228">
        <v>31.84</v>
      </c>
      <c r="DK28" s="228">
        <v>-0.85</v>
      </c>
      <c r="DL28" s="228">
        <v>-0.85</v>
      </c>
      <c r="DM28" s="228">
        <v>31.52</v>
      </c>
      <c r="DN28" s="228">
        <v>26.71</v>
      </c>
      <c r="DO28" s="228">
        <v>4.8099999999999996</v>
      </c>
      <c r="DP28" s="228">
        <v>4.8099999999999996</v>
      </c>
      <c r="DQ28" s="228">
        <v>0.6</v>
      </c>
      <c r="DR28" s="228">
        <v>0.59</v>
      </c>
      <c r="DS28" s="228">
        <v>0.01</v>
      </c>
      <c r="DT28" s="229">
        <v>1.6899999999999998E-2</v>
      </c>
      <c r="DU28" s="231">
        <v>1600</v>
      </c>
      <c r="DV28" s="231">
        <v>1500</v>
      </c>
      <c r="DW28" s="228">
        <v>0.27</v>
      </c>
      <c r="DX28" s="228">
        <v>0.53</v>
      </c>
      <c r="DY28" s="228">
        <v>-0.26</v>
      </c>
      <c r="DZ28" s="229">
        <v>-0.49059999999999998</v>
      </c>
      <c r="EA28" s="229">
        <v>0.30409999999999998</v>
      </c>
      <c r="EB28" s="230">
        <v>1011000</v>
      </c>
      <c r="EC28" s="229">
        <v>6.4999999999999997E-3</v>
      </c>
      <c r="ED28" s="229">
        <v>0.30409999999999998</v>
      </c>
      <c r="EE28" s="228">
        <v>9.6199999999999992</v>
      </c>
      <c r="EF28" s="229">
        <v>6.1999999999999998E-3</v>
      </c>
      <c r="EG28" s="230">
        <v>551704</v>
      </c>
      <c r="EH28" s="230">
        <v>363525</v>
      </c>
      <c r="EI28" s="229">
        <v>0.51770000000000005</v>
      </c>
      <c r="EJ28" s="229">
        <v>0.28999999999999998</v>
      </c>
      <c r="EK28" s="231">
        <v>2670.08</v>
      </c>
      <c r="EL28" s="228">
        <v>674.67</v>
      </c>
      <c r="EM28" s="228">
        <v>471.3</v>
      </c>
      <c r="EN28" s="228">
        <v>71.510000000000005</v>
      </c>
      <c r="EO28" s="231">
        <v>3816.05</v>
      </c>
      <c r="EP28" s="231">
        <v>2363.15</v>
      </c>
      <c r="EQ28" s="231">
        <v>1452.9</v>
      </c>
      <c r="ER28" s="229">
        <v>0.61480000000000001</v>
      </c>
      <c r="ES28" s="228">
        <v>817.16</v>
      </c>
      <c r="ET28" s="228">
        <v>457.3</v>
      </c>
      <c r="EU28" s="228">
        <v>879.89</v>
      </c>
      <c r="EV28" s="231">
        <v>13786716</v>
      </c>
      <c r="EW28" s="231">
        <v>2154.35</v>
      </c>
      <c r="EX28" s="231">
        <v>2184.4899999999998</v>
      </c>
      <c r="EY28" s="228">
        <v>-30.14</v>
      </c>
      <c r="EZ28" s="229">
        <v>-1.38E-2</v>
      </c>
      <c r="FA28" s="229">
        <v>0.99319999999999997</v>
      </c>
      <c r="FB28" s="227" t="s">
        <v>555</v>
      </c>
      <c r="FC28">
        <f t="shared" si="0"/>
        <v>267</v>
      </c>
    </row>
    <row r="29" spans="1:159" s="195" customFormat="1" ht="17.25" thickBot="1" x14ac:dyDescent="0.3">
      <c r="A29" s="226">
        <v>45981</v>
      </c>
      <c r="B29" s="227" t="s">
        <v>184</v>
      </c>
      <c r="C29" s="227" t="s">
        <v>185</v>
      </c>
      <c r="D29" s="228">
        <v>1425</v>
      </c>
      <c r="E29" s="228">
        <v>5</v>
      </c>
      <c r="F29" s="228">
        <v>423.6</v>
      </c>
      <c r="G29" s="228">
        <v>423.1</v>
      </c>
      <c r="H29" s="228">
        <v>0.5</v>
      </c>
      <c r="I29" s="229">
        <v>1.1999999999999999E-3</v>
      </c>
      <c r="J29" s="228">
        <v>423</v>
      </c>
      <c r="K29" s="228">
        <v>423.2</v>
      </c>
      <c r="L29" s="228">
        <v>-0.2</v>
      </c>
      <c r="M29" s="229">
        <v>-5.0000000000000001E-4</v>
      </c>
      <c r="N29" s="228">
        <v>423.6</v>
      </c>
      <c r="O29" s="228">
        <v>423.1</v>
      </c>
      <c r="P29" s="228">
        <v>0.5</v>
      </c>
      <c r="Q29" s="229">
        <v>1.1999999999999999E-3</v>
      </c>
      <c r="R29" s="228">
        <v>426.4</v>
      </c>
      <c r="S29" s="228">
        <v>425.85</v>
      </c>
      <c r="T29" s="228">
        <v>0.55000000000000004</v>
      </c>
      <c r="U29" s="229">
        <v>1.2999999999999999E-3</v>
      </c>
      <c r="V29" s="228">
        <v>429.1</v>
      </c>
      <c r="W29" s="228">
        <v>428.45</v>
      </c>
      <c r="X29" s="228">
        <v>0.65</v>
      </c>
      <c r="Y29" s="229">
        <v>1.5E-3</v>
      </c>
      <c r="Z29" s="228">
        <v>0.6</v>
      </c>
      <c r="AA29" s="228">
        <v>-0.1</v>
      </c>
      <c r="AB29" s="228">
        <v>0.7</v>
      </c>
      <c r="AC29" s="229">
        <v>1.4E-3</v>
      </c>
      <c r="AD29" s="228">
        <v>0.6</v>
      </c>
      <c r="AE29" s="228">
        <v>-0.1</v>
      </c>
      <c r="AF29" s="228">
        <v>0.7</v>
      </c>
      <c r="AG29" s="229">
        <v>1.4E-3</v>
      </c>
      <c r="AH29" s="228">
        <v>3.4</v>
      </c>
      <c r="AI29" s="228">
        <v>2.65</v>
      </c>
      <c r="AJ29" s="228">
        <v>0.75</v>
      </c>
      <c r="AK29" s="229">
        <v>8.0000000000000002E-3</v>
      </c>
      <c r="AL29" s="228">
        <v>6.1</v>
      </c>
      <c r="AM29" s="228">
        <v>5.25</v>
      </c>
      <c r="AN29" s="228">
        <v>0.85</v>
      </c>
      <c r="AO29" s="229">
        <v>1.44E-2</v>
      </c>
      <c r="AP29" s="228">
        <v>425.6</v>
      </c>
      <c r="AQ29" s="228">
        <v>428.36</v>
      </c>
      <c r="AR29" s="228">
        <v>0</v>
      </c>
      <c r="AS29" s="230">
        <v>1871</v>
      </c>
      <c r="AT29" s="228">
        <v>841</v>
      </c>
      <c r="AU29" s="230">
        <v>1030</v>
      </c>
      <c r="AV29" s="229">
        <v>1.2244999999999999</v>
      </c>
      <c r="AW29" s="230">
        <v>1057</v>
      </c>
      <c r="AX29" s="228">
        <v>538</v>
      </c>
      <c r="AY29" s="228">
        <v>519</v>
      </c>
      <c r="AZ29" s="229">
        <v>0.96399999999999997</v>
      </c>
      <c r="BA29" s="228">
        <v>799</v>
      </c>
      <c r="BB29" s="228">
        <v>287</v>
      </c>
      <c r="BC29" s="228">
        <v>512</v>
      </c>
      <c r="BD29" s="229">
        <v>1.7837000000000001</v>
      </c>
      <c r="BE29" s="228">
        <v>16</v>
      </c>
      <c r="BF29" s="228">
        <v>16</v>
      </c>
      <c r="BG29" s="228">
        <v>-1</v>
      </c>
      <c r="BH29" s="229">
        <v>-3.3799999999999997E-2</v>
      </c>
      <c r="BI29" s="230">
        <v>5314</v>
      </c>
      <c r="BJ29" s="230">
        <v>5278</v>
      </c>
      <c r="BK29" s="228">
        <v>36</v>
      </c>
      <c r="BL29" s="229">
        <v>6.7999999999999996E-3</v>
      </c>
      <c r="BM29" s="230">
        <v>2346</v>
      </c>
      <c r="BN29" s="230">
        <v>2752</v>
      </c>
      <c r="BO29" s="228">
        <v>-406</v>
      </c>
      <c r="BP29" s="229">
        <v>-0.14760000000000001</v>
      </c>
      <c r="BQ29" s="230">
        <v>9531</v>
      </c>
      <c r="BR29" s="230">
        <v>8872</v>
      </c>
      <c r="BS29" s="228">
        <v>660</v>
      </c>
      <c r="BT29" s="229">
        <v>7.4399999999999994E-2</v>
      </c>
      <c r="BU29" s="230">
        <v>11531947</v>
      </c>
      <c r="BV29" s="230">
        <v>10144350</v>
      </c>
      <c r="BW29" s="230">
        <v>1387597</v>
      </c>
      <c r="BX29" s="229">
        <v>0.1368</v>
      </c>
      <c r="BY29" s="230">
        <v>4760</v>
      </c>
      <c r="BZ29" s="230">
        <v>4923</v>
      </c>
      <c r="CA29" s="228">
        <v>-164</v>
      </c>
      <c r="CB29" s="229">
        <v>-3.32E-2</v>
      </c>
      <c r="CC29" s="230">
        <v>3201</v>
      </c>
      <c r="CD29" s="230">
        <v>3939</v>
      </c>
      <c r="CE29" s="228">
        <v>-738</v>
      </c>
      <c r="CF29" s="229">
        <v>-0.18740000000000001</v>
      </c>
      <c r="CG29" s="230">
        <v>1476</v>
      </c>
      <c r="CH29" s="228">
        <v>906</v>
      </c>
      <c r="CI29" s="228">
        <v>570</v>
      </c>
      <c r="CJ29" s="229">
        <v>0.629</v>
      </c>
      <c r="CK29" s="228">
        <v>83</v>
      </c>
      <c r="CL29" s="228">
        <v>78</v>
      </c>
      <c r="CM29" s="228">
        <v>5</v>
      </c>
      <c r="CN29" s="229">
        <v>5.96E-2</v>
      </c>
      <c r="CO29" s="230">
        <v>2833</v>
      </c>
      <c r="CP29" s="230">
        <v>3282</v>
      </c>
      <c r="CQ29" s="228">
        <v>-448</v>
      </c>
      <c r="CR29" s="229">
        <v>-0.13669999999999999</v>
      </c>
      <c r="CS29" s="230">
        <v>1588</v>
      </c>
      <c r="CT29" s="230">
        <v>1752</v>
      </c>
      <c r="CU29" s="228">
        <v>-163</v>
      </c>
      <c r="CV29" s="229">
        <v>-9.3100000000000002E-2</v>
      </c>
      <c r="CW29" s="230">
        <v>9181</v>
      </c>
      <c r="CX29" s="230">
        <v>9956</v>
      </c>
      <c r="CY29" s="228">
        <v>-775</v>
      </c>
      <c r="CZ29" s="229">
        <v>-7.7899999999999997E-2</v>
      </c>
      <c r="DA29" s="228">
        <v>23.86</v>
      </c>
      <c r="DB29" s="228">
        <v>25.73</v>
      </c>
      <c r="DC29" s="228">
        <v>-1.87</v>
      </c>
      <c r="DD29" s="228">
        <v>-1.87</v>
      </c>
      <c r="DE29" s="228">
        <v>36.56</v>
      </c>
      <c r="DF29" s="228">
        <v>36.659999999999997</v>
      </c>
      <c r="DG29" s="228">
        <v>-12.7</v>
      </c>
      <c r="DH29" s="228">
        <v>-0.1</v>
      </c>
      <c r="DI29" s="228">
        <v>24.09</v>
      </c>
      <c r="DJ29" s="228">
        <v>26.3</v>
      </c>
      <c r="DK29" s="228">
        <v>-2.21</v>
      </c>
      <c r="DL29" s="228">
        <v>-2.21</v>
      </c>
      <c r="DM29" s="228">
        <v>23.4</v>
      </c>
      <c r="DN29" s="228">
        <v>24.63</v>
      </c>
      <c r="DO29" s="228">
        <v>-1.23</v>
      </c>
      <c r="DP29" s="228">
        <v>-1.23</v>
      </c>
      <c r="DQ29" s="228">
        <v>0.56000000000000005</v>
      </c>
      <c r="DR29" s="228">
        <v>0.53</v>
      </c>
      <c r="DS29" s="228">
        <v>0.03</v>
      </c>
      <c r="DT29" s="229">
        <v>5.6599999999999998E-2</v>
      </c>
      <c r="DU29" s="228">
        <v>430</v>
      </c>
      <c r="DV29" s="228">
        <v>420</v>
      </c>
      <c r="DW29" s="228">
        <v>0.44</v>
      </c>
      <c r="DX29" s="228">
        <v>0.52</v>
      </c>
      <c r="DY29" s="228">
        <v>-0.08</v>
      </c>
      <c r="DZ29" s="229">
        <v>-0.15379999999999999</v>
      </c>
      <c r="EA29" s="229">
        <v>0.32750000000000001</v>
      </c>
      <c r="EB29" s="230">
        <v>23233200</v>
      </c>
      <c r="EC29" s="229">
        <v>6.6E-3</v>
      </c>
      <c r="ED29" s="229">
        <v>0.32750000000000001</v>
      </c>
      <c r="EE29" s="228">
        <v>2.76</v>
      </c>
      <c r="EF29" s="229">
        <v>6.4999999999999997E-3</v>
      </c>
      <c r="EG29" s="230">
        <v>6591309</v>
      </c>
      <c r="EH29" s="230">
        <v>5380596</v>
      </c>
      <c r="EI29" s="229">
        <v>0.22500000000000001</v>
      </c>
      <c r="EJ29" s="229">
        <v>0.5716</v>
      </c>
      <c r="EK29" s="231">
        <v>5517.86</v>
      </c>
      <c r="EL29" s="231">
        <v>2327.23</v>
      </c>
      <c r="EM29" s="231">
        <v>1885.57</v>
      </c>
      <c r="EN29" s="228">
        <v>132.84</v>
      </c>
      <c r="EO29" s="231">
        <v>9730.66</v>
      </c>
      <c r="EP29" s="231">
        <v>8984.08</v>
      </c>
      <c r="EQ29" s="228">
        <v>746.58</v>
      </c>
      <c r="ER29" s="229">
        <v>8.3099999999999993E-2</v>
      </c>
      <c r="ES29" s="231">
        <v>2910.81</v>
      </c>
      <c r="ET29" s="231">
        <v>1534.23</v>
      </c>
      <c r="EU29" s="231">
        <v>4770.45</v>
      </c>
      <c r="EV29" s="231">
        <v>535778534</v>
      </c>
      <c r="EW29" s="231">
        <v>9215.49</v>
      </c>
      <c r="EX29" s="231">
        <v>9990.85</v>
      </c>
      <c r="EY29" s="228">
        <v>-775.36</v>
      </c>
      <c r="EZ29" s="229">
        <v>-7.7600000000000002E-2</v>
      </c>
      <c r="FA29" s="229">
        <v>0.40450000000000003</v>
      </c>
      <c r="FB29" s="227" t="s">
        <v>556</v>
      </c>
      <c r="FC29" s="195">
        <f t="shared" si="0"/>
        <v>1559</v>
      </c>
    </row>
    <row r="30" spans="1:159" ht="17.25" thickBot="1" x14ac:dyDescent="0.3">
      <c r="A30" s="226">
        <v>45981</v>
      </c>
      <c r="B30" s="227" t="s">
        <v>162</v>
      </c>
      <c r="C30" s="227" t="s">
        <v>187</v>
      </c>
      <c r="D30" s="228">
        <v>500</v>
      </c>
      <c r="E30" s="228">
        <v>5</v>
      </c>
      <c r="F30" s="231">
        <v>1436</v>
      </c>
      <c r="G30" s="231">
        <v>1447.1</v>
      </c>
      <c r="H30" s="228">
        <v>-11.1</v>
      </c>
      <c r="I30" s="229">
        <v>-7.7000000000000002E-3</v>
      </c>
      <c r="J30" s="231">
        <v>1435.4</v>
      </c>
      <c r="K30" s="231">
        <v>1446.2</v>
      </c>
      <c r="L30" s="228">
        <v>-10.8</v>
      </c>
      <c r="M30" s="229">
        <v>-7.4999999999999997E-3</v>
      </c>
      <c r="N30" s="231">
        <v>1436</v>
      </c>
      <c r="O30" s="231">
        <v>1447.1</v>
      </c>
      <c r="P30" s="228">
        <v>-11.1</v>
      </c>
      <c r="Q30" s="229">
        <v>-7.7000000000000002E-3</v>
      </c>
      <c r="R30" s="231">
        <v>1439.9</v>
      </c>
      <c r="S30" s="231">
        <v>1444.7</v>
      </c>
      <c r="T30" s="228">
        <v>-4.8</v>
      </c>
      <c r="U30" s="229">
        <v>-3.3E-3</v>
      </c>
      <c r="V30" s="231">
        <v>1440.5</v>
      </c>
      <c r="W30" s="231">
        <v>1441.9</v>
      </c>
      <c r="X30" s="228">
        <v>-1.4</v>
      </c>
      <c r="Y30" s="229">
        <v>-1E-3</v>
      </c>
      <c r="Z30" s="228">
        <v>0.6</v>
      </c>
      <c r="AA30" s="228">
        <v>0.9</v>
      </c>
      <c r="AB30" s="228">
        <v>-0.3</v>
      </c>
      <c r="AC30" s="229">
        <v>4.0000000000000002E-4</v>
      </c>
      <c r="AD30" s="228">
        <v>0.6</v>
      </c>
      <c r="AE30" s="228">
        <v>0.9</v>
      </c>
      <c r="AF30" s="228">
        <v>-0.3</v>
      </c>
      <c r="AG30" s="229">
        <v>4.0000000000000002E-4</v>
      </c>
      <c r="AH30" s="228">
        <v>4.5</v>
      </c>
      <c r="AI30" s="228">
        <v>-1.5</v>
      </c>
      <c r="AJ30" s="228">
        <v>6</v>
      </c>
      <c r="AK30" s="229">
        <v>3.0999999999999999E-3</v>
      </c>
      <c r="AL30" s="228">
        <v>5.0999999999999996</v>
      </c>
      <c r="AM30" s="228">
        <v>-4.3</v>
      </c>
      <c r="AN30" s="228">
        <v>9.4</v>
      </c>
      <c r="AO30" s="229">
        <v>3.5999999999999999E-3</v>
      </c>
      <c r="AP30" s="231">
        <v>1442.02</v>
      </c>
      <c r="AQ30" s="231">
        <v>1441.34</v>
      </c>
      <c r="AR30" s="228">
        <v>0</v>
      </c>
      <c r="AS30" s="230">
        <v>1009</v>
      </c>
      <c r="AT30" s="228">
        <v>773</v>
      </c>
      <c r="AU30" s="228">
        <v>236</v>
      </c>
      <c r="AV30" s="229">
        <v>0.30590000000000001</v>
      </c>
      <c r="AW30" s="228">
        <v>548</v>
      </c>
      <c r="AX30" s="228">
        <v>541</v>
      </c>
      <c r="AY30" s="228">
        <v>7</v>
      </c>
      <c r="AZ30" s="229">
        <v>1.29E-2</v>
      </c>
      <c r="BA30" s="228">
        <v>456</v>
      </c>
      <c r="BB30" s="228">
        <v>218</v>
      </c>
      <c r="BC30" s="228">
        <v>238</v>
      </c>
      <c r="BD30" s="229">
        <v>1.0918000000000001</v>
      </c>
      <c r="BE30" s="228">
        <v>5</v>
      </c>
      <c r="BF30" s="228">
        <v>14</v>
      </c>
      <c r="BG30" s="228">
        <v>-9</v>
      </c>
      <c r="BH30" s="229">
        <v>-0.6421</v>
      </c>
      <c r="BI30" s="230">
        <v>1811</v>
      </c>
      <c r="BJ30" s="230">
        <v>5191</v>
      </c>
      <c r="BK30" s="230">
        <v>-3381</v>
      </c>
      <c r="BL30" s="229">
        <v>-0.6512</v>
      </c>
      <c r="BM30" s="228">
        <v>764</v>
      </c>
      <c r="BN30" s="230">
        <v>1735</v>
      </c>
      <c r="BO30" s="228">
        <v>-971</v>
      </c>
      <c r="BP30" s="229">
        <v>-0.5595</v>
      </c>
      <c r="BQ30" s="230">
        <v>3584</v>
      </c>
      <c r="BR30" s="230">
        <v>7699</v>
      </c>
      <c r="BS30" s="230">
        <v>-4115</v>
      </c>
      <c r="BT30" s="229">
        <v>-0.53439999999999999</v>
      </c>
      <c r="BU30" s="230">
        <v>953809</v>
      </c>
      <c r="BV30" s="230">
        <v>2602228</v>
      </c>
      <c r="BW30" s="230">
        <v>-1648419</v>
      </c>
      <c r="BX30" s="229">
        <v>-0.63349999999999995</v>
      </c>
      <c r="BY30" s="230">
        <v>1358</v>
      </c>
      <c r="BZ30" s="230">
        <v>1453</v>
      </c>
      <c r="CA30" s="228">
        <v>-94</v>
      </c>
      <c r="CB30" s="229">
        <v>-6.4899999999999999E-2</v>
      </c>
      <c r="CC30" s="228">
        <v>880</v>
      </c>
      <c r="CD30" s="230">
        <v>1192</v>
      </c>
      <c r="CE30" s="228">
        <v>-312</v>
      </c>
      <c r="CF30" s="229">
        <v>-0.26200000000000001</v>
      </c>
      <c r="CG30" s="228">
        <v>468</v>
      </c>
      <c r="CH30" s="228">
        <v>251</v>
      </c>
      <c r="CI30" s="228">
        <v>217</v>
      </c>
      <c r="CJ30" s="229">
        <v>0.86429999999999996</v>
      </c>
      <c r="CK30" s="228">
        <v>11</v>
      </c>
      <c r="CL30" s="228">
        <v>10</v>
      </c>
      <c r="CM30" s="228">
        <v>1</v>
      </c>
      <c r="CN30" s="229">
        <v>0.14069999999999999</v>
      </c>
      <c r="CO30" s="228">
        <v>628</v>
      </c>
      <c r="CP30" s="228">
        <v>634</v>
      </c>
      <c r="CQ30" s="228">
        <v>-6</v>
      </c>
      <c r="CR30" s="229">
        <v>-9.7999999999999997E-3</v>
      </c>
      <c r="CS30" s="228">
        <v>500</v>
      </c>
      <c r="CT30" s="228">
        <v>554</v>
      </c>
      <c r="CU30" s="228">
        <v>-54</v>
      </c>
      <c r="CV30" s="229">
        <v>-9.7500000000000003E-2</v>
      </c>
      <c r="CW30" s="230">
        <v>2486</v>
      </c>
      <c r="CX30" s="230">
        <v>2641</v>
      </c>
      <c r="CY30" s="228">
        <v>-155</v>
      </c>
      <c r="CZ30" s="229">
        <v>-5.8500000000000003E-2</v>
      </c>
      <c r="DA30" s="228">
        <v>26.4</v>
      </c>
      <c r="DB30" s="228">
        <v>30.44</v>
      </c>
      <c r="DC30" s="228">
        <v>-4.04</v>
      </c>
      <c r="DD30" s="228">
        <v>-4.04</v>
      </c>
      <c r="DE30" s="228">
        <v>38.46</v>
      </c>
      <c r="DF30" s="228">
        <v>38.549999999999997</v>
      </c>
      <c r="DG30" s="228">
        <v>-12.06</v>
      </c>
      <c r="DH30" s="228">
        <v>-0.09</v>
      </c>
      <c r="DI30" s="228">
        <v>26.33</v>
      </c>
      <c r="DJ30" s="228">
        <v>29.82</v>
      </c>
      <c r="DK30" s="228">
        <v>-3.49</v>
      </c>
      <c r="DL30" s="228">
        <v>-3.49</v>
      </c>
      <c r="DM30" s="228">
        <v>26.59</v>
      </c>
      <c r="DN30" s="228">
        <v>32.31</v>
      </c>
      <c r="DO30" s="228">
        <v>-5.72</v>
      </c>
      <c r="DP30" s="228">
        <v>-5.72</v>
      </c>
      <c r="DQ30" s="228">
        <v>0.8</v>
      </c>
      <c r="DR30" s="228">
        <v>0.87</v>
      </c>
      <c r="DS30" s="228">
        <v>-7.0000000000000007E-2</v>
      </c>
      <c r="DT30" s="229">
        <v>-8.0500000000000002E-2</v>
      </c>
      <c r="DU30" s="231">
        <v>1460</v>
      </c>
      <c r="DV30" s="231">
        <v>1300</v>
      </c>
      <c r="DW30" s="228">
        <v>0.42</v>
      </c>
      <c r="DX30" s="228">
        <v>0.33</v>
      </c>
      <c r="DY30" s="228">
        <v>0.09</v>
      </c>
      <c r="DZ30" s="229">
        <v>0.2727</v>
      </c>
      <c r="EA30" s="229">
        <v>0.3523</v>
      </c>
      <c r="EB30" s="230">
        <v>1814000</v>
      </c>
      <c r="EC30" s="229">
        <v>2.7000000000000001E-3</v>
      </c>
      <c r="ED30" s="229">
        <v>0.3523</v>
      </c>
      <c r="EE30" s="228">
        <v>-0.68</v>
      </c>
      <c r="EF30" s="229">
        <v>-5.0000000000000001E-4</v>
      </c>
      <c r="EG30" s="230">
        <v>400703</v>
      </c>
      <c r="EH30" s="230">
        <v>884313</v>
      </c>
      <c r="EI30" s="229">
        <v>-0.54690000000000005</v>
      </c>
      <c r="EJ30" s="229">
        <v>0.42009999999999997</v>
      </c>
      <c r="EK30" s="231">
        <v>1870.29</v>
      </c>
      <c r="EL30" s="228">
        <v>749.64</v>
      </c>
      <c r="EM30" s="231">
        <v>1013.32</v>
      </c>
      <c r="EN30" s="228">
        <v>60.99</v>
      </c>
      <c r="EO30" s="231">
        <v>3633.25</v>
      </c>
      <c r="EP30" s="231">
        <v>7750.86</v>
      </c>
      <c r="EQ30" s="231">
        <v>-4117.62</v>
      </c>
      <c r="ER30" s="229">
        <v>-0.53120000000000001</v>
      </c>
      <c r="ES30" s="228">
        <v>628.55999999999995</v>
      </c>
      <c r="ET30" s="228">
        <v>467.92</v>
      </c>
      <c r="EU30" s="231">
        <v>1359.76</v>
      </c>
      <c r="EV30" s="231">
        <v>35155737</v>
      </c>
      <c r="EW30" s="231">
        <v>2456.25</v>
      </c>
      <c r="EX30" s="231">
        <v>2614.4</v>
      </c>
      <c r="EY30" s="228">
        <v>-158.15</v>
      </c>
      <c r="EZ30" s="229">
        <v>-6.0499999999999998E-2</v>
      </c>
      <c r="FA30" s="229">
        <v>0.49249999999999999</v>
      </c>
      <c r="FB30" s="227" t="s">
        <v>568</v>
      </c>
      <c r="FC30">
        <f t="shared" si="0"/>
        <v>478</v>
      </c>
    </row>
    <row r="31" spans="1:159" ht="17.25" thickBot="1" x14ac:dyDescent="0.3">
      <c r="A31" s="226">
        <v>45981</v>
      </c>
      <c r="B31" s="227" t="s">
        <v>188</v>
      </c>
      <c r="C31" s="227" t="s">
        <v>189</v>
      </c>
      <c r="D31" s="228">
        <v>475</v>
      </c>
      <c r="E31" s="228">
        <v>5</v>
      </c>
      <c r="F31" s="231">
        <v>2158.9</v>
      </c>
      <c r="G31" s="231">
        <v>2158.8000000000002</v>
      </c>
      <c r="H31" s="228">
        <v>0.1</v>
      </c>
      <c r="I31" s="229">
        <v>0</v>
      </c>
      <c r="J31" s="231">
        <v>2158.3000000000002</v>
      </c>
      <c r="K31" s="231">
        <v>2159.8000000000002</v>
      </c>
      <c r="L31" s="228">
        <v>-1.5</v>
      </c>
      <c r="M31" s="229">
        <v>-6.9999999999999999E-4</v>
      </c>
      <c r="N31" s="231">
        <v>2158.9</v>
      </c>
      <c r="O31" s="231">
        <v>2158.8000000000002</v>
      </c>
      <c r="P31" s="228">
        <v>0.1</v>
      </c>
      <c r="Q31" s="229">
        <v>0</v>
      </c>
      <c r="R31" s="231">
        <v>2174.6999999999998</v>
      </c>
      <c r="S31" s="231">
        <v>2173.4</v>
      </c>
      <c r="T31" s="228">
        <v>1.3</v>
      </c>
      <c r="U31" s="229">
        <v>5.9999999999999995E-4</v>
      </c>
      <c r="V31" s="231">
        <v>2187</v>
      </c>
      <c r="W31" s="231">
        <v>2185.1999999999998</v>
      </c>
      <c r="X31" s="228">
        <v>1.8</v>
      </c>
      <c r="Y31" s="229">
        <v>8.0000000000000004E-4</v>
      </c>
      <c r="Z31" s="228">
        <v>0.6</v>
      </c>
      <c r="AA31" s="228">
        <v>-1</v>
      </c>
      <c r="AB31" s="228">
        <v>1.6</v>
      </c>
      <c r="AC31" s="229">
        <v>2.9999999999999997E-4</v>
      </c>
      <c r="AD31" s="228">
        <v>0.6</v>
      </c>
      <c r="AE31" s="228">
        <v>-1</v>
      </c>
      <c r="AF31" s="228">
        <v>1.6</v>
      </c>
      <c r="AG31" s="229">
        <v>2.9999999999999997E-4</v>
      </c>
      <c r="AH31" s="228">
        <v>16.399999999999999</v>
      </c>
      <c r="AI31" s="228">
        <v>13.6</v>
      </c>
      <c r="AJ31" s="228">
        <v>2.8</v>
      </c>
      <c r="AK31" s="229">
        <v>7.6E-3</v>
      </c>
      <c r="AL31" s="228">
        <v>28.7</v>
      </c>
      <c r="AM31" s="228">
        <v>25.4</v>
      </c>
      <c r="AN31" s="228">
        <v>3.3</v>
      </c>
      <c r="AO31" s="229">
        <v>1.3299999999999999E-2</v>
      </c>
      <c r="AP31" s="231">
        <v>2160.5500000000002</v>
      </c>
      <c r="AQ31" s="231">
        <v>2176.1999999999998</v>
      </c>
      <c r="AR31" s="228">
        <v>0</v>
      </c>
      <c r="AS31" s="230">
        <v>5722</v>
      </c>
      <c r="AT31" s="230">
        <v>1431</v>
      </c>
      <c r="AU31" s="230">
        <v>4292</v>
      </c>
      <c r="AV31" s="229">
        <v>2.9994000000000001</v>
      </c>
      <c r="AW31" s="230">
        <v>3020</v>
      </c>
      <c r="AX31" s="230">
        <v>1102</v>
      </c>
      <c r="AY31" s="230">
        <v>1919</v>
      </c>
      <c r="AZ31" s="229">
        <v>1.7413000000000001</v>
      </c>
      <c r="BA31" s="230">
        <v>2694</v>
      </c>
      <c r="BB31" s="228">
        <v>319</v>
      </c>
      <c r="BC31" s="230">
        <v>2376</v>
      </c>
      <c r="BD31" s="229">
        <v>7.4557000000000002</v>
      </c>
      <c r="BE31" s="228">
        <v>8</v>
      </c>
      <c r="BF31" s="228">
        <v>10</v>
      </c>
      <c r="BG31" s="228">
        <v>-2</v>
      </c>
      <c r="BH31" s="229">
        <v>-0.23530000000000001</v>
      </c>
      <c r="BI31" s="230">
        <v>7580</v>
      </c>
      <c r="BJ31" s="230">
        <v>6723</v>
      </c>
      <c r="BK31" s="228">
        <v>857</v>
      </c>
      <c r="BL31" s="229">
        <v>0.1275</v>
      </c>
      <c r="BM31" s="230">
        <v>5804</v>
      </c>
      <c r="BN31" s="230">
        <v>5227</v>
      </c>
      <c r="BO31" s="228">
        <v>577</v>
      </c>
      <c r="BP31" s="229">
        <v>0.1103</v>
      </c>
      <c r="BQ31" s="230">
        <v>19106</v>
      </c>
      <c r="BR31" s="230">
        <v>13381</v>
      </c>
      <c r="BS31" s="230">
        <v>5725</v>
      </c>
      <c r="BT31" s="229">
        <v>0.42780000000000001</v>
      </c>
      <c r="BU31" s="230">
        <v>7877407</v>
      </c>
      <c r="BV31" s="230">
        <v>7594816</v>
      </c>
      <c r="BW31" s="230">
        <v>282591</v>
      </c>
      <c r="BX31" s="229">
        <v>3.7199999999999997E-2</v>
      </c>
      <c r="BY31" s="230">
        <v>9259</v>
      </c>
      <c r="BZ31" s="230">
        <v>9026</v>
      </c>
      <c r="CA31" s="228">
        <v>233</v>
      </c>
      <c r="CB31" s="229">
        <v>2.58E-2</v>
      </c>
      <c r="CC31" s="230">
        <v>5022</v>
      </c>
      <c r="CD31" s="230">
        <v>7207</v>
      </c>
      <c r="CE31" s="230">
        <v>-2185</v>
      </c>
      <c r="CF31" s="229">
        <v>-0.30320000000000003</v>
      </c>
      <c r="CG31" s="230">
        <v>4162</v>
      </c>
      <c r="CH31" s="230">
        <v>1747</v>
      </c>
      <c r="CI31" s="230">
        <v>2416</v>
      </c>
      <c r="CJ31" s="229">
        <v>1.383</v>
      </c>
      <c r="CK31" s="228">
        <v>75</v>
      </c>
      <c r="CL31" s="228">
        <v>73</v>
      </c>
      <c r="CM31" s="228">
        <v>2</v>
      </c>
      <c r="CN31" s="229">
        <v>2.8199999999999999E-2</v>
      </c>
      <c r="CO31" s="230">
        <v>4335</v>
      </c>
      <c r="CP31" s="230">
        <v>4604</v>
      </c>
      <c r="CQ31" s="228">
        <v>-269</v>
      </c>
      <c r="CR31" s="229">
        <v>-5.8400000000000001E-2</v>
      </c>
      <c r="CS31" s="230">
        <v>2901</v>
      </c>
      <c r="CT31" s="230">
        <v>3099</v>
      </c>
      <c r="CU31" s="228">
        <v>-198</v>
      </c>
      <c r="CV31" s="229">
        <v>-6.3899999999999998E-2</v>
      </c>
      <c r="CW31" s="230">
        <v>16496</v>
      </c>
      <c r="CX31" s="230">
        <v>16730</v>
      </c>
      <c r="CY31" s="228">
        <v>-234</v>
      </c>
      <c r="CZ31" s="229">
        <v>-1.4E-2</v>
      </c>
      <c r="DA31" s="228">
        <v>17.329999999999998</v>
      </c>
      <c r="DB31" s="228">
        <v>17.77</v>
      </c>
      <c r="DC31" s="228">
        <v>-0.44</v>
      </c>
      <c r="DD31" s="228">
        <v>-0.44</v>
      </c>
      <c r="DE31" s="228">
        <v>25.26</v>
      </c>
      <c r="DF31" s="228">
        <v>25.32</v>
      </c>
      <c r="DG31" s="228">
        <v>-7.93</v>
      </c>
      <c r="DH31" s="228">
        <v>-0.06</v>
      </c>
      <c r="DI31" s="228">
        <v>16.89</v>
      </c>
      <c r="DJ31" s="228">
        <v>17.059999999999999</v>
      </c>
      <c r="DK31" s="228">
        <v>-0.17</v>
      </c>
      <c r="DL31" s="228">
        <v>-0.17</v>
      </c>
      <c r="DM31" s="228">
        <v>17.88</v>
      </c>
      <c r="DN31" s="228">
        <v>18.68</v>
      </c>
      <c r="DO31" s="228">
        <v>-0.8</v>
      </c>
      <c r="DP31" s="228">
        <v>-0.8</v>
      </c>
      <c r="DQ31" s="228">
        <v>0.67</v>
      </c>
      <c r="DR31" s="228">
        <v>0.67</v>
      </c>
      <c r="DS31" s="228">
        <v>0</v>
      </c>
      <c r="DT31" s="229">
        <v>0</v>
      </c>
      <c r="DU31" s="231">
        <v>2100</v>
      </c>
      <c r="DV31" s="231">
        <v>2100</v>
      </c>
      <c r="DW31" s="228">
        <v>0.77</v>
      </c>
      <c r="DX31" s="228">
        <v>0.78</v>
      </c>
      <c r="DY31" s="228">
        <v>-0.01</v>
      </c>
      <c r="DZ31" s="229">
        <v>-1.2800000000000001E-2</v>
      </c>
      <c r="EA31" s="229">
        <v>0.45760000000000001</v>
      </c>
      <c r="EB31" s="230">
        <v>8426975</v>
      </c>
      <c r="EC31" s="229">
        <v>7.3000000000000001E-3</v>
      </c>
      <c r="ED31" s="229">
        <v>0.45760000000000001</v>
      </c>
      <c r="EE31" s="228">
        <v>15.65</v>
      </c>
      <c r="EF31" s="229">
        <v>7.1999999999999998E-3</v>
      </c>
      <c r="EG31" s="230">
        <v>4571511</v>
      </c>
      <c r="EH31" s="230">
        <v>5771230</v>
      </c>
      <c r="EI31" s="229">
        <v>-0.2079</v>
      </c>
      <c r="EJ31" s="229">
        <v>0.58030000000000004</v>
      </c>
      <c r="EK31" s="231">
        <v>7723.7</v>
      </c>
      <c r="EL31" s="231">
        <v>5699.65</v>
      </c>
      <c r="EM31" s="231">
        <v>5746.47</v>
      </c>
      <c r="EN31" s="228">
        <v>131.66999999999999</v>
      </c>
      <c r="EO31" s="231">
        <v>19169.82</v>
      </c>
      <c r="EP31" s="231">
        <v>13394.96</v>
      </c>
      <c r="EQ31" s="231">
        <v>5774.87</v>
      </c>
      <c r="ER31" s="229">
        <v>0.43109999999999998</v>
      </c>
      <c r="ES31" s="231">
        <v>4316.72</v>
      </c>
      <c r="ET31" s="231">
        <v>2768.76</v>
      </c>
      <c r="EU31" s="231">
        <v>9290.3700000000008</v>
      </c>
      <c r="EV31" s="231">
        <v>314058656</v>
      </c>
      <c r="EW31" s="231">
        <v>16375.85</v>
      </c>
      <c r="EX31" s="231">
        <v>16576.080000000002</v>
      </c>
      <c r="EY31" s="228">
        <v>-200.23</v>
      </c>
      <c r="EZ31" s="229">
        <v>-1.21E-2</v>
      </c>
      <c r="FA31" s="229">
        <v>0.24329999999999999</v>
      </c>
      <c r="FB31" s="227" t="s">
        <v>237</v>
      </c>
      <c r="FC31">
        <f t="shared" si="0"/>
        <v>4237</v>
      </c>
    </row>
    <row r="32" spans="1:159" ht="17.25" thickBot="1" x14ac:dyDescent="0.3">
      <c r="A32" s="226">
        <v>45981</v>
      </c>
      <c r="B32" s="227" t="s">
        <v>184</v>
      </c>
      <c r="C32" s="227" t="s">
        <v>190</v>
      </c>
      <c r="D32" s="228">
        <v>2625</v>
      </c>
      <c r="E32" s="228">
        <v>5</v>
      </c>
      <c r="F32" s="228">
        <v>285.75</v>
      </c>
      <c r="G32" s="228">
        <v>289</v>
      </c>
      <c r="H32" s="228">
        <v>-3.25</v>
      </c>
      <c r="I32" s="229">
        <v>-1.12E-2</v>
      </c>
      <c r="J32" s="228">
        <v>285.25</v>
      </c>
      <c r="K32" s="228">
        <v>289.2</v>
      </c>
      <c r="L32" s="228">
        <v>-3.95</v>
      </c>
      <c r="M32" s="229">
        <v>-1.37E-2</v>
      </c>
      <c r="N32" s="228">
        <v>285.75</v>
      </c>
      <c r="O32" s="228">
        <v>289</v>
      </c>
      <c r="P32" s="228">
        <v>-3.25</v>
      </c>
      <c r="Q32" s="229">
        <v>-1.12E-2</v>
      </c>
      <c r="R32" s="228">
        <v>287.64999999999998</v>
      </c>
      <c r="S32" s="228">
        <v>291.10000000000002</v>
      </c>
      <c r="T32" s="228">
        <v>-3.45</v>
      </c>
      <c r="U32" s="229">
        <v>-1.1900000000000001E-2</v>
      </c>
      <c r="V32" s="228">
        <v>289.25</v>
      </c>
      <c r="W32" s="228">
        <v>292.85000000000002</v>
      </c>
      <c r="X32" s="228">
        <v>-3.6</v>
      </c>
      <c r="Y32" s="229">
        <v>-1.23E-2</v>
      </c>
      <c r="Z32" s="228">
        <v>0.5</v>
      </c>
      <c r="AA32" s="228">
        <v>-0.2</v>
      </c>
      <c r="AB32" s="228">
        <v>0.7</v>
      </c>
      <c r="AC32" s="229">
        <v>1.8E-3</v>
      </c>
      <c r="AD32" s="228">
        <v>0.5</v>
      </c>
      <c r="AE32" s="228">
        <v>-0.2</v>
      </c>
      <c r="AF32" s="228">
        <v>0.7</v>
      </c>
      <c r="AG32" s="229">
        <v>1.8E-3</v>
      </c>
      <c r="AH32" s="228">
        <v>2.4</v>
      </c>
      <c r="AI32" s="228">
        <v>1.9</v>
      </c>
      <c r="AJ32" s="228">
        <v>0.5</v>
      </c>
      <c r="AK32" s="229">
        <v>8.3999999999999995E-3</v>
      </c>
      <c r="AL32" s="228">
        <v>4</v>
      </c>
      <c r="AM32" s="228">
        <v>3.65</v>
      </c>
      <c r="AN32" s="228">
        <v>0.35</v>
      </c>
      <c r="AO32" s="229">
        <v>1.4E-2</v>
      </c>
      <c r="AP32" s="228">
        <v>287.86</v>
      </c>
      <c r="AQ32" s="228">
        <v>289.77999999999997</v>
      </c>
      <c r="AR32" s="228">
        <v>0</v>
      </c>
      <c r="AS32" s="230">
        <v>1005</v>
      </c>
      <c r="AT32" s="228">
        <v>638</v>
      </c>
      <c r="AU32" s="228">
        <v>367</v>
      </c>
      <c r="AV32" s="229">
        <v>0.57599999999999996</v>
      </c>
      <c r="AW32" s="228">
        <v>566</v>
      </c>
      <c r="AX32" s="228">
        <v>488</v>
      </c>
      <c r="AY32" s="228">
        <v>78</v>
      </c>
      <c r="AZ32" s="229">
        <v>0.16039999999999999</v>
      </c>
      <c r="BA32" s="228">
        <v>434</v>
      </c>
      <c r="BB32" s="228">
        <v>143</v>
      </c>
      <c r="BC32" s="228">
        <v>292</v>
      </c>
      <c r="BD32" s="229">
        <v>2.0447000000000002</v>
      </c>
      <c r="BE32" s="228">
        <v>5</v>
      </c>
      <c r="BF32" s="228">
        <v>7</v>
      </c>
      <c r="BG32" s="228">
        <v>-2</v>
      </c>
      <c r="BH32" s="229">
        <v>-0.32319999999999999</v>
      </c>
      <c r="BI32" s="230">
        <v>2765</v>
      </c>
      <c r="BJ32" s="230">
        <v>4081</v>
      </c>
      <c r="BK32" s="230">
        <v>-1316</v>
      </c>
      <c r="BL32" s="229">
        <v>-0.32250000000000001</v>
      </c>
      <c r="BM32" s="230">
        <v>1467</v>
      </c>
      <c r="BN32" s="230">
        <v>2080</v>
      </c>
      <c r="BO32" s="228">
        <v>-613</v>
      </c>
      <c r="BP32" s="229">
        <v>-0.29449999999999998</v>
      </c>
      <c r="BQ32" s="230">
        <v>5238</v>
      </c>
      <c r="BR32" s="230">
        <v>6799</v>
      </c>
      <c r="BS32" s="230">
        <v>-1561</v>
      </c>
      <c r="BT32" s="229">
        <v>-0.2296</v>
      </c>
      <c r="BU32" s="230">
        <v>9436706</v>
      </c>
      <c r="BV32" s="230">
        <v>15233060</v>
      </c>
      <c r="BW32" s="230">
        <v>-5796354</v>
      </c>
      <c r="BX32" s="229">
        <v>-0.3805</v>
      </c>
      <c r="BY32" s="230">
        <v>1724</v>
      </c>
      <c r="BZ32" s="230">
        <v>1761</v>
      </c>
      <c r="CA32" s="228">
        <v>-37</v>
      </c>
      <c r="CB32" s="229">
        <v>-2.0899999999999998E-2</v>
      </c>
      <c r="CC32" s="230">
        <v>1184</v>
      </c>
      <c r="CD32" s="230">
        <v>1541</v>
      </c>
      <c r="CE32" s="228">
        <v>-357</v>
      </c>
      <c r="CF32" s="229">
        <v>-0.23180000000000001</v>
      </c>
      <c r="CG32" s="228">
        <v>515</v>
      </c>
      <c r="CH32" s="228">
        <v>195</v>
      </c>
      <c r="CI32" s="228">
        <v>320</v>
      </c>
      <c r="CJ32" s="229">
        <v>1.6438999999999999</v>
      </c>
      <c r="CK32" s="228">
        <v>26</v>
      </c>
      <c r="CL32" s="228">
        <v>25</v>
      </c>
      <c r="CM32" s="228">
        <v>1</v>
      </c>
      <c r="CN32" s="229">
        <v>2.1000000000000001E-2</v>
      </c>
      <c r="CO32" s="230">
        <v>1493</v>
      </c>
      <c r="CP32" s="230">
        <v>1531</v>
      </c>
      <c r="CQ32" s="228">
        <v>-38</v>
      </c>
      <c r="CR32" s="229">
        <v>-2.5100000000000001E-2</v>
      </c>
      <c r="CS32" s="230">
        <v>1195</v>
      </c>
      <c r="CT32" s="230">
        <v>1309</v>
      </c>
      <c r="CU32" s="228">
        <v>-114</v>
      </c>
      <c r="CV32" s="229">
        <v>-8.6900000000000005E-2</v>
      </c>
      <c r="CW32" s="230">
        <v>4412</v>
      </c>
      <c r="CX32" s="230">
        <v>4601</v>
      </c>
      <c r="CY32" s="228">
        <v>-189</v>
      </c>
      <c r="CZ32" s="229">
        <v>-4.1099999999999998E-2</v>
      </c>
      <c r="DA32" s="228">
        <v>28.6</v>
      </c>
      <c r="DB32" s="228">
        <v>29.32</v>
      </c>
      <c r="DC32" s="228">
        <v>-0.72</v>
      </c>
      <c r="DD32" s="228">
        <v>-0.72</v>
      </c>
      <c r="DE32" s="228">
        <v>45.37</v>
      </c>
      <c r="DF32" s="228">
        <v>45.46</v>
      </c>
      <c r="DG32" s="228">
        <v>-16.77</v>
      </c>
      <c r="DH32" s="228">
        <v>-0.09</v>
      </c>
      <c r="DI32" s="228">
        <v>28.71</v>
      </c>
      <c r="DJ32" s="228">
        <v>28.6</v>
      </c>
      <c r="DK32" s="228">
        <v>0.11</v>
      </c>
      <c r="DL32" s="228">
        <v>0.11</v>
      </c>
      <c r="DM32" s="228">
        <v>28.33</v>
      </c>
      <c r="DN32" s="228">
        <v>30.71</v>
      </c>
      <c r="DO32" s="228">
        <v>-2.38</v>
      </c>
      <c r="DP32" s="228">
        <v>-2.38</v>
      </c>
      <c r="DQ32" s="228">
        <v>0.8</v>
      </c>
      <c r="DR32" s="228">
        <v>0.85</v>
      </c>
      <c r="DS32" s="228">
        <v>-0.05</v>
      </c>
      <c r="DT32" s="229">
        <v>-5.8799999999999998E-2</v>
      </c>
      <c r="DU32" s="228">
        <v>290</v>
      </c>
      <c r="DV32" s="228">
        <v>260</v>
      </c>
      <c r="DW32" s="228">
        <v>0.53</v>
      </c>
      <c r="DX32" s="228">
        <v>0.51</v>
      </c>
      <c r="DY32" s="228">
        <v>0.02</v>
      </c>
      <c r="DZ32" s="229">
        <v>3.9199999999999999E-2</v>
      </c>
      <c r="EA32" s="229">
        <v>0.31330000000000002</v>
      </c>
      <c r="EB32" s="230">
        <v>7686000</v>
      </c>
      <c r="EC32" s="229">
        <v>6.6E-3</v>
      </c>
      <c r="ED32" s="229">
        <v>0.31330000000000002</v>
      </c>
      <c r="EE32" s="228">
        <v>1.92</v>
      </c>
      <c r="EF32" s="229">
        <v>6.7000000000000002E-3</v>
      </c>
      <c r="EG32" s="230">
        <v>4916589</v>
      </c>
      <c r="EH32" s="230">
        <v>6764837</v>
      </c>
      <c r="EI32" s="229">
        <v>-0.2732</v>
      </c>
      <c r="EJ32" s="229">
        <v>0.52100000000000002</v>
      </c>
      <c r="EK32" s="231">
        <v>2879.94</v>
      </c>
      <c r="EL32" s="231">
        <v>1437.01</v>
      </c>
      <c r="EM32" s="231">
        <v>1015.66</v>
      </c>
      <c r="EN32" s="228">
        <v>64.069999999999993</v>
      </c>
      <c r="EO32" s="231">
        <v>5332.62</v>
      </c>
      <c r="EP32" s="231">
        <v>6958.9</v>
      </c>
      <c r="EQ32" s="231">
        <v>-1626.29</v>
      </c>
      <c r="ER32" s="229">
        <v>-0.23369999999999999</v>
      </c>
      <c r="ES32" s="231">
        <v>1502.57</v>
      </c>
      <c r="ET32" s="231">
        <v>1100.8499999999999</v>
      </c>
      <c r="EU32" s="231">
        <v>1727.97</v>
      </c>
      <c r="EV32" s="231">
        <v>169029877</v>
      </c>
      <c r="EW32" s="231">
        <v>4331.3900000000003</v>
      </c>
      <c r="EX32" s="231">
        <v>4528.78</v>
      </c>
      <c r="EY32" s="228">
        <v>-197.39</v>
      </c>
      <c r="EZ32" s="229">
        <v>-4.36E-2</v>
      </c>
      <c r="FA32" s="229">
        <v>0.91349999999999998</v>
      </c>
      <c r="FB32" s="227" t="s">
        <v>568</v>
      </c>
      <c r="FC32">
        <f t="shared" si="0"/>
        <v>540</v>
      </c>
    </row>
    <row r="33" spans="1:159" ht="17.25" thickBot="1" x14ac:dyDescent="0.3">
      <c r="A33" s="226">
        <v>45981</v>
      </c>
      <c r="B33" s="227" t="s">
        <v>170</v>
      </c>
      <c r="C33" s="227" t="s">
        <v>191</v>
      </c>
      <c r="D33" s="228">
        <v>2500</v>
      </c>
      <c r="E33" s="228">
        <v>5</v>
      </c>
      <c r="F33" s="228">
        <v>395.3</v>
      </c>
      <c r="G33" s="228">
        <v>410.1</v>
      </c>
      <c r="H33" s="228">
        <v>-14.8</v>
      </c>
      <c r="I33" s="229">
        <v>-3.61E-2</v>
      </c>
      <c r="J33" s="228">
        <v>395.15</v>
      </c>
      <c r="K33" s="228">
        <v>410.1</v>
      </c>
      <c r="L33" s="228">
        <v>-14.95</v>
      </c>
      <c r="M33" s="229">
        <v>-3.6499999999999998E-2</v>
      </c>
      <c r="N33" s="228">
        <v>395.3</v>
      </c>
      <c r="O33" s="228">
        <v>410.1</v>
      </c>
      <c r="P33" s="228">
        <v>-14.8</v>
      </c>
      <c r="Q33" s="229">
        <v>-3.61E-2</v>
      </c>
      <c r="R33" s="228">
        <v>397.85</v>
      </c>
      <c r="S33" s="228">
        <v>412.9</v>
      </c>
      <c r="T33" s="228">
        <v>-15.05</v>
      </c>
      <c r="U33" s="229">
        <v>-3.6400000000000002E-2</v>
      </c>
      <c r="V33" s="228">
        <v>400.6</v>
      </c>
      <c r="W33" s="228">
        <v>415.15</v>
      </c>
      <c r="X33" s="228">
        <v>-14.55</v>
      </c>
      <c r="Y33" s="229">
        <v>-3.5000000000000003E-2</v>
      </c>
      <c r="Z33" s="228">
        <v>0.15</v>
      </c>
      <c r="AA33" s="228">
        <v>0</v>
      </c>
      <c r="AB33" s="228">
        <v>0.15</v>
      </c>
      <c r="AC33" s="229">
        <v>4.0000000000000002E-4</v>
      </c>
      <c r="AD33" s="228">
        <v>0.15</v>
      </c>
      <c r="AE33" s="228">
        <v>0</v>
      </c>
      <c r="AF33" s="228">
        <v>0.15</v>
      </c>
      <c r="AG33" s="229">
        <v>4.0000000000000002E-4</v>
      </c>
      <c r="AH33" s="228">
        <v>2.7</v>
      </c>
      <c r="AI33" s="228">
        <v>2.8</v>
      </c>
      <c r="AJ33" s="228">
        <v>-0.1</v>
      </c>
      <c r="AK33" s="229">
        <v>6.7999999999999996E-3</v>
      </c>
      <c r="AL33" s="228">
        <v>5.45</v>
      </c>
      <c r="AM33" s="228">
        <v>5.05</v>
      </c>
      <c r="AN33" s="228">
        <v>0.4</v>
      </c>
      <c r="AO33" s="229">
        <v>1.38E-2</v>
      </c>
      <c r="AP33" s="228">
        <v>396.16</v>
      </c>
      <c r="AQ33" s="228">
        <v>398.68</v>
      </c>
      <c r="AR33" s="228">
        <v>0</v>
      </c>
      <c r="AS33" s="230">
        <v>1413</v>
      </c>
      <c r="AT33" s="228">
        <v>977</v>
      </c>
      <c r="AU33" s="228">
        <v>436</v>
      </c>
      <c r="AV33" s="229">
        <v>0.44619999999999999</v>
      </c>
      <c r="AW33" s="228">
        <v>779</v>
      </c>
      <c r="AX33" s="228">
        <v>677</v>
      </c>
      <c r="AY33" s="228">
        <v>101</v>
      </c>
      <c r="AZ33" s="229">
        <v>0.14940000000000001</v>
      </c>
      <c r="BA33" s="228">
        <v>601</v>
      </c>
      <c r="BB33" s="228">
        <v>287</v>
      </c>
      <c r="BC33" s="228">
        <v>315</v>
      </c>
      <c r="BD33" s="229">
        <v>1.0986</v>
      </c>
      <c r="BE33" s="228">
        <v>33</v>
      </c>
      <c r="BF33" s="228">
        <v>13</v>
      </c>
      <c r="BG33" s="228">
        <v>20</v>
      </c>
      <c r="BH33" s="229">
        <v>1.5075000000000001</v>
      </c>
      <c r="BI33" s="230">
        <v>5584</v>
      </c>
      <c r="BJ33" s="230">
        <v>2976</v>
      </c>
      <c r="BK33" s="230">
        <v>2607</v>
      </c>
      <c r="BL33" s="229">
        <v>0.87590000000000001</v>
      </c>
      <c r="BM33" s="230">
        <v>3654</v>
      </c>
      <c r="BN33" s="230">
        <v>1956</v>
      </c>
      <c r="BO33" s="230">
        <v>1699</v>
      </c>
      <c r="BP33" s="229">
        <v>0.86870000000000003</v>
      </c>
      <c r="BQ33" s="230">
        <v>10651</v>
      </c>
      <c r="BR33" s="230">
        <v>5909</v>
      </c>
      <c r="BS33" s="230">
        <v>4742</v>
      </c>
      <c r="BT33" s="229">
        <v>0.80249999999999999</v>
      </c>
      <c r="BU33" s="230">
        <v>8744855</v>
      </c>
      <c r="BV33" s="230">
        <v>3417259</v>
      </c>
      <c r="BW33" s="230">
        <v>5327596</v>
      </c>
      <c r="BX33" s="229">
        <v>1.5589999999999999</v>
      </c>
      <c r="BY33" s="230">
        <v>2099</v>
      </c>
      <c r="BZ33" s="230">
        <v>2034</v>
      </c>
      <c r="CA33" s="228">
        <v>65</v>
      </c>
      <c r="CB33" s="229">
        <v>3.1800000000000002E-2</v>
      </c>
      <c r="CC33" s="230">
        <v>1372</v>
      </c>
      <c r="CD33" s="230">
        <v>1624</v>
      </c>
      <c r="CE33" s="228">
        <v>-252</v>
      </c>
      <c r="CF33" s="229">
        <v>-0.15540000000000001</v>
      </c>
      <c r="CG33" s="228">
        <v>698</v>
      </c>
      <c r="CH33" s="228">
        <v>395</v>
      </c>
      <c r="CI33" s="228">
        <v>303</v>
      </c>
      <c r="CJ33" s="229">
        <v>0.76690000000000003</v>
      </c>
      <c r="CK33" s="228">
        <v>29</v>
      </c>
      <c r="CL33" s="228">
        <v>15</v>
      </c>
      <c r="CM33" s="228">
        <v>14</v>
      </c>
      <c r="CN33" s="229">
        <v>0.90380000000000005</v>
      </c>
      <c r="CO33" s="230">
        <v>1404</v>
      </c>
      <c r="CP33" s="230">
        <v>1147</v>
      </c>
      <c r="CQ33" s="228">
        <v>257</v>
      </c>
      <c r="CR33" s="229">
        <v>0.2243</v>
      </c>
      <c r="CS33" s="228">
        <v>987</v>
      </c>
      <c r="CT33" s="228">
        <v>924</v>
      </c>
      <c r="CU33" s="228">
        <v>64</v>
      </c>
      <c r="CV33" s="229">
        <v>6.8900000000000003E-2</v>
      </c>
      <c r="CW33" s="230">
        <v>4491</v>
      </c>
      <c r="CX33" s="230">
        <v>4105</v>
      </c>
      <c r="CY33" s="228">
        <v>386</v>
      </c>
      <c r="CZ33" s="229">
        <v>9.3899999999999997E-2</v>
      </c>
      <c r="DA33" s="228">
        <v>27.68</v>
      </c>
      <c r="DB33" s="228">
        <v>29.93</v>
      </c>
      <c r="DC33" s="228">
        <v>-2.25</v>
      </c>
      <c r="DD33" s="228">
        <v>-2.25</v>
      </c>
      <c r="DE33" s="228">
        <v>39.049999999999997</v>
      </c>
      <c r="DF33" s="228">
        <v>38.82</v>
      </c>
      <c r="DG33" s="228">
        <v>-11.37</v>
      </c>
      <c r="DH33" s="228">
        <v>0.23</v>
      </c>
      <c r="DI33" s="228">
        <v>27.63</v>
      </c>
      <c r="DJ33" s="228">
        <v>29.88</v>
      </c>
      <c r="DK33" s="228">
        <v>-2.25</v>
      </c>
      <c r="DL33" s="228">
        <v>-2.25</v>
      </c>
      <c r="DM33" s="228">
        <v>27.77</v>
      </c>
      <c r="DN33" s="228">
        <v>30</v>
      </c>
      <c r="DO33" s="228">
        <v>-2.23</v>
      </c>
      <c r="DP33" s="228">
        <v>-2.23</v>
      </c>
      <c r="DQ33" s="228">
        <v>0.7</v>
      </c>
      <c r="DR33" s="228">
        <v>0.81</v>
      </c>
      <c r="DS33" s="228">
        <v>-0.11</v>
      </c>
      <c r="DT33" s="229">
        <v>-0.1358</v>
      </c>
      <c r="DU33" s="228">
        <v>420</v>
      </c>
      <c r="DV33" s="228">
        <v>390</v>
      </c>
      <c r="DW33" s="228">
        <v>0.65</v>
      </c>
      <c r="DX33" s="228">
        <v>0.66</v>
      </c>
      <c r="DY33" s="228">
        <v>-0.01</v>
      </c>
      <c r="DZ33" s="229">
        <v>-1.52E-2</v>
      </c>
      <c r="EA33" s="229">
        <v>0.34660000000000002</v>
      </c>
      <c r="EB33" s="230">
        <v>10385000</v>
      </c>
      <c r="EC33" s="229">
        <v>6.4999999999999997E-3</v>
      </c>
      <c r="ED33" s="229">
        <v>0.34660000000000002</v>
      </c>
      <c r="EE33" s="228">
        <v>2.52</v>
      </c>
      <c r="EF33" s="229">
        <v>6.4000000000000003E-3</v>
      </c>
      <c r="EG33" s="230">
        <v>3447816</v>
      </c>
      <c r="EH33" s="230">
        <v>1425256</v>
      </c>
      <c r="EI33" s="229">
        <v>1.4191</v>
      </c>
      <c r="EJ33" s="229">
        <v>0.39429999999999998</v>
      </c>
      <c r="EK33" s="231">
        <v>5852.37</v>
      </c>
      <c r="EL33" s="231">
        <v>3648.79</v>
      </c>
      <c r="EM33" s="231">
        <v>1420.56</v>
      </c>
      <c r="EN33" s="228">
        <v>74.349999999999994</v>
      </c>
      <c r="EO33" s="231">
        <v>10921.72</v>
      </c>
      <c r="EP33" s="231">
        <v>6281.23</v>
      </c>
      <c r="EQ33" s="231">
        <v>4640.49</v>
      </c>
      <c r="ER33" s="229">
        <v>0.73880000000000001</v>
      </c>
      <c r="ES33" s="231">
        <v>1475.83</v>
      </c>
      <c r="ET33" s="228">
        <v>958.54</v>
      </c>
      <c r="EU33" s="231">
        <v>2103.94</v>
      </c>
      <c r="EV33" s="231">
        <v>90981174</v>
      </c>
      <c r="EW33" s="231">
        <v>4538.3100000000004</v>
      </c>
      <c r="EX33" s="231">
        <v>4238.26</v>
      </c>
      <c r="EY33" s="228">
        <v>300.05</v>
      </c>
      <c r="EZ33" s="229">
        <v>7.0800000000000002E-2</v>
      </c>
      <c r="FA33" s="229">
        <v>1.2486999999999999</v>
      </c>
      <c r="FB33" s="227" t="s">
        <v>567</v>
      </c>
      <c r="FC33">
        <f t="shared" si="0"/>
        <v>727</v>
      </c>
    </row>
    <row r="34" spans="1:159" ht="17.25" thickBot="1" x14ac:dyDescent="0.3">
      <c r="A34" s="226">
        <v>45981</v>
      </c>
      <c r="B34" s="227" t="s">
        <v>184</v>
      </c>
      <c r="C34" s="227" t="s">
        <v>680</v>
      </c>
      <c r="D34" s="228">
        <v>325</v>
      </c>
      <c r="E34" s="228">
        <v>5</v>
      </c>
      <c r="F34" s="231">
        <v>1795.2</v>
      </c>
      <c r="G34" s="231">
        <v>1793.6</v>
      </c>
      <c r="H34" s="228">
        <v>1.6</v>
      </c>
      <c r="I34" s="229">
        <v>8.9999999999999998E-4</v>
      </c>
      <c r="J34" s="231">
        <v>1794.6</v>
      </c>
      <c r="K34" s="231">
        <v>1795</v>
      </c>
      <c r="L34" s="228">
        <v>-0.4</v>
      </c>
      <c r="M34" s="229">
        <v>-2.0000000000000001E-4</v>
      </c>
      <c r="N34" s="231">
        <v>1795.2</v>
      </c>
      <c r="O34" s="231">
        <v>1793.6</v>
      </c>
      <c r="P34" s="228">
        <v>1.6</v>
      </c>
      <c r="Q34" s="229">
        <v>8.9999999999999998E-4</v>
      </c>
      <c r="R34" s="231">
        <v>1797.4</v>
      </c>
      <c r="S34" s="231">
        <v>1797.6</v>
      </c>
      <c r="T34" s="228">
        <v>-0.2</v>
      </c>
      <c r="U34" s="229">
        <v>-1E-4</v>
      </c>
      <c r="V34" s="231">
        <v>1800.1</v>
      </c>
      <c r="W34" s="231">
        <v>1778</v>
      </c>
      <c r="X34" s="228">
        <v>22.1</v>
      </c>
      <c r="Y34" s="229">
        <v>1.24E-2</v>
      </c>
      <c r="Z34" s="228">
        <v>0.6</v>
      </c>
      <c r="AA34" s="228">
        <v>-1.4</v>
      </c>
      <c r="AB34" s="228">
        <v>2</v>
      </c>
      <c r="AC34" s="229">
        <v>2.9999999999999997E-4</v>
      </c>
      <c r="AD34" s="228">
        <v>0.6</v>
      </c>
      <c r="AE34" s="228">
        <v>-1.4</v>
      </c>
      <c r="AF34" s="228">
        <v>2</v>
      </c>
      <c r="AG34" s="229">
        <v>2.9999999999999997E-4</v>
      </c>
      <c r="AH34" s="228">
        <v>2.8</v>
      </c>
      <c r="AI34" s="228">
        <v>2.6</v>
      </c>
      <c r="AJ34" s="228">
        <v>0.2</v>
      </c>
      <c r="AK34" s="229">
        <v>1.6000000000000001E-3</v>
      </c>
      <c r="AL34" s="228">
        <v>5.5</v>
      </c>
      <c r="AM34" s="228">
        <v>-17</v>
      </c>
      <c r="AN34" s="228">
        <v>22.5</v>
      </c>
      <c r="AO34" s="229">
        <v>3.0999999999999999E-3</v>
      </c>
      <c r="AP34" s="231">
        <v>1792.48</v>
      </c>
      <c r="AQ34" s="231">
        <v>1794.99</v>
      </c>
      <c r="AR34" s="228">
        <v>0</v>
      </c>
      <c r="AS34" s="228">
        <v>245</v>
      </c>
      <c r="AT34" s="228">
        <v>142</v>
      </c>
      <c r="AU34" s="228">
        <v>103</v>
      </c>
      <c r="AV34" s="229">
        <v>0.72309999999999997</v>
      </c>
      <c r="AW34" s="228">
        <v>136</v>
      </c>
      <c r="AX34" s="228">
        <v>89</v>
      </c>
      <c r="AY34" s="228">
        <v>46</v>
      </c>
      <c r="AZ34" s="229">
        <v>0.51729999999999998</v>
      </c>
      <c r="BA34" s="228">
        <v>109</v>
      </c>
      <c r="BB34" s="228">
        <v>53</v>
      </c>
      <c r="BC34" s="228">
        <v>57</v>
      </c>
      <c r="BD34" s="229">
        <v>1.0718000000000001</v>
      </c>
      <c r="BE34" s="228">
        <v>0</v>
      </c>
      <c r="BF34" s="228">
        <v>0</v>
      </c>
      <c r="BG34" s="228">
        <v>0</v>
      </c>
      <c r="BH34" s="229">
        <v>0.66669999999999996</v>
      </c>
      <c r="BI34" s="228">
        <v>373</v>
      </c>
      <c r="BJ34" s="228">
        <v>437</v>
      </c>
      <c r="BK34" s="228">
        <v>-63</v>
      </c>
      <c r="BL34" s="229">
        <v>-0.1452</v>
      </c>
      <c r="BM34" s="228">
        <v>245</v>
      </c>
      <c r="BN34" s="228">
        <v>330</v>
      </c>
      <c r="BO34" s="228">
        <v>-85</v>
      </c>
      <c r="BP34" s="229">
        <v>-0.25700000000000001</v>
      </c>
      <c r="BQ34" s="228">
        <v>864</v>
      </c>
      <c r="BR34" s="228">
        <v>910</v>
      </c>
      <c r="BS34" s="228">
        <v>-45</v>
      </c>
      <c r="BT34" s="229">
        <v>-4.9799999999999997E-2</v>
      </c>
      <c r="BU34" s="230">
        <v>234525</v>
      </c>
      <c r="BV34" s="230">
        <v>196466</v>
      </c>
      <c r="BW34" s="230">
        <v>38059</v>
      </c>
      <c r="BX34" s="229">
        <v>0.19370000000000001</v>
      </c>
      <c r="BY34" s="228">
        <v>318</v>
      </c>
      <c r="BZ34" s="228">
        <v>356</v>
      </c>
      <c r="CA34" s="228">
        <v>-37</v>
      </c>
      <c r="CB34" s="229">
        <v>-0.1051</v>
      </c>
      <c r="CC34" s="228">
        <v>197</v>
      </c>
      <c r="CD34" s="228">
        <v>283</v>
      </c>
      <c r="CE34" s="228">
        <v>-87</v>
      </c>
      <c r="CF34" s="229">
        <v>-0.30609999999999998</v>
      </c>
      <c r="CG34" s="228">
        <v>120</v>
      </c>
      <c r="CH34" s="228">
        <v>71</v>
      </c>
      <c r="CI34" s="228">
        <v>49</v>
      </c>
      <c r="CJ34" s="229">
        <v>0.69269999999999998</v>
      </c>
      <c r="CK34" s="228">
        <v>1</v>
      </c>
      <c r="CL34" s="228">
        <v>1</v>
      </c>
      <c r="CM34" s="228">
        <v>0</v>
      </c>
      <c r="CN34" s="229">
        <v>0.13639999999999999</v>
      </c>
      <c r="CO34" s="228">
        <v>397</v>
      </c>
      <c r="CP34" s="228">
        <v>449</v>
      </c>
      <c r="CQ34" s="228">
        <v>-53</v>
      </c>
      <c r="CR34" s="229">
        <v>-0.1176</v>
      </c>
      <c r="CS34" s="228">
        <v>140</v>
      </c>
      <c r="CT34" s="228">
        <v>176</v>
      </c>
      <c r="CU34" s="228">
        <v>-36</v>
      </c>
      <c r="CV34" s="229">
        <v>-0.20610000000000001</v>
      </c>
      <c r="CW34" s="228">
        <v>855</v>
      </c>
      <c r="CX34" s="228">
        <v>981</v>
      </c>
      <c r="CY34" s="228">
        <v>-127</v>
      </c>
      <c r="CZ34" s="229">
        <v>-0.129</v>
      </c>
      <c r="DA34" s="228">
        <v>27.78</v>
      </c>
      <c r="DB34" s="228">
        <v>28.22</v>
      </c>
      <c r="DC34" s="228">
        <v>-0.44</v>
      </c>
      <c r="DD34" s="228">
        <v>-0.44</v>
      </c>
      <c r="DE34" s="228">
        <v>41.24</v>
      </c>
      <c r="DF34" s="228">
        <v>41.34</v>
      </c>
      <c r="DG34" s="228">
        <v>-13.46</v>
      </c>
      <c r="DH34" s="228">
        <v>-0.1</v>
      </c>
      <c r="DI34" s="228">
        <v>28.81</v>
      </c>
      <c r="DJ34" s="228">
        <v>27.27</v>
      </c>
      <c r="DK34" s="228">
        <v>1.54</v>
      </c>
      <c r="DL34" s="228">
        <v>1.54</v>
      </c>
      <c r="DM34" s="228">
        <v>24.04</v>
      </c>
      <c r="DN34" s="228">
        <v>29.48</v>
      </c>
      <c r="DO34" s="228">
        <v>-5.44</v>
      </c>
      <c r="DP34" s="228">
        <v>-5.44</v>
      </c>
      <c r="DQ34" s="228">
        <v>0.35</v>
      </c>
      <c r="DR34" s="228">
        <v>0.39</v>
      </c>
      <c r="DS34" s="228">
        <v>-0.04</v>
      </c>
      <c r="DT34" s="229">
        <v>-0.1026</v>
      </c>
      <c r="DU34" s="231">
        <v>2000</v>
      </c>
      <c r="DV34" s="231">
        <v>1700</v>
      </c>
      <c r="DW34" s="228">
        <v>0.66</v>
      </c>
      <c r="DX34" s="228">
        <v>0.76</v>
      </c>
      <c r="DY34" s="228">
        <v>-0.1</v>
      </c>
      <c r="DZ34" s="229">
        <v>-0.13159999999999999</v>
      </c>
      <c r="EA34" s="229">
        <v>0.3821</v>
      </c>
      <c r="EB34" s="230">
        <v>402675</v>
      </c>
      <c r="EC34" s="229">
        <v>1.1999999999999999E-3</v>
      </c>
      <c r="ED34" s="229">
        <v>0.3821</v>
      </c>
      <c r="EE34" s="228">
        <v>2.5099999999999998</v>
      </c>
      <c r="EF34" s="229">
        <v>1.4E-3</v>
      </c>
      <c r="EG34" s="230">
        <v>131084</v>
      </c>
      <c r="EH34" s="230">
        <v>84940</v>
      </c>
      <c r="EI34" s="229">
        <v>0.54330000000000001</v>
      </c>
      <c r="EJ34" s="229">
        <v>0.55889999999999995</v>
      </c>
      <c r="EK34" s="228">
        <v>389.13</v>
      </c>
      <c r="EL34" s="228">
        <v>238.18</v>
      </c>
      <c r="EM34" s="228">
        <v>245.18</v>
      </c>
      <c r="EN34" s="228">
        <v>16.739999999999998</v>
      </c>
      <c r="EO34" s="228">
        <v>872.49</v>
      </c>
      <c r="EP34" s="228">
        <v>919.18</v>
      </c>
      <c r="EQ34" s="228">
        <v>-46.69</v>
      </c>
      <c r="ER34" s="229">
        <v>-5.0799999999999998E-2</v>
      </c>
      <c r="ES34" s="228">
        <v>432.02</v>
      </c>
      <c r="ET34" s="228">
        <v>138.32</v>
      </c>
      <c r="EU34" s="228">
        <v>318.48</v>
      </c>
      <c r="EV34" s="231">
        <v>19584741</v>
      </c>
      <c r="EW34" s="228">
        <v>888.81</v>
      </c>
      <c r="EX34" s="231">
        <v>1016.49</v>
      </c>
      <c r="EY34" s="228">
        <v>-127.68</v>
      </c>
      <c r="EZ34" s="229">
        <v>-0.12559999999999999</v>
      </c>
      <c r="FA34" s="229">
        <v>0.24310000000000001</v>
      </c>
      <c r="FB34" s="227" t="s">
        <v>556</v>
      </c>
      <c r="FC34">
        <f t="shared" si="0"/>
        <v>121</v>
      </c>
    </row>
    <row r="35" spans="1:159" ht="17.25" thickBot="1" x14ac:dyDescent="0.3">
      <c r="A35" s="226">
        <v>45981</v>
      </c>
      <c r="B35" s="227" t="s">
        <v>162</v>
      </c>
      <c r="C35" s="227" t="s">
        <v>192</v>
      </c>
      <c r="D35" s="228">
        <v>25</v>
      </c>
      <c r="E35" s="228">
        <v>5</v>
      </c>
      <c r="F35" s="231">
        <v>37025</v>
      </c>
      <c r="G35" s="231">
        <v>36860</v>
      </c>
      <c r="H35" s="228">
        <v>165</v>
      </c>
      <c r="I35" s="229">
        <v>4.4999999999999997E-3</v>
      </c>
      <c r="J35" s="231">
        <v>37050</v>
      </c>
      <c r="K35" s="231">
        <v>36870</v>
      </c>
      <c r="L35" s="228">
        <v>180</v>
      </c>
      <c r="M35" s="229">
        <v>4.8999999999999998E-3</v>
      </c>
      <c r="N35" s="231">
        <v>37025</v>
      </c>
      <c r="O35" s="231">
        <v>36860</v>
      </c>
      <c r="P35" s="228">
        <v>165</v>
      </c>
      <c r="Q35" s="229">
        <v>4.4999999999999997E-3</v>
      </c>
      <c r="R35" s="231">
        <v>37275</v>
      </c>
      <c r="S35" s="231">
        <v>37140</v>
      </c>
      <c r="T35" s="228">
        <v>135</v>
      </c>
      <c r="U35" s="229">
        <v>3.5999999999999999E-3</v>
      </c>
      <c r="V35" s="231">
        <v>37470</v>
      </c>
      <c r="W35" s="231">
        <v>37425</v>
      </c>
      <c r="X35" s="228">
        <v>45</v>
      </c>
      <c r="Y35" s="229">
        <v>1.1999999999999999E-3</v>
      </c>
      <c r="Z35" s="228">
        <v>-25</v>
      </c>
      <c r="AA35" s="228">
        <v>-10</v>
      </c>
      <c r="AB35" s="228">
        <v>-15</v>
      </c>
      <c r="AC35" s="229">
        <v>-6.9999999999999999E-4</v>
      </c>
      <c r="AD35" s="228">
        <v>-25</v>
      </c>
      <c r="AE35" s="228">
        <v>-10</v>
      </c>
      <c r="AF35" s="228">
        <v>-15</v>
      </c>
      <c r="AG35" s="229">
        <v>-6.9999999999999999E-4</v>
      </c>
      <c r="AH35" s="228">
        <v>225</v>
      </c>
      <c r="AI35" s="228">
        <v>270</v>
      </c>
      <c r="AJ35" s="228">
        <v>-45</v>
      </c>
      <c r="AK35" s="229">
        <v>6.1000000000000004E-3</v>
      </c>
      <c r="AL35" s="228">
        <v>420</v>
      </c>
      <c r="AM35" s="228">
        <v>555</v>
      </c>
      <c r="AN35" s="228">
        <v>-135</v>
      </c>
      <c r="AO35" s="229">
        <v>1.1299999999999999E-2</v>
      </c>
      <c r="AP35" s="231">
        <v>37084.14</v>
      </c>
      <c r="AQ35" s="231">
        <v>37337.31</v>
      </c>
      <c r="AR35" s="228">
        <v>0</v>
      </c>
      <c r="AS35" s="228">
        <v>565</v>
      </c>
      <c r="AT35" s="228">
        <v>198</v>
      </c>
      <c r="AU35" s="228">
        <v>367</v>
      </c>
      <c r="AV35" s="229">
        <v>1.8547</v>
      </c>
      <c r="AW35" s="228">
        <v>301</v>
      </c>
      <c r="AX35" s="228">
        <v>128</v>
      </c>
      <c r="AY35" s="228">
        <v>173</v>
      </c>
      <c r="AZ35" s="229">
        <v>1.3533999999999999</v>
      </c>
      <c r="BA35" s="228">
        <v>264</v>
      </c>
      <c r="BB35" s="228">
        <v>69</v>
      </c>
      <c r="BC35" s="228">
        <v>195</v>
      </c>
      <c r="BD35" s="229">
        <v>2.819</v>
      </c>
      <c r="BE35" s="228">
        <v>1</v>
      </c>
      <c r="BF35" s="228">
        <v>1</v>
      </c>
      <c r="BG35" s="228">
        <v>0</v>
      </c>
      <c r="BH35" s="229">
        <v>-0.23080000000000001</v>
      </c>
      <c r="BI35" s="228">
        <v>982</v>
      </c>
      <c r="BJ35" s="230">
        <v>1119</v>
      </c>
      <c r="BK35" s="228">
        <v>-137</v>
      </c>
      <c r="BL35" s="229">
        <v>-0.1226</v>
      </c>
      <c r="BM35" s="228">
        <v>233</v>
      </c>
      <c r="BN35" s="228">
        <v>243</v>
      </c>
      <c r="BO35" s="228">
        <v>-10</v>
      </c>
      <c r="BP35" s="229">
        <v>-3.9300000000000002E-2</v>
      </c>
      <c r="BQ35" s="230">
        <v>1780</v>
      </c>
      <c r="BR35" s="230">
        <v>1560</v>
      </c>
      <c r="BS35" s="228">
        <v>221</v>
      </c>
      <c r="BT35" s="229">
        <v>0.14149999999999999</v>
      </c>
      <c r="BU35" s="230">
        <v>18283</v>
      </c>
      <c r="BV35" s="230">
        <v>18802</v>
      </c>
      <c r="BW35" s="228">
        <v>-519</v>
      </c>
      <c r="BX35" s="229">
        <v>-2.76E-2</v>
      </c>
      <c r="BY35" s="228">
        <v>866</v>
      </c>
      <c r="BZ35" s="228">
        <v>890</v>
      </c>
      <c r="CA35" s="228">
        <v>-24</v>
      </c>
      <c r="CB35" s="229">
        <v>-2.6599999999999999E-2</v>
      </c>
      <c r="CC35" s="228">
        <v>543</v>
      </c>
      <c r="CD35" s="228">
        <v>793</v>
      </c>
      <c r="CE35" s="228">
        <v>-251</v>
      </c>
      <c r="CF35" s="229">
        <v>-0.31609999999999999</v>
      </c>
      <c r="CG35" s="228">
        <v>319</v>
      </c>
      <c r="CH35" s="228">
        <v>93</v>
      </c>
      <c r="CI35" s="228">
        <v>227</v>
      </c>
      <c r="CJ35" s="229">
        <v>2.4466000000000001</v>
      </c>
      <c r="CK35" s="228">
        <v>4</v>
      </c>
      <c r="CL35" s="228">
        <v>4</v>
      </c>
      <c r="CM35" s="228">
        <v>0</v>
      </c>
      <c r="CN35" s="229">
        <v>0.1026</v>
      </c>
      <c r="CO35" s="228">
        <v>664</v>
      </c>
      <c r="CP35" s="228">
        <v>766</v>
      </c>
      <c r="CQ35" s="228">
        <v>-102</v>
      </c>
      <c r="CR35" s="229">
        <v>-0.13289999999999999</v>
      </c>
      <c r="CS35" s="228">
        <v>269</v>
      </c>
      <c r="CT35" s="228">
        <v>287</v>
      </c>
      <c r="CU35" s="228">
        <v>-18</v>
      </c>
      <c r="CV35" s="229">
        <v>-6.2E-2</v>
      </c>
      <c r="CW35" s="230">
        <v>1799</v>
      </c>
      <c r="CX35" s="230">
        <v>1942</v>
      </c>
      <c r="CY35" s="228">
        <v>-143</v>
      </c>
      <c r="CZ35" s="229">
        <v>-7.3800000000000004E-2</v>
      </c>
      <c r="DA35" s="228">
        <v>22.68</v>
      </c>
      <c r="DB35" s="228">
        <v>29.62</v>
      </c>
      <c r="DC35" s="228">
        <v>-6.94</v>
      </c>
      <c r="DD35" s="228">
        <v>-6.94</v>
      </c>
      <c r="DE35" s="228">
        <v>28.36</v>
      </c>
      <c r="DF35" s="228">
        <v>28.43</v>
      </c>
      <c r="DG35" s="228">
        <v>-5.68</v>
      </c>
      <c r="DH35" s="228">
        <v>-7.0000000000000007E-2</v>
      </c>
      <c r="DI35" s="228">
        <v>22.99</v>
      </c>
      <c r="DJ35" s="228">
        <v>30.53</v>
      </c>
      <c r="DK35" s="228">
        <v>-7.54</v>
      </c>
      <c r="DL35" s="228">
        <v>-7.54</v>
      </c>
      <c r="DM35" s="228">
        <v>22.41</v>
      </c>
      <c r="DN35" s="228">
        <v>25.42</v>
      </c>
      <c r="DO35" s="228">
        <v>-3.01</v>
      </c>
      <c r="DP35" s="228">
        <v>-3.01</v>
      </c>
      <c r="DQ35" s="228">
        <v>0.41</v>
      </c>
      <c r="DR35" s="228">
        <v>0.37</v>
      </c>
      <c r="DS35" s="228">
        <v>0.04</v>
      </c>
      <c r="DT35" s="229">
        <v>0.1081</v>
      </c>
      <c r="DU35" s="231">
        <v>40000</v>
      </c>
      <c r="DV35" s="231">
        <v>37000</v>
      </c>
      <c r="DW35" s="228">
        <v>0.24</v>
      </c>
      <c r="DX35" s="228">
        <v>0.22</v>
      </c>
      <c r="DY35" s="228">
        <v>0.02</v>
      </c>
      <c r="DZ35" s="229">
        <v>9.0899999999999995E-2</v>
      </c>
      <c r="EA35" s="229">
        <v>0.37340000000000001</v>
      </c>
      <c r="EB35" s="230">
        <v>26000</v>
      </c>
      <c r="EC35" s="229">
        <v>6.7999999999999996E-3</v>
      </c>
      <c r="ED35" s="229">
        <v>0.37340000000000001</v>
      </c>
      <c r="EE35" s="228">
        <v>253.17</v>
      </c>
      <c r="EF35" s="229">
        <v>6.7999999999999996E-3</v>
      </c>
      <c r="EG35" s="230">
        <v>11811</v>
      </c>
      <c r="EH35" s="230">
        <v>8506</v>
      </c>
      <c r="EI35" s="229">
        <v>0.38850000000000001</v>
      </c>
      <c r="EJ35" s="229">
        <v>0.64600000000000002</v>
      </c>
      <c r="EK35" s="231">
        <v>1032.3699999999999</v>
      </c>
      <c r="EL35" s="228">
        <v>224.39</v>
      </c>
      <c r="EM35" s="228">
        <v>568.17999999999995</v>
      </c>
      <c r="EN35" s="228">
        <v>15.52</v>
      </c>
      <c r="EO35" s="231">
        <v>1824.93</v>
      </c>
      <c r="EP35" s="231">
        <v>1619.95</v>
      </c>
      <c r="EQ35" s="228">
        <v>204.99</v>
      </c>
      <c r="ER35" s="229">
        <v>0.1265</v>
      </c>
      <c r="ES35" s="228">
        <v>703.71</v>
      </c>
      <c r="ET35" s="228">
        <v>263.95</v>
      </c>
      <c r="EU35" s="228">
        <v>868.13</v>
      </c>
      <c r="EV35" s="231">
        <v>982526</v>
      </c>
      <c r="EW35" s="231">
        <v>1835.79</v>
      </c>
      <c r="EX35" s="231">
        <v>1978.05</v>
      </c>
      <c r="EY35" s="228">
        <v>-142.26</v>
      </c>
      <c r="EZ35" s="229">
        <v>-7.1900000000000006E-2</v>
      </c>
      <c r="FA35" s="229">
        <v>0.4945</v>
      </c>
      <c r="FB35" s="227" t="s">
        <v>556</v>
      </c>
      <c r="FC35">
        <f t="shared" si="0"/>
        <v>323</v>
      </c>
    </row>
    <row r="36" spans="1:159" ht="17.25" thickBot="1" x14ac:dyDescent="0.3">
      <c r="A36" s="226">
        <v>45981</v>
      </c>
      <c r="B36" s="227" t="s">
        <v>193</v>
      </c>
      <c r="C36" s="227" t="s">
        <v>194</v>
      </c>
      <c r="D36" s="228">
        <v>1975</v>
      </c>
      <c r="E36" s="228">
        <v>5</v>
      </c>
      <c r="F36" s="228">
        <v>365.9</v>
      </c>
      <c r="G36" s="228">
        <v>366.75</v>
      </c>
      <c r="H36" s="228">
        <v>-0.85</v>
      </c>
      <c r="I36" s="229">
        <v>-2.3E-3</v>
      </c>
      <c r="J36" s="228">
        <v>365.05</v>
      </c>
      <c r="K36" s="228">
        <v>365.65</v>
      </c>
      <c r="L36" s="228">
        <v>-0.6</v>
      </c>
      <c r="M36" s="229">
        <v>-1.6000000000000001E-3</v>
      </c>
      <c r="N36" s="228">
        <v>365.9</v>
      </c>
      <c r="O36" s="228">
        <v>366.75</v>
      </c>
      <c r="P36" s="228">
        <v>-0.85</v>
      </c>
      <c r="Q36" s="229">
        <v>-2.3E-3</v>
      </c>
      <c r="R36" s="228">
        <v>368.05</v>
      </c>
      <c r="S36" s="228">
        <v>368.75</v>
      </c>
      <c r="T36" s="228">
        <v>-0.7</v>
      </c>
      <c r="U36" s="229">
        <v>-1.9E-3</v>
      </c>
      <c r="V36" s="228">
        <v>369.55</v>
      </c>
      <c r="W36" s="228">
        <v>370.2</v>
      </c>
      <c r="X36" s="228">
        <v>-0.65</v>
      </c>
      <c r="Y36" s="229">
        <v>-1.8E-3</v>
      </c>
      <c r="Z36" s="228">
        <v>0.85</v>
      </c>
      <c r="AA36" s="228">
        <v>1.1000000000000001</v>
      </c>
      <c r="AB36" s="228">
        <v>-0.25</v>
      </c>
      <c r="AC36" s="229">
        <v>2.3E-3</v>
      </c>
      <c r="AD36" s="228">
        <v>0.85</v>
      </c>
      <c r="AE36" s="228">
        <v>1.1000000000000001</v>
      </c>
      <c r="AF36" s="228">
        <v>-0.25</v>
      </c>
      <c r="AG36" s="229">
        <v>2.3E-3</v>
      </c>
      <c r="AH36" s="228">
        <v>3</v>
      </c>
      <c r="AI36" s="228">
        <v>3.1</v>
      </c>
      <c r="AJ36" s="228">
        <v>-0.1</v>
      </c>
      <c r="AK36" s="229">
        <v>8.2000000000000007E-3</v>
      </c>
      <c r="AL36" s="228">
        <v>4.5</v>
      </c>
      <c r="AM36" s="228">
        <v>4.55</v>
      </c>
      <c r="AN36" s="228">
        <v>-0.05</v>
      </c>
      <c r="AO36" s="229">
        <v>1.23E-2</v>
      </c>
      <c r="AP36" s="228">
        <v>366.92</v>
      </c>
      <c r="AQ36" s="228">
        <v>369.15</v>
      </c>
      <c r="AR36" s="228">
        <v>0</v>
      </c>
      <c r="AS36" s="228">
        <v>858</v>
      </c>
      <c r="AT36" s="228">
        <v>260</v>
      </c>
      <c r="AU36" s="228">
        <v>598</v>
      </c>
      <c r="AV36" s="229">
        <v>2.3020999999999998</v>
      </c>
      <c r="AW36" s="228">
        <v>399</v>
      </c>
      <c r="AX36" s="228">
        <v>194</v>
      </c>
      <c r="AY36" s="228">
        <v>205</v>
      </c>
      <c r="AZ36" s="229">
        <v>1.06</v>
      </c>
      <c r="BA36" s="228">
        <v>455</v>
      </c>
      <c r="BB36" s="228">
        <v>63</v>
      </c>
      <c r="BC36" s="228">
        <v>393</v>
      </c>
      <c r="BD36" s="229">
        <v>6.2866999999999997</v>
      </c>
      <c r="BE36" s="228">
        <v>3</v>
      </c>
      <c r="BF36" s="228">
        <v>3</v>
      </c>
      <c r="BG36" s="228">
        <v>0</v>
      </c>
      <c r="BH36" s="229">
        <v>-0.1042</v>
      </c>
      <c r="BI36" s="228">
        <v>935</v>
      </c>
      <c r="BJ36" s="228">
        <v>860</v>
      </c>
      <c r="BK36" s="228">
        <v>75</v>
      </c>
      <c r="BL36" s="229">
        <v>8.6800000000000002E-2</v>
      </c>
      <c r="BM36" s="228">
        <v>494</v>
      </c>
      <c r="BN36" s="228">
        <v>590</v>
      </c>
      <c r="BO36" s="228">
        <v>-96</v>
      </c>
      <c r="BP36" s="229">
        <v>-0.16220000000000001</v>
      </c>
      <c r="BQ36" s="230">
        <v>2287</v>
      </c>
      <c r="BR36" s="230">
        <v>1710</v>
      </c>
      <c r="BS36" s="228">
        <v>577</v>
      </c>
      <c r="BT36" s="229">
        <v>0.33750000000000002</v>
      </c>
      <c r="BU36" s="230">
        <v>9637594</v>
      </c>
      <c r="BV36" s="230">
        <v>7392205</v>
      </c>
      <c r="BW36" s="230">
        <v>2245389</v>
      </c>
      <c r="BX36" s="229">
        <v>0.30380000000000001</v>
      </c>
      <c r="BY36" s="230">
        <v>1267</v>
      </c>
      <c r="BZ36" s="230">
        <v>1101</v>
      </c>
      <c r="CA36" s="228">
        <v>166</v>
      </c>
      <c r="CB36" s="229">
        <v>0.15110000000000001</v>
      </c>
      <c r="CC36" s="228">
        <v>799</v>
      </c>
      <c r="CD36" s="228">
        <v>997</v>
      </c>
      <c r="CE36" s="228">
        <v>-198</v>
      </c>
      <c r="CF36" s="229">
        <v>-0.19819999999999999</v>
      </c>
      <c r="CG36" s="228">
        <v>461</v>
      </c>
      <c r="CH36" s="228">
        <v>98</v>
      </c>
      <c r="CI36" s="228">
        <v>364</v>
      </c>
      <c r="CJ36" s="229">
        <v>3.7191000000000001</v>
      </c>
      <c r="CK36" s="228">
        <v>7</v>
      </c>
      <c r="CL36" s="228">
        <v>7</v>
      </c>
      <c r="CM36" s="228">
        <v>0</v>
      </c>
      <c r="CN36" s="229">
        <v>2.2200000000000001E-2</v>
      </c>
      <c r="CO36" s="228">
        <v>739</v>
      </c>
      <c r="CP36" s="228">
        <v>687</v>
      </c>
      <c r="CQ36" s="228">
        <v>52</v>
      </c>
      <c r="CR36" s="229">
        <v>7.6399999999999996E-2</v>
      </c>
      <c r="CS36" s="228">
        <v>614</v>
      </c>
      <c r="CT36" s="228">
        <v>625</v>
      </c>
      <c r="CU36" s="228">
        <v>-12</v>
      </c>
      <c r="CV36" s="229">
        <v>-1.8499999999999999E-2</v>
      </c>
      <c r="CW36" s="230">
        <v>2620</v>
      </c>
      <c r="CX36" s="230">
        <v>2413</v>
      </c>
      <c r="CY36" s="228">
        <v>207</v>
      </c>
      <c r="CZ36" s="229">
        <v>8.5900000000000004E-2</v>
      </c>
      <c r="DA36" s="228">
        <v>24.52</v>
      </c>
      <c r="DB36" s="228">
        <v>25.48</v>
      </c>
      <c r="DC36" s="228">
        <v>-0.96</v>
      </c>
      <c r="DD36" s="228">
        <v>-0.96</v>
      </c>
      <c r="DE36" s="228">
        <v>33.04</v>
      </c>
      <c r="DF36" s="228">
        <v>33.119999999999997</v>
      </c>
      <c r="DG36" s="228">
        <v>-8.52</v>
      </c>
      <c r="DH36" s="228">
        <v>-0.08</v>
      </c>
      <c r="DI36" s="228">
        <v>24.86</v>
      </c>
      <c r="DJ36" s="228">
        <v>25.52</v>
      </c>
      <c r="DK36" s="228">
        <v>-0.66</v>
      </c>
      <c r="DL36" s="228">
        <v>-0.66</v>
      </c>
      <c r="DM36" s="228">
        <v>23.7</v>
      </c>
      <c r="DN36" s="228">
        <v>25.43</v>
      </c>
      <c r="DO36" s="228">
        <v>-1.73</v>
      </c>
      <c r="DP36" s="228">
        <v>-1.73</v>
      </c>
      <c r="DQ36" s="228">
        <v>0.83</v>
      </c>
      <c r="DR36" s="228">
        <v>0.91</v>
      </c>
      <c r="DS36" s="228">
        <v>-0.08</v>
      </c>
      <c r="DT36" s="229">
        <v>-8.7900000000000006E-2</v>
      </c>
      <c r="DU36" s="228">
        <v>380</v>
      </c>
      <c r="DV36" s="228">
        <v>342.5</v>
      </c>
      <c r="DW36" s="228">
        <v>0.53</v>
      </c>
      <c r="DX36" s="228">
        <v>0.69</v>
      </c>
      <c r="DY36" s="228">
        <v>-0.16</v>
      </c>
      <c r="DZ36" s="229">
        <v>-0.2319</v>
      </c>
      <c r="EA36" s="229">
        <v>0.36940000000000001</v>
      </c>
      <c r="EB36" s="230">
        <v>2849925</v>
      </c>
      <c r="EC36" s="229">
        <v>5.8999999999999999E-3</v>
      </c>
      <c r="ED36" s="229">
        <v>0.36940000000000001</v>
      </c>
      <c r="EE36" s="228">
        <v>2.23</v>
      </c>
      <c r="EF36" s="229">
        <v>6.1000000000000004E-3</v>
      </c>
      <c r="EG36" s="230">
        <v>6952124</v>
      </c>
      <c r="EH36" s="230">
        <v>5064368</v>
      </c>
      <c r="EI36" s="229">
        <v>0.37280000000000002</v>
      </c>
      <c r="EJ36" s="229">
        <v>0.72140000000000004</v>
      </c>
      <c r="EK36" s="228">
        <v>962.96</v>
      </c>
      <c r="EL36" s="228">
        <v>491.06</v>
      </c>
      <c r="EM36" s="228">
        <v>863.05</v>
      </c>
      <c r="EN36" s="228">
        <v>36.29</v>
      </c>
      <c r="EO36" s="231">
        <v>2317.08</v>
      </c>
      <c r="EP36" s="231">
        <v>1742.68</v>
      </c>
      <c r="EQ36" s="228">
        <v>574.39</v>
      </c>
      <c r="ER36" s="229">
        <v>0.3296</v>
      </c>
      <c r="ES36" s="228">
        <v>752.41</v>
      </c>
      <c r="ET36" s="228">
        <v>582.29</v>
      </c>
      <c r="EU36" s="231">
        <v>1269.8800000000001</v>
      </c>
      <c r="EV36" s="231">
        <v>281577339</v>
      </c>
      <c r="EW36" s="231">
        <v>2604.5700000000002</v>
      </c>
      <c r="EX36" s="231">
        <v>2395.5</v>
      </c>
      <c r="EY36" s="228">
        <v>209.07</v>
      </c>
      <c r="EZ36" s="229">
        <v>8.7300000000000003E-2</v>
      </c>
      <c r="FA36" s="229">
        <v>0.25430000000000003</v>
      </c>
      <c r="FB36" s="227" t="s">
        <v>567</v>
      </c>
      <c r="FC36">
        <f t="shared" si="0"/>
        <v>468</v>
      </c>
    </row>
    <row r="37" spans="1:159" ht="17.25" thickBot="1" x14ac:dyDescent="0.3">
      <c r="A37" s="226">
        <v>45981</v>
      </c>
      <c r="B37" s="227" t="s">
        <v>168</v>
      </c>
      <c r="C37" s="227" t="s">
        <v>195</v>
      </c>
      <c r="D37" s="228">
        <v>125</v>
      </c>
      <c r="E37" s="228">
        <v>5</v>
      </c>
      <c r="F37" s="231">
        <v>5817</v>
      </c>
      <c r="G37" s="231">
        <v>5871.5</v>
      </c>
      <c r="H37" s="228">
        <v>-54.5</v>
      </c>
      <c r="I37" s="229">
        <v>-9.2999999999999992E-3</v>
      </c>
      <c r="J37" s="231">
        <v>5819</v>
      </c>
      <c r="K37" s="231">
        <v>5874.5</v>
      </c>
      <c r="L37" s="228">
        <v>-55.5</v>
      </c>
      <c r="M37" s="229">
        <v>-9.4000000000000004E-3</v>
      </c>
      <c r="N37" s="231">
        <v>5817</v>
      </c>
      <c r="O37" s="231">
        <v>5871.5</v>
      </c>
      <c r="P37" s="228">
        <v>-54.5</v>
      </c>
      <c r="Q37" s="229">
        <v>-9.2999999999999992E-3</v>
      </c>
      <c r="R37" s="231">
        <v>5858</v>
      </c>
      <c r="S37" s="231">
        <v>5909</v>
      </c>
      <c r="T37" s="228">
        <v>-51</v>
      </c>
      <c r="U37" s="229">
        <v>-8.6E-3</v>
      </c>
      <c r="V37" s="231">
        <v>5893.5</v>
      </c>
      <c r="W37" s="231">
        <v>5950</v>
      </c>
      <c r="X37" s="228">
        <v>-56.5</v>
      </c>
      <c r="Y37" s="229">
        <v>-9.4999999999999998E-3</v>
      </c>
      <c r="Z37" s="228">
        <v>-2</v>
      </c>
      <c r="AA37" s="228">
        <v>-3</v>
      </c>
      <c r="AB37" s="228">
        <v>1</v>
      </c>
      <c r="AC37" s="229">
        <v>-2.9999999999999997E-4</v>
      </c>
      <c r="AD37" s="228">
        <v>-2</v>
      </c>
      <c r="AE37" s="228">
        <v>-3</v>
      </c>
      <c r="AF37" s="228">
        <v>1</v>
      </c>
      <c r="AG37" s="229">
        <v>-2.9999999999999997E-4</v>
      </c>
      <c r="AH37" s="228">
        <v>39</v>
      </c>
      <c r="AI37" s="228">
        <v>34.5</v>
      </c>
      <c r="AJ37" s="228">
        <v>4.5</v>
      </c>
      <c r="AK37" s="229">
        <v>6.7000000000000002E-3</v>
      </c>
      <c r="AL37" s="228">
        <v>74.5</v>
      </c>
      <c r="AM37" s="228">
        <v>75.5</v>
      </c>
      <c r="AN37" s="228">
        <v>-1</v>
      </c>
      <c r="AO37" s="229">
        <v>1.2800000000000001E-2</v>
      </c>
      <c r="AP37" s="231">
        <v>5825.61</v>
      </c>
      <c r="AQ37" s="231">
        <v>5860.09</v>
      </c>
      <c r="AR37" s="228">
        <v>0</v>
      </c>
      <c r="AS37" s="230">
        <v>1012</v>
      </c>
      <c r="AT37" s="228">
        <v>224</v>
      </c>
      <c r="AU37" s="228">
        <v>789</v>
      </c>
      <c r="AV37" s="229">
        <v>3.5280999999999998</v>
      </c>
      <c r="AW37" s="228">
        <v>560</v>
      </c>
      <c r="AX37" s="228">
        <v>189</v>
      </c>
      <c r="AY37" s="228">
        <v>371</v>
      </c>
      <c r="AZ37" s="229">
        <v>1.968</v>
      </c>
      <c r="BA37" s="228">
        <v>449</v>
      </c>
      <c r="BB37" s="228">
        <v>34</v>
      </c>
      <c r="BC37" s="228">
        <v>415</v>
      </c>
      <c r="BD37" s="229">
        <v>12.3125</v>
      </c>
      <c r="BE37" s="228">
        <v>3</v>
      </c>
      <c r="BF37" s="228">
        <v>1</v>
      </c>
      <c r="BG37" s="228">
        <v>2</v>
      </c>
      <c r="BH37" s="229">
        <v>1.8</v>
      </c>
      <c r="BI37" s="230">
        <v>2635</v>
      </c>
      <c r="BJ37" s="230">
        <v>1633</v>
      </c>
      <c r="BK37" s="230">
        <v>1002</v>
      </c>
      <c r="BL37" s="229">
        <v>0.61370000000000002</v>
      </c>
      <c r="BM37" s="230">
        <v>1437</v>
      </c>
      <c r="BN37" s="228">
        <v>497</v>
      </c>
      <c r="BO37" s="228">
        <v>940</v>
      </c>
      <c r="BP37" s="229">
        <v>1.8909</v>
      </c>
      <c r="BQ37" s="230">
        <v>5084</v>
      </c>
      <c r="BR37" s="230">
        <v>2354</v>
      </c>
      <c r="BS37" s="230">
        <v>2731</v>
      </c>
      <c r="BT37" s="229">
        <v>1.1601999999999999</v>
      </c>
      <c r="BU37" s="230">
        <v>646200</v>
      </c>
      <c r="BV37" s="230">
        <v>283997</v>
      </c>
      <c r="BW37" s="230">
        <v>362203</v>
      </c>
      <c r="BX37" s="229">
        <v>1.2754000000000001</v>
      </c>
      <c r="BY37" s="230">
        <v>1967</v>
      </c>
      <c r="BZ37" s="230">
        <v>1990</v>
      </c>
      <c r="CA37" s="228">
        <v>-23</v>
      </c>
      <c r="CB37" s="229">
        <v>-1.17E-2</v>
      </c>
      <c r="CC37" s="230">
        <v>1581</v>
      </c>
      <c r="CD37" s="230">
        <v>1914</v>
      </c>
      <c r="CE37" s="228">
        <v>-333</v>
      </c>
      <c r="CF37" s="229">
        <v>-0.17399999999999999</v>
      </c>
      <c r="CG37" s="228">
        <v>378</v>
      </c>
      <c r="CH37" s="228">
        <v>70</v>
      </c>
      <c r="CI37" s="228">
        <v>308</v>
      </c>
      <c r="CJ37" s="229">
        <v>4.4135</v>
      </c>
      <c r="CK37" s="228">
        <v>8</v>
      </c>
      <c r="CL37" s="228">
        <v>6</v>
      </c>
      <c r="CM37" s="228">
        <v>2</v>
      </c>
      <c r="CN37" s="229">
        <v>0.27589999999999998</v>
      </c>
      <c r="CO37" s="230">
        <v>1171</v>
      </c>
      <c r="CP37" s="230">
        <v>1208</v>
      </c>
      <c r="CQ37" s="228">
        <v>-38</v>
      </c>
      <c r="CR37" s="229">
        <v>-3.1199999999999999E-2</v>
      </c>
      <c r="CS37" s="228">
        <v>644</v>
      </c>
      <c r="CT37" s="228">
        <v>645</v>
      </c>
      <c r="CU37" s="228">
        <v>-2</v>
      </c>
      <c r="CV37" s="229">
        <v>-2.5000000000000001E-3</v>
      </c>
      <c r="CW37" s="230">
        <v>3781</v>
      </c>
      <c r="CX37" s="230">
        <v>3844</v>
      </c>
      <c r="CY37" s="228">
        <v>-63</v>
      </c>
      <c r="CZ37" s="229">
        <v>-1.6299999999999999E-2</v>
      </c>
      <c r="DA37" s="228">
        <v>19.86</v>
      </c>
      <c r="DB37" s="228">
        <v>21.56</v>
      </c>
      <c r="DC37" s="228">
        <v>-1.7</v>
      </c>
      <c r="DD37" s="228">
        <v>-1.7</v>
      </c>
      <c r="DE37" s="228">
        <v>24.65</v>
      </c>
      <c r="DF37" s="228">
        <v>24.68</v>
      </c>
      <c r="DG37" s="228">
        <v>-4.79</v>
      </c>
      <c r="DH37" s="228">
        <v>-0.03</v>
      </c>
      <c r="DI37" s="228">
        <v>19.8</v>
      </c>
      <c r="DJ37" s="228">
        <v>21.74</v>
      </c>
      <c r="DK37" s="228">
        <v>-1.94</v>
      </c>
      <c r="DL37" s="228">
        <v>-1.94</v>
      </c>
      <c r="DM37" s="228">
        <v>19.989999999999998</v>
      </c>
      <c r="DN37" s="228">
        <v>20.97</v>
      </c>
      <c r="DO37" s="228">
        <v>-0.98</v>
      </c>
      <c r="DP37" s="228">
        <v>-0.98</v>
      </c>
      <c r="DQ37" s="228">
        <v>0.55000000000000004</v>
      </c>
      <c r="DR37" s="228">
        <v>0.53</v>
      </c>
      <c r="DS37" s="228">
        <v>0.02</v>
      </c>
      <c r="DT37" s="229">
        <v>3.7699999999999997E-2</v>
      </c>
      <c r="DU37" s="231">
        <v>6000</v>
      </c>
      <c r="DV37" s="231">
        <v>5800</v>
      </c>
      <c r="DW37" s="228">
        <v>0.55000000000000004</v>
      </c>
      <c r="DX37" s="228">
        <v>0.3</v>
      </c>
      <c r="DY37" s="228">
        <v>0.25</v>
      </c>
      <c r="DZ37" s="229">
        <v>0.83330000000000004</v>
      </c>
      <c r="EA37" s="229">
        <v>0.19620000000000001</v>
      </c>
      <c r="EB37" s="230">
        <v>130875</v>
      </c>
      <c r="EC37" s="229">
        <v>7.0000000000000001E-3</v>
      </c>
      <c r="ED37" s="229">
        <v>0.19620000000000001</v>
      </c>
      <c r="EE37" s="228">
        <v>34.479999999999997</v>
      </c>
      <c r="EF37" s="229">
        <v>5.8999999999999999E-3</v>
      </c>
      <c r="EG37" s="230">
        <v>495414</v>
      </c>
      <c r="EH37" s="230">
        <v>200529</v>
      </c>
      <c r="EI37" s="229">
        <v>1.4704999999999999</v>
      </c>
      <c r="EJ37" s="229">
        <v>0.76670000000000005</v>
      </c>
      <c r="EK37" s="231">
        <v>2722.5</v>
      </c>
      <c r="EL37" s="231">
        <v>1423.33</v>
      </c>
      <c r="EM37" s="231">
        <v>1016.65</v>
      </c>
      <c r="EN37" s="228">
        <v>32.67</v>
      </c>
      <c r="EO37" s="231">
        <v>5162.4799999999996</v>
      </c>
      <c r="EP37" s="231">
        <v>2415.71</v>
      </c>
      <c r="EQ37" s="231">
        <v>2746.77</v>
      </c>
      <c r="ER37" s="229">
        <v>1.137</v>
      </c>
      <c r="ES37" s="231">
        <v>1236.32</v>
      </c>
      <c r="ET37" s="228">
        <v>630.5</v>
      </c>
      <c r="EU37" s="231">
        <v>1969.86</v>
      </c>
      <c r="EV37" s="231">
        <v>13082978</v>
      </c>
      <c r="EW37" s="231">
        <v>3836.67</v>
      </c>
      <c r="EX37" s="231">
        <v>3921.99</v>
      </c>
      <c r="EY37" s="228">
        <v>-85.32</v>
      </c>
      <c r="EZ37" s="229">
        <v>-2.18E-2</v>
      </c>
      <c r="FA37" s="229">
        <v>0.49690000000000001</v>
      </c>
      <c r="FB37" s="227" t="s">
        <v>568</v>
      </c>
      <c r="FC37">
        <f t="shared" si="0"/>
        <v>386</v>
      </c>
    </row>
    <row r="38" spans="1:159" ht="17.25" thickBot="1" x14ac:dyDescent="0.3">
      <c r="A38" s="226">
        <v>45981</v>
      </c>
      <c r="B38" s="227" t="s">
        <v>175</v>
      </c>
      <c r="C38" s="227" t="s">
        <v>584</v>
      </c>
      <c r="D38" s="228">
        <v>375</v>
      </c>
      <c r="E38" s="228">
        <v>5</v>
      </c>
      <c r="F38" s="231">
        <v>2894.1</v>
      </c>
      <c r="G38" s="231">
        <v>2898.4</v>
      </c>
      <c r="H38" s="228">
        <v>-4.3</v>
      </c>
      <c r="I38" s="229">
        <v>-1.5E-3</v>
      </c>
      <c r="J38" s="231">
        <v>2895.5</v>
      </c>
      <c r="K38" s="231">
        <v>2898.3</v>
      </c>
      <c r="L38" s="228">
        <v>-2.8</v>
      </c>
      <c r="M38" s="229">
        <v>-1E-3</v>
      </c>
      <c r="N38" s="231">
        <v>2894.1</v>
      </c>
      <c r="O38" s="231">
        <v>2898.4</v>
      </c>
      <c r="P38" s="228">
        <v>-4.3</v>
      </c>
      <c r="Q38" s="229">
        <v>-1.5E-3</v>
      </c>
      <c r="R38" s="231">
        <v>2913</v>
      </c>
      <c r="S38" s="231">
        <v>2917.3</v>
      </c>
      <c r="T38" s="228">
        <v>-4.3</v>
      </c>
      <c r="U38" s="229">
        <v>-1.5E-3</v>
      </c>
      <c r="V38" s="231">
        <v>2927</v>
      </c>
      <c r="W38" s="231">
        <v>2932.7</v>
      </c>
      <c r="X38" s="228">
        <v>-5.7</v>
      </c>
      <c r="Y38" s="229">
        <v>-1.9E-3</v>
      </c>
      <c r="Z38" s="228">
        <v>-1.4</v>
      </c>
      <c r="AA38" s="228">
        <v>0.1</v>
      </c>
      <c r="AB38" s="228">
        <v>-1.5</v>
      </c>
      <c r="AC38" s="229">
        <v>-5.0000000000000001E-4</v>
      </c>
      <c r="AD38" s="228">
        <v>-1.4</v>
      </c>
      <c r="AE38" s="228">
        <v>0.1</v>
      </c>
      <c r="AF38" s="228">
        <v>-1.5</v>
      </c>
      <c r="AG38" s="229">
        <v>-5.0000000000000001E-4</v>
      </c>
      <c r="AH38" s="228">
        <v>17.5</v>
      </c>
      <c r="AI38" s="228">
        <v>19</v>
      </c>
      <c r="AJ38" s="228">
        <v>-1.5</v>
      </c>
      <c r="AK38" s="229">
        <v>6.0000000000000001E-3</v>
      </c>
      <c r="AL38" s="228">
        <v>31.5</v>
      </c>
      <c r="AM38" s="228">
        <v>34.4</v>
      </c>
      <c r="AN38" s="228">
        <v>-2.9</v>
      </c>
      <c r="AO38" s="229">
        <v>1.09E-2</v>
      </c>
      <c r="AP38" s="231">
        <v>2926.87</v>
      </c>
      <c r="AQ38" s="231">
        <v>2949.15</v>
      </c>
      <c r="AR38" s="228">
        <v>0</v>
      </c>
      <c r="AS38" s="230">
        <v>2688</v>
      </c>
      <c r="AT38" s="230">
        <v>1351</v>
      </c>
      <c r="AU38" s="230">
        <v>1337</v>
      </c>
      <c r="AV38" s="229">
        <v>0.98960000000000004</v>
      </c>
      <c r="AW38" s="230">
        <v>1578</v>
      </c>
      <c r="AX38" s="228">
        <v>935</v>
      </c>
      <c r="AY38" s="228">
        <v>643</v>
      </c>
      <c r="AZ38" s="229">
        <v>0.68740000000000001</v>
      </c>
      <c r="BA38" s="230">
        <v>1073</v>
      </c>
      <c r="BB38" s="228">
        <v>384</v>
      </c>
      <c r="BC38" s="228">
        <v>688</v>
      </c>
      <c r="BD38" s="229">
        <v>1.7907999999999999</v>
      </c>
      <c r="BE38" s="228">
        <v>37</v>
      </c>
      <c r="BF38" s="228">
        <v>31</v>
      </c>
      <c r="BG38" s="228">
        <v>6</v>
      </c>
      <c r="BH38" s="229">
        <v>0.17929999999999999</v>
      </c>
      <c r="BI38" s="230">
        <v>14642</v>
      </c>
      <c r="BJ38" s="230">
        <v>10811</v>
      </c>
      <c r="BK38" s="230">
        <v>3832</v>
      </c>
      <c r="BL38" s="229">
        <v>0.35439999999999999</v>
      </c>
      <c r="BM38" s="230">
        <v>10421</v>
      </c>
      <c r="BN38" s="230">
        <v>6446</v>
      </c>
      <c r="BO38" s="230">
        <v>3975</v>
      </c>
      <c r="BP38" s="229">
        <v>0.61660000000000004</v>
      </c>
      <c r="BQ38" s="230">
        <v>27751</v>
      </c>
      <c r="BR38" s="230">
        <v>18608</v>
      </c>
      <c r="BS38" s="230">
        <v>9143</v>
      </c>
      <c r="BT38" s="229">
        <v>0.4914</v>
      </c>
      <c r="BU38" s="230">
        <v>6301559</v>
      </c>
      <c r="BV38" s="230">
        <v>6111316</v>
      </c>
      <c r="BW38" s="230">
        <v>190243</v>
      </c>
      <c r="BX38" s="229">
        <v>3.1099999999999999E-2</v>
      </c>
      <c r="BY38" s="230">
        <v>3649</v>
      </c>
      <c r="BZ38" s="230">
        <v>3794</v>
      </c>
      <c r="CA38" s="228">
        <v>-145</v>
      </c>
      <c r="CB38" s="229">
        <v>-3.8100000000000002E-2</v>
      </c>
      <c r="CC38" s="230">
        <v>2520</v>
      </c>
      <c r="CD38" s="230">
        <v>3168</v>
      </c>
      <c r="CE38" s="228">
        <v>-649</v>
      </c>
      <c r="CF38" s="229">
        <v>-0.20480000000000001</v>
      </c>
      <c r="CG38" s="230">
        <v>1082</v>
      </c>
      <c r="CH38" s="228">
        <v>585</v>
      </c>
      <c r="CI38" s="228">
        <v>497</v>
      </c>
      <c r="CJ38" s="229">
        <v>0.85060000000000002</v>
      </c>
      <c r="CK38" s="228">
        <v>47</v>
      </c>
      <c r="CL38" s="228">
        <v>40</v>
      </c>
      <c r="CM38" s="228">
        <v>7</v>
      </c>
      <c r="CN38" s="229">
        <v>0.16619999999999999</v>
      </c>
      <c r="CO38" s="230">
        <v>3081</v>
      </c>
      <c r="CP38" s="230">
        <v>2857</v>
      </c>
      <c r="CQ38" s="228">
        <v>223</v>
      </c>
      <c r="CR38" s="229">
        <v>7.8100000000000003E-2</v>
      </c>
      <c r="CS38" s="230">
        <v>2806</v>
      </c>
      <c r="CT38" s="230">
        <v>2958</v>
      </c>
      <c r="CU38" s="228">
        <v>-152</v>
      </c>
      <c r="CV38" s="229">
        <v>-5.1400000000000001E-2</v>
      </c>
      <c r="CW38" s="230">
        <v>9536</v>
      </c>
      <c r="CX38" s="230">
        <v>9609</v>
      </c>
      <c r="CY38" s="228">
        <v>-73</v>
      </c>
      <c r="CZ38" s="229">
        <v>-7.6E-3</v>
      </c>
      <c r="DA38" s="228">
        <v>36.799999999999997</v>
      </c>
      <c r="DB38" s="228">
        <v>36.86</v>
      </c>
      <c r="DC38" s="228">
        <v>-0.06</v>
      </c>
      <c r="DD38" s="228">
        <v>-0.06</v>
      </c>
      <c r="DE38" s="228">
        <v>62.03</v>
      </c>
      <c r="DF38" s="228">
        <v>62.18</v>
      </c>
      <c r="DG38" s="228">
        <v>-25.23</v>
      </c>
      <c r="DH38" s="228">
        <v>-0.15</v>
      </c>
      <c r="DI38" s="228">
        <v>36.17</v>
      </c>
      <c r="DJ38" s="228">
        <v>34.26</v>
      </c>
      <c r="DK38" s="228">
        <v>1.91</v>
      </c>
      <c r="DL38" s="228">
        <v>1.91</v>
      </c>
      <c r="DM38" s="228">
        <v>37.82</v>
      </c>
      <c r="DN38" s="228">
        <v>41.2</v>
      </c>
      <c r="DO38" s="228">
        <v>-3.38</v>
      </c>
      <c r="DP38" s="228">
        <v>-3.38</v>
      </c>
      <c r="DQ38" s="228">
        <v>0.91</v>
      </c>
      <c r="DR38" s="228">
        <v>1.04</v>
      </c>
      <c r="DS38" s="228">
        <v>-0.13</v>
      </c>
      <c r="DT38" s="229">
        <v>-0.125</v>
      </c>
      <c r="DU38" s="231">
        <v>3000</v>
      </c>
      <c r="DV38" s="231">
        <v>2800</v>
      </c>
      <c r="DW38" s="228">
        <v>0.71</v>
      </c>
      <c r="DX38" s="228">
        <v>0.6</v>
      </c>
      <c r="DY38" s="228">
        <v>0.11</v>
      </c>
      <c r="DZ38" s="229">
        <v>0.18329999999999999</v>
      </c>
      <c r="EA38" s="229">
        <v>0.3095</v>
      </c>
      <c r="EB38" s="230">
        <v>2160375</v>
      </c>
      <c r="EC38" s="229">
        <v>6.4999999999999997E-3</v>
      </c>
      <c r="ED38" s="229">
        <v>0.3095</v>
      </c>
      <c r="EE38" s="228">
        <v>22.28</v>
      </c>
      <c r="EF38" s="229">
        <v>7.6E-3</v>
      </c>
      <c r="EG38" s="230">
        <v>1784781</v>
      </c>
      <c r="EH38" s="230">
        <v>2198874</v>
      </c>
      <c r="EI38" s="229">
        <v>-0.1883</v>
      </c>
      <c r="EJ38" s="229">
        <v>0.28320000000000001</v>
      </c>
      <c r="EK38" s="231">
        <v>15360.41</v>
      </c>
      <c r="EL38" s="231">
        <v>10068</v>
      </c>
      <c r="EM38" s="231">
        <v>2726.73</v>
      </c>
      <c r="EN38" s="228">
        <v>103.4</v>
      </c>
      <c r="EO38" s="231">
        <v>28155.14</v>
      </c>
      <c r="EP38" s="231">
        <v>18644.91</v>
      </c>
      <c r="EQ38" s="231">
        <v>9510.23</v>
      </c>
      <c r="ER38" s="229">
        <v>0.5101</v>
      </c>
      <c r="ES38" s="231">
        <v>3060</v>
      </c>
      <c r="ET38" s="231">
        <v>2550.19</v>
      </c>
      <c r="EU38" s="231">
        <v>3656.56</v>
      </c>
      <c r="EV38" s="231">
        <v>48385387</v>
      </c>
      <c r="EW38" s="231">
        <v>9266.74</v>
      </c>
      <c r="EX38" s="231">
        <v>9279.2900000000009</v>
      </c>
      <c r="EY38" s="228">
        <v>-12.55</v>
      </c>
      <c r="EZ38" s="229">
        <v>-1.4E-3</v>
      </c>
      <c r="FA38" s="229">
        <v>0.68100000000000005</v>
      </c>
      <c r="FB38" s="227" t="s">
        <v>568</v>
      </c>
      <c r="FC38">
        <f t="shared" si="0"/>
        <v>1129</v>
      </c>
    </row>
    <row r="39" spans="1:159" ht="17.25" thickBot="1" x14ac:dyDescent="0.3">
      <c r="A39" s="226">
        <v>45981</v>
      </c>
      <c r="B39" s="227" t="s">
        <v>175</v>
      </c>
      <c r="C39" s="227" t="s">
        <v>611</v>
      </c>
      <c r="D39" s="228">
        <v>150</v>
      </c>
      <c r="E39" s="228">
        <v>5</v>
      </c>
      <c r="F39" s="231">
        <v>4012.4</v>
      </c>
      <c r="G39" s="231">
        <v>3926.9</v>
      </c>
      <c r="H39" s="228">
        <v>85.5</v>
      </c>
      <c r="I39" s="229">
        <v>2.18E-2</v>
      </c>
      <c r="J39" s="231">
        <v>4014.5</v>
      </c>
      <c r="K39" s="231">
        <v>3929</v>
      </c>
      <c r="L39" s="228">
        <v>85.5</v>
      </c>
      <c r="M39" s="229">
        <v>2.18E-2</v>
      </c>
      <c r="N39" s="231">
        <v>4012.4</v>
      </c>
      <c r="O39" s="231">
        <v>3926.9</v>
      </c>
      <c r="P39" s="228">
        <v>85.5</v>
      </c>
      <c r="Q39" s="229">
        <v>2.18E-2</v>
      </c>
      <c r="R39" s="231">
        <v>4039.2</v>
      </c>
      <c r="S39" s="231">
        <v>3954.1</v>
      </c>
      <c r="T39" s="228">
        <v>85.1</v>
      </c>
      <c r="U39" s="229">
        <v>2.1499999999999998E-2</v>
      </c>
      <c r="V39" s="231">
        <v>4065.2</v>
      </c>
      <c r="W39" s="231">
        <v>3976</v>
      </c>
      <c r="X39" s="228">
        <v>89.2</v>
      </c>
      <c r="Y39" s="229">
        <v>2.24E-2</v>
      </c>
      <c r="Z39" s="228">
        <v>-2.1</v>
      </c>
      <c r="AA39" s="228">
        <v>-2.1</v>
      </c>
      <c r="AB39" s="228">
        <v>0</v>
      </c>
      <c r="AC39" s="229">
        <v>-5.0000000000000001E-4</v>
      </c>
      <c r="AD39" s="228">
        <v>-2.1</v>
      </c>
      <c r="AE39" s="228">
        <v>-2.1</v>
      </c>
      <c r="AF39" s="228">
        <v>0</v>
      </c>
      <c r="AG39" s="229">
        <v>-5.0000000000000001E-4</v>
      </c>
      <c r="AH39" s="228">
        <v>24.7</v>
      </c>
      <c r="AI39" s="228">
        <v>25.1</v>
      </c>
      <c r="AJ39" s="228">
        <v>-0.4</v>
      </c>
      <c r="AK39" s="229">
        <v>6.1999999999999998E-3</v>
      </c>
      <c r="AL39" s="228">
        <v>50.7</v>
      </c>
      <c r="AM39" s="228">
        <v>47</v>
      </c>
      <c r="AN39" s="228">
        <v>3.7</v>
      </c>
      <c r="AO39" s="229">
        <v>1.26E-2</v>
      </c>
      <c r="AP39" s="231">
        <v>4021.9</v>
      </c>
      <c r="AQ39" s="231">
        <v>4051.79</v>
      </c>
      <c r="AR39" s="228">
        <v>0</v>
      </c>
      <c r="AS39" s="228">
        <v>802</v>
      </c>
      <c r="AT39" s="228">
        <v>182</v>
      </c>
      <c r="AU39" s="228">
        <v>620</v>
      </c>
      <c r="AV39" s="229">
        <v>3.4104999999999999</v>
      </c>
      <c r="AW39" s="228">
        <v>405</v>
      </c>
      <c r="AX39" s="228">
        <v>122</v>
      </c>
      <c r="AY39" s="228">
        <v>283</v>
      </c>
      <c r="AZ39" s="229">
        <v>2.3294999999999999</v>
      </c>
      <c r="BA39" s="228">
        <v>391</v>
      </c>
      <c r="BB39" s="228">
        <v>57</v>
      </c>
      <c r="BC39" s="228">
        <v>333</v>
      </c>
      <c r="BD39" s="229">
        <v>5.8121999999999998</v>
      </c>
      <c r="BE39" s="228">
        <v>6</v>
      </c>
      <c r="BF39" s="228">
        <v>3</v>
      </c>
      <c r="BG39" s="228">
        <v>3</v>
      </c>
      <c r="BH39" s="229">
        <v>1.1915</v>
      </c>
      <c r="BI39" s="230">
        <v>4751</v>
      </c>
      <c r="BJ39" s="228">
        <v>801</v>
      </c>
      <c r="BK39" s="230">
        <v>3950</v>
      </c>
      <c r="BL39" s="229">
        <v>4.9337999999999997</v>
      </c>
      <c r="BM39" s="230">
        <v>1518</v>
      </c>
      <c r="BN39" s="228">
        <v>198</v>
      </c>
      <c r="BO39" s="230">
        <v>1320</v>
      </c>
      <c r="BP39" s="229">
        <v>6.6627000000000001</v>
      </c>
      <c r="BQ39" s="230">
        <v>7070</v>
      </c>
      <c r="BR39" s="230">
        <v>1180</v>
      </c>
      <c r="BS39" s="230">
        <v>5890</v>
      </c>
      <c r="BT39" s="229">
        <v>4.9893000000000001</v>
      </c>
      <c r="BU39" s="230">
        <v>743313</v>
      </c>
      <c r="BV39" s="230">
        <v>173075</v>
      </c>
      <c r="BW39" s="230">
        <v>570238</v>
      </c>
      <c r="BX39" s="229">
        <v>3.2947000000000002</v>
      </c>
      <c r="BY39" s="228">
        <v>714</v>
      </c>
      <c r="BZ39" s="228">
        <v>744</v>
      </c>
      <c r="CA39" s="228">
        <v>-30</v>
      </c>
      <c r="CB39" s="229">
        <v>-4.0300000000000002E-2</v>
      </c>
      <c r="CC39" s="228">
        <v>444</v>
      </c>
      <c r="CD39" s="228">
        <v>610</v>
      </c>
      <c r="CE39" s="228">
        <v>-166</v>
      </c>
      <c r="CF39" s="229">
        <v>-0.27229999999999999</v>
      </c>
      <c r="CG39" s="228">
        <v>261</v>
      </c>
      <c r="CH39" s="228">
        <v>126</v>
      </c>
      <c r="CI39" s="228">
        <v>135</v>
      </c>
      <c r="CJ39" s="229">
        <v>1.0737000000000001</v>
      </c>
      <c r="CK39" s="228">
        <v>9</v>
      </c>
      <c r="CL39" s="228">
        <v>8</v>
      </c>
      <c r="CM39" s="228">
        <v>1</v>
      </c>
      <c r="CN39" s="229">
        <v>0.12230000000000001</v>
      </c>
      <c r="CO39" s="228">
        <v>690</v>
      </c>
      <c r="CP39" s="228">
        <v>772</v>
      </c>
      <c r="CQ39" s="228">
        <v>-82</v>
      </c>
      <c r="CR39" s="229">
        <v>-0.10639999999999999</v>
      </c>
      <c r="CS39" s="228">
        <v>470</v>
      </c>
      <c r="CT39" s="228">
        <v>433</v>
      </c>
      <c r="CU39" s="228">
        <v>37</v>
      </c>
      <c r="CV39" s="229">
        <v>8.5199999999999998E-2</v>
      </c>
      <c r="CW39" s="230">
        <v>1874</v>
      </c>
      <c r="CX39" s="230">
        <v>1949</v>
      </c>
      <c r="CY39" s="228">
        <v>-75</v>
      </c>
      <c r="CZ39" s="229">
        <v>-3.8600000000000002E-2</v>
      </c>
      <c r="DA39" s="228">
        <v>28.85</v>
      </c>
      <c r="DB39" s="228">
        <v>31.03</v>
      </c>
      <c r="DC39" s="228">
        <v>-2.1800000000000002</v>
      </c>
      <c r="DD39" s="228">
        <v>-2.1800000000000002</v>
      </c>
      <c r="DE39" s="228">
        <v>41.42</v>
      </c>
      <c r="DF39" s="228">
        <v>41.42</v>
      </c>
      <c r="DG39" s="228">
        <v>-12.57</v>
      </c>
      <c r="DH39" s="228">
        <v>0</v>
      </c>
      <c r="DI39" s="228">
        <v>28.88</v>
      </c>
      <c r="DJ39" s="228">
        <v>31.37</v>
      </c>
      <c r="DK39" s="228">
        <v>-2.4900000000000002</v>
      </c>
      <c r="DL39" s="228">
        <v>-2.4900000000000002</v>
      </c>
      <c r="DM39" s="228">
        <v>28.72</v>
      </c>
      <c r="DN39" s="228">
        <v>29.68</v>
      </c>
      <c r="DO39" s="228">
        <v>-0.96</v>
      </c>
      <c r="DP39" s="228">
        <v>-0.96</v>
      </c>
      <c r="DQ39" s="228">
        <v>0.68</v>
      </c>
      <c r="DR39" s="228">
        <v>0.56000000000000005</v>
      </c>
      <c r="DS39" s="228">
        <v>0.12</v>
      </c>
      <c r="DT39" s="229">
        <v>0.21429999999999999</v>
      </c>
      <c r="DU39" s="231">
        <v>4000</v>
      </c>
      <c r="DV39" s="231">
        <v>3900</v>
      </c>
      <c r="DW39" s="228">
        <v>0.32</v>
      </c>
      <c r="DX39" s="228">
        <v>0.25</v>
      </c>
      <c r="DY39" s="228">
        <v>7.0000000000000007E-2</v>
      </c>
      <c r="DZ39" s="229">
        <v>0.28000000000000003</v>
      </c>
      <c r="EA39" s="229">
        <v>0.3785</v>
      </c>
      <c r="EB39" s="230">
        <v>334350</v>
      </c>
      <c r="EC39" s="229">
        <v>6.7000000000000002E-3</v>
      </c>
      <c r="ED39" s="229">
        <v>0.3785</v>
      </c>
      <c r="EE39" s="228">
        <v>29.89</v>
      </c>
      <c r="EF39" s="229">
        <v>7.4000000000000003E-3</v>
      </c>
      <c r="EG39" s="230">
        <v>278387</v>
      </c>
      <c r="EH39" s="230">
        <v>69195</v>
      </c>
      <c r="EI39" s="229">
        <v>3.0232000000000001</v>
      </c>
      <c r="EJ39" s="229">
        <v>0.3745</v>
      </c>
      <c r="EK39" s="231">
        <v>4895.45</v>
      </c>
      <c r="EL39" s="231">
        <v>1486.67</v>
      </c>
      <c r="EM39" s="228">
        <v>806.83</v>
      </c>
      <c r="EN39" s="228">
        <v>25.67</v>
      </c>
      <c r="EO39" s="231">
        <v>7188.95</v>
      </c>
      <c r="EP39" s="231">
        <v>1186.33</v>
      </c>
      <c r="EQ39" s="231">
        <v>6002.62</v>
      </c>
      <c r="ER39" s="229">
        <v>5.0598000000000001</v>
      </c>
      <c r="ES39" s="228">
        <v>703.89</v>
      </c>
      <c r="ET39" s="228">
        <v>452.66</v>
      </c>
      <c r="EU39" s="228">
        <v>715.91</v>
      </c>
      <c r="EV39" s="231">
        <v>7421215</v>
      </c>
      <c r="EW39" s="231">
        <v>1872.46</v>
      </c>
      <c r="EX39" s="231">
        <v>1923.38</v>
      </c>
      <c r="EY39" s="228">
        <v>-50.92</v>
      </c>
      <c r="EZ39" s="229">
        <v>-2.6499999999999999E-2</v>
      </c>
      <c r="FA39" s="229">
        <v>0.62939999999999996</v>
      </c>
      <c r="FB39" s="227" t="s">
        <v>556</v>
      </c>
      <c r="FC39">
        <f t="shared" si="0"/>
        <v>270</v>
      </c>
    </row>
    <row r="40" spans="1:159" ht="17.25" thickBot="1" x14ac:dyDescent="0.3">
      <c r="A40" s="226">
        <v>45981</v>
      </c>
      <c r="B40" s="227" t="s">
        <v>172</v>
      </c>
      <c r="C40" s="227" t="s">
        <v>196</v>
      </c>
      <c r="D40" s="228">
        <v>6750</v>
      </c>
      <c r="E40" s="228">
        <v>5</v>
      </c>
      <c r="F40" s="228">
        <v>147.97999999999999</v>
      </c>
      <c r="G40" s="228">
        <v>150.33000000000001</v>
      </c>
      <c r="H40" s="228">
        <v>-2.35</v>
      </c>
      <c r="I40" s="229">
        <v>-1.5599999999999999E-2</v>
      </c>
      <c r="J40" s="228">
        <v>147.94</v>
      </c>
      <c r="K40" s="228">
        <v>150.38</v>
      </c>
      <c r="L40" s="228">
        <v>-2.44</v>
      </c>
      <c r="M40" s="229">
        <v>-1.6199999999999999E-2</v>
      </c>
      <c r="N40" s="228">
        <v>147.97999999999999</v>
      </c>
      <c r="O40" s="228">
        <v>150.33000000000001</v>
      </c>
      <c r="P40" s="228">
        <v>-2.35</v>
      </c>
      <c r="Q40" s="229">
        <v>-1.5599999999999999E-2</v>
      </c>
      <c r="R40" s="228">
        <v>148.96</v>
      </c>
      <c r="S40" s="228">
        <v>151.34</v>
      </c>
      <c r="T40" s="228">
        <v>-2.38</v>
      </c>
      <c r="U40" s="229">
        <v>-1.5699999999999999E-2</v>
      </c>
      <c r="V40" s="228">
        <v>149.88</v>
      </c>
      <c r="W40" s="228">
        <v>152.28</v>
      </c>
      <c r="X40" s="228">
        <v>-2.4</v>
      </c>
      <c r="Y40" s="229">
        <v>-1.5800000000000002E-2</v>
      </c>
      <c r="Z40" s="228">
        <v>0.04</v>
      </c>
      <c r="AA40" s="228">
        <v>-0.05</v>
      </c>
      <c r="AB40" s="228">
        <v>0.09</v>
      </c>
      <c r="AC40" s="229">
        <v>2.9999999999999997E-4</v>
      </c>
      <c r="AD40" s="228">
        <v>0.04</v>
      </c>
      <c r="AE40" s="228">
        <v>-0.05</v>
      </c>
      <c r="AF40" s="228">
        <v>0.09</v>
      </c>
      <c r="AG40" s="229">
        <v>2.9999999999999997E-4</v>
      </c>
      <c r="AH40" s="228">
        <v>1.02</v>
      </c>
      <c r="AI40" s="228">
        <v>0.96</v>
      </c>
      <c r="AJ40" s="228">
        <v>0.06</v>
      </c>
      <c r="AK40" s="229">
        <v>6.8999999999999999E-3</v>
      </c>
      <c r="AL40" s="228">
        <v>1.94</v>
      </c>
      <c r="AM40" s="228">
        <v>1.9</v>
      </c>
      <c r="AN40" s="228">
        <v>0.04</v>
      </c>
      <c r="AO40" s="229">
        <v>1.3100000000000001E-2</v>
      </c>
      <c r="AP40" s="228">
        <v>149.41999999999999</v>
      </c>
      <c r="AQ40" s="228">
        <v>150.38999999999999</v>
      </c>
      <c r="AR40" s="228">
        <v>0</v>
      </c>
      <c r="AS40" s="230">
        <v>1306</v>
      </c>
      <c r="AT40" s="228">
        <v>816</v>
      </c>
      <c r="AU40" s="228">
        <v>490</v>
      </c>
      <c r="AV40" s="229">
        <v>0.60029999999999994</v>
      </c>
      <c r="AW40" s="228">
        <v>741</v>
      </c>
      <c r="AX40" s="228">
        <v>574</v>
      </c>
      <c r="AY40" s="228">
        <v>167</v>
      </c>
      <c r="AZ40" s="229">
        <v>0.29099999999999998</v>
      </c>
      <c r="BA40" s="228">
        <v>553</v>
      </c>
      <c r="BB40" s="228">
        <v>229</v>
      </c>
      <c r="BC40" s="228">
        <v>325</v>
      </c>
      <c r="BD40" s="229">
        <v>1.4213</v>
      </c>
      <c r="BE40" s="228">
        <v>11</v>
      </c>
      <c r="BF40" s="228">
        <v>13</v>
      </c>
      <c r="BG40" s="228">
        <v>-2</v>
      </c>
      <c r="BH40" s="229">
        <v>-0.1603</v>
      </c>
      <c r="BI40" s="230">
        <v>2963</v>
      </c>
      <c r="BJ40" s="230">
        <v>3179</v>
      </c>
      <c r="BK40" s="228">
        <v>-216</v>
      </c>
      <c r="BL40" s="229">
        <v>-6.7900000000000002E-2</v>
      </c>
      <c r="BM40" s="230">
        <v>1829</v>
      </c>
      <c r="BN40" s="230">
        <v>2108</v>
      </c>
      <c r="BO40" s="228">
        <v>-279</v>
      </c>
      <c r="BP40" s="229">
        <v>-0.13250000000000001</v>
      </c>
      <c r="BQ40" s="230">
        <v>6097</v>
      </c>
      <c r="BR40" s="230">
        <v>6103</v>
      </c>
      <c r="BS40" s="228">
        <v>-5</v>
      </c>
      <c r="BT40" s="229">
        <v>-8.9999999999999998E-4</v>
      </c>
      <c r="BU40" s="230">
        <v>20586065</v>
      </c>
      <c r="BV40" s="230">
        <v>27794146</v>
      </c>
      <c r="BW40" s="230">
        <v>-7208081</v>
      </c>
      <c r="BX40" s="229">
        <v>-0.25929999999999997</v>
      </c>
      <c r="BY40" s="230">
        <v>2389</v>
      </c>
      <c r="BZ40" s="230">
        <v>2473</v>
      </c>
      <c r="CA40" s="228">
        <v>-84</v>
      </c>
      <c r="CB40" s="229">
        <v>-3.3799999999999997E-2</v>
      </c>
      <c r="CC40" s="230">
        <v>1634</v>
      </c>
      <c r="CD40" s="230">
        <v>2056</v>
      </c>
      <c r="CE40" s="228">
        <v>-422</v>
      </c>
      <c r="CF40" s="229">
        <v>-0.20519999999999999</v>
      </c>
      <c r="CG40" s="228">
        <v>717</v>
      </c>
      <c r="CH40" s="228">
        <v>379</v>
      </c>
      <c r="CI40" s="228">
        <v>338</v>
      </c>
      <c r="CJ40" s="229">
        <v>0.89300000000000002</v>
      </c>
      <c r="CK40" s="228">
        <v>38</v>
      </c>
      <c r="CL40" s="228">
        <v>38</v>
      </c>
      <c r="CM40" s="228">
        <v>0</v>
      </c>
      <c r="CN40" s="229">
        <v>0</v>
      </c>
      <c r="CO40" s="230">
        <v>1822</v>
      </c>
      <c r="CP40" s="230">
        <v>1881</v>
      </c>
      <c r="CQ40" s="228">
        <v>-59</v>
      </c>
      <c r="CR40" s="229">
        <v>-3.1399999999999997E-2</v>
      </c>
      <c r="CS40" s="230">
        <v>2085</v>
      </c>
      <c r="CT40" s="230">
        <v>2203</v>
      </c>
      <c r="CU40" s="228">
        <v>-118</v>
      </c>
      <c r="CV40" s="229">
        <v>-5.3499999999999999E-2</v>
      </c>
      <c r="CW40" s="230">
        <v>6296</v>
      </c>
      <c r="CX40" s="230">
        <v>6557</v>
      </c>
      <c r="CY40" s="228">
        <v>-261</v>
      </c>
      <c r="CZ40" s="229">
        <v>-3.9800000000000002E-2</v>
      </c>
      <c r="DA40" s="228">
        <v>24.65</v>
      </c>
      <c r="DB40" s="228">
        <v>28.63</v>
      </c>
      <c r="DC40" s="228">
        <v>-3.98</v>
      </c>
      <c r="DD40" s="228">
        <v>-3.98</v>
      </c>
      <c r="DE40" s="228">
        <v>36.68</v>
      </c>
      <c r="DF40" s="228">
        <v>36.71</v>
      </c>
      <c r="DG40" s="228">
        <v>-12.03</v>
      </c>
      <c r="DH40" s="228">
        <v>-0.03</v>
      </c>
      <c r="DI40" s="228">
        <v>24.66</v>
      </c>
      <c r="DJ40" s="228">
        <v>26.93</v>
      </c>
      <c r="DK40" s="228">
        <v>-2.27</v>
      </c>
      <c r="DL40" s="228">
        <v>-2.27</v>
      </c>
      <c r="DM40" s="228">
        <v>24.64</v>
      </c>
      <c r="DN40" s="228">
        <v>31.19</v>
      </c>
      <c r="DO40" s="228">
        <v>-6.55</v>
      </c>
      <c r="DP40" s="228">
        <v>-6.55</v>
      </c>
      <c r="DQ40" s="228">
        <v>1.1399999999999999</v>
      </c>
      <c r="DR40" s="228">
        <v>1.17</v>
      </c>
      <c r="DS40" s="228">
        <v>-0.03</v>
      </c>
      <c r="DT40" s="229">
        <v>-2.5600000000000001E-2</v>
      </c>
      <c r="DU40" s="228">
        <v>150</v>
      </c>
      <c r="DV40" s="228">
        <v>140</v>
      </c>
      <c r="DW40" s="228">
        <v>0.62</v>
      </c>
      <c r="DX40" s="228">
        <v>0.66</v>
      </c>
      <c r="DY40" s="228">
        <v>-0.04</v>
      </c>
      <c r="DZ40" s="229">
        <v>-6.0600000000000001E-2</v>
      </c>
      <c r="EA40" s="229">
        <v>0.316</v>
      </c>
      <c r="EB40" s="230">
        <v>28154250</v>
      </c>
      <c r="EC40" s="229">
        <v>6.6E-3</v>
      </c>
      <c r="ED40" s="229">
        <v>0.316</v>
      </c>
      <c r="EE40" s="228">
        <v>0.97</v>
      </c>
      <c r="EF40" s="229">
        <v>6.4999999999999997E-3</v>
      </c>
      <c r="EG40" s="230">
        <v>10792474</v>
      </c>
      <c r="EH40" s="230">
        <v>13243279</v>
      </c>
      <c r="EI40" s="229">
        <v>-0.18509999999999999</v>
      </c>
      <c r="EJ40" s="229">
        <v>0.52429999999999999</v>
      </c>
      <c r="EK40" s="231">
        <v>3091.86</v>
      </c>
      <c r="EL40" s="231">
        <v>1793.92</v>
      </c>
      <c r="EM40" s="231">
        <v>1322.28</v>
      </c>
      <c r="EN40" s="228">
        <v>77.97</v>
      </c>
      <c r="EO40" s="231">
        <v>6208.06</v>
      </c>
      <c r="EP40" s="231">
        <v>6192.24</v>
      </c>
      <c r="EQ40" s="228">
        <v>15.82</v>
      </c>
      <c r="ER40" s="229">
        <v>2.5999999999999999E-3</v>
      </c>
      <c r="ES40" s="231">
        <v>1799.4</v>
      </c>
      <c r="ET40" s="231">
        <v>1937.59</v>
      </c>
      <c r="EU40" s="231">
        <v>2394.62</v>
      </c>
      <c r="EV40" s="231">
        <v>504315430</v>
      </c>
      <c r="EW40" s="231">
        <v>6131.61</v>
      </c>
      <c r="EX40" s="231">
        <v>6412.52</v>
      </c>
      <c r="EY40" s="228">
        <v>-280.91000000000003</v>
      </c>
      <c r="EZ40" s="229">
        <v>-4.3799999999999999E-2</v>
      </c>
      <c r="FA40" s="229">
        <v>0.84370000000000001</v>
      </c>
      <c r="FB40" s="227" t="s">
        <v>568</v>
      </c>
      <c r="FC40">
        <f t="shared" si="0"/>
        <v>755</v>
      </c>
    </row>
    <row r="41" spans="1:159" ht="17.25" thickBot="1" x14ac:dyDescent="0.3">
      <c r="A41" s="226">
        <v>45981</v>
      </c>
      <c r="B41" s="227" t="s">
        <v>175</v>
      </c>
      <c r="C41" s="227" t="s">
        <v>597</v>
      </c>
      <c r="D41" s="228">
        <v>475</v>
      </c>
      <c r="E41" s="228">
        <v>5</v>
      </c>
      <c r="F41" s="231">
        <v>1643.4</v>
      </c>
      <c r="G41" s="231">
        <v>1627.1</v>
      </c>
      <c r="H41" s="228">
        <v>16.3</v>
      </c>
      <c r="I41" s="229">
        <v>0.01</v>
      </c>
      <c r="J41" s="231">
        <v>1640.1</v>
      </c>
      <c r="K41" s="231">
        <v>1622.8</v>
      </c>
      <c r="L41" s="228">
        <v>17.3</v>
      </c>
      <c r="M41" s="229">
        <v>1.0699999999999999E-2</v>
      </c>
      <c r="N41" s="231">
        <v>1643.4</v>
      </c>
      <c r="O41" s="231">
        <v>1627.1</v>
      </c>
      <c r="P41" s="228">
        <v>16.3</v>
      </c>
      <c r="Q41" s="229">
        <v>0.01</v>
      </c>
      <c r="R41" s="231">
        <v>1650.1</v>
      </c>
      <c r="S41" s="231">
        <v>1635.8</v>
      </c>
      <c r="T41" s="228">
        <v>14.3</v>
      </c>
      <c r="U41" s="229">
        <v>8.6999999999999994E-3</v>
      </c>
      <c r="V41" s="231">
        <v>1659.3</v>
      </c>
      <c r="W41" s="231">
        <v>1644.4</v>
      </c>
      <c r="X41" s="228">
        <v>14.9</v>
      </c>
      <c r="Y41" s="229">
        <v>9.1000000000000004E-3</v>
      </c>
      <c r="Z41" s="228">
        <v>3.3</v>
      </c>
      <c r="AA41" s="228">
        <v>4.3</v>
      </c>
      <c r="AB41" s="228">
        <v>-1</v>
      </c>
      <c r="AC41" s="229">
        <v>2E-3</v>
      </c>
      <c r="AD41" s="228">
        <v>3.3</v>
      </c>
      <c r="AE41" s="228">
        <v>4.3</v>
      </c>
      <c r="AF41" s="228">
        <v>-1</v>
      </c>
      <c r="AG41" s="229">
        <v>2E-3</v>
      </c>
      <c r="AH41" s="228">
        <v>10</v>
      </c>
      <c r="AI41" s="228">
        <v>13</v>
      </c>
      <c r="AJ41" s="228">
        <v>-3</v>
      </c>
      <c r="AK41" s="229">
        <v>6.1000000000000004E-3</v>
      </c>
      <c r="AL41" s="228">
        <v>19.2</v>
      </c>
      <c r="AM41" s="228">
        <v>21.6</v>
      </c>
      <c r="AN41" s="228">
        <v>-2.4</v>
      </c>
      <c r="AO41" s="229">
        <v>1.17E-2</v>
      </c>
      <c r="AP41" s="231">
        <v>1656.51</v>
      </c>
      <c r="AQ41" s="231">
        <v>1664.76</v>
      </c>
      <c r="AR41" s="228">
        <v>0</v>
      </c>
      <c r="AS41" s="230">
        <v>1799</v>
      </c>
      <c r="AT41" s="228">
        <v>558</v>
      </c>
      <c r="AU41" s="230">
        <v>1241</v>
      </c>
      <c r="AV41" s="229">
        <v>2.2244000000000002</v>
      </c>
      <c r="AW41" s="228">
        <v>965</v>
      </c>
      <c r="AX41" s="228">
        <v>329</v>
      </c>
      <c r="AY41" s="228">
        <v>635</v>
      </c>
      <c r="AZ41" s="229">
        <v>1.9305000000000001</v>
      </c>
      <c r="BA41" s="228">
        <v>808</v>
      </c>
      <c r="BB41" s="228">
        <v>218</v>
      </c>
      <c r="BC41" s="228">
        <v>590</v>
      </c>
      <c r="BD41" s="229">
        <v>2.7107999999999999</v>
      </c>
      <c r="BE41" s="228">
        <v>26</v>
      </c>
      <c r="BF41" s="228">
        <v>11</v>
      </c>
      <c r="BG41" s="228">
        <v>15</v>
      </c>
      <c r="BH41" s="229">
        <v>1.3856999999999999</v>
      </c>
      <c r="BI41" s="230">
        <v>10763</v>
      </c>
      <c r="BJ41" s="230">
        <v>3127</v>
      </c>
      <c r="BK41" s="230">
        <v>7636</v>
      </c>
      <c r="BL41" s="229">
        <v>2.4420999999999999</v>
      </c>
      <c r="BM41" s="230">
        <v>3306</v>
      </c>
      <c r="BN41" s="230">
        <v>1421</v>
      </c>
      <c r="BO41" s="230">
        <v>1885</v>
      </c>
      <c r="BP41" s="229">
        <v>1.3268</v>
      </c>
      <c r="BQ41" s="230">
        <v>15868</v>
      </c>
      <c r="BR41" s="230">
        <v>5106</v>
      </c>
      <c r="BS41" s="230">
        <v>10762</v>
      </c>
      <c r="BT41" s="229">
        <v>2.1078999999999999</v>
      </c>
      <c r="BU41" s="230">
        <v>4399462</v>
      </c>
      <c r="BV41" s="230">
        <v>1551858</v>
      </c>
      <c r="BW41" s="230">
        <v>2847604</v>
      </c>
      <c r="BX41" s="229">
        <v>1.835</v>
      </c>
      <c r="BY41" s="230">
        <v>1571</v>
      </c>
      <c r="BZ41" s="230">
        <v>1740</v>
      </c>
      <c r="CA41" s="228">
        <v>-169</v>
      </c>
      <c r="CB41" s="229">
        <v>-9.7100000000000006E-2</v>
      </c>
      <c r="CC41" s="228">
        <v>958</v>
      </c>
      <c r="CD41" s="230">
        <v>1383</v>
      </c>
      <c r="CE41" s="228">
        <v>-425</v>
      </c>
      <c r="CF41" s="229">
        <v>-0.30740000000000001</v>
      </c>
      <c r="CG41" s="228">
        <v>581</v>
      </c>
      <c r="CH41" s="228">
        <v>331</v>
      </c>
      <c r="CI41" s="228">
        <v>249</v>
      </c>
      <c r="CJ41" s="229">
        <v>0.75190000000000001</v>
      </c>
      <c r="CK41" s="228">
        <v>32</v>
      </c>
      <c r="CL41" s="228">
        <v>25</v>
      </c>
      <c r="CM41" s="228">
        <v>7</v>
      </c>
      <c r="CN41" s="229">
        <v>0.28439999999999999</v>
      </c>
      <c r="CO41" s="230">
        <v>1455</v>
      </c>
      <c r="CP41" s="230">
        <v>1405</v>
      </c>
      <c r="CQ41" s="228">
        <v>50</v>
      </c>
      <c r="CR41" s="229">
        <v>3.5900000000000001E-2</v>
      </c>
      <c r="CS41" s="228">
        <v>865</v>
      </c>
      <c r="CT41" s="228">
        <v>862</v>
      </c>
      <c r="CU41" s="228">
        <v>3</v>
      </c>
      <c r="CV41" s="229">
        <v>3.3E-3</v>
      </c>
      <c r="CW41" s="230">
        <v>3891</v>
      </c>
      <c r="CX41" s="230">
        <v>4007</v>
      </c>
      <c r="CY41" s="228">
        <v>-116</v>
      </c>
      <c r="CZ41" s="229">
        <v>-2.8899999999999999E-2</v>
      </c>
      <c r="DA41" s="228">
        <v>28.94</v>
      </c>
      <c r="DB41" s="228">
        <v>30.58</v>
      </c>
      <c r="DC41" s="228">
        <v>-1.64</v>
      </c>
      <c r="DD41" s="228">
        <v>-1.64</v>
      </c>
      <c r="DE41" s="228">
        <v>46.14</v>
      </c>
      <c r="DF41" s="228">
        <v>46.23</v>
      </c>
      <c r="DG41" s="228">
        <v>-17.2</v>
      </c>
      <c r="DH41" s="228">
        <v>-0.09</v>
      </c>
      <c r="DI41" s="228">
        <v>28.99</v>
      </c>
      <c r="DJ41" s="228">
        <v>30.43</v>
      </c>
      <c r="DK41" s="228">
        <v>-1.44</v>
      </c>
      <c r="DL41" s="228">
        <v>-1.44</v>
      </c>
      <c r="DM41" s="228">
        <v>28.79</v>
      </c>
      <c r="DN41" s="228">
        <v>30.94</v>
      </c>
      <c r="DO41" s="228">
        <v>-2.15</v>
      </c>
      <c r="DP41" s="228">
        <v>-2.15</v>
      </c>
      <c r="DQ41" s="228">
        <v>0.59</v>
      </c>
      <c r="DR41" s="228">
        <v>0.61</v>
      </c>
      <c r="DS41" s="228">
        <v>-0.02</v>
      </c>
      <c r="DT41" s="229">
        <v>-3.2800000000000003E-2</v>
      </c>
      <c r="DU41" s="231">
        <v>1700</v>
      </c>
      <c r="DV41" s="231">
        <v>1600</v>
      </c>
      <c r="DW41" s="228">
        <v>0.31</v>
      </c>
      <c r="DX41" s="228">
        <v>0.45</v>
      </c>
      <c r="DY41" s="228">
        <v>-0.14000000000000001</v>
      </c>
      <c r="DZ41" s="229">
        <v>-0.31109999999999999</v>
      </c>
      <c r="EA41" s="229">
        <v>0.39</v>
      </c>
      <c r="EB41" s="230">
        <v>2168375</v>
      </c>
      <c r="EC41" s="229">
        <v>4.1000000000000003E-3</v>
      </c>
      <c r="ED41" s="229">
        <v>0.39</v>
      </c>
      <c r="EE41" s="228">
        <v>8.25</v>
      </c>
      <c r="EF41" s="229">
        <v>5.0000000000000001E-3</v>
      </c>
      <c r="EG41" s="230">
        <v>1264478</v>
      </c>
      <c r="EH41" s="230">
        <v>388097</v>
      </c>
      <c r="EI41" s="229">
        <v>2.2581000000000002</v>
      </c>
      <c r="EJ41" s="229">
        <v>0.28739999999999999</v>
      </c>
      <c r="EK41" s="231">
        <v>11198.7</v>
      </c>
      <c r="EL41" s="231">
        <v>3262.67</v>
      </c>
      <c r="EM41" s="231">
        <v>1817.66</v>
      </c>
      <c r="EN41" s="228">
        <v>53.14</v>
      </c>
      <c r="EO41" s="231">
        <v>16279.03</v>
      </c>
      <c r="EP41" s="231">
        <v>5119.21</v>
      </c>
      <c r="EQ41" s="231">
        <v>11159.82</v>
      </c>
      <c r="ER41" s="229">
        <v>2.1800000000000002</v>
      </c>
      <c r="ES41" s="231">
        <v>1497.64</v>
      </c>
      <c r="ET41" s="228">
        <v>828.34</v>
      </c>
      <c r="EU41" s="231">
        <v>1573.35</v>
      </c>
      <c r="EV41" s="231">
        <v>26647500</v>
      </c>
      <c r="EW41" s="231">
        <v>3899.33</v>
      </c>
      <c r="EX41" s="231">
        <v>3975.58</v>
      </c>
      <c r="EY41" s="228">
        <v>-76.25</v>
      </c>
      <c r="EZ41" s="229">
        <v>-1.9199999999999998E-2</v>
      </c>
      <c r="FA41" s="229">
        <v>0.88859999999999995</v>
      </c>
      <c r="FB41" s="227" t="s">
        <v>556</v>
      </c>
      <c r="FC41">
        <f t="shared" si="0"/>
        <v>613</v>
      </c>
    </row>
    <row r="42" spans="1:159" ht="17.25" thickBot="1" x14ac:dyDescent="0.3">
      <c r="A42" s="226">
        <v>45981</v>
      </c>
      <c r="B42" s="227" t="s">
        <v>161</v>
      </c>
      <c r="C42" s="227" t="s">
        <v>612</v>
      </c>
      <c r="D42" s="228">
        <v>850</v>
      </c>
      <c r="E42" s="228">
        <v>5</v>
      </c>
      <c r="F42" s="228">
        <v>722.8</v>
      </c>
      <c r="G42" s="228">
        <v>724.3</v>
      </c>
      <c r="H42" s="228">
        <v>-1.5</v>
      </c>
      <c r="I42" s="229">
        <v>-2.0999999999999999E-3</v>
      </c>
      <c r="J42" s="228">
        <v>721.25</v>
      </c>
      <c r="K42" s="228">
        <v>724.1</v>
      </c>
      <c r="L42" s="228">
        <v>-2.85</v>
      </c>
      <c r="M42" s="229">
        <v>-3.8999999999999998E-3</v>
      </c>
      <c r="N42" s="228">
        <v>722.8</v>
      </c>
      <c r="O42" s="228">
        <v>724.3</v>
      </c>
      <c r="P42" s="228">
        <v>-1.5</v>
      </c>
      <c r="Q42" s="229">
        <v>-2.0999999999999999E-3</v>
      </c>
      <c r="R42" s="228">
        <v>727.15</v>
      </c>
      <c r="S42" s="228">
        <v>729.3</v>
      </c>
      <c r="T42" s="228">
        <v>-2.15</v>
      </c>
      <c r="U42" s="229">
        <v>-2.8999999999999998E-3</v>
      </c>
      <c r="V42" s="228">
        <v>732.65</v>
      </c>
      <c r="W42" s="228">
        <v>734.25</v>
      </c>
      <c r="X42" s="228">
        <v>-1.6</v>
      </c>
      <c r="Y42" s="229">
        <v>-2.2000000000000001E-3</v>
      </c>
      <c r="Z42" s="228">
        <v>1.55</v>
      </c>
      <c r="AA42" s="228">
        <v>0.2</v>
      </c>
      <c r="AB42" s="228">
        <v>1.35</v>
      </c>
      <c r="AC42" s="229">
        <v>2.0999999999999999E-3</v>
      </c>
      <c r="AD42" s="228">
        <v>1.55</v>
      </c>
      <c r="AE42" s="228">
        <v>0.2</v>
      </c>
      <c r="AF42" s="228">
        <v>1.35</v>
      </c>
      <c r="AG42" s="229">
        <v>2.0999999999999999E-3</v>
      </c>
      <c r="AH42" s="228">
        <v>5.9</v>
      </c>
      <c r="AI42" s="228">
        <v>5.2</v>
      </c>
      <c r="AJ42" s="228">
        <v>0.7</v>
      </c>
      <c r="AK42" s="229">
        <v>8.2000000000000007E-3</v>
      </c>
      <c r="AL42" s="228">
        <v>11.4</v>
      </c>
      <c r="AM42" s="228">
        <v>10.15</v>
      </c>
      <c r="AN42" s="228">
        <v>1.25</v>
      </c>
      <c r="AO42" s="229">
        <v>1.5800000000000002E-2</v>
      </c>
      <c r="AP42" s="228">
        <v>722.72</v>
      </c>
      <c r="AQ42" s="228">
        <v>727.32</v>
      </c>
      <c r="AR42" s="228">
        <v>0</v>
      </c>
      <c r="AS42" s="228">
        <v>699</v>
      </c>
      <c r="AT42" s="228">
        <v>206</v>
      </c>
      <c r="AU42" s="228">
        <v>493</v>
      </c>
      <c r="AV42" s="229">
        <v>2.3925000000000001</v>
      </c>
      <c r="AW42" s="228">
        <v>355</v>
      </c>
      <c r="AX42" s="228">
        <v>117</v>
      </c>
      <c r="AY42" s="228">
        <v>238</v>
      </c>
      <c r="AZ42" s="229">
        <v>2.0335999999999999</v>
      </c>
      <c r="BA42" s="228">
        <v>341</v>
      </c>
      <c r="BB42" s="228">
        <v>85</v>
      </c>
      <c r="BC42" s="228">
        <v>256</v>
      </c>
      <c r="BD42" s="229">
        <v>3.0268999999999999</v>
      </c>
      <c r="BE42" s="228">
        <v>3</v>
      </c>
      <c r="BF42" s="228">
        <v>4</v>
      </c>
      <c r="BG42" s="228">
        <v>-1</v>
      </c>
      <c r="BH42" s="229">
        <v>-0.3286</v>
      </c>
      <c r="BI42" s="228">
        <v>558</v>
      </c>
      <c r="BJ42" s="228">
        <v>598</v>
      </c>
      <c r="BK42" s="228">
        <v>-40</v>
      </c>
      <c r="BL42" s="229">
        <v>-6.6799999999999998E-2</v>
      </c>
      <c r="BM42" s="228">
        <v>245</v>
      </c>
      <c r="BN42" s="228">
        <v>216</v>
      </c>
      <c r="BO42" s="228">
        <v>30</v>
      </c>
      <c r="BP42" s="229">
        <v>0.13850000000000001</v>
      </c>
      <c r="BQ42" s="230">
        <v>1502</v>
      </c>
      <c r="BR42" s="230">
        <v>1019</v>
      </c>
      <c r="BS42" s="228">
        <v>483</v>
      </c>
      <c r="BT42" s="229">
        <v>0.47360000000000002</v>
      </c>
      <c r="BU42" s="230">
        <v>2688644</v>
      </c>
      <c r="BV42" s="230">
        <v>2191339</v>
      </c>
      <c r="BW42" s="230">
        <v>497305</v>
      </c>
      <c r="BX42" s="229">
        <v>0.22689999999999999</v>
      </c>
      <c r="BY42" s="230">
        <v>1180</v>
      </c>
      <c r="BZ42" s="230">
        <v>1172</v>
      </c>
      <c r="CA42" s="228">
        <v>8</v>
      </c>
      <c r="CB42" s="229">
        <v>6.8999999999999999E-3</v>
      </c>
      <c r="CC42" s="228">
        <v>786</v>
      </c>
      <c r="CD42" s="230">
        <v>1044</v>
      </c>
      <c r="CE42" s="228">
        <v>-258</v>
      </c>
      <c r="CF42" s="229">
        <v>-0.24709999999999999</v>
      </c>
      <c r="CG42" s="228">
        <v>385</v>
      </c>
      <c r="CH42" s="228">
        <v>120</v>
      </c>
      <c r="CI42" s="228">
        <v>265</v>
      </c>
      <c r="CJ42" s="229">
        <v>2.2052999999999998</v>
      </c>
      <c r="CK42" s="228">
        <v>10</v>
      </c>
      <c r="CL42" s="228">
        <v>9</v>
      </c>
      <c r="CM42" s="228">
        <v>1</v>
      </c>
      <c r="CN42" s="229">
        <v>0.15490000000000001</v>
      </c>
      <c r="CO42" s="228">
        <v>537</v>
      </c>
      <c r="CP42" s="228">
        <v>554</v>
      </c>
      <c r="CQ42" s="228">
        <v>-17</v>
      </c>
      <c r="CR42" s="229">
        <v>-3.0599999999999999E-2</v>
      </c>
      <c r="CS42" s="228">
        <v>299</v>
      </c>
      <c r="CT42" s="228">
        <v>311</v>
      </c>
      <c r="CU42" s="228">
        <v>-11</v>
      </c>
      <c r="CV42" s="229">
        <v>-3.6600000000000001E-2</v>
      </c>
      <c r="CW42" s="230">
        <v>2016</v>
      </c>
      <c r="CX42" s="230">
        <v>2037</v>
      </c>
      <c r="CY42" s="228">
        <v>-20</v>
      </c>
      <c r="CZ42" s="229">
        <v>-9.9000000000000008E-3</v>
      </c>
      <c r="DA42" s="228">
        <v>26.2</v>
      </c>
      <c r="DB42" s="228">
        <v>28.66</v>
      </c>
      <c r="DC42" s="228">
        <v>-2.46</v>
      </c>
      <c r="DD42" s="228">
        <v>-2.46</v>
      </c>
      <c r="DE42" s="228">
        <v>40.24</v>
      </c>
      <c r="DF42" s="228">
        <v>40.340000000000003</v>
      </c>
      <c r="DG42" s="228">
        <v>-14.04</v>
      </c>
      <c r="DH42" s="228">
        <v>-0.1</v>
      </c>
      <c r="DI42" s="228">
        <v>26.39</v>
      </c>
      <c r="DJ42" s="228">
        <v>28.97</v>
      </c>
      <c r="DK42" s="228">
        <v>-2.58</v>
      </c>
      <c r="DL42" s="228">
        <v>-2.58</v>
      </c>
      <c r="DM42" s="228">
        <v>25.79</v>
      </c>
      <c r="DN42" s="228">
        <v>27.8</v>
      </c>
      <c r="DO42" s="228">
        <v>-2.0099999999999998</v>
      </c>
      <c r="DP42" s="228">
        <v>-2.0099999999999998</v>
      </c>
      <c r="DQ42" s="228">
        <v>0.56000000000000005</v>
      </c>
      <c r="DR42" s="228">
        <v>0.56000000000000005</v>
      </c>
      <c r="DS42" s="228">
        <v>0</v>
      </c>
      <c r="DT42" s="229">
        <v>0</v>
      </c>
      <c r="DU42" s="228">
        <v>740</v>
      </c>
      <c r="DV42" s="228">
        <v>740</v>
      </c>
      <c r="DW42" s="228">
        <v>0.44</v>
      </c>
      <c r="DX42" s="228">
        <v>0.36</v>
      </c>
      <c r="DY42" s="228">
        <v>0.08</v>
      </c>
      <c r="DZ42" s="229">
        <v>0.22220000000000001</v>
      </c>
      <c r="EA42" s="229">
        <v>0.33439999999999998</v>
      </c>
      <c r="EB42" s="230">
        <v>1780750</v>
      </c>
      <c r="EC42" s="229">
        <v>6.0000000000000001E-3</v>
      </c>
      <c r="ED42" s="229">
        <v>0.33439999999999998</v>
      </c>
      <c r="EE42" s="228">
        <v>4.5999999999999996</v>
      </c>
      <c r="EF42" s="229">
        <v>6.4000000000000003E-3</v>
      </c>
      <c r="EG42" s="230">
        <v>1676558</v>
      </c>
      <c r="EH42" s="230">
        <v>1428582</v>
      </c>
      <c r="EI42" s="229">
        <v>0.1736</v>
      </c>
      <c r="EJ42" s="229">
        <v>0.62360000000000004</v>
      </c>
      <c r="EK42" s="228">
        <v>581.13</v>
      </c>
      <c r="EL42" s="228">
        <v>243.75</v>
      </c>
      <c r="EM42" s="228">
        <v>700.98</v>
      </c>
      <c r="EN42" s="228">
        <v>30.53</v>
      </c>
      <c r="EO42" s="231">
        <v>1525.87</v>
      </c>
      <c r="EP42" s="231">
        <v>1047.71</v>
      </c>
      <c r="EQ42" s="228">
        <v>478.16</v>
      </c>
      <c r="ER42" s="229">
        <v>0.45639999999999997</v>
      </c>
      <c r="ES42" s="228">
        <v>566.98</v>
      </c>
      <c r="ET42" s="228">
        <v>297.66000000000003</v>
      </c>
      <c r="EU42" s="231">
        <v>1182.8599999999999</v>
      </c>
      <c r="EV42" s="231">
        <v>100245792</v>
      </c>
      <c r="EW42" s="231">
        <v>2047.5</v>
      </c>
      <c r="EX42" s="231">
        <v>2069.63</v>
      </c>
      <c r="EY42" s="228">
        <v>-22.13</v>
      </c>
      <c r="EZ42" s="229">
        <v>-1.0699999999999999E-2</v>
      </c>
      <c r="FA42" s="229">
        <v>0.27829999999999999</v>
      </c>
      <c r="FB42" s="227" t="s">
        <v>567</v>
      </c>
      <c r="FC42">
        <f t="shared" si="0"/>
        <v>394</v>
      </c>
    </row>
    <row r="43" spans="1:159" ht="17.25" thickBot="1" x14ac:dyDescent="0.3">
      <c r="A43" s="226">
        <v>45981</v>
      </c>
      <c r="B43" s="227" t="s">
        <v>175</v>
      </c>
      <c r="C43" s="227" t="s">
        <v>198</v>
      </c>
      <c r="D43" s="228">
        <v>625</v>
      </c>
      <c r="E43" s="228">
        <v>5</v>
      </c>
      <c r="F43" s="231">
        <v>1707.2</v>
      </c>
      <c r="G43" s="231">
        <v>1680.4</v>
      </c>
      <c r="H43" s="228">
        <v>26.8</v>
      </c>
      <c r="I43" s="229">
        <v>1.5900000000000001E-2</v>
      </c>
      <c r="J43" s="231">
        <v>1703.2</v>
      </c>
      <c r="K43" s="231">
        <v>1678.1</v>
      </c>
      <c r="L43" s="228">
        <v>25.1</v>
      </c>
      <c r="M43" s="229">
        <v>1.4999999999999999E-2</v>
      </c>
      <c r="N43" s="231">
        <v>1707.2</v>
      </c>
      <c r="O43" s="231">
        <v>1680.4</v>
      </c>
      <c r="P43" s="228">
        <v>26.8</v>
      </c>
      <c r="Q43" s="229">
        <v>1.5900000000000001E-2</v>
      </c>
      <c r="R43" s="231">
        <v>1686.9</v>
      </c>
      <c r="S43" s="231">
        <v>1654.5</v>
      </c>
      <c r="T43" s="228">
        <v>32.4</v>
      </c>
      <c r="U43" s="229">
        <v>1.9599999999999999E-2</v>
      </c>
      <c r="V43" s="231">
        <v>1674.1</v>
      </c>
      <c r="W43" s="231">
        <v>1643.8</v>
      </c>
      <c r="X43" s="228">
        <v>30.3</v>
      </c>
      <c r="Y43" s="229">
        <v>1.84E-2</v>
      </c>
      <c r="Z43" s="228">
        <v>4</v>
      </c>
      <c r="AA43" s="228">
        <v>2.2999999999999998</v>
      </c>
      <c r="AB43" s="228">
        <v>1.7</v>
      </c>
      <c r="AC43" s="229">
        <v>2.3E-3</v>
      </c>
      <c r="AD43" s="228">
        <v>4</v>
      </c>
      <c r="AE43" s="228">
        <v>2.2999999999999998</v>
      </c>
      <c r="AF43" s="228">
        <v>1.7</v>
      </c>
      <c r="AG43" s="229">
        <v>2.3E-3</v>
      </c>
      <c r="AH43" s="228">
        <v>-16.3</v>
      </c>
      <c r="AI43" s="228">
        <v>-23.6</v>
      </c>
      <c r="AJ43" s="228">
        <v>7.3</v>
      </c>
      <c r="AK43" s="229">
        <v>-9.5999999999999992E-3</v>
      </c>
      <c r="AL43" s="228">
        <v>-29.1</v>
      </c>
      <c r="AM43" s="228">
        <v>-34.299999999999997</v>
      </c>
      <c r="AN43" s="228">
        <v>5.2</v>
      </c>
      <c r="AO43" s="229">
        <v>-1.7100000000000001E-2</v>
      </c>
      <c r="AP43" s="231">
        <v>1694.98</v>
      </c>
      <c r="AQ43" s="231">
        <v>1669.64</v>
      </c>
      <c r="AR43" s="228">
        <v>0</v>
      </c>
      <c r="AS43" s="230">
        <v>1931</v>
      </c>
      <c r="AT43" s="228">
        <v>743</v>
      </c>
      <c r="AU43" s="230">
        <v>1188</v>
      </c>
      <c r="AV43" s="229">
        <v>1.5992</v>
      </c>
      <c r="AW43" s="230">
        <v>1012</v>
      </c>
      <c r="AX43" s="228">
        <v>458</v>
      </c>
      <c r="AY43" s="228">
        <v>554</v>
      </c>
      <c r="AZ43" s="229">
        <v>1.2078</v>
      </c>
      <c r="BA43" s="228">
        <v>916</v>
      </c>
      <c r="BB43" s="228">
        <v>276</v>
      </c>
      <c r="BC43" s="228">
        <v>640</v>
      </c>
      <c r="BD43" s="229">
        <v>2.3161</v>
      </c>
      <c r="BE43" s="228">
        <v>3</v>
      </c>
      <c r="BF43" s="228">
        <v>8</v>
      </c>
      <c r="BG43" s="228">
        <v>-5</v>
      </c>
      <c r="BH43" s="229">
        <v>-0.59489999999999998</v>
      </c>
      <c r="BI43" s="230">
        <v>1354</v>
      </c>
      <c r="BJ43" s="230">
        <v>1159</v>
      </c>
      <c r="BK43" s="228">
        <v>195</v>
      </c>
      <c r="BL43" s="229">
        <v>0.16830000000000001</v>
      </c>
      <c r="BM43" s="228">
        <v>689</v>
      </c>
      <c r="BN43" s="228">
        <v>738</v>
      </c>
      <c r="BO43" s="228">
        <v>-48</v>
      </c>
      <c r="BP43" s="229">
        <v>-6.5500000000000003E-2</v>
      </c>
      <c r="BQ43" s="230">
        <v>3975</v>
      </c>
      <c r="BR43" s="230">
        <v>2640</v>
      </c>
      <c r="BS43" s="230">
        <v>1335</v>
      </c>
      <c r="BT43" s="229">
        <v>0.50580000000000003</v>
      </c>
      <c r="BU43" s="230">
        <v>1021095</v>
      </c>
      <c r="BV43" s="230">
        <v>1117019</v>
      </c>
      <c r="BW43" s="230">
        <v>-95924</v>
      </c>
      <c r="BX43" s="229">
        <v>-8.5900000000000004E-2</v>
      </c>
      <c r="BY43" s="230">
        <v>2579</v>
      </c>
      <c r="BZ43" s="230">
        <v>2997</v>
      </c>
      <c r="CA43" s="228">
        <v>-418</v>
      </c>
      <c r="CB43" s="229">
        <v>-0.1396</v>
      </c>
      <c r="CC43" s="230">
        <v>1543</v>
      </c>
      <c r="CD43" s="230">
        <v>2302</v>
      </c>
      <c r="CE43" s="228">
        <v>-759</v>
      </c>
      <c r="CF43" s="229">
        <v>-0.32969999999999999</v>
      </c>
      <c r="CG43" s="230">
        <v>1018</v>
      </c>
      <c r="CH43" s="228">
        <v>676</v>
      </c>
      <c r="CI43" s="228">
        <v>342</v>
      </c>
      <c r="CJ43" s="229">
        <v>0.50519999999999998</v>
      </c>
      <c r="CK43" s="228">
        <v>17</v>
      </c>
      <c r="CL43" s="228">
        <v>18</v>
      </c>
      <c r="CM43" s="228">
        <v>-1</v>
      </c>
      <c r="CN43" s="229">
        <v>-4.6800000000000001E-2</v>
      </c>
      <c r="CO43" s="228">
        <v>573</v>
      </c>
      <c r="CP43" s="228">
        <v>629</v>
      </c>
      <c r="CQ43" s="228">
        <v>-56</v>
      </c>
      <c r="CR43" s="229">
        <v>-8.9700000000000002E-2</v>
      </c>
      <c r="CS43" s="228">
        <v>550</v>
      </c>
      <c r="CT43" s="228">
        <v>568</v>
      </c>
      <c r="CU43" s="228">
        <v>-17</v>
      </c>
      <c r="CV43" s="229">
        <v>-3.0499999999999999E-2</v>
      </c>
      <c r="CW43" s="230">
        <v>3702</v>
      </c>
      <c r="CX43" s="230">
        <v>4194</v>
      </c>
      <c r="CY43" s="228">
        <v>-492</v>
      </c>
      <c r="CZ43" s="229">
        <v>-0.1173</v>
      </c>
      <c r="DA43" s="228">
        <v>23.73</v>
      </c>
      <c r="DB43" s="228">
        <v>25.96</v>
      </c>
      <c r="DC43" s="228">
        <v>-2.23</v>
      </c>
      <c r="DD43" s="228">
        <v>-2.23</v>
      </c>
      <c r="DE43" s="228">
        <v>37.71</v>
      </c>
      <c r="DF43" s="228">
        <v>37.75</v>
      </c>
      <c r="DG43" s="228">
        <v>-13.98</v>
      </c>
      <c r="DH43" s="228">
        <v>-0.04</v>
      </c>
      <c r="DI43" s="228">
        <v>23.95</v>
      </c>
      <c r="DJ43" s="228">
        <v>27.05</v>
      </c>
      <c r="DK43" s="228">
        <v>-3.1</v>
      </c>
      <c r="DL43" s="228">
        <v>-3.1</v>
      </c>
      <c r="DM43" s="228">
        <v>23.24</v>
      </c>
      <c r="DN43" s="228">
        <v>24.23</v>
      </c>
      <c r="DO43" s="228">
        <v>-0.99</v>
      </c>
      <c r="DP43" s="228">
        <v>-0.99</v>
      </c>
      <c r="DQ43" s="228">
        <v>0.96</v>
      </c>
      <c r="DR43" s="228">
        <v>0.9</v>
      </c>
      <c r="DS43" s="228">
        <v>0.06</v>
      </c>
      <c r="DT43" s="229">
        <v>6.6699999999999995E-2</v>
      </c>
      <c r="DU43" s="231">
        <v>1720</v>
      </c>
      <c r="DV43" s="231">
        <v>1700</v>
      </c>
      <c r="DW43" s="228">
        <v>0.51</v>
      </c>
      <c r="DX43" s="228">
        <v>0.64</v>
      </c>
      <c r="DY43" s="228">
        <v>-0.13</v>
      </c>
      <c r="DZ43" s="229">
        <v>-0.2031</v>
      </c>
      <c r="EA43" s="229">
        <v>0.40150000000000002</v>
      </c>
      <c r="EB43" s="230">
        <v>4068125</v>
      </c>
      <c r="EC43" s="229">
        <v>-1.1900000000000001E-2</v>
      </c>
      <c r="ED43" s="229">
        <v>0.40150000000000002</v>
      </c>
      <c r="EE43" s="228">
        <v>-25.34</v>
      </c>
      <c r="EF43" s="229">
        <v>-1.4999999999999999E-2</v>
      </c>
      <c r="EG43" s="230">
        <v>611870</v>
      </c>
      <c r="EH43" s="230">
        <v>643015</v>
      </c>
      <c r="EI43" s="229">
        <v>-4.8399999999999999E-2</v>
      </c>
      <c r="EJ43" s="229">
        <v>0.59919999999999995</v>
      </c>
      <c r="EK43" s="231">
        <v>1384.01</v>
      </c>
      <c r="EL43" s="228">
        <v>674.15</v>
      </c>
      <c r="EM43" s="231">
        <v>1903.9</v>
      </c>
      <c r="EN43" s="228">
        <v>40.72</v>
      </c>
      <c r="EO43" s="231">
        <v>3962.07</v>
      </c>
      <c r="EP43" s="231">
        <v>2641.79</v>
      </c>
      <c r="EQ43" s="231">
        <v>1320.27</v>
      </c>
      <c r="ER43" s="229">
        <v>0.49980000000000002</v>
      </c>
      <c r="ES43" s="228">
        <v>593.5</v>
      </c>
      <c r="ET43" s="228">
        <v>530.97</v>
      </c>
      <c r="EU43" s="231">
        <v>2566.0700000000002</v>
      </c>
      <c r="EV43" s="231">
        <v>63212268</v>
      </c>
      <c r="EW43" s="231">
        <v>3690.53</v>
      </c>
      <c r="EX43" s="231">
        <v>4138.3100000000004</v>
      </c>
      <c r="EY43" s="228">
        <v>-447.78</v>
      </c>
      <c r="EZ43" s="229">
        <v>-0.1082</v>
      </c>
      <c r="FA43" s="229">
        <v>0.34300000000000003</v>
      </c>
      <c r="FB43" s="227" t="s">
        <v>556</v>
      </c>
      <c r="FC43">
        <f t="shared" si="0"/>
        <v>1036</v>
      </c>
    </row>
    <row r="44" spans="1:159" ht="17.25" thickBot="1" x14ac:dyDescent="0.3">
      <c r="A44" s="226">
        <v>45981</v>
      </c>
      <c r="B44" s="227" t="s">
        <v>170</v>
      </c>
      <c r="C44" s="227" t="s">
        <v>199</v>
      </c>
      <c r="D44" s="228">
        <v>375</v>
      </c>
      <c r="E44" s="228">
        <v>5</v>
      </c>
      <c r="F44" s="231">
        <v>1530.1</v>
      </c>
      <c r="G44" s="231">
        <v>1528.8</v>
      </c>
      <c r="H44" s="228">
        <v>1.3</v>
      </c>
      <c r="I44" s="229">
        <v>8.9999999999999998E-4</v>
      </c>
      <c r="J44" s="231">
        <v>1529.2</v>
      </c>
      <c r="K44" s="231">
        <v>1526.8</v>
      </c>
      <c r="L44" s="228">
        <v>2.4</v>
      </c>
      <c r="M44" s="229">
        <v>1.6000000000000001E-3</v>
      </c>
      <c r="N44" s="231">
        <v>1530.1</v>
      </c>
      <c r="O44" s="231">
        <v>1528.8</v>
      </c>
      <c r="P44" s="228">
        <v>1.3</v>
      </c>
      <c r="Q44" s="229">
        <v>8.9999999999999998E-4</v>
      </c>
      <c r="R44" s="231">
        <v>1540.3</v>
      </c>
      <c r="S44" s="231">
        <v>1539.7</v>
      </c>
      <c r="T44" s="228">
        <v>0.6</v>
      </c>
      <c r="U44" s="229">
        <v>4.0000000000000002E-4</v>
      </c>
      <c r="V44" s="231">
        <v>1549.4</v>
      </c>
      <c r="W44" s="231">
        <v>1547.9</v>
      </c>
      <c r="X44" s="228">
        <v>1.5</v>
      </c>
      <c r="Y44" s="229">
        <v>1E-3</v>
      </c>
      <c r="Z44" s="228">
        <v>0.9</v>
      </c>
      <c r="AA44" s="228">
        <v>2</v>
      </c>
      <c r="AB44" s="228">
        <v>-1.1000000000000001</v>
      </c>
      <c r="AC44" s="229">
        <v>5.9999999999999995E-4</v>
      </c>
      <c r="AD44" s="228">
        <v>0.9</v>
      </c>
      <c r="AE44" s="228">
        <v>2</v>
      </c>
      <c r="AF44" s="228">
        <v>-1.1000000000000001</v>
      </c>
      <c r="AG44" s="229">
        <v>5.9999999999999995E-4</v>
      </c>
      <c r="AH44" s="228">
        <v>11.1</v>
      </c>
      <c r="AI44" s="228">
        <v>12.9</v>
      </c>
      <c r="AJ44" s="228">
        <v>-1.8</v>
      </c>
      <c r="AK44" s="229">
        <v>7.3000000000000001E-3</v>
      </c>
      <c r="AL44" s="228">
        <v>20.2</v>
      </c>
      <c r="AM44" s="228">
        <v>21.1</v>
      </c>
      <c r="AN44" s="228">
        <v>-0.9</v>
      </c>
      <c r="AO44" s="229">
        <v>1.32E-2</v>
      </c>
      <c r="AP44" s="231">
        <v>1530.25</v>
      </c>
      <c r="AQ44" s="231">
        <v>1540.17</v>
      </c>
      <c r="AR44" s="228">
        <v>0</v>
      </c>
      <c r="AS44" s="230">
        <v>1192</v>
      </c>
      <c r="AT44" s="228">
        <v>337</v>
      </c>
      <c r="AU44" s="228">
        <v>855</v>
      </c>
      <c r="AV44" s="229">
        <v>2.5390000000000001</v>
      </c>
      <c r="AW44" s="228">
        <v>641</v>
      </c>
      <c r="AX44" s="228">
        <v>231</v>
      </c>
      <c r="AY44" s="228">
        <v>409</v>
      </c>
      <c r="AZ44" s="229">
        <v>1.772</v>
      </c>
      <c r="BA44" s="228">
        <v>549</v>
      </c>
      <c r="BB44" s="228">
        <v>102</v>
      </c>
      <c r="BC44" s="228">
        <v>448</v>
      </c>
      <c r="BD44" s="229">
        <v>4.4097999999999997</v>
      </c>
      <c r="BE44" s="228">
        <v>2</v>
      </c>
      <c r="BF44" s="228">
        <v>4</v>
      </c>
      <c r="BG44" s="228">
        <v>-2</v>
      </c>
      <c r="BH44" s="229">
        <v>-0.44590000000000002</v>
      </c>
      <c r="BI44" s="230">
        <v>1093</v>
      </c>
      <c r="BJ44" s="230">
        <v>1448</v>
      </c>
      <c r="BK44" s="228">
        <v>-355</v>
      </c>
      <c r="BL44" s="229">
        <v>-0.24510000000000001</v>
      </c>
      <c r="BM44" s="228">
        <v>437</v>
      </c>
      <c r="BN44" s="228">
        <v>564</v>
      </c>
      <c r="BO44" s="228">
        <v>-127</v>
      </c>
      <c r="BP44" s="229">
        <v>-0.22500000000000001</v>
      </c>
      <c r="BQ44" s="230">
        <v>2722</v>
      </c>
      <c r="BR44" s="230">
        <v>2349</v>
      </c>
      <c r="BS44" s="228">
        <v>373</v>
      </c>
      <c r="BT44" s="229">
        <v>0.159</v>
      </c>
      <c r="BU44" s="230">
        <v>1057908</v>
      </c>
      <c r="BV44" s="230">
        <v>1194438</v>
      </c>
      <c r="BW44" s="230">
        <v>-136530</v>
      </c>
      <c r="BX44" s="229">
        <v>-0.1143</v>
      </c>
      <c r="BY44" s="230">
        <v>2252</v>
      </c>
      <c r="BZ44" s="230">
        <v>2314</v>
      </c>
      <c r="CA44" s="228">
        <v>-63</v>
      </c>
      <c r="CB44" s="229">
        <v>-2.7099999999999999E-2</v>
      </c>
      <c r="CC44" s="230">
        <v>1546</v>
      </c>
      <c r="CD44" s="230">
        <v>2069</v>
      </c>
      <c r="CE44" s="228">
        <v>-524</v>
      </c>
      <c r="CF44" s="229">
        <v>-0.25319999999999998</v>
      </c>
      <c r="CG44" s="228">
        <v>691</v>
      </c>
      <c r="CH44" s="228">
        <v>230</v>
      </c>
      <c r="CI44" s="228">
        <v>461</v>
      </c>
      <c r="CJ44" s="229">
        <v>2.0019999999999998</v>
      </c>
      <c r="CK44" s="228">
        <v>15</v>
      </c>
      <c r="CL44" s="228">
        <v>15</v>
      </c>
      <c r="CM44" s="228">
        <v>1</v>
      </c>
      <c r="CN44" s="229">
        <v>3.49E-2</v>
      </c>
      <c r="CO44" s="230">
        <v>1383</v>
      </c>
      <c r="CP44" s="230">
        <v>1491</v>
      </c>
      <c r="CQ44" s="228">
        <v>-108</v>
      </c>
      <c r="CR44" s="229">
        <v>-7.2499999999999995E-2</v>
      </c>
      <c r="CS44" s="228">
        <v>699</v>
      </c>
      <c r="CT44" s="228">
        <v>739</v>
      </c>
      <c r="CU44" s="228">
        <v>-40</v>
      </c>
      <c r="CV44" s="229">
        <v>-5.3900000000000003E-2</v>
      </c>
      <c r="CW44" s="230">
        <v>4333</v>
      </c>
      <c r="CX44" s="230">
        <v>4544</v>
      </c>
      <c r="CY44" s="228">
        <v>-211</v>
      </c>
      <c r="CZ44" s="229">
        <v>-4.6300000000000001E-2</v>
      </c>
      <c r="DA44" s="228">
        <v>19.18</v>
      </c>
      <c r="DB44" s="228">
        <v>19.920000000000002</v>
      </c>
      <c r="DC44" s="228">
        <v>-0.74</v>
      </c>
      <c r="DD44" s="228">
        <v>-0.74</v>
      </c>
      <c r="DE44" s="228">
        <v>26.5</v>
      </c>
      <c r="DF44" s="228">
        <v>26.57</v>
      </c>
      <c r="DG44" s="228">
        <v>-7.32</v>
      </c>
      <c r="DH44" s="228">
        <v>-7.0000000000000007E-2</v>
      </c>
      <c r="DI44" s="228">
        <v>19.27</v>
      </c>
      <c r="DJ44" s="228">
        <v>19.72</v>
      </c>
      <c r="DK44" s="228">
        <v>-0.45</v>
      </c>
      <c r="DL44" s="228">
        <v>-0.45</v>
      </c>
      <c r="DM44" s="228">
        <v>19.04</v>
      </c>
      <c r="DN44" s="228">
        <v>20.440000000000001</v>
      </c>
      <c r="DO44" s="228">
        <v>-1.4</v>
      </c>
      <c r="DP44" s="228">
        <v>-1.4</v>
      </c>
      <c r="DQ44" s="228">
        <v>0.51</v>
      </c>
      <c r="DR44" s="228">
        <v>0.5</v>
      </c>
      <c r="DS44" s="228">
        <v>0.01</v>
      </c>
      <c r="DT44" s="229">
        <v>0.02</v>
      </c>
      <c r="DU44" s="231">
        <v>1600</v>
      </c>
      <c r="DV44" s="231">
        <v>1500</v>
      </c>
      <c r="DW44" s="228">
        <v>0.4</v>
      </c>
      <c r="DX44" s="228">
        <v>0.39</v>
      </c>
      <c r="DY44" s="228">
        <v>0.01</v>
      </c>
      <c r="DZ44" s="229">
        <v>2.5600000000000001E-2</v>
      </c>
      <c r="EA44" s="229">
        <v>0.31359999999999999</v>
      </c>
      <c r="EB44" s="230">
        <v>1600875</v>
      </c>
      <c r="EC44" s="229">
        <v>6.7000000000000002E-3</v>
      </c>
      <c r="ED44" s="229">
        <v>0.31359999999999999</v>
      </c>
      <c r="EE44" s="228">
        <v>9.92</v>
      </c>
      <c r="EF44" s="229">
        <v>6.4999999999999997E-3</v>
      </c>
      <c r="EG44" s="230">
        <v>668421</v>
      </c>
      <c r="EH44" s="230">
        <v>806164</v>
      </c>
      <c r="EI44" s="229">
        <v>-0.1709</v>
      </c>
      <c r="EJ44" s="229">
        <v>0.63180000000000003</v>
      </c>
      <c r="EK44" s="231">
        <v>1127.1500000000001</v>
      </c>
      <c r="EL44" s="228">
        <v>433.2</v>
      </c>
      <c r="EM44" s="231">
        <v>1195.7</v>
      </c>
      <c r="EN44" s="228">
        <v>43.88</v>
      </c>
      <c r="EO44" s="231">
        <v>2756.05</v>
      </c>
      <c r="EP44" s="231">
        <v>2374.5100000000002</v>
      </c>
      <c r="EQ44" s="228">
        <v>381.54</v>
      </c>
      <c r="ER44" s="229">
        <v>0.16070000000000001</v>
      </c>
      <c r="ES44" s="231">
        <v>1466.26</v>
      </c>
      <c r="ET44" s="228">
        <v>685.16</v>
      </c>
      <c r="EU44" s="231">
        <v>2256.5700000000002</v>
      </c>
      <c r="EV44" s="231">
        <v>57073940</v>
      </c>
      <c r="EW44" s="231">
        <v>4407.99</v>
      </c>
      <c r="EX44" s="231">
        <v>4619.1099999999997</v>
      </c>
      <c r="EY44" s="228">
        <v>-211.12</v>
      </c>
      <c r="EZ44" s="229">
        <v>-4.5699999999999998E-2</v>
      </c>
      <c r="FA44" s="229">
        <v>0.49619999999999997</v>
      </c>
      <c r="FB44" s="227" t="s">
        <v>556</v>
      </c>
      <c r="FC44">
        <f t="shared" si="0"/>
        <v>706</v>
      </c>
    </row>
    <row r="45" spans="1:159" ht="17.25" thickBot="1" x14ac:dyDescent="0.3">
      <c r="A45" s="226">
        <v>45981</v>
      </c>
      <c r="B45" s="227" t="s">
        <v>227</v>
      </c>
      <c r="C45" s="227" t="s">
        <v>200</v>
      </c>
      <c r="D45" s="228">
        <v>1350</v>
      </c>
      <c r="E45" s="228">
        <v>5</v>
      </c>
      <c r="F45" s="228">
        <v>380.5</v>
      </c>
      <c r="G45" s="228">
        <v>379.95</v>
      </c>
      <c r="H45" s="228">
        <v>0.55000000000000004</v>
      </c>
      <c r="I45" s="229">
        <v>1.4E-3</v>
      </c>
      <c r="J45" s="228">
        <v>379.65</v>
      </c>
      <c r="K45" s="228">
        <v>379.05</v>
      </c>
      <c r="L45" s="228">
        <v>0.6</v>
      </c>
      <c r="M45" s="229">
        <v>1.6000000000000001E-3</v>
      </c>
      <c r="N45" s="228">
        <v>380.5</v>
      </c>
      <c r="O45" s="228">
        <v>379.95</v>
      </c>
      <c r="P45" s="228">
        <v>0.55000000000000004</v>
      </c>
      <c r="Q45" s="229">
        <v>1.4E-3</v>
      </c>
      <c r="R45" s="228">
        <v>382.9</v>
      </c>
      <c r="S45" s="228">
        <v>382.3</v>
      </c>
      <c r="T45" s="228">
        <v>0.6</v>
      </c>
      <c r="U45" s="229">
        <v>1.6000000000000001E-3</v>
      </c>
      <c r="V45" s="228">
        <v>384.9</v>
      </c>
      <c r="W45" s="228">
        <v>384.6</v>
      </c>
      <c r="X45" s="228">
        <v>0.3</v>
      </c>
      <c r="Y45" s="229">
        <v>8.0000000000000004E-4</v>
      </c>
      <c r="Z45" s="228">
        <v>0.85</v>
      </c>
      <c r="AA45" s="228">
        <v>0.9</v>
      </c>
      <c r="AB45" s="228">
        <v>-0.05</v>
      </c>
      <c r="AC45" s="229">
        <v>2.2000000000000001E-3</v>
      </c>
      <c r="AD45" s="228">
        <v>0.85</v>
      </c>
      <c r="AE45" s="228">
        <v>0.9</v>
      </c>
      <c r="AF45" s="228">
        <v>-0.05</v>
      </c>
      <c r="AG45" s="229">
        <v>2.2000000000000001E-3</v>
      </c>
      <c r="AH45" s="228">
        <v>3.25</v>
      </c>
      <c r="AI45" s="228">
        <v>3.25</v>
      </c>
      <c r="AJ45" s="228">
        <v>0</v>
      </c>
      <c r="AK45" s="229">
        <v>8.6E-3</v>
      </c>
      <c r="AL45" s="228">
        <v>5.25</v>
      </c>
      <c r="AM45" s="228">
        <v>5.55</v>
      </c>
      <c r="AN45" s="228">
        <v>-0.3</v>
      </c>
      <c r="AO45" s="229">
        <v>1.38E-2</v>
      </c>
      <c r="AP45" s="228">
        <v>380.09</v>
      </c>
      <c r="AQ45" s="228">
        <v>382.54</v>
      </c>
      <c r="AR45" s="228">
        <v>0</v>
      </c>
      <c r="AS45" s="230">
        <v>1176</v>
      </c>
      <c r="AT45" s="228">
        <v>311</v>
      </c>
      <c r="AU45" s="228">
        <v>865</v>
      </c>
      <c r="AV45" s="229">
        <v>2.7808000000000002</v>
      </c>
      <c r="AW45" s="228">
        <v>591</v>
      </c>
      <c r="AX45" s="228">
        <v>196</v>
      </c>
      <c r="AY45" s="228">
        <v>395</v>
      </c>
      <c r="AZ45" s="229">
        <v>2.0171000000000001</v>
      </c>
      <c r="BA45" s="228">
        <v>578</v>
      </c>
      <c r="BB45" s="228">
        <v>106</v>
      </c>
      <c r="BC45" s="228">
        <v>472</v>
      </c>
      <c r="BD45" s="229">
        <v>4.4471999999999996</v>
      </c>
      <c r="BE45" s="228">
        <v>7</v>
      </c>
      <c r="BF45" s="228">
        <v>9</v>
      </c>
      <c r="BG45" s="228">
        <v>-2</v>
      </c>
      <c r="BH45" s="229">
        <v>-0.2571</v>
      </c>
      <c r="BI45" s="228">
        <v>541</v>
      </c>
      <c r="BJ45" s="228">
        <v>817</v>
      </c>
      <c r="BK45" s="228">
        <v>-277</v>
      </c>
      <c r="BL45" s="229">
        <v>-0.33839999999999998</v>
      </c>
      <c r="BM45" s="228">
        <v>315</v>
      </c>
      <c r="BN45" s="228">
        <v>435</v>
      </c>
      <c r="BO45" s="228">
        <v>-120</v>
      </c>
      <c r="BP45" s="229">
        <v>-0.27610000000000001</v>
      </c>
      <c r="BQ45" s="230">
        <v>2031</v>
      </c>
      <c r="BR45" s="230">
        <v>1563</v>
      </c>
      <c r="BS45" s="228">
        <v>468</v>
      </c>
      <c r="BT45" s="229">
        <v>0.2994</v>
      </c>
      <c r="BU45" s="230">
        <v>4182025</v>
      </c>
      <c r="BV45" s="230">
        <v>5729573</v>
      </c>
      <c r="BW45" s="230">
        <v>-1547548</v>
      </c>
      <c r="BX45" s="229">
        <v>-0.27010000000000001</v>
      </c>
      <c r="BY45" s="230">
        <v>2298</v>
      </c>
      <c r="BZ45" s="230">
        <v>2294</v>
      </c>
      <c r="CA45" s="228">
        <v>5</v>
      </c>
      <c r="CB45" s="229">
        <v>2E-3</v>
      </c>
      <c r="CC45" s="230">
        <v>1555</v>
      </c>
      <c r="CD45" s="230">
        <v>2051</v>
      </c>
      <c r="CE45" s="228">
        <v>-496</v>
      </c>
      <c r="CF45" s="229">
        <v>-0.24160000000000001</v>
      </c>
      <c r="CG45" s="228">
        <v>721</v>
      </c>
      <c r="CH45" s="228">
        <v>223</v>
      </c>
      <c r="CI45" s="228">
        <v>498</v>
      </c>
      <c r="CJ45" s="229">
        <v>2.2317</v>
      </c>
      <c r="CK45" s="228">
        <v>22</v>
      </c>
      <c r="CL45" s="228">
        <v>20</v>
      </c>
      <c r="CM45" s="228">
        <v>3</v>
      </c>
      <c r="CN45" s="229">
        <v>0.1273</v>
      </c>
      <c r="CO45" s="230">
        <v>1055</v>
      </c>
      <c r="CP45" s="230">
        <v>1086</v>
      </c>
      <c r="CQ45" s="228">
        <v>-31</v>
      </c>
      <c r="CR45" s="229">
        <v>-2.8500000000000001E-2</v>
      </c>
      <c r="CS45" s="228">
        <v>842</v>
      </c>
      <c r="CT45" s="228">
        <v>843</v>
      </c>
      <c r="CU45" s="228">
        <v>-1</v>
      </c>
      <c r="CV45" s="229">
        <v>-1.2999999999999999E-3</v>
      </c>
      <c r="CW45" s="230">
        <v>4195</v>
      </c>
      <c r="CX45" s="230">
        <v>4222</v>
      </c>
      <c r="CY45" s="228">
        <v>-27</v>
      </c>
      <c r="CZ45" s="229">
        <v>-6.4999999999999997E-3</v>
      </c>
      <c r="DA45" s="228">
        <v>16.22</v>
      </c>
      <c r="DB45" s="228">
        <v>18.059999999999999</v>
      </c>
      <c r="DC45" s="228">
        <v>-1.84</v>
      </c>
      <c r="DD45" s="228">
        <v>-1.84</v>
      </c>
      <c r="DE45" s="228">
        <v>27.72</v>
      </c>
      <c r="DF45" s="228">
        <v>27.79</v>
      </c>
      <c r="DG45" s="228">
        <v>-11.5</v>
      </c>
      <c r="DH45" s="228">
        <v>-7.0000000000000007E-2</v>
      </c>
      <c r="DI45" s="228">
        <v>15.88</v>
      </c>
      <c r="DJ45" s="228">
        <v>18.440000000000001</v>
      </c>
      <c r="DK45" s="228">
        <v>-2.56</v>
      </c>
      <c r="DL45" s="228">
        <v>-2.56</v>
      </c>
      <c r="DM45" s="228">
        <v>16.66</v>
      </c>
      <c r="DN45" s="228">
        <v>17.34</v>
      </c>
      <c r="DO45" s="228">
        <v>-0.68</v>
      </c>
      <c r="DP45" s="228">
        <v>-0.68</v>
      </c>
      <c r="DQ45" s="228">
        <v>0.8</v>
      </c>
      <c r="DR45" s="228">
        <v>0.78</v>
      </c>
      <c r="DS45" s="228">
        <v>0.02</v>
      </c>
      <c r="DT45" s="229">
        <v>2.5600000000000001E-2</v>
      </c>
      <c r="DU45" s="228">
        <v>389.75</v>
      </c>
      <c r="DV45" s="228">
        <v>439.75</v>
      </c>
      <c r="DW45" s="228">
        <v>0.57999999999999996</v>
      </c>
      <c r="DX45" s="228">
        <v>0.53</v>
      </c>
      <c r="DY45" s="228">
        <v>0.05</v>
      </c>
      <c r="DZ45" s="229">
        <v>9.4299999999999995E-2</v>
      </c>
      <c r="EA45" s="229">
        <v>0.32329999999999998</v>
      </c>
      <c r="EB45" s="230">
        <v>6380100</v>
      </c>
      <c r="EC45" s="229">
        <v>6.3E-3</v>
      </c>
      <c r="ED45" s="229">
        <v>0.32329999999999998</v>
      </c>
      <c r="EE45" s="228">
        <v>2.4500000000000002</v>
      </c>
      <c r="EF45" s="229">
        <v>6.4000000000000003E-3</v>
      </c>
      <c r="EG45" s="230">
        <v>2328161</v>
      </c>
      <c r="EH45" s="230">
        <v>3817003</v>
      </c>
      <c r="EI45" s="229">
        <v>-0.3901</v>
      </c>
      <c r="EJ45" s="229">
        <v>0.55669999999999997</v>
      </c>
      <c r="EK45" s="228">
        <v>553.71</v>
      </c>
      <c r="EL45" s="228">
        <v>318.36</v>
      </c>
      <c r="EM45" s="231">
        <v>1178.0899999999999</v>
      </c>
      <c r="EN45" s="228">
        <v>40.450000000000003</v>
      </c>
      <c r="EO45" s="231">
        <v>2050.15</v>
      </c>
      <c r="EP45" s="231">
        <v>1588.42</v>
      </c>
      <c r="EQ45" s="228">
        <v>461.73</v>
      </c>
      <c r="ER45" s="229">
        <v>0.29070000000000001</v>
      </c>
      <c r="ES45" s="231">
        <v>1098.27</v>
      </c>
      <c r="ET45" s="228">
        <v>839.05</v>
      </c>
      <c r="EU45" s="231">
        <v>2302.9899999999998</v>
      </c>
      <c r="EV45" s="231">
        <v>227199238</v>
      </c>
      <c r="EW45" s="231">
        <v>4240.3100000000004</v>
      </c>
      <c r="EX45" s="231">
        <v>4262.3599999999997</v>
      </c>
      <c r="EY45" s="228">
        <v>-22.05</v>
      </c>
      <c r="EZ45" s="229">
        <v>-5.1999999999999998E-3</v>
      </c>
      <c r="FA45" s="229">
        <v>0.48520000000000002</v>
      </c>
      <c r="FB45" s="227" t="s">
        <v>555</v>
      </c>
      <c r="FC45">
        <f t="shared" si="0"/>
        <v>743</v>
      </c>
    </row>
    <row r="46" spans="1:159" ht="17.25" thickBot="1" x14ac:dyDescent="0.3">
      <c r="A46" s="226">
        <v>45981</v>
      </c>
      <c r="B46" s="227" t="s">
        <v>221</v>
      </c>
      <c r="C46" s="227" t="s">
        <v>470</v>
      </c>
      <c r="D46" s="228">
        <v>375</v>
      </c>
      <c r="E46" s="228">
        <v>5</v>
      </c>
      <c r="F46" s="231">
        <v>1849.6</v>
      </c>
      <c r="G46" s="231">
        <v>1861.1</v>
      </c>
      <c r="H46" s="228">
        <v>-11.5</v>
      </c>
      <c r="I46" s="229">
        <v>-6.1999999999999998E-3</v>
      </c>
      <c r="J46" s="231">
        <v>1846.1</v>
      </c>
      <c r="K46" s="231">
        <v>1858.2</v>
      </c>
      <c r="L46" s="228">
        <v>-12.1</v>
      </c>
      <c r="M46" s="229">
        <v>-6.4999999999999997E-3</v>
      </c>
      <c r="N46" s="231">
        <v>1849.6</v>
      </c>
      <c r="O46" s="231">
        <v>1861.1</v>
      </c>
      <c r="P46" s="228">
        <v>-11.5</v>
      </c>
      <c r="Q46" s="229">
        <v>-6.1999999999999998E-3</v>
      </c>
      <c r="R46" s="231">
        <v>1860.8</v>
      </c>
      <c r="S46" s="231">
        <v>1865.1</v>
      </c>
      <c r="T46" s="228">
        <v>-4.3</v>
      </c>
      <c r="U46" s="229">
        <v>-2.3E-3</v>
      </c>
      <c r="V46" s="231">
        <v>1864.7</v>
      </c>
      <c r="W46" s="231">
        <v>1871.2</v>
      </c>
      <c r="X46" s="228">
        <v>-6.5</v>
      </c>
      <c r="Y46" s="229">
        <v>-3.5000000000000001E-3</v>
      </c>
      <c r="Z46" s="228">
        <v>3.5</v>
      </c>
      <c r="AA46" s="228">
        <v>2.9</v>
      </c>
      <c r="AB46" s="228">
        <v>0.6</v>
      </c>
      <c r="AC46" s="229">
        <v>1.9E-3</v>
      </c>
      <c r="AD46" s="228">
        <v>3.5</v>
      </c>
      <c r="AE46" s="228">
        <v>2.9</v>
      </c>
      <c r="AF46" s="228">
        <v>0.6</v>
      </c>
      <c r="AG46" s="229">
        <v>1.9E-3</v>
      </c>
      <c r="AH46" s="228">
        <v>14.7</v>
      </c>
      <c r="AI46" s="228">
        <v>6.9</v>
      </c>
      <c r="AJ46" s="228">
        <v>7.8</v>
      </c>
      <c r="AK46" s="229">
        <v>8.0000000000000002E-3</v>
      </c>
      <c r="AL46" s="228">
        <v>18.600000000000001</v>
      </c>
      <c r="AM46" s="228">
        <v>13</v>
      </c>
      <c r="AN46" s="228">
        <v>5.6</v>
      </c>
      <c r="AO46" s="229">
        <v>1.01E-2</v>
      </c>
      <c r="AP46" s="231">
        <v>1860.18</v>
      </c>
      <c r="AQ46" s="231">
        <v>1870.26</v>
      </c>
      <c r="AR46" s="228">
        <v>0</v>
      </c>
      <c r="AS46" s="230">
        <v>1655</v>
      </c>
      <c r="AT46" s="228">
        <v>856</v>
      </c>
      <c r="AU46" s="228">
        <v>799</v>
      </c>
      <c r="AV46" s="229">
        <v>0.93359999999999999</v>
      </c>
      <c r="AW46" s="228">
        <v>898</v>
      </c>
      <c r="AX46" s="228">
        <v>640</v>
      </c>
      <c r="AY46" s="228">
        <v>258</v>
      </c>
      <c r="AZ46" s="229">
        <v>0.4027</v>
      </c>
      <c r="BA46" s="228">
        <v>751</v>
      </c>
      <c r="BB46" s="228">
        <v>201</v>
      </c>
      <c r="BC46" s="228">
        <v>550</v>
      </c>
      <c r="BD46" s="229">
        <v>2.7355</v>
      </c>
      <c r="BE46" s="228">
        <v>6</v>
      </c>
      <c r="BF46" s="228">
        <v>15</v>
      </c>
      <c r="BG46" s="228">
        <v>-9</v>
      </c>
      <c r="BH46" s="229">
        <v>-0.60950000000000004</v>
      </c>
      <c r="BI46" s="230">
        <v>4015</v>
      </c>
      <c r="BJ46" s="230">
        <v>5681</v>
      </c>
      <c r="BK46" s="230">
        <v>-1666</v>
      </c>
      <c r="BL46" s="229">
        <v>-0.29320000000000002</v>
      </c>
      <c r="BM46" s="230">
        <v>1492</v>
      </c>
      <c r="BN46" s="230">
        <v>1781</v>
      </c>
      <c r="BO46" s="228">
        <v>-288</v>
      </c>
      <c r="BP46" s="229">
        <v>-0.16189999999999999</v>
      </c>
      <c r="BQ46" s="230">
        <v>7163</v>
      </c>
      <c r="BR46" s="230">
        <v>8318</v>
      </c>
      <c r="BS46" s="230">
        <v>-1155</v>
      </c>
      <c r="BT46" s="229">
        <v>-0.13880000000000001</v>
      </c>
      <c r="BU46" s="230">
        <v>1800585</v>
      </c>
      <c r="BV46" s="230">
        <v>2378669</v>
      </c>
      <c r="BW46" s="230">
        <v>-578084</v>
      </c>
      <c r="BX46" s="229">
        <v>-0.24299999999999999</v>
      </c>
      <c r="BY46" s="230">
        <v>2408</v>
      </c>
      <c r="BZ46" s="230">
        <v>2470</v>
      </c>
      <c r="CA46" s="228">
        <v>-62</v>
      </c>
      <c r="CB46" s="229">
        <v>-2.5000000000000001E-2</v>
      </c>
      <c r="CC46" s="230">
        <v>1729</v>
      </c>
      <c r="CD46" s="230">
        <v>2294</v>
      </c>
      <c r="CE46" s="228">
        <v>-565</v>
      </c>
      <c r="CF46" s="229">
        <v>-0.24629999999999999</v>
      </c>
      <c r="CG46" s="228">
        <v>667</v>
      </c>
      <c r="CH46" s="228">
        <v>165</v>
      </c>
      <c r="CI46" s="228">
        <v>503</v>
      </c>
      <c r="CJ46" s="229">
        <v>3.0548000000000002</v>
      </c>
      <c r="CK46" s="228">
        <v>12</v>
      </c>
      <c r="CL46" s="228">
        <v>12</v>
      </c>
      <c r="CM46" s="228">
        <v>1</v>
      </c>
      <c r="CN46" s="229">
        <v>6.5500000000000003E-2</v>
      </c>
      <c r="CO46" s="230">
        <v>1068</v>
      </c>
      <c r="CP46" s="230">
        <v>1052</v>
      </c>
      <c r="CQ46" s="228">
        <v>15</v>
      </c>
      <c r="CR46" s="229">
        <v>1.46E-2</v>
      </c>
      <c r="CS46" s="228">
        <v>530</v>
      </c>
      <c r="CT46" s="228">
        <v>584</v>
      </c>
      <c r="CU46" s="228">
        <v>-54</v>
      </c>
      <c r="CV46" s="229">
        <v>-9.3100000000000002E-2</v>
      </c>
      <c r="CW46" s="230">
        <v>4006</v>
      </c>
      <c r="CX46" s="230">
        <v>4106</v>
      </c>
      <c r="CY46" s="228">
        <v>-101</v>
      </c>
      <c r="CZ46" s="229">
        <v>-2.4500000000000001E-2</v>
      </c>
      <c r="DA46" s="228">
        <v>27.61</v>
      </c>
      <c r="DB46" s="228">
        <v>27.9</v>
      </c>
      <c r="DC46" s="228">
        <v>-0.28999999999999998</v>
      </c>
      <c r="DD46" s="228">
        <v>-0.28999999999999998</v>
      </c>
      <c r="DE46" s="228">
        <v>41.83</v>
      </c>
      <c r="DF46" s="228">
        <v>41.92</v>
      </c>
      <c r="DG46" s="228">
        <v>-14.22</v>
      </c>
      <c r="DH46" s="228">
        <v>-0.09</v>
      </c>
      <c r="DI46" s="228">
        <v>27.45</v>
      </c>
      <c r="DJ46" s="228">
        <v>27.16</v>
      </c>
      <c r="DK46" s="228">
        <v>0.28999999999999998</v>
      </c>
      <c r="DL46" s="228">
        <v>0.28999999999999998</v>
      </c>
      <c r="DM46" s="228">
        <v>28.05</v>
      </c>
      <c r="DN46" s="228">
        <v>30.26</v>
      </c>
      <c r="DO46" s="228">
        <v>-2.21</v>
      </c>
      <c r="DP46" s="228">
        <v>-2.21</v>
      </c>
      <c r="DQ46" s="228">
        <v>0.5</v>
      </c>
      <c r="DR46" s="228">
        <v>0.55000000000000004</v>
      </c>
      <c r="DS46" s="228">
        <v>-0.05</v>
      </c>
      <c r="DT46" s="229">
        <v>-9.0899999999999995E-2</v>
      </c>
      <c r="DU46" s="231">
        <v>1900</v>
      </c>
      <c r="DV46" s="231">
        <v>1800</v>
      </c>
      <c r="DW46" s="228">
        <v>0.37</v>
      </c>
      <c r="DX46" s="228">
        <v>0.31</v>
      </c>
      <c r="DY46" s="228">
        <v>0.06</v>
      </c>
      <c r="DZ46" s="229">
        <v>0.19350000000000001</v>
      </c>
      <c r="EA46" s="229">
        <v>0.28220000000000001</v>
      </c>
      <c r="EB46" s="230">
        <v>952500</v>
      </c>
      <c r="EC46" s="229">
        <v>6.1000000000000004E-3</v>
      </c>
      <c r="ED46" s="229">
        <v>0.28220000000000001</v>
      </c>
      <c r="EE46" s="228">
        <v>10.08</v>
      </c>
      <c r="EF46" s="229">
        <v>5.4000000000000003E-3</v>
      </c>
      <c r="EG46" s="230">
        <v>770925</v>
      </c>
      <c r="EH46" s="230">
        <v>1085490</v>
      </c>
      <c r="EI46" s="229">
        <v>-0.2898</v>
      </c>
      <c r="EJ46" s="229">
        <v>0.42820000000000003</v>
      </c>
      <c r="EK46" s="231">
        <v>4153.8900000000003</v>
      </c>
      <c r="EL46" s="231">
        <v>1488.48</v>
      </c>
      <c r="EM46" s="231">
        <v>1668.75</v>
      </c>
      <c r="EN46" s="228">
        <v>59.94</v>
      </c>
      <c r="EO46" s="231">
        <v>7311.12</v>
      </c>
      <c r="EP46" s="231">
        <v>8372.18</v>
      </c>
      <c r="EQ46" s="231">
        <v>-1061.06</v>
      </c>
      <c r="ER46" s="229">
        <v>-0.12670000000000001</v>
      </c>
      <c r="ES46" s="231">
        <v>1094.26</v>
      </c>
      <c r="ET46" s="228">
        <v>502.19</v>
      </c>
      <c r="EU46" s="231">
        <v>2412.39</v>
      </c>
      <c r="EV46" s="231">
        <v>50163899</v>
      </c>
      <c r="EW46" s="231">
        <v>4008.85</v>
      </c>
      <c r="EX46" s="231">
        <v>4109.21</v>
      </c>
      <c r="EY46" s="228">
        <v>-100.36</v>
      </c>
      <c r="EZ46" s="229">
        <v>-2.4400000000000002E-2</v>
      </c>
      <c r="FA46" s="229">
        <v>0.43169999999999997</v>
      </c>
      <c r="FB46" s="227" t="s">
        <v>568</v>
      </c>
      <c r="FC46">
        <f t="shared" si="0"/>
        <v>679</v>
      </c>
    </row>
    <row r="47" spans="1:159" ht="17.25" thickBot="1" x14ac:dyDescent="0.3">
      <c r="A47" s="226">
        <v>45981</v>
      </c>
      <c r="B47" s="227" t="s">
        <v>168</v>
      </c>
      <c r="C47" s="227" t="s">
        <v>201</v>
      </c>
      <c r="D47" s="228">
        <v>225</v>
      </c>
      <c r="E47" s="228">
        <v>5</v>
      </c>
      <c r="F47" s="231">
        <v>2185.1</v>
      </c>
      <c r="G47" s="231">
        <v>2182.6999999999998</v>
      </c>
      <c r="H47" s="228">
        <v>2.4</v>
      </c>
      <c r="I47" s="229">
        <v>1.1000000000000001E-3</v>
      </c>
      <c r="J47" s="231">
        <v>2179.6999999999998</v>
      </c>
      <c r="K47" s="231">
        <v>2183.4</v>
      </c>
      <c r="L47" s="228">
        <v>-3.7</v>
      </c>
      <c r="M47" s="229">
        <v>-1.6999999999999999E-3</v>
      </c>
      <c r="N47" s="231">
        <v>2185.1</v>
      </c>
      <c r="O47" s="231">
        <v>2182.6999999999998</v>
      </c>
      <c r="P47" s="228">
        <v>2.4</v>
      </c>
      <c r="Q47" s="229">
        <v>1.1000000000000001E-3</v>
      </c>
      <c r="R47" s="231">
        <v>2188.6</v>
      </c>
      <c r="S47" s="231">
        <v>2192.6999999999998</v>
      </c>
      <c r="T47" s="228">
        <v>-4.0999999999999996</v>
      </c>
      <c r="U47" s="229">
        <v>-1.9E-3</v>
      </c>
      <c r="V47" s="231">
        <v>2202.8000000000002</v>
      </c>
      <c r="W47" s="231">
        <v>2208</v>
      </c>
      <c r="X47" s="228">
        <v>-5.2</v>
      </c>
      <c r="Y47" s="229">
        <v>-2.3999999999999998E-3</v>
      </c>
      <c r="Z47" s="228">
        <v>5.4</v>
      </c>
      <c r="AA47" s="228">
        <v>-0.7</v>
      </c>
      <c r="AB47" s="228">
        <v>6.1</v>
      </c>
      <c r="AC47" s="229">
        <v>2.5000000000000001E-3</v>
      </c>
      <c r="AD47" s="228">
        <v>5.4</v>
      </c>
      <c r="AE47" s="228">
        <v>-0.7</v>
      </c>
      <c r="AF47" s="228">
        <v>6.1</v>
      </c>
      <c r="AG47" s="229">
        <v>2.5000000000000001E-3</v>
      </c>
      <c r="AH47" s="228">
        <v>8.9</v>
      </c>
      <c r="AI47" s="228">
        <v>9.3000000000000007</v>
      </c>
      <c r="AJ47" s="228">
        <v>-0.4</v>
      </c>
      <c r="AK47" s="229">
        <v>4.1000000000000003E-3</v>
      </c>
      <c r="AL47" s="228">
        <v>23.1</v>
      </c>
      <c r="AM47" s="228">
        <v>24.6</v>
      </c>
      <c r="AN47" s="228">
        <v>-1.5</v>
      </c>
      <c r="AO47" s="229">
        <v>1.06E-2</v>
      </c>
      <c r="AP47" s="231">
        <v>2199.5500000000002</v>
      </c>
      <c r="AQ47" s="231">
        <v>2205.4499999999998</v>
      </c>
      <c r="AR47" s="228">
        <v>0</v>
      </c>
      <c r="AS47" s="230">
        <v>1444</v>
      </c>
      <c r="AT47" s="228">
        <v>163</v>
      </c>
      <c r="AU47" s="230">
        <v>1281</v>
      </c>
      <c r="AV47" s="229">
        <v>7.8700999999999999</v>
      </c>
      <c r="AW47" s="228">
        <v>734</v>
      </c>
      <c r="AX47" s="228">
        <v>108</v>
      </c>
      <c r="AY47" s="228">
        <v>627</v>
      </c>
      <c r="AZ47" s="229">
        <v>5.8272000000000004</v>
      </c>
      <c r="BA47" s="228">
        <v>702</v>
      </c>
      <c r="BB47" s="228">
        <v>53</v>
      </c>
      <c r="BC47" s="228">
        <v>648</v>
      </c>
      <c r="BD47" s="229">
        <v>12.176399999999999</v>
      </c>
      <c r="BE47" s="228">
        <v>8</v>
      </c>
      <c r="BF47" s="228">
        <v>2</v>
      </c>
      <c r="BG47" s="228">
        <v>6</v>
      </c>
      <c r="BH47" s="229">
        <v>3.0975999999999999</v>
      </c>
      <c r="BI47" s="230">
        <v>1215</v>
      </c>
      <c r="BJ47" s="228">
        <v>345</v>
      </c>
      <c r="BK47" s="228">
        <v>870</v>
      </c>
      <c r="BL47" s="229">
        <v>2.5228999999999999</v>
      </c>
      <c r="BM47" s="228">
        <v>327</v>
      </c>
      <c r="BN47" s="228">
        <v>124</v>
      </c>
      <c r="BO47" s="228">
        <v>203</v>
      </c>
      <c r="BP47" s="229">
        <v>1.6342000000000001</v>
      </c>
      <c r="BQ47" s="230">
        <v>2985</v>
      </c>
      <c r="BR47" s="228">
        <v>632</v>
      </c>
      <c r="BS47" s="230">
        <v>2354</v>
      </c>
      <c r="BT47" s="229">
        <v>3.7265000000000001</v>
      </c>
      <c r="BU47" s="230">
        <v>393928</v>
      </c>
      <c r="BV47" s="230">
        <v>303383</v>
      </c>
      <c r="BW47" s="230">
        <v>90545</v>
      </c>
      <c r="BX47" s="229">
        <v>0.29849999999999999</v>
      </c>
      <c r="BY47" s="230">
        <v>1438</v>
      </c>
      <c r="BZ47" s="230">
        <v>1590</v>
      </c>
      <c r="CA47" s="228">
        <v>-151</v>
      </c>
      <c r="CB47" s="229">
        <v>-9.5200000000000007E-2</v>
      </c>
      <c r="CC47" s="228">
        <v>807</v>
      </c>
      <c r="CD47" s="230">
        <v>1384</v>
      </c>
      <c r="CE47" s="228">
        <v>-577</v>
      </c>
      <c r="CF47" s="229">
        <v>-0.41720000000000002</v>
      </c>
      <c r="CG47" s="228">
        <v>613</v>
      </c>
      <c r="CH47" s="228">
        <v>190</v>
      </c>
      <c r="CI47" s="228">
        <v>424</v>
      </c>
      <c r="CJ47" s="229">
        <v>2.2342</v>
      </c>
      <c r="CK47" s="228">
        <v>19</v>
      </c>
      <c r="CL47" s="228">
        <v>16</v>
      </c>
      <c r="CM47" s="228">
        <v>2</v>
      </c>
      <c r="CN47" s="229">
        <v>0.14710000000000001</v>
      </c>
      <c r="CO47" s="228">
        <v>607</v>
      </c>
      <c r="CP47" s="228">
        <v>583</v>
      </c>
      <c r="CQ47" s="228">
        <v>24</v>
      </c>
      <c r="CR47" s="229">
        <v>4.1599999999999998E-2</v>
      </c>
      <c r="CS47" s="228">
        <v>387</v>
      </c>
      <c r="CT47" s="228">
        <v>376</v>
      </c>
      <c r="CU47" s="228">
        <v>11</v>
      </c>
      <c r="CV47" s="229">
        <v>2.8799999999999999E-2</v>
      </c>
      <c r="CW47" s="230">
        <v>2432</v>
      </c>
      <c r="CX47" s="230">
        <v>2548</v>
      </c>
      <c r="CY47" s="228">
        <v>-116</v>
      </c>
      <c r="CZ47" s="229">
        <v>-4.5600000000000002E-2</v>
      </c>
      <c r="DA47" s="228">
        <v>18.84</v>
      </c>
      <c r="DB47" s="228">
        <v>22.19</v>
      </c>
      <c r="DC47" s="228">
        <v>-3.35</v>
      </c>
      <c r="DD47" s="228">
        <v>-3.35</v>
      </c>
      <c r="DE47" s="228">
        <v>27.35</v>
      </c>
      <c r="DF47" s="228">
        <v>27.42</v>
      </c>
      <c r="DG47" s="228">
        <v>-8.51</v>
      </c>
      <c r="DH47" s="228">
        <v>-7.0000000000000007E-2</v>
      </c>
      <c r="DI47" s="228">
        <v>19.07</v>
      </c>
      <c r="DJ47" s="228">
        <v>22.38</v>
      </c>
      <c r="DK47" s="228">
        <v>-3.31</v>
      </c>
      <c r="DL47" s="228">
        <v>-3.31</v>
      </c>
      <c r="DM47" s="228">
        <v>17.97</v>
      </c>
      <c r="DN47" s="228">
        <v>21.65</v>
      </c>
      <c r="DO47" s="228">
        <v>-3.68</v>
      </c>
      <c r="DP47" s="228">
        <v>-3.68</v>
      </c>
      <c r="DQ47" s="228">
        <v>0.64</v>
      </c>
      <c r="DR47" s="228">
        <v>0.65</v>
      </c>
      <c r="DS47" s="228">
        <v>-0.01</v>
      </c>
      <c r="DT47" s="229">
        <v>-1.54E-2</v>
      </c>
      <c r="DU47" s="231">
        <v>2300</v>
      </c>
      <c r="DV47" s="231">
        <v>2200</v>
      </c>
      <c r="DW47" s="228">
        <v>0.27</v>
      </c>
      <c r="DX47" s="228">
        <v>0.36</v>
      </c>
      <c r="DY47" s="228">
        <v>-0.09</v>
      </c>
      <c r="DZ47" s="229">
        <v>-0.25</v>
      </c>
      <c r="EA47" s="229">
        <v>0.43930000000000002</v>
      </c>
      <c r="EB47" s="230">
        <v>942525</v>
      </c>
      <c r="EC47" s="229">
        <v>1.6000000000000001E-3</v>
      </c>
      <c r="ED47" s="229">
        <v>0.43930000000000002</v>
      </c>
      <c r="EE47" s="228">
        <v>5.9</v>
      </c>
      <c r="EF47" s="229">
        <v>2.7000000000000001E-3</v>
      </c>
      <c r="EG47" s="230">
        <v>204385</v>
      </c>
      <c r="EH47" s="230">
        <v>198698</v>
      </c>
      <c r="EI47" s="229">
        <v>2.86E-2</v>
      </c>
      <c r="EJ47" s="229">
        <v>0.51880000000000004</v>
      </c>
      <c r="EK47" s="231">
        <v>1261.23</v>
      </c>
      <c r="EL47" s="228">
        <v>326.38</v>
      </c>
      <c r="EM47" s="231">
        <v>1455.44</v>
      </c>
      <c r="EN47" s="228">
        <v>30.24</v>
      </c>
      <c r="EO47" s="231">
        <v>3043.04</v>
      </c>
      <c r="EP47" s="228">
        <v>641.20000000000005</v>
      </c>
      <c r="EQ47" s="231">
        <v>2401.84</v>
      </c>
      <c r="ER47" s="229">
        <v>3.7458999999999998</v>
      </c>
      <c r="ES47" s="228">
        <v>634.47</v>
      </c>
      <c r="ET47" s="228">
        <v>387.37</v>
      </c>
      <c r="EU47" s="231">
        <v>1439.6</v>
      </c>
      <c r="EV47" s="231">
        <v>19990944</v>
      </c>
      <c r="EW47" s="231">
        <v>2461.4299999999998</v>
      </c>
      <c r="EX47" s="231">
        <v>2573.1799999999998</v>
      </c>
      <c r="EY47" s="228">
        <v>-111.75</v>
      </c>
      <c r="EZ47" s="229">
        <v>-4.3400000000000001E-2</v>
      </c>
      <c r="FA47" s="229">
        <v>0.55679999999999996</v>
      </c>
      <c r="FB47" s="227" t="s">
        <v>556</v>
      </c>
      <c r="FC47">
        <f t="shared" si="0"/>
        <v>631</v>
      </c>
    </row>
    <row r="48" spans="1:159" ht="17.25" thickBot="1" x14ac:dyDescent="0.3">
      <c r="A48" s="226">
        <v>45981</v>
      </c>
      <c r="B48" s="227" t="s">
        <v>215</v>
      </c>
      <c r="C48" s="227" t="s">
        <v>202</v>
      </c>
      <c r="D48" s="228">
        <v>1250</v>
      </c>
      <c r="E48" s="228">
        <v>5</v>
      </c>
      <c r="F48" s="228">
        <v>516</v>
      </c>
      <c r="G48" s="228">
        <v>515.9</v>
      </c>
      <c r="H48" s="228">
        <v>0.1</v>
      </c>
      <c r="I48" s="229">
        <v>2.0000000000000001E-4</v>
      </c>
      <c r="J48" s="228">
        <v>515.4</v>
      </c>
      <c r="K48" s="228">
        <v>517.54999999999995</v>
      </c>
      <c r="L48" s="228">
        <v>-2.15</v>
      </c>
      <c r="M48" s="229">
        <v>-4.1999999999999997E-3</v>
      </c>
      <c r="N48" s="228">
        <v>516</v>
      </c>
      <c r="O48" s="228">
        <v>515.9</v>
      </c>
      <c r="P48" s="228">
        <v>0.1</v>
      </c>
      <c r="Q48" s="229">
        <v>2.0000000000000001E-4</v>
      </c>
      <c r="R48" s="228">
        <v>519.35</v>
      </c>
      <c r="S48" s="228">
        <v>519.29999999999995</v>
      </c>
      <c r="T48" s="228">
        <v>0.05</v>
      </c>
      <c r="U48" s="229">
        <v>1E-4</v>
      </c>
      <c r="V48" s="228">
        <v>523.29999999999995</v>
      </c>
      <c r="W48" s="228">
        <v>522.45000000000005</v>
      </c>
      <c r="X48" s="228">
        <v>0.85</v>
      </c>
      <c r="Y48" s="229">
        <v>1.6000000000000001E-3</v>
      </c>
      <c r="Z48" s="228">
        <v>0.6</v>
      </c>
      <c r="AA48" s="228">
        <v>-1.65</v>
      </c>
      <c r="AB48" s="228">
        <v>2.25</v>
      </c>
      <c r="AC48" s="229">
        <v>1.1999999999999999E-3</v>
      </c>
      <c r="AD48" s="228">
        <v>0.6</v>
      </c>
      <c r="AE48" s="228">
        <v>-1.65</v>
      </c>
      <c r="AF48" s="228">
        <v>2.25</v>
      </c>
      <c r="AG48" s="229">
        <v>1.1999999999999999E-3</v>
      </c>
      <c r="AH48" s="228">
        <v>3.95</v>
      </c>
      <c r="AI48" s="228">
        <v>1.75</v>
      </c>
      <c r="AJ48" s="228">
        <v>2.2000000000000002</v>
      </c>
      <c r="AK48" s="229">
        <v>7.7000000000000002E-3</v>
      </c>
      <c r="AL48" s="228">
        <v>7.9</v>
      </c>
      <c r="AM48" s="228">
        <v>4.9000000000000004</v>
      </c>
      <c r="AN48" s="228">
        <v>3</v>
      </c>
      <c r="AO48" s="229">
        <v>1.5299999999999999E-2</v>
      </c>
      <c r="AP48" s="228">
        <v>517.77</v>
      </c>
      <c r="AQ48" s="228">
        <v>520.96</v>
      </c>
      <c r="AR48" s="228">
        <v>0</v>
      </c>
      <c r="AS48" s="230">
        <v>1041</v>
      </c>
      <c r="AT48" s="228">
        <v>364</v>
      </c>
      <c r="AU48" s="228">
        <v>678</v>
      </c>
      <c r="AV48" s="229">
        <v>1.8633999999999999</v>
      </c>
      <c r="AW48" s="228">
        <v>493</v>
      </c>
      <c r="AX48" s="228">
        <v>208</v>
      </c>
      <c r="AY48" s="228">
        <v>285</v>
      </c>
      <c r="AZ48" s="229">
        <v>1.375</v>
      </c>
      <c r="BA48" s="228">
        <v>543</v>
      </c>
      <c r="BB48" s="228">
        <v>149</v>
      </c>
      <c r="BC48" s="228">
        <v>394</v>
      </c>
      <c r="BD48" s="229">
        <v>2.6522000000000001</v>
      </c>
      <c r="BE48" s="228">
        <v>5</v>
      </c>
      <c r="BF48" s="228">
        <v>7</v>
      </c>
      <c r="BG48" s="228">
        <v>-2</v>
      </c>
      <c r="BH48" s="229">
        <v>-0.31859999999999999</v>
      </c>
      <c r="BI48" s="228">
        <v>937</v>
      </c>
      <c r="BJ48" s="230">
        <v>1236</v>
      </c>
      <c r="BK48" s="228">
        <v>-299</v>
      </c>
      <c r="BL48" s="229">
        <v>-0.2417</v>
      </c>
      <c r="BM48" s="228">
        <v>353</v>
      </c>
      <c r="BN48" s="228">
        <v>397</v>
      </c>
      <c r="BO48" s="228">
        <v>-44</v>
      </c>
      <c r="BP48" s="229">
        <v>-0.111</v>
      </c>
      <c r="BQ48" s="230">
        <v>2331</v>
      </c>
      <c r="BR48" s="230">
        <v>1997</v>
      </c>
      <c r="BS48" s="228">
        <v>335</v>
      </c>
      <c r="BT48" s="229">
        <v>0.16769999999999999</v>
      </c>
      <c r="BU48" s="230">
        <v>3193578</v>
      </c>
      <c r="BV48" s="230">
        <v>1680598</v>
      </c>
      <c r="BW48" s="230">
        <v>1512980</v>
      </c>
      <c r="BX48" s="229">
        <v>0.90029999999999999</v>
      </c>
      <c r="BY48" s="230">
        <v>2095</v>
      </c>
      <c r="BZ48" s="230">
        <v>2093</v>
      </c>
      <c r="CA48" s="228">
        <v>2</v>
      </c>
      <c r="CB48" s="229">
        <v>8.0000000000000004E-4</v>
      </c>
      <c r="CC48" s="230">
        <v>1377</v>
      </c>
      <c r="CD48" s="230">
        <v>1704</v>
      </c>
      <c r="CE48" s="228">
        <v>-328</v>
      </c>
      <c r="CF48" s="229">
        <v>-0.19220000000000001</v>
      </c>
      <c r="CG48" s="228">
        <v>689</v>
      </c>
      <c r="CH48" s="228">
        <v>361</v>
      </c>
      <c r="CI48" s="228">
        <v>328</v>
      </c>
      <c r="CJ48" s="229">
        <v>0.90949999999999998</v>
      </c>
      <c r="CK48" s="228">
        <v>29</v>
      </c>
      <c r="CL48" s="228">
        <v>28</v>
      </c>
      <c r="CM48" s="228">
        <v>1</v>
      </c>
      <c r="CN48" s="229">
        <v>4.4200000000000003E-2</v>
      </c>
      <c r="CO48" s="228">
        <v>851</v>
      </c>
      <c r="CP48" s="228">
        <v>926</v>
      </c>
      <c r="CQ48" s="228">
        <v>-74</v>
      </c>
      <c r="CR48" s="229">
        <v>-8.0299999999999996E-2</v>
      </c>
      <c r="CS48" s="228">
        <v>567</v>
      </c>
      <c r="CT48" s="228">
        <v>557</v>
      </c>
      <c r="CU48" s="228">
        <v>10</v>
      </c>
      <c r="CV48" s="229">
        <v>1.84E-2</v>
      </c>
      <c r="CW48" s="230">
        <v>3513</v>
      </c>
      <c r="CX48" s="230">
        <v>3575</v>
      </c>
      <c r="CY48" s="228">
        <v>-62</v>
      </c>
      <c r="CZ48" s="229">
        <v>-1.7399999999999999E-2</v>
      </c>
      <c r="DA48" s="228">
        <v>22.12</v>
      </c>
      <c r="DB48" s="228">
        <v>23.82</v>
      </c>
      <c r="DC48" s="228">
        <v>-1.7</v>
      </c>
      <c r="DD48" s="228">
        <v>-1.7</v>
      </c>
      <c r="DE48" s="228">
        <v>35.299999999999997</v>
      </c>
      <c r="DF48" s="228">
        <v>35.380000000000003</v>
      </c>
      <c r="DG48" s="228">
        <v>-13.18</v>
      </c>
      <c r="DH48" s="228">
        <v>-0.08</v>
      </c>
      <c r="DI48" s="228">
        <v>22.42</v>
      </c>
      <c r="DJ48" s="228">
        <v>24.41</v>
      </c>
      <c r="DK48" s="228">
        <v>-1.99</v>
      </c>
      <c r="DL48" s="228">
        <v>-1.99</v>
      </c>
      <c r="DM48" s="228">
        <v>21.74</v>
      </c>
      <c r="DN48" s="228">
        <v>21.97</v>
      </c>
      <c r="DO48" s="228">
        <v>-0.23</v>
      </c>
      <c r="DP48" s="228">
        <v>-0.23</v>
      </c>
      <c r="DQ48" s="228">
        <v>0.67</v>
      </c>
      <c r="DR48" s="228">
        <v>0.6</v>
      </c>
      <c r="DS48" s="228">
        <v>7.0000000000000007E-2</v>
      </c>
      <c r="DT48" s="229">
        <v>0.1167</v>
      </c>
      <c r="DU48" s="228">
        <v>550</v>
      </c>
      <c r="DV48" s="228">
        <v>520</v>
      </c>
      <c r="DW48" s="228">
        <v>0.38</v>
      </c>
      <c r="DX48" s="228">
        <v>0.32</v>
      </c>
      <c r="DY48" s="228">
        <v>0.06</v>
      </c>
      <c r="DZ48" s="229">
        <v>0.1875</v>
      </c>
      <c r="EA48" s="229">
        <v>0.3427</v>
      </c>
      <c r="EB48" s="230">
        <v>7528750</v>
      </c>
      <c r="EC48" s="229">
        <v>6.4999999999999997E-3</v>
      </c>
      <c r="ED48" s="229">
        <v>0.3427</v>
      </c>
      <c r="EE48" s="228">
        <v>3.19</v>
      </c>
      <c r="EF48" s="229">
        <v>6.1999999999999998E-3</v>
      </c>
      <c r="EG48" s="230">
        <v>2410680</v>
      </c>
      <c r="EH48" s="230">
        <v>871964</v>
      </c>
      <c r="EI48" s="229">
        <v>1.7646999999999999</v>
      </c>
      <c r="EJ48" s="229">
        <v>0.75490000000000002</v>
      </c>
      <c r="EK48" s="228">
        <v>978.47</v>
      </c>
      <c r="EL48" s="228">
        <v>366.93</v>
      </c>
      <c r="EM48" s="231">
        <v>1048.28</v>
      </c>
      <c r="EN48" s="228">
        <v>48.67</v>
      </c>
      <c r="EO48" s="231">
        <v>2393.6799999999998</v>
      </c>
      <c r="EP48" s="231">
        <v>2063.1999999999998</v>
      </c>
      <c r="EQ48" s="228">
        <v>330.49</v>
      </c>
      <c r="ER48" s="229">
        <v>0.16020000000000001</v>
      </c>
      <c r="ES48" s="228">
        <v>904.07</v>
      </c>
      <c r="ET48" s="228">
        <v>580.86</v>
      </c>
      <c r="EU48" s="231">
        <v>2099.4499999999998</v>
      </c>
      <c r="EV48" s="231">
        <v>48077012</v>
      </c>
      <c r="EW48" s="231">
        <v>3584.38</v>
      </c>
      <c r="EX48" s="231">
        <v>3649.65</v>
      </c>
      <c r="EY48" s="228">
        <v>-65.27</v>
      </c>
      <c r="EZ48" s="229">
        <v>-1.7899999999999999E-2</v>
      </c>
      <c r="FA48" s="229">
        <v>1.4161999999999999</v>
      </c>
      <c r="FB48" s="227" t="s">
        <v>555</v>
      </c>
      <c r="FC48">
        <f t="shared" si="0"/>
        <v>718</v>
      </c>
    </row>
    <row r="49" spans="1:159" ht="17.25" thickBot="1" x14ac:dyDescent="0.3">
      <c r="A49" s="226">
        <v>45981</v>
      </c>
      <c r="B49" s="227" t="s">
        <v>184</v>
      </c>
      <c r="C49" s="227" t="s">
        <v>523</v>
      </c>
      <c r="D49" s="228">
        <v>1800</v>
      </c>
      <c r="E49" s="228">
        <v>5</v>
      </c>
      <c r="F49" s="228">
        <v>269.95</v>
      </c>
      <c r="G49" s="228">
        <v>274.2</v>
      </c>
      <c r="H49" s="228">
        <v>-4.25</v>
      </c>
      <c r="I49" s="229">
        <v>-1.55E-2</v>
      </c>
      <c r="J49" s="228">
        <v>270</v>
      </c>
      <c r="K49" s="228">
        <v>274.3</v>
      </c>
      <c r="L49" s="228">
        <v>-4.3</v>
      </c>
      <c r="M49" s="229">
        <v>-1.5699999999999999E-2</v>
      </c>
      <c r="N49" s="228">
        <v>269.95</v>
      </c>
      <c r="O49" s="228">
        <v>274.2</v>
      </c>
      <c r="P49" s="228">
        <v>-4.25</v>
      </c>
      <c r="Q49" s="229">
        <v>-1.55E-2</v>
      </c>
      <c r="R49" s="228">
        <v>271.8</v>
      </c>
      <c r="S49" s="228">
        <v>276.10000000000002</v>
      </c>
      <c r="T49" s="228">
        <v>-4.3</v>
      </c>
      <c r="U49" s="229">
        <v>-1.5599999999999999E-2</v>
      </c>
      <c r="V49" s="228">
        <v>273.5</v>
      </c>
      <c r="W49" s="228">
        <v>277.45</v>
      </c>
      <c r="X49" s="228">
        <v>-3.95</v>
      </c>
      <c r="Y49" s="229">
        <v>-1.4200000000000001E-2</v>
      </c>
      <c r="Z49" s="228">
        <v>-0.05</v>
      </c>
      <c r="AA49" s="228">
        <v>-0.1</v>
      </c>
      <c r="AB49" s="228">
        <v>0.05</v>
      </c>
      <c r="AC49" s="229">
        <v>-2.0000000000000001E-4</v>
      </c>
      <c r="AD49" s="228">
        <v>-0.05</v>
      </c>
      <c r="AE49" s="228">
        <v>-0.1</v>
      </c>
      <c r="AF49" s="228">
        <v>0.05</v>
      </c>
      <c r="AG49" s="229">
        <v>-2.0000000000000001E-4</v>
      </c>
      <c r="AH49" s="228">
        <v>1.8</v>
      </c>
      <c r="AI49" s="228">
        <v>1.8</v>
      </c>
      <c r="AJ49" s="228">
        <v>0</v>
      </c>
      <c r="AK49" s="229">
        <v>6.7000000000000002E-3</v>
      </c>
      <c r="AL49" s="228">
        <v>3.5</v>
      </c>
      <c r="AM49" s="228">
        <v>3.15</v>
      </c>
      <c r="AN49" s="228">
        <v>0.35</v>
      </c>
      <c r="AO49" s="229">
        <v>1.2999999999999999E-2</v>
      </c>
      <c r="AP49" s="228">
        <v>272.11</v>
      </c>
      <c r="AQ49" s="228">
        <v>273.95999999999998</v>
      </c>
      <c r="AR49" s="228">
        <v>0</v>
      </c>
      <c r="AS49" s="228">
        <v>578</v>
      </c>
      <c r="AT49" s="228">
        <v>144</v>
      </c>
      <c r="AU49" s="228">
        <v>434</v>
      </c>
      <c r="AV49" s="229">
        <v>3.0081000000000002</v>
      </c>
      <c r="AW49" s="228">
        <v>298</v>
      </c>
      <c r="AX49" s="228">
        <v>86</v>
      </c>
      <c r="AY49" s="228">
        <v>212</v>
      </c>
      <c r="AZ49" s="229">
        <v>2.4605000000000001</v>
      </c>
      <c r="BA49" s="228">
        <v>275</v>
      </c>
      <c r="BB49" s="228">
        <v>54</v>
      </c>
      <c r="BC49" s="228">
        <v>220</v>
      </c>
      <c r="BD49" s="229">
        <v>4.0545999999999998</v>
      </c>
      <c r="BE49" s="228">
        <v>5</v>
      </c>
      <c r="BF49" s="228">
        <v>4</v>
      </c>
      <c r="BG49" s="228">
        <v>2</v>
      </c>
      <c r="BH49" s="229">
        <v>0.42859999999999998</v>
      </c>
      <c r="BI49" s="228">
        <v>513</v>
      </c>
      <c r="BJ49" s="228">
        <v>406</v>
      </c>
      <c r="BK49" s="228">
        <v>107</v>
      </c>
      <c r="BL49" s="229">
        <v>0.26279999999999998</v>
      </c>
      <c r="BM49" s="228">
        <v>154</v>
      </c>
      <c r="BN49" s="228">
        <v>84</v>
      </c>
      <c r="BO49" s="228">
        <v>71</v>
      </c>
      <c r="BP49" s="229">
        <v>0.84179999999999999</v>
      </c>
      <c r="BQ49" s="230">
        <v>1245</v>
      </c>
      <c r="BR49" s="228">
        <v>634</v>
      </c>
      <c r="BS49" s="228">
        <v>611</v>
      </c>
      <c r="BT49" s="229">
        <v>0.96399999999999997</v>
      </c>
      <c r="BU49" s="230">
        <v>2431319</v>
      </c>
      <c r="BV49" s="230">
        <v>2803385</v>
      </c>
      <c r="BW49" s="230">
        <v>-372066</v>
      </c>
      <c r="BX49" s="229">
        <v>-0.13270000000000001</v>
      </c>
      <c r="BY49" s="230">
        <v>1499</v>
      </c>
      <c r="BZ49" s="230">
        <v>1508</v>
      </c>
      <c r="CA49" s="228">
        <v>-9</v>
      </c>
      <c r="CB49" s="229">
        <v>-5.7999999999999996E-3</v>
      </c>
      <c r="CC49" s="230">
        <v>1074</v>
      </c>
      <c r="CD49" s="230">
        <v>1311</v>
      </c>
      <c r="CE49" s="228">
        <v>-237</v>
      </c>
      <c r="CF49" s="229">
        <v>-0.18090000000000001</v>
      </c>
      <c r="CG49" s="228">
        <v>401</v>
      </c>
      <c r="CH49" s="228">
        <v>175</v>
      </c>
      <c r="CI49" s="228">
        <v>226</v>
      </c>
      <c r="CJ49" s="229">
        <v>1.2890999999999999</v>
      </c>
      <c r="CK49" s="228">
        <v>25</v>
      </c>
      <c r="CL49" s="228">
        <v>22</v>
      </c>
      <c r="CM49" s="228">
        <v>3</v>
      </c>
      <c r="CN49" s="229">
        <v>0.13270000000000001</v>
      </c>
      <c r="CO49" s="228">
        <v>748</v>
      </c>
      <c r="CP49" s="228">
        <v>757</v>
      </c>
      <c r="CQ49" s="228">
        <v>-9</v>
      </c>
      <c r="CR49" s="229">
        <v>-1.17E-2</v>
      </c>
      <c r="CS49" s="228">
        <v>380</v>
      </c>
      <c r="CT49" s="228">
        <v>369</v>
      </c>
      <c r="CU49" s="228">
        <v>12</v>
      </c>
      <c r="CV49" s="229">
        <v>3.2000000000000001E-2</v>
      </c>
      <c r="CW49" s="230">
        <v>2628</v>
      </c>
      <c r="CX49" s="230">
        <v>2634</v>
      </c>
      <c r="CY49" s="228">
        <v>-6</v>
      </c>
      <c r="CZ49" s="229">
        <v>-2.2000000000000001E-3</v>
      </c>
      <c r="DA49" s="228">
        <v>25.8</v>
      </c>
      <c r="DB49" s="228">
        <v>29.43</v>
      </c>
      <c r="DC49" s="228">
        <v>-3.63</v>
      </c>
      <c r="DD49" s="228">
        <v>-3.63</v>
      </c>
      <c r="DE49" s="228">
        <v>31.47</v>
      </c>
      <c r="DF49" s="228">
        <v>31.48</v>
      </c>
      <c r="DG49" s="228">
        <v>-5.67</v>
      </c>
      <c r="DH49" s="228">
        <v>-0.01</v>
      </c>
      <c r="DI49" s="228">
        <v>26.13</v>
      </c>
      <c r="DJ49" s="228">
        <v>30</v>
      </c>
      <c r="DK49" s="228">
        <v>-3.87</v>
      </c>
      <c r="DL49" s="228">
        <v>-3.87</v>
      </c>
      <c r="DM49" s="228">
        <v>25.32</v>
      </c>
      <c r="DN49" s="228">
        <v>26.63</v>
      </c>
      <c r="DO49" s="228">
        <v>-1.31</v>
      </c>
      <c r="DP49" s="228">
        <v>-1.31</v>
      </c>
      <c r="DQ49" s="228">
        <v>0.51</v>
      </c>
      <c r="DR49" s="228">
        <v>0.49</v>
      </c>
      <c r="DS49" s="228">
        <v>0.02</v>
      </c>
      <c r="DT49" s="229">
        <v>4.0800000000000003E-2</v>
      </c>
      <c r="DU49" s="228">
        <v>300</v>
      </c>
      <c r="DV49" s="228">
        <v>300</v>
      </c>
      <c r="DW49" s="228">
        <v>0.3</v>
      </c>
      <c r="DX49" s="228">
        <v>0.21</v>
      </c>
      <c r="DY49" s="228">
        <v>0.09</v>
      </c>
      <c r="DZ49" s="229">
        <v>0.42859999999999998</v>
      </c>
      <c r="EA49" s="229">
        <v>0.28370000000000001</v>
      </c>
      <c r="EB49" s="230">
        <v>7295400</v>
      </c>
      <c r="EC49" s="229">
        <v>6.8999999999999999E-3</v>
      </c>
      <c r="ED49" s="229">
        <v>0.28370000000000001</v>
      </c>
      <c r="EE49" s="228">
        <v>1.85</v>
      </c>
      <c r="EF49" s="229">
        <v>6.7999999999999996E-3</v>
      </c>
      <c r="EG49" s="230">
        <v>1341035</v>
      </c>
      <c r="EH49" s="230">
        <v>1761167</v>
      </c>
      <c r="EI49" s="229">
        <v>-0.23860000000000001</v>
      </c>
      <c r="EJ49" s="229">
        <v>0.55159999999999998</v>
      </c>
      <c r="EK49" s="228">
        <v>547.24</v>
      </c>
      <c r="EL49" s="228">
        <v>162.75</v>
      </c>
      <c r="EM49" s="228">
        <v>584.79</v>
      </c>
      <c r="EN49" s="228">
        <v>29.73</v>
      </c>
      <c r="EO49" s="231">
        <v>1294.78</v>
      </c>
      <c r="EP49" s="228">
        <v>669.99</v>
      </c>
      <c r="EQ49" s="228">
        <v>624.79</v>
      </c>
      <c r="ER49" s="229">
        <v>0.9325</v>
      </c>
      <c r="ES49" s="228">
        <v>815.99</v>
      </c>
      <c r="ET49" s="228">
        <v>394.55</v>
      </c>
      <c r="EU49" s="231">
        <v>1502.49</v>
      </c>
      <c r="EV49" s="231">
        <v>81400589</v>
      </c>
      <c r="EW49" s="231">
        <v>2713.03</v>
      </c>
      <c r="EX49" s="231">
        <v>2746.06</v>
      </c>
      <c r="EY49" s="228">
        <v>-33.03</v>
      </c>
      <c r="EZ49" s="229">
        <v>-1.2E-2</v>
      </c>
      <c r="FA49" s="229">
        <v>1.196</v>
      </c>
      <c r="FB49" s="227" t="s">
        <v>568</v>
      </c>
      <c r="FC49">
        <f t="shared" si="0"/>
        <v>425</v>
      </c>
    </row>
    <row r="50" spans="1:159" ht="17.25" thickBot="1" x14ac:dyDescent="0.3">
      <c r="A50" s="226">
        <v>45981</v>
      </c>
      <c r="B50" s="227" t="s">
        <v>184</v>
      </c>
      <c r="C50" s="227" t="s">
        <v>203</v>
      </c>
      <c r="D50" s="228">
        <v>200</v>
      </c>
      <c r="E50" s="228">
        <v>5</v>
      </c>
      <c r="F50" s="231">
        <v>4380.6000000000004</v>
      </c>
      <c r="G50" s="231">
        <v>4264.8</v>
      </c>
      <c r="H50" s="228">
        <v>115.8</v>
      </c>
      <c r="I50" s="229">
        <v>2.7199999999999998E-2</v>
      </c>
      <c r="J50" s="231">
        <v>4375.7</v>
      </c>
      <c r="K50" s="231">
        <v>4261.3</v>
      </c>
      <c r="L50" s="228">
        <v>114.4</v>
      </c>
      <c r="M50" s="229">
        <v>2.6800000000000001E-2</v>
      </c>
      <c r="N50" s="231">
        <v>4380.6000000000004</v>
      </c>
      <c r="O50" s="231">
        <v>4264.8</v>
      </c>
      <c r="P50" s="228">
        <v>115.8</v>
      </c>
      <c r="Q50" s="229">
        <v>2.7199999999999998E-2</v>
      </c>
      <c r="R50" s="231">
        <v>4406.8</v>
      </c>
      <c r="S50" s="231">
        <v>4289.5</v>
      </c>
      <c r="T50" s="228">
        <v>117.3</v>
      </c>
      <c r="U50" s="229">
        <v>2.7300000000000001E-2</v>
      </c>
      <c r="V50" s="231">
        <v>4435.8999999999996</v>
      </c>
      <c r="W50" s="231">
        <v>4315.1000000000004</v>
      </c>
      <c r="X50" s="228">
        <v>120.8</v>
      </c>
      <c r="Y50" s="229">
        <v>2.8000000000000001E-2</v>
      </c>
      <c r="Z50" s="228">
        <v>4.9000000000000004</v>
      </c>
      <c r="AA50" s="228">
        <v>3.5</v>
      </c>
      <c r="AB50" s="228">
        <v>1.4</v>
      </c>
      <c r="AC50" s="229">
        <v>1.1000000000000001E-3</v>
      </c>
      <c r="AD50" s="228">
        <v>4.9000000000000004</v>
      </c>
      <c r="AE50" s="228">
        <v>3.5</v>
      </c>
      <c r="AF50" s="228">
        <v>1.4</v>
      </c>
      <c r="AG50" s="229">
        <v>1.1000000000000001E-3</v>
      </c>
      <c r="AH50" s="228">
        <v>31.1</v>
      </c>
      <c r="AI50" s="228">
        <v>28.2</v>
      </c>
      <c r="AJ50" s="228">
        <v>2.9</v>
      </c>
      <c r="AK50" s="229">
        <v>7.1000000000000004E-3</v>
      </c>
      <c r="AL50" s="228">
        <v>60.2</v>
      </c>
      <c r="AM50" s="228">
        <v>53.8</v>
      </c>
      <c r="AN50" s="228">
        <v>6.4</v>
      </c>
      <c r="AO50" s="229">
        <v>1.38E-2</v>
      </c>
      <c r="AP50" s="231">
        <v>4360.6899999999996</v>
      </c>
      <c r="AQ50" s="231">
        <v>4388.1899999999996</v>
      </c>
      <c r="AR50" s="228">
        <v>0</v>
      </c>
      <c r="AS50" s="230">
        <v>1191</v>
      </c>
      <c r="AT50" s="228">
        <v>416</v>
      </c>
      <c r="AU50" s="228">
        <v>774</v>
      </c>
      <c r="AV50" s="229">
        <v>1.8611</v>
      </c>
      <c r="AW50" s="228">
        <v>701</v>
      </c>
      <c r="AX50" s="228">
        <v>266</v>
      </c>
      <c r="AY50" s="228">
        <v>434</v>
      </c>
      <c r="AZ50" s="229">
        <v>1.6329</v>
      </c>
      <c r="BA50" s="228">
        <v>484</v>
      </c>
      <c r="BB50" s="228">
        <v>146</v>
      </c>
      <c r="BC50" s="228">
        <v>338</v>
      </c>
      <c r="BD50" s="229">
        <v>2.3043999999999998</v>
      </c>
      <c r="BE50" s="228">
        <v>6</v>
      </c>
      <c r="BF50" s="228">
        <v>4</v>
      </c>
      <c r="BG50" s="228">
        <v>2</v>
      </c>
      <c r="BH50" s="229">
        <v>0.68289999999999995</v>
      </c>
      <c r="BI50" s="230">
        <v>6602</v>
      </c>
      <c r="BJ50" s="230">
        <v>1956</v>
      </c>
      <c r="BK50" s="230">
        <v>4646</v>
      </c>
      <c r="BL50" s="229">
        <v>2.3754</v>
      </c>
      <c r="BM50" s="230">
        <v>1640</v>
      </c>
      <c r="BN50" s="228">
        <v>979</v>
      </c>
      <c r="BO50" s="228">
        <v>661</v>
      </c>
      <c r="BP50" s="229">
        <v>0.67500000000000004</v>
      </c>
      <c r="BQ50" s="230">
        <v>9433</v>
      </c>
      <c r="BR50" s="230">
        <v>3351</v>
      </c>
      <c r="BS50" s="230">
        <v>6082</v>
      </c>
      <c r="BT50" s="229">
        <v>1.8147</v>
      </c>
      <c r="BU50" s="230">
        <v>952231</v>
      </c>
      <c r="BV50" s="230">
        <v>455086</v>
      </c>
      <c r="BW50" s="230">
        <v>497145</v>
      </c>
      <c r="BX50" s="229">
        <v>1.0924</v>
      </c>
      <c r="BY50" s="230">
        <v>1561</v>
      </c>
      <c r="BZ50" s="230">
        <v>1603</v>
      </c>
      <c r="CA50" s="228">
        <v>-42</v>
      </c>
      <c r="CB50" s="229">
        <v>-2.6200000000000001E-2</v>
      </c>
      <c r="CC50" s="230">
        <v>1062</v>
      </c>
      <c r="CD50" s="230">
        <v>1440</v>
      </c>
      <c r="CE50" s="228">
        <v>-379</v>
      </c>
      <c r="CF50" s="229">
        <v>-0.26290000000000002</v>
      </c>
      <c r="CG50" s="228">
        <v>492</v>
      </c>
      <c r="CH50" s="228">
        <v>158</v>
      </c>
      <c r="CI50" s="228">
        <v>335</v>
      </c>
      <c r="CJ50" s="229">
        <v>2.1187999999999998</v>
      </c>
      <c r="CK50" s="228">
        <v>7</v>
      </c>
      <c r="CL50" s="228">
        <v>5</v>
      </c>
      <c r="CM50" s="228">
        <v>2</v>
      </c>
      <c r="CN50" s="229">
        <v>0.434</v>
      </c>
      <c r="CO50" s="228">
        <v>651</v>
      </c>
      <c r="CP50" s="228">
        <v>586</v>
      </c>
      <c r="CQ50" s="228">
        <v>65</v>
      </c>
      <c r="CR50" s="229">
        <v>0.1105</v>
      </c>
      <c r="CS50" s="228">
        <v>398</v>
      </c>
      <c r="CT50" s="228">
        <v>374</v>
      </c>
      <c r="CU50" s="228">
        <v>23</v>
      </c>
      <c r="CV50" s="229">
        <v>6.2700000000000006E-2</v>
      </c>
      <c r="CW50" s="230">
        <v>2609</v>
      </c>
      <c r="CX50" s="230">
        <v>2563</v>
      </c>
      <c r="CY50" s="228">
        <v>46</v>
      </c>
      <c r="CZ50" s="229">
        <v>1.7999999999999999E-2</v>
      </c>
      <c r="DA50" s="228">
        <v>25.56</v>
      </c>
      <c r="DB50" s="228">
        <v>27.5</v>
      </c>
      <c r="DC50" s="228">
        <v>-1.94</v>
      </c>
      <c r="DD50" s="228">
        <v>-1.94</v>
      </c>
      <c r="DE50" s="228">
        <v>34.590000000000003</v>
      </c>
      <c r="DF50" s="228">
        <v>34.49</v>
      </c>
      <c r="DG50" s="228">
        <v>-9.0299999999999994</v>
      </c>
      <c r="DH50" s="228">
        <v>0.1</v>
      </c>
      <c r="DI50" s="228">
        <v>25.51</v>
      </c>
      <c r="DJ50" s="228">
        <v>27.81</v>
      </c>
      <c r="DK50" s="228">
        <v>-2.2999999999999998</v>
      </c>
      <c r="DL50" s="228">
        <v>-2.2999999999999998</v>
      </c>
      <c r="DM50" s="228">
        <v>25.78</v>
      </c>
      <c r="DN50" s="228">
        <v>26.87</v>
      </c>
      <c r="DO50" s="228">
        <v>-1.0900000000000001</v>
      </c>
      <c r="DP50" s="228">
        <v>-1.0900000000000001</v>
      </c>
      <c r="DQ50" s="228">
        <v>0.61</v>
      </c>
      <c r="DR50" s="228">
        <v>0.64</v>
      </c>
      <c r="DS50" s="228">
        <v>-0.03</v>
      </c>
      <c r="DT50" s="229">
        <v>-4.6899999999999997E-2</v>
      </c>
      <c r="DU50" s="231">
        <v>4400</v>
      </c>
      <c r="DV50" s="231">
        <v>4200</v>
      </c>
      <c r="DW50" s="228">
        <v>0.25</v>
      </c>
      <c r="DX50" s="228">
        <v>0.5</v>
      </c>
      <c r="DY50" s="228">
        <v>-0.25</v>
      </c>
      <c r="DZ50" s="229">
        <v>-0.5</v>
      </c>
      <c r="EA50" s="229">
        <v>0.31979999999999997</v>
      </c>
      <c r="EB50" s="230">
        <v>371000</v>
      </c>
      <c r="EC50" s="229">
        <v>6.0000000000000001E-3</v>
      </c>
      <c r="ED50" s="229">
        <v>0.31979999999999997</v>
      </c>
      <c r="EE50" s="228">
        <v>27.5</v>
      </c>
      <c r="EF50" s="229">
        <v>6.3E-3</v>
      </c>
      <c r="EG50" s="230">
        <v>484204</v>
      </c>
      <c r="EH50" s="230">
        <v>194975</v>
      </c>
      <c r="EI50" s="229">
        <v>1.4834000000000001</v>
      </c>
      <c r="EJ50" s="229">
        <v>0.50849999999999995</v>
      </c>
      <c r="EK50" s="231">
        <v>6748.96</v>
      </c>
      <c r="EL50" s="231">
        <v>1603.71</v>
      </c>
      <c r="EM50" s="231">
        <v>1188.3599999999999</v>
      </c>
      <c r="EN50" s="228">
        <v>33.799999999999997</v>
      </c>
      <c r="EO50" s="231">
        <v>9541.02</v>
      </c>
      <c r="EP50" s="231">
        <v>3311.96</v>
      </c>
      <c r="EQ50" s="231">
        <v>6229.06</v>
      </c>
      <c r="ER50" s="229">
        <v>1.8808</v>
      </c>
      <c r="ES50" s="228">
        <v>666.57</v>
      </c>
      <c r="ET50" s="228">
        <v>378.65</v>
      </c>
      <c r="EU50" s="231">
        <v>1563.57</v>
      </c>
      <c r="EV50" s="231">
        <v>20374200</v>
      </c>
      <c r="EW50" s="231">
        <v>2608.79</v>
      </c>
      <c r="EX50" s="231">
        <v>2509.77</v>
      </c>
      <c r="EY50" s="228">
        <v>99.02</v>
      </c>
      <c r="EZ50" s="229">
        <v>3.95E-2</v>
      </c>
      <c r="FA50" s="229">
        <v>0.2923</v>
      </c>
      <c r="FB50" s="227" t="s">
        <v>556</v>
      </c>
      <c r="FC50">
        <f t="shared" si="0"/>
        <v>499</v>
      </c>
    </row>
    <row r="51" spans="1:159" ht="17.25" thickBot="1" x14ac:dyDescent="0.3">
      <c r="A51" s="226">
        <v>45981</v>
      </c>
      <c r="B51" s="227" t="s">
        <v>221</v>
      </c>
      <c r="C51" s="227" t="s">
        <v>572</v>
      </c>
      <c r="D51" s="228">
        <v>425</v>
      </c>
      <c r="E51" s="228">
        <v>5</v>
      </c>
      <c r="F51" s="231">
        <v>1148</v>
      </c>
      <c r="G51" s="231">
        <v>1155</v>
      </c>
      <c r="H51" s="228">
        <v>-7</v>
      </c>
      <c r="I51" s="229">
        <v>-6.1000000000000004E-3</v>
      </c>
      <c r="J51" s="231">
        <v>1148.9000000000001</v>
      </c>
      <c r="K51" s="231">
        <v>1152.5999999999999</v>
      </c>
      <c r="L51" s="228">
        <v>-3.7</v>
      </c>
      <c r="M51" s="229">
        <v>-3.2000000000000002E-3</v>
      </c>
      <c r="N51" s="231">
        <v>1148</v>
      </c>
      <c r="O51" s="231">
        <v>1155</v>
      </c>
      <c r="P51" s="228">
        <v>-7</v>
      </c>
      <c r="Q51" s="229">
        <v>-6.1000000000000004E-3</v>
      </c>
      <c r="R51" s="231">
        <v>1155.8</v>
      </c>
      <c r="S51" s="231">
        <v>1162.9000000000001</v>
      </c>
      <c r="T51" s="228">
        <v>-7.1</v>
      </c>
      <c r="U51" s="229">
        <v>-6.1000000000000004E-3</v>
      </c>
      <c r="V51" s="228">
        <v>0</v>
      </c>
      <c r="W51" s="228">
        <v>0</v>
      </c>
      <c r="X51" s="228">
        <v>0</v>
      </c>
      <c r="Y51" s="229">
        <v>0</v>
      </c>
      <c r="Z51" s="228">
        <v>-0.9</v>
      </c>
      <c r="AA51" s="228">
        <v>2.4</v>
      </c>
      <c r="AB51" s="228">
        <v>-3.3</v>
      </c>
      <c r="AC51" s="229">
        <v>-8.0000000000000004E-4</v>
      </c>
      <c r="AD51" s="228">
        <v>-0.9</v>
      </c>
      <c r="AE51" s="228">
        <v>2.4</v>
      </c>
      <c r="AF51" s="228">
        <v>-3.3</v>
      </c>
      <c r="AG51" s="229">
        <v>-8.0000000000000004E-4</v>
      </c>
      <c r="AH51" s="228">
        <v>6.9</v>
      </c>
      <c r="AI51" s="228">
        <v>10.3</v>
      </c>
      <c r="AJ51" s="228">
        <v>-3.4</v>
      </c>
      <c r="AK51" s="229">
        <v>6.0000000000000001E-3</v>
      </c>
      <c r="AL51" s="228">
        <v>0</v>
      </c>
      <c r="AM51" s="228">
        <v>0</v>
      </c>
      <c r="AN51" s="228">
        <v>0</v>
      </c>
      <c r="AO51" s="229">
        <v>0</v>
      </c>
      <c r="AP51" s="231">
        <v>1154.3900000000001</v>
      </c>
      <c r="AQ51" s="231">
        <v>1162.3399999999999</v>
      </c>
      <c r="AR51" s="228">
        <v>0</v>
      </c>
      <c r="AS51" s="228">
        <v>279</v>
      </c>
      <c r="AT51" s="228">
        <v>136</v>
      </c>
      <c r="AU51" s="228">
        <v>144</v>
      </c>
      <c r="AV51" s="229">
        <v>1.0582</v>
      </c>
      <c r="AW51" s="228">
        <v>147</v>
      </c>
      <c r="AX51" s="228">
        <v>95</v>
      </c>
      <c r="AY51" s="228">
        <v>51</v>
      </c>
      <c r="AZ51" s="229">
        <v>0.54069999999999996</v>
      </c>
      <c r="BA51" s="228">
        <v>133</v>
      </c>
      <c r="BB51" s="228">
        <v>41</v>
      </c>
      <c r="BC51" s="228">
        <v>92</v>
      </c>
      <c r="BD51" s="229">
        <v>2.2715999999999998</v>
      </c>
      <c r="BE51" s="228">
        <v>0</v>
      </c>
      <c r="BF51" s="228">
        <v>0</v>
      </c>
      <c r="BG51" s="228">
        <v>0</v>
      </c>
      <c r="BH51" s="229">
        <v>0</v>
      </c>
      <c r="BI51" s="228">
        <v>167</v>
      </c>
      <c r="BJ51" s="228">
        <v>684</v>
      </c>
      <c r="BK51" s="228">
        <v>-518</v>
      </c>
      <c r="BL51" s="229">
        <v>-0.75660000000000005</v>
      </c>
      <c r="BM51" s="228">
        <v>67</v>
      </c>
      <c r="BN51" s="228">
        <v>194</v>
      </c>
      <c r="BO51" s="228">
        <v>-127</v>
      </c>
      <c r="BP51" s="229">
        <v>-0.65380000000000005</v>
      </c>
      <c r="BQ51" s="228">
        <v>513</v>
      </c>
      <c r="BR51" s="230">
        <v>1014</v>
      </c>
      <c r="BS51" s="228">
        <v>-501</v>
      </c>
      <c r="BT51" s="229">
        <v>-0.49399999999999999</v>
      </c>
      <c r="BU51" s="230">
        <v>239009</v>
      </c>
      <c r="BV51" s="230">
        <v>373561</v>
      </c>
      <c r="BW51" s="230">
        <v>-134552</v>
      </c>
      <c r="BX51" s="229">
        <v>-0.36020000000000002</v>
      </c>
      <c r="BY51" s="228">
        <v>518</v>
      </c>
      <c r="BZ51" s="228">
        <v>527</v>
      </c>
      <c r="CA51" s="228">
        <v>-9</v>
      </c>
      <c r="CB51" s="229">
        <v>-1.7100000000000001E-2</v>
      </c>
      <c r="CC51" s="228">
        <v>350</v>
      </c>
      <c r="CD51" s="228">
        <v>464</v>
      </c>
      <c r="CE51" s="228">
        <v>-114</v>
      </c>
      <c r="CF51" s="229">
        <v>-0.24529999999999999</v>
      </c>
      <c r="CG51" s="228">
        <v>168</v>
      </c>
      <c r="CH51" s="228">
        <v>63</v>
      </c>
      <c r="CI51" s="228">
        <v>105</v>
      </c>
      <c r="CJ51" s="229">
        <v>1.6636</v>
      </c>
      <c r="CK51" s="228">
        <v>0</v>
      </c>
      <c r="CL51" s="228">
        <v>0</v>
      </c>
      <c r="CM51" s="228">
        <v>0</v>
      </c>
      <c r="CN51" s="229">
        <v>0</v>
      </c>
      <c r="CO51" s="228">
        <v>282</v>
      </c>
      <c r="CP51" s="228">
        <v>291</v>
      </c>
      <c r="CQ51" s="228">
        <v>-9</v>
      </c>
      <c r="CR51" s="229">
        <v>-3.2000000000000001E-2</v>
      </c>
      <c r="CS51" s="228">
        <v>163</v>
      </c>
      <c r="CT51" s="228">
        <v>174</v>
      </c>
      <c r="CU51" s="228">
        <v>-11</v>
      </c>
      <c r="CV51" s="229">
        <v>-6.5500000000000003E-2</v>
      </c>
      <c r="CW51" s="228">
        <v>963</v>
      </c>
      <c r="CX51" s="228">
        <v>992</v>
      </c>
      <c r="CY51" s="228">
        <v>-30</v>
      </c>
      <c r="CZ51" s="229">
        <v>-0.03</v>
      </c>
      <c r="DA51" s="228">
        <v>28.49</v>
      </c>
      <c r="DB51" s="228">
        <v>30.08</v>
      </c>
      <c r="DC51" s="228">
        <v>-1.59</v>
      </c>
      <c r="DD51" s="228">
        <v>-1.59</v>
      </c>
      <c r="DE51" s="228">
        <v>43.07</v>
      </c>
      <c r="DF51" s="228">
        <v>43.17</v>
      </c>
      <c r="DG51" s="228">
        <v>-14.58</v>
      </c>
      <c r="DH51" s="228">
        <v>-0.1</v>
      </c>
      <c r="DI51" s="228">
        <v>28.53</v>
      </c>
      <c r="DJ51" s="228">
        <v>30.16</v>
      </c>
      <c r="DK51" s="228">
        <v>-1.63</v>
      </c>
      <c r="DL51" s="228">
        <v>-1.63</v>
      </c>
      <c r="DM51" s="228">
        <v>28.41</v>
      </c>
      <c r="DN51" s="228">
        <v>29.79</v>
      </c>
      <c r="DO51" s="228">
        <v>-1.38</v>
      </c>
      <c r="DP51" s="228">
        <v>-1.38</v>
      </c>
      <c r="DQ51" s="228">
        <v>0.57999999999999996</v>
      </c>
      <c r="DR51" s="228">
        <v>0.6</v>
      </c>
      <c r="DS51" s="228">
        <v>-0.02</v>
      </c>
      <c r="DT51" s="229">
        <v>-3.3300000000000003E-2</v>
      </c>
      <c r="DU51" s="231">
        <v>1200</v>
      </c>
      <c r="DV51" s="231">
        <v>1080</v>
      </c>
      <c r="DW51" s="228">
        <v>0.4</v>
      </c>
      <c r="DX51" s="228">
        <v>0.28000000000000003</v>
      </c>
      <c r="DY51" s="228">
        <v>0.12</v>
      </c>
      <c r="DZ51" s="229">
        <v>0.42859999999999998</v>
      </c>
      <c r="EA51" s="229">
        <v>0.32390000000000002</v>
      </c>
      <c r="EB51" s="230">
        <v>548250</v>
      </c>
      <c r="EC51" s="229">
        <v>6.7999999999999996E-3</v>
      </c>
      <c r="ED51" s="229">
        <v>0.32390000000000002</v>
      </c>
      <c r="EE51" s="228">
        <v>7.95</v>
      </c>
      <c r="EF51" s="229">
        <v>6.8999999999999999E-3</v>
      </c>
      <c r="EG51" s="230">
        <v>108458</v>
      </c>
      <c r="EH51" s="230">
        <v>135755</v>
      </c>
      <c r="EI51" s="229">
        <v>-0.2011</v>
      </c>
      <c r="EJ51" s="229">
        <v>0.45379999999999998</v>
      </c>
      <c r="EK51" s="228">
        <v>174.05</v>
      </c>
      <c r="EL51" s="228">
        <v>66.260000000000005</v>
      </c>
      <c r="EM51" s="228">
        <v>281.95</v>
      </c>
      <c r="EN51" s="228">
        <v>16.21</v>
      </c>
      <c r="EO51" s="228">
        <v>522.25</v>
      </c>
      <c r="EP51" s="231">
        <v>1034.8900000000001</v>
      </c>
      <c r="EQ51" s="228">
        <v>-512.64</v>
      </c>
      <c r="ER51" s="229">
        <v>-0.49540000000000001</v>
      </c>
      <c r="ES51" s="228">
        <v>295.98</v>
      </c>
      <c r="ET51" s="228">
        <v>158.88</v>
      </c>
      <c r="EU51" s="228">
        <v>518.75</v>
      </c>
      <c r="EV51" s="231">
        <v>12039544</v>
      </c>
      <c r="EW51" s="228">
        <v>973.61</v>
      </c>
      <c r="EX51" s="231">
        <v>1005.76</v>
      </c>
      <c r="EY51" s="228">
        <v>-32.15</v>
      </c>
      <c r="EZ51" s="229">
        <v>-3.2000000000000001E-2</v>
      </c>
      <c r="FA51" s="229">
        <v>0.69640000000000002</v>
      </c>
      <c r="FB51" s="227" t="s">
        <v>568</v>
      </c>
      <c r="FC51">
        <f t="shared" si="0"/>
        <v>168</v>
      </c>
    </row>
    <row r="52" spans="1:159" ht="17.25" thickBot="1" x14ac:dyDescent="0.3">
      <c r="A52" s="226">
        <v>45981</v>
      </c>
      <c r="B52" s="227" t="s">
        <v>168</v>
      </c>
      <c r="C52" s="227" t="s">
        <v>204</v>
      </c>
      <c r="D52" s="228">
        <v>1250</v>
      </c>
      <c r="E52" s="228">
        <v>5</v>
      </c>
      <c r="F52" s="228">
        <v>524.6</v>
      </c>
      <c r="G52" s="228">
        <v>518.25</v>
      </c>
      <c r="H52" s="228">
        <v>6.35</v>
      </c>
      <c r="I52" s="229">
        <v>1.23E-2</v>
      </c>
      <c r="J52" s="228">
        <v>525.04999999999995</v>
      </c>
      <c r="K52" s="228">
        <v>517.54999999999995</v>
      </c>
      <c r="L52" s="228">
        <v>7.5</v>
      </c>
      <c r="M52" s="229">
        <v>1.4500000000000001E-2</v>
      </c>
      <c r="N52" s="228">
        <v>524.6</v>
      </c>
      <c r="O52" s="228">
        <v>518.25</v>
      </c>
      <c r="P52" s="228">
        <v>6.35</v>
      </c>
      <c r="Q52" s="229">
        <v>1.23E-2</v>
      </c>
      <c r="R52" s="228">
        <v>526.79999999999995</v>
      </c>
      <c r="S52" s="228">
        <v>521.29999999999995</v>
      </c>
      <c r="T52" s="228">
        <v>5.5</v>
      </c>
      <c r="U52" s="229">
        <v>1.06E-2</v>
      </c>
      <c r="V52" s="228">
        <v>528.54999999999995</v>
      </c>
      <c r="W52" s="228">
        <v>524.79999999999995</v>
      </c>
      <c r="X52" s="228">
        <v>3.75</v>
      </c>
      <c r="Y52" s="229">
        <v>7.1000000000000004E-3</v>
      </c>
      <c r="Z52" s="228">
        <v>-0.45</v>
      </c>
      <c r="AA52" s="228">
        <v>0.7</v>
      </c>
      <c r="AB52" s="228">
        <v>-1.1499999999999999</v>
      </c>
      <c r="AC52" s="229">
        <v>-8.9999999999999998E-4</v>
      </c>
      <c r="AD52" s="228">
        <v>-0.45</v>
      </c>
      <c r="AE52" s="228">
        <v>0.7</v>
      </c>
      <c r="AF52" s="228">
        <v>-1.1499999999999999</v>
      </c>
      <c r="AG52" s="229">
        <v>-8.9999999999999998E-4</v>
      </c>
      <c r="AH52" s="228">
        <v>1.75</v>
      </c>
      <c r="AI52" s="228">
        <v>3.75</v>
      </c>
      <c r="AJ52" s="228">
        <v>-2</v>
      </c>
      <c r="AK52" s="229">
        <v>3.3E-3</v>
      </c>
      <c r="AL52" s="228">
        <v>3.5</v>
      </c>
      <c r="AM52" s="228">
        <v>7.25</v>
      </c>
      <c r="AN52" s="228">
        <v>-3.75</v>
      </c>
      <c r="AO52" s="229">
        <v>6.7000000000000002E-3</v>
      </c>
      <c r="AP52" s="228">
        <v>522.64</v>
      </c>
      <c r="AQ52" s="228">
        <v>525.15</v>
      </c>
      <c r="AR52" s="228">
        <v>0</v>
      </c>
      <c r="AS52" s="228">
        <v>928</v>
      </c>
      <c r="AT52" s="228">
        <v>226</v>
      </c>
      <c r="AU52" s="228">
        <v>702</v>
      </c>
      <c r="AV52" s="229">
        <v>3.105</v>
      </c>
      <c r="AW52" s="228">
        <v>513</v>
      </c>
      <c r="AX52" s="228">
        <v>191</v>
      </c>
      <c r="AY52" s="228">
        <v>322</v>
      </c>
      <c r="AZ52" s="229">
        <v>1.6881999999999999</v>
      </c>
      <c r="BA52" s="228">
        <v>410</v>
      </c>
      <c r="BB52" s="228">
        <v>34</v>
      </c>
      <c r="BC52" s="228">
        <v>377</v>
      </c>
      <c r="BD52" s="229">
        <v>11.216799999999999</v>
      </c>
      <c r="BE52" s="228">
        <v>4</v>
      </c>
      <c r="BF52" s="228">
        <v>1</v>
      </c>
      <c r="BG52" s="228">
        <v>3</v>
      </c>
      <c r="BH52" s="229">
        <v>1.8635999999999999</v>
      </c>
      <c r="BI52" s="228">
        <v>916</v>
      </c>
      <c r="BJ52" s="228">
        <v>875</v>
      </c>
      <c r="BK52" s="228">
        <v>41</v>
      </c>
      <c r="BL52" s="229">
        <v>4.6899999999999997E-2</v>
      </c>
      <c r="BM52" s="228">
        <v>486</v>
      </c>
      <c r="BN52" s="228">
        <v>420</v>
      </c>
      <c r="BO52" s="228">
        <v>65</v>
      </c>
      <c r="BP52" s="229">
        <v>0.1552</v>
      </c>
      <c r="BQ52" s="230">
        <v>2329</v>
      </c>
      <c r="BR52" s="230">
        <v>1521</v>
      </c>
      <c r="BS52" s="228">
        <v>808</v>
      </c>
      <c r="BT52" s="229">
        <v>0.53110000000000002</v>
      </c>
      <c r="BU52" s="230">
        <v>3167749</v>
      </c>
      <c r="BV52" s="230">
        <v>2535271</v>
      </c>
      <c r="BW52" s="230">
        <v>632478</v>
      </c>
      <c r="BX52" s="229">
        <v>0.2495</v>
      </c>
      <c r="BY52" s="230">
        <v>1213</v>
      </c>
      <c r="BZ52" s="230">
        <v>1282</v>
      </c>
      <c r="CA52" s="228">
        <v>-69</v>
      </c>
      <c r="CB52" s="229">
        <v>-5.4100000000000002E-2</v>
      </c>
      <c r="CC52" s="228">
        <v>828</v>
      </c>
      <c r="CD52" s="230">
        <v>1211</v>
      </c>
      <c r="CE52" s="228">
        <v>-383</v>
      </c>
      <c r="CF52" s="229">
        <v>-0.31609999999999999</v>
      </c>
      <c r="CG52" s="228">
        <v>378</v>
      </c>
      <c r="CH52" s="228">
        <v>64</v>
      </c>
      <c r="CI52" s="228">
        <v>313</v>
      </c>
      <c r="CJ52" s="229">
        <v>4.8575999999999997</v>
      </c>
      <c r="CK52" s="228">
        <v>7</v>
      </c>
      <c r="CL52" s="228">
        <v>7</v>
      </c>
      <c r="CM52" s="228">
        <v>0</v>
      </c>
      <c r="CN52" s="229">
        <v>3.8100000000000002E-2</v>
      </c>
      <c r="CO52" s="228">
        <v>938</v>
      </c>
      <c r="CP52" s="230">
        <v>1014</v>
      </c>
      <c r="CQ52" s="228">
        <v>-76</v>
      </c>
      <c r="CR52" s="229">
        <v>-7.4999999999999997E-2</v>
      </c>
      <c r="CS52" s="228">
        <v>555</v>
      </c>
      <c r="CT52" s="228">
        <v>561</v>
      </c>
      <c r="CU52" s="228">
        <v>-5</v>
      </c>
      <c r="CV52" s="229">
        <v>-9.7000000000000003E-3</v>
      </c>
      <c r="CW52" s="230">
        <v>2705</v>
      </c>
      <c r="CX52" s="230">
        <v>2856</v>
      </c>
      <c r="CY52" s="228">
        <v>-151</v>
      </c>
      <c r="CZ52" s="229">
        <v>-5.28E-2</v>
      </c>
      <c r="DA52" s="228">
        <v>20.89</v>
      </c>
      <c r="DB52" s="228">
        <v>23.74</v>
      </c>
      <c r="DC52" s="228">
        <v>-2.85</v>
      </c>
      <c r="DD52" s="228">
        <v>-2.85</v>
      </c>
      <c r="DE52" s="228">
        <v>25.44</v>
      </c>
      <c r="DF52" s="228">
        <v>25.43</v>
      </c>
      <c r="DG52" s="228">
        <v>-4.55</v>
      </c>
      <c r="DH52" s="228">
        <v>0.01</v>
      </c>
      <c r="DI52" s="228">
        <v>20.73</v>
      </c>
      <c r="DJ52" s="228">
        <v>24.26</v>
      </c>
      <c r="DK52" s="228">
        <v>-3.53</v>
      </c>
      <c r="DL52" s="228">
        <v>-3.53</v>
      </c>
      <c r="DM52" s="228">
        <v>21.19</v>
      </c>
      <c r="DN52" s="228">
        <v>22.68</v>
      </c>
      <c r="DO52" s="228">
        <v>-1.49</v>
      </c>
      <c r="DP52" s="228">
        <v>-1.49</v>
      </c>
      <c r="DQ52" s="228">
        <v>0.59</v>
      </c>
      <c r="DR52" s="228">
        <v>0.55000000000000004</v>
      </c>
      <c r="DS52" s="228">
        <v>0.04</v>
      </c>
      <c r="DT52" s="229">
        <v>7.2700000000000001E-2</v>
      </c>
      <c r="DU52" s="228">
        <v>550</v>
      </c>
      <c r="DV52" s="228">
        <v>500</v>
      </c>
      <c r="DW52" s="228">
        <v>0.53</v>
      </c>
      <c r="DX52" s="228">
        <v>0.48</v>
      </c>
      <c r="DY52" s="228">
        <v>0.05</v>
      </c>
      <c r="DZ52" s="229">
        <v>0.1042</v>
      </c>
      <c r="EA52" s="229">
        <v>0.31719999999999998</v>
      </c>
      <c r="EB52" s="230">
        <v>1360000</v>
      </c>
      <c r="EC52" s="229">
        <v>4.1999999999999997E-3</v>
      </c>
      <c r="ED52" s="229">
        <v>0.31719999999999998</v>
      </c>
      <c r="EE52" s="228">
        <v>2.5099999999999998</v>
      </c>
      <c r="EF52" s="229">
        <v>4.7999999999999996E-3</v>
      </c>
      <c r="EG52" s="230">
        <v>2134432</v>
      </c>
      <c r="EH52" s="230">
        <v>1698202</v>
      </c>
      <c r="EI52" s="229">
        <v>0.25690000000000002</v>
      </c>
      <c r="EJ52" s="229">
        <v>0.67379999999999995</v>
      </c>
      <c r="EK52" s="228">
        <v>938.76</v>
      </c>
      <c r="EL52" s="228">
        <v>472.45</v>
      </c>
      <c r="EM52" s="228">
        <v>926.17</v>
      </c>
      <c r="EN52" s="228">
        <v>37.090000000000003</v>
      </c>
      <c r="EO52" s="231">
        <v>2337.38</v>
      </c>
      <c r="EP52" s="231">
        <v>1533.56</v>
      </c>
      <c r="EQ52" s="228">
        <v>803.82</v>
      </c>
      <c r="ER52" s="229">
        <v>0.52410000000000001</v>
      </c>
      <c r="ES52" s="228">
        <v>963.48</v>
      </c>
      <c r="ET52" s="228">
        <v>525.04999999999995</v>
      </c>
      <c r="EU52" s="231">
        <v>1214.45</v>
      </c>
      <c r="EV52" s="231">
        <v>89873278</v>
      </c>
      <c r="EW52" s="231">
        <v>2702.98</v>
      </c>
      <c r="EX52" s="231">
        <v>2835.99</v>
      </c>
      <c r="EY52" s="228">
        <v>-133.01</v>
      </c>
      <c r="EZ52" s="229">
        <v>-4.6899999999999997E-2</v>
      </c>
      <c r="FA52" s="229">
        <v>0.57379999999999998</v>
      </c>
      <c r="FB52" s="227" t="s">
        <v>556</v>
      </c>
      <c r="FC52">
        <f t="shared" si="0"/>
        <v>385</v>
      </c>
    </row>
    <row r="53" spans="1:159" ht="17.25" thickBot="1" x14ac:dyDescent="0.3">
      <c r="A53" s="226">
        <v>45981</v>
      </c>
      <c r="B53" s="227" t="s">
        <v>157</v>
      </c>
      <c r="C53" s="227" t="s">
        <v>524</v>
      </c>
      <c r="D53" s="228">
        <v>325</v>
      </c>
      <c r="E53" s="228">
        <v>5</v>
      </c>
      <c r="F53" s="231">
        <v>2016.3</v>
      </c>
      <c r="G53" s="231">
        <v>2022.6</v>
      </c>
      <c r="H53" s="228">
        <v>-6.3</v>
      </c>
      <c r="I53" s="229">
        <v>-3.0999999999999999E-3</v>
      </c>
      <c r="J53" s="231">
        <v>2012.1</v>
      </c>
      <c r="K53" s="231">
        <v>2021.3</v>
      </c>
      <c r="L53" s="228">
        <v>-9.1999999999999993</v>
      </c>
      <c r="M53" s="229">
        <v>-4.5999999999999999E-3</v>
      </c>
      <c r="N53" s="231">
        <v>2016.3</v>
      </c>
      <c r="O53" s="231">
        <v>2022.6</v>
      </c>
      <c r="P53" s="228">
        <v>-6.3</v>
      </c>
      <c r="Q53" s="229">
        <v>-3.0999999999999999E-3</v>
      </c>
      <c r="R53" s="231">
        <v>2028.8</v>
      </c>
      <c r="S53" s="231">
        <v>2034.6</v>
      </c>
      <c r="T53" s="228">
        <v>-5.8</v>
      </c>
      <c r="U53" s="229">
        <v>-2.8999999999999998E-3</v>
      </c>
      <c r="V53" s="231">
        <v>2040</v>
      </c>
      <c r="W53" s="231">
        <v>2046.1</v>
      </c>
      <c r="X53" s="228">
        <v>-6.1</v>
      </c>
      <c r="Y53" s="229">
        <v>-3.0000000000000001E-3</v>
      </c>
      <c r="Z53" s="228">
        <v>4.2</v>
      </c>
      <c r="AA53" s="228">
        <v>1.3</v>
      </c>
      <c r="AB53" s="228">
        <v>2.9</v>
      </c>
      <c r="AC53" s="229">
        <v>2.0999999999999999E-3</v>
      </c>
      <c r="AD53" s="228">
        <v>4.2</v>
      </c>
      <c r="AE53" s="228">
        <v>1.3</v>
      </c>
      <c r="AF53" s="228">
        <v>2.9</v>
      </c>
      <c r="AG53" s="229">
        <v>2.0999999999999999E-3</v>
      </c>
      <c r="AH53" s="228">
        <v>16.7</v>
      </c>
      <c r="AI53" s="228">
        <v>13.3</v>
      </c>
      <c r="AJ53" s="228">
        <v>3.4</v>
      </c>
      <c r="AK53" s="229">
        <v>8.3000000000000001E-3</v>
      </c>
      <c r="AL53" s="228">
        <v>27.9</v>
      </c>
      <c r="AM53" s="228">
        <v>24.8</v>
      </c>
      <c r="AN53" s="228">
        <v>3.1</v>
      </c>
      <c r="AO53" s="229">
        <v>1.3899999999999999E-2</v>
      </c>
      <c r="AP53" s="231">
        <v>2012.46</v>
      </c>
      <c r="AQ53" s="231">
        <v>2024.66</v>
      </c>
      <c r="AR53" s="228">
        <v>0</v>
      </c>
      <c r="AS53" s="228">
        <v>218</v>
      </c>
      <c r="AT53" s="228">
        <v>193</v>
      </c>
      <c r="AU53" s="228">
        <v>26</v>
      </c>
      <c r="AV53" s="229">
        <v>0.13300000000000001</v>
      </c>
      <c r="AW53" s="228">
        <v>115</v>
      </c>
      <c r="AX53" s="228">
        <v>125</v>
      </c>
      <c r="AY53" s="228">
        <v>-10</v>
      </c>
      <c r="AZ53" s="229">
        <v>-7.9899999999999999E-2</v>
      </c>
      <c r="BA53" s="228">
        <v>102</v>
      </c>
      <c r="BB53" s="228">
        <v>66</v>
      </c>
      <c r="BC53" s="228">
        <v>37</v>
      </c>
      <c r="BD53" s="229">
        <v>0.55579999999999996</v>
      </c>
      <c r="BE53" s="228">
        <v>0</v>
      </c>
      <c r="BF53" s="228">
        <v>1</v>
      </c>
      <c r="BG53" s="228">
        <v>-1</v>
      </c>
      <c r="BH53" s="229">
        <v>-0.66669999999999996</v>
      </c>
      <c r="BI53" s="228">
        <v>144</v>
      </c>
      <c r="BJ53" s="228">
        <v>485</v>
      </c>
      <c r="BK53" s="228">
        <v>-341</v>
      </c>
      <c r="BL53" s="229">
        <v>-0.70269999999999999</v>
      </c>
      <c r="BM53" s="228">
        <v>53</v>
      </c>
      <c r="BN53" s="228">
        <v>223</v>
      </c>
      <c r="BO53" s="228">
        <v>-169</v>
      </c>
      <c r="BP53" s="229">
        <v>-0.76049999999999995</v>
      </c>
      <c r="BQ53" s="228">
        <v>416</v>
      </c>
      <c r="BR53" s="228">
        <v>901</v>
      </c>
      <c r="BS53" s="228">
        <v>-485</v>
      </c>
      <c r="BT53" s="229">
        <v>-0.5383</v>
      </c>
      <c r="BU53" s="230">
        <v>215585</v>
      </c>
      <c r="BV53" s="230">
        <v>209997</v>
      </c>
      <c r="BW53" s="230">
        <v>5588</v>
      </c>
      <c r="BX53" s="229">
        <v>2.6599999999999999E-2</v>
      </c>
      <c r="BY53" s="228">
        <v>560</v>
      </c>
      <c r="BZ53" s="228">
        <v>556</v>
      </c>
      <c r="CA53" s="228">
        <v>4</v>
      </c>
      <c r="CB53" s="229">
        <v>6.6E-3</v>
      </c>
      <c r="CC53" s="228">
        <v>392</v>
      </c>
      <c r="CD53" s="228">
        <v>461</v>
      </c>
      <c r="CE53" s="228">
        <v>-69</v>
      </c>
      <c r="CF53" s="229">
        <v>-0.14899999999999999</v>
      </c>
      <c r="CG53" s="228">
        <v>165</v>
      </c>
      <c r="CH53" s="228">
        <v>93</v>
      </c>
      <c r="CI53" s="228">
        <v>72</v>
      </c>
      <c r="CJ53" s="229">
        <v>0.77390000000000003</v>
      </c>
      <c r="CK53" s="228">
        <v>3</v>
      </c>
      <c r="CL53" s="228">
        <v>2</v>
      </c>
      <c r="CM53" s="228">
        <v>0</v>
      </c>
      <c r="CN53" s="229">
        <v>0.1111</v>
      </c>
      <c r="CO53" s="228">
        <v>260</v>
      </c>
      <c r="CP53" s="228">
        <v>286</v>
      </c>
      <c r="CQ53" s="228">
        <v>-26</v>
      </c>
      <c r="CR53" s="229">
        <v>-9.1700000000000004E-2</v>
      </c>
      <c r="CS53" s="228">
        <v>173</v>
      </c>
      <c r="CT53" s="228">
        <v>185</v>
      </c>
      <c r="CU53" s="228">
        <v>-12</v>
      </c>
      <c r="CV53" s="229">
        <v>-6.6199999999999995E-2</v>
      </c>
      <c r="CW53" s="228">
        <v>992</v>
      </c>
      <c r="CX53" s="230">
        <v>1027</v>
      </c>
      <c r="CY53" s="228">
        <v>-35</v>
      </c>
      <c r="CZ53" s="229">
        <v>-3.39E-2</v>
      </c>
      <c r="DA53" s="228">
        <v>22.07</v>
      </c>
      <c r="DB53" s="228">
        <v>27.45</v>
      </c>
      <c r="DC53" s="228">
        <v>-5.38</v>
      </c>
      <c r="DD53" s="228">
        <v>-5.38</v>
      </c>
      <c r="DE53" s="228">
        <v>29.33</v>
      </c>
      <c r="DF53" s="228">
        <v>29.4</v>
      </c>
      <c r="DG53" s="228">
        <v>-7.26</v>
      </c>
      <c r="DH53" s="228">
        <v>-7.0000000000000007E-2</v>
      </c>
      <c r="DI53" s="228">
        <v>22.25</v>
      </c>
      <c r="DJ53" s="228">
        <v>25.63</v>
      </c>
      <c r="DK53" s="228">
        <v>-3.38</v>
      </c>
      <c r="DL53" s="228">
        <v>-3.38</v>
      </c>
      <c r="DM53" s="228">
        <v>21.8</v>
      </c>
      <c r="DN53" s="228">
        <v>31.42</v>
      </c>
      <c r="DO53" s="228">
        <v>-9.6199999999999992</v>
      </c>
      <c r="DP53" s="228">
        <v>-9.6199999999999992</v>
      </c>
      <c r="DQ53" s="228">
        <v>0.67</v>
      </c>
      <c r="DR53" s="228">
        <v>0.65</v>
      </c>
      <c r="DS53" s="228">
        <v>0.02</v>
      </c>
      <c r="DT53" s="229">
        <v>3.0800000000000001E-2</v>
      </c>
      <c r="DU53" s="231">
        <v>2300</v>
      </c>
      <c r="DV53" s="231">
        <v>2000</v>
      </c>
      <c r="DW53" s="228">
        <v>0.37</v>
      </c>
      <c r="DX53" s="228">
        <v>0.46</v>
      </c>
      <c r="DY53" s="228">
        <v>-0.09</v>
      </c>
      <c r="DZ53" s="229">
        <v>-0.19570000000000001</v>
      </c>
      <c r="EA53" s="229">
        <v>0.29959999999999998</v>
      </c>
      <c r="EB53" s="230">
        <v>473200</v>
      </c>
      <c r="EC53" s="229">
        <v>6.1999999999999998E-3</v>
      </c>
      <c r="ED53" s="229">
        <v>0.29959999999999998</v>
      </c>
      <c r="EE53" s="228">
        <v>12.2</v>
      </c>
      <c r="EF53" s="229">
        <v>6.1000000000000004E-3</v>
      </c>
      <c r="EG53" s="230">
        <v>164187</v>
      </c>
      <c r="EH53" s="230">
        <v>117499</v>
      </c>
      <c r="EI53" s="229">
        <v>0.39729999999999999</v>
      </c>
      <c r="EJ53" s="229">
        <v>0.76160000000000005</v>
      </c>
      <c r="EK53" s="228">
        <v>151.13999999999999</v>
      </c>
      <c r="EL53" s="228">
        <v>52.72</v>
      </c>
      <c r="EM53" s="228">
        <v>218.42</v>
      </c>
      <c r="EN53" s="228">
        <v>16.48</v>
      </c>
      <c r="EO53" s="228">
        <v>422.28</v>
      </c>
      <c r="EP53" s="228">
        <v>910.83</v>
      </c>
      <c r="EQ53" s="228">
        <v>-488.55</v>
      </c>
      <c r="ER53" s="229">
        <v>-0.53639999999999999</v>
      </c>
      <c r="ES53" s="228">
        <v>278.19</v>
      </c>
      <c r="ET53" s="228">
        <v>170.16</v>
      </c>
      <c r="EU53" s="228">
        <v>560.67999999999995</v>
      </c>
      <c r="EV53" s="231">
        <v>12425041</v>
      </c>
      <c r="EW53" s="231">
        <v>1009.02</v>
      </c>
      <c r="EX53" s="231">
        <v>1047.19</v>
      </c>
      <c r="EY53" s="228">
        <v>-38.17</v>
      </c>
      <c r="EZ53" s="229">
        <v>-3.6400000000000002E-2</v>
      </c>
      <c r="FA53" s="229">
        <v>0.39600000000000002</v>
      </c>
      <c r="FB53" s="227" t="s">
        <v>567</v>
      </c>
      <c r="FC53">
        <f t="shared" si="0"/>
        <v>168</v>
      </c>
    </row>
    <row r="54" spans="1:159" ht="17.25" thickBot="1" x14ac:dyDescent="0.3">
      <c r="A54" s="226">
        <v>45981</v>
      </c>
      <c r="B54" s="227" t="s">
        <v>615</v>
      </c>
      <c r="C54" s="227" t="s">
        <v>600</v>
      </c>
      <c r="D54" s="228">
        <v>2075</v>
      </c>
      <c r="E54" s="228">
        <v>5</v>
      </c>
      <c r="F54" s="228">
        <v>426.7</v>
      </c>
      <c r="G54" s="228">
        <v>435.85</v>
      </c>
      <c r="H54" s="228">
        <v>-9.15</v>
      </c>
      <c r="I54" s="229">
        <v>-2.1000000000000001E-2</v>
      </c>
      <c r="J54" s="228">
        <v>426</v>
      </c>
      <c r="K54" s="228">
        <v>436</v>
      </c>
      <c r="L54" s="228">
        <v>-10</v>
      </c>
      <c r="M54" s="229">
        <v>-2.29E-2</v>
      </c>
      <c r="N54" s="228">
        <v>426.7</v>
      </c>
      <c r="O54" s="228">
        <v>435.85</v>
      </c>
      <c r="P54" s="228">
        <v>-9.15</v>
      </c>
      <c r="Q54" s="229">
        <v>-2.1000000000000001E-2</v>
      </c>
      <c r="R54" s="228">
        <v>429.35</v>
      </c>
      <c r="S54" s="228">
        <v>438.45</v>
      </c>
      <c r="T54" s="228">
        <v>-9.1</v>
      </c>
      <c r="U54" s="229">
        <v>-2.0799999999999999E-2</v>
      </c>
      <c r="V54" s="228">
        <v>432.1</v>
      </c>
      <c r="W54" s="228">
        <v>441.7</v>
      </c>
      <c r="X54" s="228">
        <v>-9.6</v>
      </c>
      <c r="Y54" s="229">
        <v>-2.1700000000000001E-2</v>
      </c>
      <c r="Z54" s="228">
        <v>0.7</v>
      </c>
      <c r="AA54" s="228">
        <v>-0.15</v>
      </c>
      <c r="AB54" s="228">
        <v>0.85</v>
      </c>
      <c r="AC54" s="229">
        <v>1.6000000000000001E-3</v>
      </c>
      <c r="AD54" s="228">
        <v>0.7</v>
      </c>
      <c r="AE54" s="228">
        <v>-0.15</v>
      </c>
      <c r="AF54" s="228">
        <v>0.85</v>
      </c>
      <c r="AG54" s="229">
        <v>1.6000000000000001E-3</v>
      </c>
      <c r="AH54" s="228">
        <v>3.35</v>
      </c>
      <c r="AI54" s="228">
        <v>2.4500000000000002</v>
      </c>
      <c r="AJ54" s="228">
        <v>0.9</v>
      </c>
      <c r="AK54" s="229">
        <v>7.9000000000000008E-3</v>
      </c>
      <c r="AL54" s="228">
        <v>6.1</v>
      </c>
      <c r="AM54" s="228">
        <v>5.7</v>
      </c>
      <c r="AN54" s="228">
        <v>0.4</v>
      </c>
      <c r="AO54" s="229">
        <v>1.43E-2</v>
      </c>
      <c r="AP54" s="228">
        <v>430.31</v>
      </c>
      <c r="AQ54" s="228">
        <v>433.04</v>
      </c>
      <c r="AR54" s="228">
        <v>0</v>
      </c>
      <c r="AS54" s="228">
        <v>447</v>
      </c>
      <c r="AT54" s="228">
        <v>215</v>
      </c>
      <c r="AU54" s="228">
        <v>232</v>
      </c>
      <c r="AV54" s="229">
        <v>1.0782</v>
      </c>
      <c r="AW54" s="228">
        <v>241</v>
      </c>
      <c r="AX54" s="228">
        <v>173</v>
      </c>
      <c r="AY54" s="228">
        <v>68</v>
      </c>
      <c r="AZ54" s="229">
        <v>0.39119999999999999</v>
      </c>
      <c r="BA54" s="228">
        <v>204</v>
      </c>
      <c r="BB54" s="228">
        <v>42</v>
      </c>
      <c r="BC54" s="228">
        <v>162</v>
      </c>
      <c r="BD54" s="229">
        <v>3.8424</v>
      </c>
      <c r="BE54" s="228">
        <v>3</v>
      </c>
      <c r="BF54" s="228">
        <v>0</v>
      </c>
      <c r="BG54" s="228">
        <v>2</v>
      </c>
      <c r="BH54" s="229">
        <v>14</v>
      </c>
      <c r="BI54" s="230">
        <v>1277</v>
      </c>
      <c r="BJ54" s="230">
        <v>1437</v>
      </c>
      <c r="BK54" s="228">
        <v>-160</v>
      </c>
      <c r="BL54" s="229">
        <v>-0.1111</v>
      </c>
      <c r="BM54" s="228">
        <v>473</v>
      </c>
      <c r="BN54" s="228">
        <v>590</v>
      </c>
      <c r="BO54" s="228">
        <v>-118</v>
      </c>
      <c r="BP54" s="229">
        <v>-0.19950000000000001</v>
      </c>
      <c r="BQ54" s="230">
        <v>2197</v>
      </c>
      <c r="BR54" s="230">
        <v>2242</v>
      </c>
      <c r="BS54" s="228">
        <v>-45</v>
      </c>
      <c r="BT54" s="229">
        <v>-2.0199999999999999E-2</v>
      </c>
      <c r="BU54" s="230">
        <v>1335899</v>
      </c>
      <c r="BV54" s="230">
        <v>1864336</v>
      </c>
      <c r="BW54" s="230">
        <v>-528437</v>
      </c>
      <c r="BX54" s="229">
        <v>-0.28339999999999999</v>
      </c>
      <c r="BY54" s="228">
        <v>852</v>
      </c>
      <c r="BZ54" s="228">
        <v>861</v>
      </c>
      <c r="CA54" s="228">
        <v>-9</v>
      </c>
      <c r="CB54" s="229">
        <v>-1.0999999999999999E-2</v>
      </c>
      <c r="CC54" s="228">
        <v>664</v>
      </c>
      <c r="CD54" s="228">
        <v>792</v>
      </c>
      <c r="CE54" s="228">
        <v>-128</v>
      </c>
      <c r="CF54" s="229">
        <v>-0.16189999999999999</v>
      </c>
      <c r="CG54" s="228">
        <v>180</v>
      </c>
      <c r="CH54" s="228">
        <v>63</v>
      </c>
      <c r="CI54" s="228">
        <v>117</v>
      </c>
      <c r="CJ54" s="229">
        <v>1.8675999999999999</v>
      </c>
      <c r="CK54" s="228">
        <v>7</v>
      </c>
      <c r="CL54" s="228">
        <v>6</v>
      </c>
      <c r="CM54" s="228">
        <v>1</v>
      </c>
      <c r="CN54" s="229">
        <v>0.23880000000000001</v>
      </c>
      <c r="CO54" s="228">
        <v>980</v>
      </c>
      <c r="CP54" s="230">
        <v>1139</v>
      </c>
      <c r="CQ54" s="228">
        <v>-158</v>
      </c>
      <c r="CR54" s="229">
        <v>-0.13900000000000001</v>
      </c>
      <c r="CS54" s="228">
        <v>466</v>
      </c>
      <c r="CT54" s="228">
        <v>500</v>
      </c>
      <c r="CU54" s="228">
        <v>-34</v>
      </c>
      <c r="CV54" s="229">
        <v>-6.7299999999999999E-2</v>
      </c>
      <c r="CW54" s="230">
        <v>2299</v>
      </c>
      <c r="CX54" s="230">
        <v>2500</v>
      </c>
      <c r="CY54" s="228">
        <v>-201</v>
      </c>
      <c r="CZ54" s="229">
        <v>-8.0600000000000005E-2</v>
      </c>
      <c r="DA54" s="228">
        <v>28.8</v>
      </c>
      <c r="DB54" s="228">
        <v>35.03</v>
      </c>
      <c r="DC54" s="228">
        <v>-6.23</v>
      </c>
      <c r="DD54" s="228">
        <v>-6.23</v>
      </c>
      <c r="DE54" s="228">
        <v>41.5</v>
      </c>
      <c r="DF54" s="228">
        <v>41.51</v>
      </c>
      <c r="DG54" s="228">
        <v>-12.7</v>
      </c>
      <c r="DH54" s="228">
        <v>-0.01</v>
      </c>
      <c r="DI54" s="228">
        <v>28.96</v>
      </c>
      <c r="DJ54" s="228">
        <v>35.659999999999997</v>
      </c>
      <c r="DK54" s="228">
        <v>-6.7</v>
      </c>
      <c r="DL54" s="228">
        <v>-6.7</v>
      </c>
      <c r="DM54" s="228">
        <v>28.54</v>
      </c>
      <c r="DN54" s="228">
        <v>33.49</v>
      </c>
      <c r="DO54" s="228">
        <v>-4.95</v>
      </c>
      <c r="DP54" s="228">
        <v>-4.95</v>
      </c>
      <c r="DQ54" s="228">
        <v>0.48</v>
      </c>
      <c r="DR54" s="228">
        <v>0.44</v>
      </c>
      <c r="DS54" s="228">
        <v>0.04</v>
      </c>
      <c r="DT54" s="229">
        <v>9.0899999999999995E-2</v>
      </c>
      <c r="DU54" s="228">
        <v>440</v>
      </c>
      <c r="DV54" s="228">
        <v>430</v>
      </c>
      <c r="DW54" s="228">
        <v>0.37</v>
      </c>
      <c r="DX54" s="228">
        <v>0.41</v>
      </c>
      <c r="DY54" s="228">
        <v>-0.04</v>
      </c>
      <c r="DZ54" s="229">
        <v>-9.7600000000000006E-2</v>
      </c>
      <c r="EA54" s="229">
        <v>0.2203</v>
      </c>
      <c r="EB54" s="230">
        <v>1612275</v>
      </c>
      <c r="EC54" s="229">
        <v>6.1999999999999998E-3</v>
      </c>
      <c r="ED54" s="229">
        <v>0.2203</v>
      </c>
      <c r="EE54" s="228">
        <v>2.73</v>
      </c>
      <c r="EF54" s="229">
        <v>6.3E-3</v>
      </c>
      <c r="EG54" s="230">
        <v>718712</v>
      </c>
      <c r="EH54" s="230">
        <v>964394</v>
      </c>
      <c r="EI54" s="229">
        <v>-0.25480000000000003</v>
      </c>
      <c r="EJ54" s="229">
        <v>0.53800000000000003</v>
      </c>
      <c r="EK54" s="231">
        <v>1363.28</v>
      </c>
      <c r="EL54" s="228">
        <v>475.46</v>
      </c>
      <c r="EM54" s="228">
        <v>452.42</v>
      </c>
      <c r="EN54" s="228">
        <v>26.39</v>
      </c>
      <c r="EO54" s="231">
        <v>2291.16</v>
      </c>
      <c r="EP54" s="231">
        <v>2376.87</v>
      </c>
      <c r="EQ54" s="228">
        <v>-85.7</v>
      </c>
      <c r="ER54" s="229">
        <v>-3.61E-2</v>
      </c>
      <c r="ES54" s="231">
        <v>1081.01</v>
      </c>
      <c r="ET54" s="228">
        <v>473.06</v>
      </c>
      <c r="EU54" s="228">
        <v>852.97</v>
      </c>
      <c r="EV54" s="231">
        <v>94196226</v>
      </c>
      <c r="EW54" s="231">
        <v>2407.04</v>
      </c>
      <c r="EX54" s="231">
        <v>2642.9</v>
      </c>
      <c r="EY54" s="228">
        <v>-235.86</v>
      </c>
      <c r="EZ54" s="229">
        <v>-8.9200000000000002E-2</v>
      </c>
      <c r="FA54" s="229">
        <v>0.57189999999999996</v>
      </c>
      <c r="FB54" s="227" t="s">
        <v>568</v>
      </c>
      <c r="FC54">
        <f t="shared" si="0"/>
        <v>188</v>
      </c>
    </row>
    <row r="55" spans="1:159" ht="17.25" thickBot="1" x14ac:dyDescent="0.3">
      <c r="A55" s="226">
        <v>45981</v>
      </c>
      <c r="B55" s="227" t="s">
        <v>170</v>
      </c>
      <c r="C55" s="227" t="s">
        <v>205</v>
      </c>
      <c r="D55" s="228">
        <v>100</v>
      </c>
      <c r="E55" s="228">
        <v>5</v>
      </c>
      <c r="F55" s="231">
        <v>6458.5</v>
      </c>
      <c r="G55" s="231">
        <v>6462</v>
      </c>
      <c r="H55" s="228">
        <v>-3.5</v>
      </c>
      <c r="I55" s="229">
        <v>-5.0000000000000001E-4</v>
      </c>
      <c r="J55" s="231">
        <v>6462.5</v>
      </c>
      <c r="K55" s="231">
        <v>6454</v>
      </c>
      <c r="L55" s="228">
        <v>8.5</v>
      </c>
      <c r="M55" s="229">
        <v>1.2999999999999999E-3</v>
      </c>
      <c r="N55" s="231">
        <v>6458.5</v>
      </c>
      <c r="O55" s="231">
        <v>6462</v>
      </c>
      <c r="P55" s="228">
        <v>-3.5</v>
      </c>
      <c r="Q55" s="229">
        <v>-5.0000000000000001E-4</v>
      </c>
      <c r="R55" s="231">
        <v>6500.5</v>
      </c>
      <c r="S55" s="231">
        <v>6503</v>
      </c>
      <c r="T55" s="228">
        <v>-2.5</v>
      </c>
      <c r="U55" s="229">
        <v>-4.0000000000000002E-4</v>
      </c>
      <c r="V55" s="231">
        <v>6538</v>
      </c>
      <c r="W55" s="231">
        <v>6546.5</v>
      </c>
      <c r="X55" s="228">
        <v>-8.5</v>
      </c>
      <c r="Y55" s="229">
        <v>-1.2999999999999999E-3</v>
      </c>
      <c r="Z55" s="228">
        <v>-4</v>
      </c>
      <c r="AA55" s="228">
        <v>8</v>
      </c>
      <c r="AB55" s="228">
        <v>-12</v>
      </c>
      <c r="AC55" s="229">
        <v>-5.9999999999999995E-4</v>
      </c>
      <c r="AD55" s="228">
        <v>-4</v>
      </c>
      <c r="AE55" s="228">
        <v>8</v>
      </c>
      <c r="AF55" s="228">
        <v>-12</v>
      </c>
      <c r="AG55" s="229">
        <v>-5.9999999999999995E-4</v>
      </c>
      <c r="AH55" s="228">
        <v>38</v>
      </c>
      <c r="AI55" s="228">
        <v>49</v>
      </c>
      <c r="AJ55" s="228">
        <v>-11</v>
      </c>
      <c r="AK55" s="229">
        <v>5.8999999999999999E-3</v>
      </c>
      <c r="AL55" s="228">
        <v>75.5</v>
      </c>
      <c r="AM55" s="228">
        <v>92.5</v>
      </c>
      <c r="AN55" s="228">
        <v>-17</v>
      </c>
      <c r="AO55" s="229">
        <v>1.17E-2</v>
      </c>
      <c r="AP55" s="231">
        <v>6465.06</v>
      </c>
      <c r="AQ55" s="231">
        <v>6506.59</v>
      </c>
      <c r="AR55" s="228">
        <v>0</v>
      </c>
      <c r="AS55" s="228">
        <v>763</v>
      </c>
      <c r="AT55" s="228">
        <v>319</v>
      </c>
      <c r="AU55" s="228">
        <v>444</v>
      </c>
      <c r="AV55" s="229">
        <v>1.3897999999999999</v>
      </c>
      <c r="AW55" s="228">
        <v>415</v>
      </c>
      <c r="AX55" s="228">
        <v>195</v>
      </c>
      <c r="AY55" s="228">
        <v>220</v>
      </c>
      <c r="AZ55" s="229">
        <v>1.1235999999999999</v>
      </c>
      <c r="BA55" s="228">
        <v>347</v>
      </c>
      <c r="BB55" s="228">
        <v>122</v>
      </c>
      <c r="BC55" s="228">
        <v>226</v>
      </c>
      <c r="BD55" s="229">
        <v>1.8545</v>
      </c>
      <c r="BE55" s="228">
        <v>1</v>
      </c>
      <c r="BF55" s="228">
        <v>2</v>
      </c>
      <c r="BG55" s="228">
        <v>-1</v>
      </c>
      <c r="BH55" s="229">
        <v>-0.48649999999999999</v>
      </c>
      <c r="BI55" s="230">
        <v>1109</v>
      </c>
      <c r="BJ55" s="230">
        <v>1310</v>
      </c>
      <c r="BK55" s="228">
        <v>-201</v>
      </c>
      <c r="BL55" s="229">
        <v>-0.15329999999999999</v>
      </c>
      <c r="BM55" s="228">
        <v>426</v>
      </c>
      <c r="BN55" s="228">
        <v>592</v>
      </c>
      <c r="BO55" s="228">
        <v>-166</v>
      </c>
      <c r="BP55" s="229">
        <v>-0.28100000000000003</v>
      </c>
      <c r="BQ55" s="230">
        <v>2299</v>
      </c>
      <c r="BR55" s="230">
        <v>2222</v>
      </c>
      <c r="BS55" s="228">
        <v>77</v>
      </c>
      <c r="BT55" s="229">
        <v>3.4500000000000003E-2</v>
      </c>
      <c r="BU55" s="230">
        <v>117055</v>
      </c>
      <c r="BV55" s="230">
        <v>132179</v>
      </c>
      <c r="BW55" s="230">
        <v>-15124</v>
      </c>
      <c r="BX55" s="229">
        <v>-0.1144</v>
      </c>
      <c r="BY55" s="230">
        <v>2190</v>
      </c>
      <c r="BZ55" s="230">
        <v>2200</v>
      </c>
      <c r="CA55" s="228">
        <v>-10</v>
      </c>
      <c r="CB55" s="229">
        <v>-4.4000000000000003E-3</v>
      </c>
      <c r="CC55" s="230">
        <v>1668</v>
      </c>
      <c r="CD55" s="230">
        <v>1987</v>
      </c>
      <c r="CE55" s="228">
        <v>-319</v>
      </c>
      <c r="CF55" s="229">
        <v>-0.16039999999999999</v>
      </c>
      <c r="CG55" s="228">
        <v>508</v>
      </c>
      <c r="CH55" s="228">
        <v>200</v>
      </c>
      <c r="CI55" s="228">
        <v>308</v>
      </c>
      <c r="CJ55" s="229">
        <v>1.5411999999999999</v>
      </c>
      <c r="CK55" s="228">
        <v>13</v>
      </c>
      <c r="CL55" s="228">
        <v>13</v>
      </c>
      <c r="CM55" s="228">
        <v>1</v>
      </c>
      <c r="CN55" s="229">
        <v>5.6099999999999997E-2</v>
      </c>
      <c r="CO55" s="230">
        <v>1378</v>
      </c>
      <c r="CP55" s="230">
        <v>1519</v>
      </c>
      <c r="CQ55" s="228">
        <v>-141</v>
      </c>
      <c r="CR55" s="229">
        <v>-9.2700000000000005E-2</v>
      </c>
      <c r="CS55" s="228">
        <v>968</v>
      </c>
      <c r="CT55" s="230">
        <v>1024</v>
      </c>
      <c r="CU55" s="228">
        <v>-56</v>
      </c>
      <c r="CV55" s="229">
        <v>-5.4600000000000003E-2</v>
      </c>
      <c r="CW55" s="230">
        <v>4536</v>
      </c>
      <c r="CX55" s="230">
        <v>4742</v>
      </c>
      <c r="CY55" s="228">
        <v>-207</v>
      </c>
      <c r="CZ55" s="229">
        <v>-4.36E-2</v>
      </c>
      <c r="DA55" s="228">
        <v>22.69</v>
      </c>
      <c r="DB55" s="228">
        <v>25.72</v>
      </c>
      <c r="DC55" s="228">
        <v>-3.03</v>
      </c>
      <c r="DD55" s="228">
        <v>-3.03</v>
      </c>
      <c r="DE55" s="228">
        <v>31.32</v>
      </c>
      <c r="DF55" s="228">
        <v>31.4</v>
      </c>
      <c r="DG55" s="228">
        <v>-8.6300000000000008</v>
      </c>
      <c r="DH55" s="228">
        <v>-0.08</v>
      </c>
      <c r="DI55" s="228">
        <v>22.81</v>
      </c>
      <c r="DJ55" s="228">
        <v>26.25</v>
      </c>
      <c r="DK55" s="228">
        <v>-3.44</v>
      </c>
      <c r="DL55" s="228">
        <v>-3.44</v>
      </c>
      <c r="DM55" s="228">
        <v>22.45</v>
      </c>
      <c r="DN55" s="228">
        <v>24.55</v>
      </c>
      <c r="DO55" s="228">
        <v>-2.1</v>
      </c>
      <c r="DP55" s="228">
        <v>-2.1</v>
      </c>
      <c r="DQ55" s="228">
        <v>0.7</v>
      </c>
      <c r="DR55" s="228">
        <v>0.67</v>
      </c>
      <c r="DS55" s="228">
        <v>0.03</v>
      </c>
      <c r="DT55" s="229">
        <v>4.48E-2</v>
      </c>
      <c r="DU55" s="231">
        <v>7000</v>
      </c>
      <c r="DV55" s="231">
        <v>6200</v>
      </c>
      <c r="DW55" s="228">
        <v>0.38</v>
      </c>
      <c r="DX55" s="228">
        <v>0.45</v>
      </c>
      <c r="DY55" s="228">
        <v>-7.0000000000000007E-2</v>
      </c>
      <c r="DZ55" s="229">
        <v>-0.15559999999999999</v>
      </c>
      <c r="EA55" s="229">
        <v>0.2382</v>
      </c>
      <c r="EB55" s="230">
        <v>329300</v>
      </c>
      <c r="EC55" s="229">
        <v>6.4999999999999997E-3</v>
      </c>
      <c r="ED55" s="229">
        <v>0.2382</v>
      </c>
      <c r="EE55" s="228">
        <v>41.53</v>
      </c>
      <c r="EF55" s="229">
        <v>6.4000000000000003E-3</v>
      </c>
      <c r="EG55" s="230">
        <v>50227</v>
      </c>
      <c r="EH55" s="230">
        <v>53773</v>
      </c>
      <c r="EI55" s="229">
        <v>-6.59E-2</v>
      </c>
      <c r="EJ55" s="229">
        <v>0.42909999999999998</v>
      </c>
      <c r="EK55" s="231">
        <v>1155.83</v>
      </c>
      <c r="EL55" s="228">
        <v>422.95</v>
      </c>
      <c r="EM55" s="228">
        <v>766.42</v>
      </c>
      <c r="EN55" s="228">
        <v>46.09</v>
      </c>
      <c r="EO55" s="231">
        <v>2345.1999999999998</v>
      </c>
      <c r="EP55" s="231">
        <v>2268.63</v>
      </c>
      <c r="EQ55" s="228">
        <v>76.56</v>
      </c>
      <c r="ER55" s="229">
        <v>3.3700000000000001E-2</v>
      </c>
      <c r="ES55" s="231">
        <v>1464.12</v>
      </c>
      <c r="ET55" s="228">
        <v>953.2</v>
      </c>
      <c r="EU55" s="231">
        <v>2193.29</v>
      </c>
      <c r="EV55" s="231">
        <v>16353614</v>
      </c>
      <c r="EW55" s="231">
        <v>4610.6000000000004</v>
      </c>
      <c r="EX55" s="231">
        <v>4824.88</v>
      </c>
      <c r="EY55" s="228">
        <v>-214.28</v>
      </c>
      <c r="EZ55" s="229">
        <v>-4.4400000000000002E-2</v>
      </c>
      <c r="FA55" s="229">
        <v>0.4294</v>
      </c>
      <c r="FB55" s="227" t="s">
        <v>568</v>
      </c>
      <c r="FC55">
        <f t="shared" si="0"/>
        <v>522</v>
      </c>
    </row>
    <row r="56" spans="1:159" ht="17.25" thickBot="1" x14ac:dyDescent="0.3">
      <c r="A56" s="226">
        <v>45981</v>
      </c>
      <c r="B56" s="227" t="s">
        <v>184</v>
      </c>
      <c r="C56" s="227" t="s">
        <v>512</v>
      </c>
      <c r="D56" s="228">
        <v>50</v>
      </c>
      <c r="E56" s="228">
        <v>5</v>
      </c>
      <c r="F56" s="231">
        <v>15307</v>
      </c>
      <c r="G56" s="231">
        <v>15495</v>
      </c>
      <c r="H56" s="228">
        <v>-188</v>
      </c>
      <c r="I56" s="229">
        <v>-1.21E-2</v>
      </c>
      <c r="J56" s="231">
        <v>15313</v>
      </c>
      <c r="K56" s="231">
        <v>15540</v>
      </c>
      <c r="L56" s="228">
        <v>-227</v>
      </c>
      <c r="M56" s="229">
        <v>-1.46E-2</v>
      </c>
      <c r="N56" s="231">
        <v>15307</v>
      </c>
      <c r="O56" s="231">
        <v>15495</v>
      </c>
      <c r="P56" s="228">
        <v>-188</v>
      </c>
      <c r="Q56" s="229">
        <v>-1.21E-2</v>
      </c>
      <c r="R56" s="231">
        <v>15414</v>
      </c>
      <c r="S56" s="231">
        <v>15600</v>
      </c>
      <c r="T56" s="228">
        <v>-186</v>
      </c>
      <c r="U56" s="229">
        <v>-1.1900000000000001E-2</v>
      </c>
      <c r="V56" s="231">
        <v>15506</v>
      </c>
      <c r="W56" s="231">
        <v>15731</v>
      </c>
      <c r="X56" s="228">
        <v>-225</v>
      </c>
      <c r="Y56" s="229">
        <v>-1.43E-2</v>
      </c>
      <c r="Z56" s="228">
        <v>-6</v>
      </c>
      <c r="AA56" s="228">
        <v>-45</v>
      </c>
      <c r="AB56" s="228">
        <v>39</v>
      </c>
      <c r="AC56" s="229">
        <v>-4.0000000000000002E-4</v>
      </c>
      <c r="AD56" s="228">
        <v>-6</v>
      </c>
      <c r="AE56" s="228">
        <v>-45</v>
      </c>
      <c r="AF56" s="228">
        <v>39</v>
      </c>
      <c r="AG56" s="229">
        <v>-4.0000000000000002E-4</v>
      </c>
      <c r="AH56" s="228">
        <v>101</v>
      </c>
      <c r="AI56" s="228">
        <v>60</v>
      </c>
      <c r="AJ56" s="228">
        <v>41</v>
      </c>
      <c r="AK56" s="229">
        <v>6.6E-3</v>
      </c>
      <c r="AL56" s="228">
        <v>193</v>
      </c>
      <c r="AM56" s="228">
        <v>191</v>
      </c>
      <c r="AN56" s="228">
        <v>2</v>
      </c>
      <c r="AO56" s="229">
        <v>1.26E-2</v>
      </c>
      <c r="AP56" s="231">
        <v>15396.42</v>
      </c>
      <c r="AQ56" s="231">
        <v>15506.92</v>
      </c>
      <c r="AR56" s="228">
        <v>0</v>
      </c>
      <c r="AS56" s="230">
        <v>1370</v>
      </c>
      <c r="AT56" s="228">
        <v>694</v>
      </c>
      <c r="AU56" s="228">
        <v>676</v>
      </c>
      <c r="AV56" s="229">
        <v>0.97399999999999998</v>
      </c>
      <c r="AW56" s="228">
        <v>795</v>
      </c>
      <c r="AX56" s="228">
        <v>481</v>
      </c>
      <c r="AY56" s="228">
        <v>313</v>
      </c>
      <c r="AZ56" s="229">
        <v>0.65090000000000003</v>
      </c>
      <c r="BA56" s="228">
        <v>564</v>
      </c>
      <c r="BB56" s="228">
        <v>205</v>
      </c>
      <c r="BC56" s="228">
        <v>359</v>
      </c>
      <c r="BD56" s="229">
        <v>1.7468999999999999</v>
      </c>
      <c r="BE56" s="228">
        <v>11</v>
      </c>
      <c r="BF56" s="228">
        <v>7</v>
      </c>
      <c r="BG56" s="228">
        <v>4</v>
      </c>
      <c r="BH56" s="229">
        <v>0.5464</v>
      </c>
      <c r="BI56" s="230">
        <v>5871</v>
      </c>
      <c r="BJ56" s="230">
        <v>4315</v>
      </c>
      <c r="BK56" s="230">
        <v>1556</v>
      </c>
      <c r="BL56" s="229">
        <v>0.36049999999999999</v>
      </c>
      <c r="BM56" s="230">
        <v>2675</v>
      </c>
      <c r="BN56" s="230">
        <v>1989</v>
      </c>
      <c r="BO56" s="228">
        <v>686</v>
      </c>
      <c r="BP56" s="229">
        <v>0.34460000000000002</v>
      </c>
      <c r="BQ56" s="230">
        <v>9916</v>
      </c>
      <c r="BR56" s="230">
        <v>6999</v>
      </c>
      <c r="BS56" s="230">
        <v>2917</v>
      </c>
      <c r="BT56" s="229">
        <v>0.41689999999999999</v>
      </c>
      <c r="BU56" s="230">
        <v>214677</v>
      </c>
      <c r="BV56" s="230">
        <v>186407</v>
      </c>
      <c r="BW56" s="230">
        <v>28270</v>
      </c>
      <c r="BX56" s="229">
        <v>0.1517</v>
      </c>
      <c r="BY56" s="230">
        <v>3269</v>
      </c>
      <c r="BZ56" s="230">
        <v>3366</v>
      </c>
      <c r="CA56" s="228">
        <v>-97</v>
      </c>
      <c r="CB56" s="229">
        <v>-2.8799999999999999E-2</v>
      </c>
      <c r="CC56" s="230">
        <v>2369</v>
      </c>
      <c r="CD56" s="230">
        <v>2852</v>
      </c>
      <c r="CE56" s="228">
        <v>-483</v>
      </c>
      <c r="CF56" s="229">
        <v>-0.16919999999999999</v>
      </c>
      <c r="CG56" s="228">
        <v>860</v>
      </c>
      <c r="CH56" s="228">
        <v>481</v>
      </c>
      <c r="CI56" s="228">
        <v>379</v>
      </c>
      <c r="CJ56" s="229">
        <v>0.78910000000000002</v>
      </c>
      <c r="CK56" s="228">
        <v>40</v>
      </c>
      <c r="CL56" s="228">
        <v>34</v>
      </c>
      <c r="CM56" s="228">
        <v>6</v>
      </c>
      <c r="CN56" s="229">
        <v>0.18509999999999999</v>
      </c>
      <c r="CO56" s="230">
        <v>2836</v>
      </c>
      <c r="CP56" s="230">
        <v>3053</v>
      </c>
      <c r="CQ56" s="228">
        <v>-217</v>
      </c>
      <c r="CR56" s="229">
        <v>-7.0999999999999994E-2</v>
      </c>
      <c r="CS56" s="230">
        <v>1423</v>
      </c>
      <c r="CT56" s="230">
        <v>1430</v>
      </c>
      <c r="CU56" s="228">
        <v>-7</v>
      </c>
      <c r="CV56" s="229">
        <v>-4.8999999999999998E-3</v>
      </c>
      <c r="CW56" s="230">
        <v>7528</v>
      </c>
      <c r="CX56" s="230">
        <v>7849</v>
      </c>
      <c r="CY56" s="228">
        <v>-321</v>
      </c>
      <c r="CZ56" s="229">
        <v>-4.0899999999999999E-2</v>
      </c>
      <c r="DA56" s="228">
        <v>28.95</v>
      </c>
      <c r="DB56" s="228">
        <v>35.25</v>
      </c>
      <c r="DC56" s="228">
        <v>-6.3</v>
      </c>
      <c r="DD56" s="228">
        <v>-6.3</v>
      </c>
      <c r="DE56" s="228">
        <v>43.47</v>
      </c>
      <c r="DF56" s="228">
        <v>43.54</v>
      </c>
      <c r="DG56" s="228">
        <v>-14.52</v>
      </c>
      <c r="DH56" s="228">
        <v>-7.0000000000000007E-2</v>
      </c>
      <c r="DI56" s="228">
        <v>29.13</v>
      </c>
      <c r="DJ56" s="228">
        <v>36.340000000000003</v>
      </c>
      <c r="DK56" s="228">
        <v>-7.21</v>
      </c>
      <c r="DL56" s="228">
        <v>-7.21</v>
      </c>
      <c r="DM56" s="228">
        <v>28.58</v>
      </c>
      <c r="DN56" s="228">
        <v>32.880000000000003</v>
      </c>
      <c r="DO56" s="228">
        <v>-4.3</v>
      </c>
      <c r="DP56" s="228">
        <v>-4.3</v>
      </c>
      <c r="DQ56" s="228">
        <v>0.5</v>
      </c>
      <c r="DR56" s="228">
        <v>0.47</v>
      </c>
      <c r="DS56" s="228">
        <v>0.03</v>
      </c>
      <c r="DT56" s="229">
        <v>6.3799999999999996E-2</v>
      </c>
      <c r="DU56" s="231">
        <v>16000</v>
      </c>
      <c r="DV56" s="231">
        <v>15000</v>
      </c>
      <c r="DW56" s="228">
        <v>0.46</v>
      </c>
      <c r="DX56" s="228">
        <v>0.46</v>
      </c>
      <c r="DY56" s="228">
        <v>0</v>
      </c>
      <c r="DZ56" s="229">
        <v>0</v>
      </c>
      <c r="EA56" s="229">
        <v>0.27539999999999998</v>
      </c>
      <c r="EB56" s="230">
        <v>336300</v>
      </c>
      <c r="EC56" s="229">
        <v>7.0000000000000001E-3</v>
      </c>
      <c r="ED56" s="229">
        <v>0.27539999999999998</v>
      </c>
      <c r="EE56" s="228">
        <v>110.5</v>
      </c>
      <c r="EF56" s="229">
        <v>7.1999999999999998E-3</v>
      </c>
      <c r="EG56" s="230">
        <v>107229</v>
      </c>
      <c r="EH56" s="230">
        <v>97389</v>
      </c>
      <c r="EI56" s="229">
        <v>0.10100000000000001</v>
      </c>
      <c r="EJ56" s="229">
        <v>0.4995</v>
      </c>
      <c r="EK56" s="231">
        <v>6256.53</v>
      </c>
      <c r="EL56" s="231">
        <v>2622.91</v>
      </c>
      <c r="EM56" s="231">
        <v>1382.67</v>
      </c>
      <c r="EN56" s="228">
        <v>101.95</v>
      </c>
      <c r="EO56" s="231">
        <v>10262.1</v>
      </c>
      <c r="EP56" s="231">
        <v>7332.71</v>
      </c>
      <c r="EQ56" s="231">
        <v>2929.39</v>
      </c>
      <c r="ER56" s="229">
        <v>0.39950000000000002</v>
      </c>
      <c r="ES56" s="231">
        <v>3062.6</v>
      </c>
      <c r="ET56" s="231">
        <v>1399.73</v>
      </c>
      <c r="EU56" s="231">
        <v>3276.03</v>
      </c>
      <c r="EV56" s="231">
        <v>6445442</v>
      </c>
      <c r="EW56" s="231">
        <v>7738.36</v>
      </c>
      <c r="EX56" s="231">
        <v>8123.93</v>
      </c>
      <c r="EY56" s="228">
        <v>-385.57</v>
      </c>
      <c r="EZ56" s="229">
        <v>-4.7500000000000001E-2</v>
      </c>
      <c r="FA56" s="229">
        <v>0.7631</v>
      </c>
      <c r="FB56" s="227" t="s">
        <v>568</v>
      </c>
      <c r="FC56">
        <f t="shared" si="0"/>
        <v>900</v>
      </c>
    </row>
    <row r="57" spans="1:159" ht="17.25" thickBot="1" x14ac:dyDescent="0.3">
      <c r="A57" s="226">
        <v>45981</v>
      </c>
      <c r="B57" s="227" t="s">
        <v>206</v>
      </c>
      <c r="C57" s="227" t="s">
        <v>207</v>
      </c>
      <c r="D57" s="228">
        <v>825</v>
      </c>
      <c r="E57" s="228">
        <v>5</v>
      </c>
      <c r="F57" s="228">
        <v>742.65</v>
      </c>
      <c r="G57" s="228">
        <v>745.25</v>
      </c>
      <c r="H57" s="228">
        <v>-2.6</v>
      </c>
      <c r="I57" s="229">
        <v>-3.5000000000000001E-3</v>
      </c>
      <c r="J57" s="228">
        <v>741.1</v>
      </c>
      <c r="K57" s="228">
        <v>743.65</v>
      </c>
      <c r="L57" s="228">
        <v>-2.5499999999999998</v>
      </c>
      <c r="M57" s="229">
        <v>-3.3999999999999998E-3</v>
      </c>
      <c r="N57" s="228">
        <v>742.65</v>
      </c>
      <c r="O57" s="228">
        <v>745.25</v>
      </c>
      <c r="P57" s="228">
        <v>-2.6</v>
      </c>
      <c r="Q57" s="229">
        <v>-3.5000000000000001E-3</v>
      </c>
      <c r="R57" s="228">
        <v>747.3</v>
      </c>
      <c r="S57" s="228">
        <v>750.1</v>
      </c>
      <c r="T57" s="228">
        <v>-2.8</v>
      </c>
      <c r="U57" s="229">
        <v>-3.7000000000000002E-3</v>
      </c>
      <c r="V57" s="228">
        <v>751.9</v>
      </c>
      <c r="W57" s="228">
        <v>755</v>
      </c>
      <c r="X57" s="228">
        <v>-3.1</v>
      </c>
      <c r="Y57" s="229">
        <v>-4.1000000000000003E-3</v>
      </c>
      <c r="Z57" s="228">
        <v>1.55</v>
      </c>
      <c r="AA57" s="228">
        <v>1.6</v>
      </c>
      <c r="AB57" s="228">
        <v>-0.05</v>
      </c>
      <c r="AC57" s="229">
        <v>2.0999999999999999E-3</v>
      </c>
      <c r="AD57" s="228">
        <v>1.55</v>
      </c>
      <c r="AE57" s="228">
        <v>1.6</v>
      </c>
      <c r="AF57" s="228">
        <v>-0.05</v>
      </c>
      <c r="AG57" s="229">
        <v>2.0999999999999999E-3</v>
      </c>
      <c r="AH57" s="228">
        <v>6.2</v>
      </c>
      <c r="AI57" s="228">
        <v>6.45</v>
      </c>
      <c r="AJ57" s="228">
        <v>-0.25</v>
      </c>
      <c r="AK57" s="229">
        <v>8.3999999999999995E-3</v>
      </c>
      <c r="AL57" s="228">
        <v>10.8</v>
      </c>
      <c r="AM57" s="228">
        <v>11.35</v>
      </c>
      <c r="AN57" s="228">
        <v>-0.55000000000000004</v>
      </c>
      <c r="AO57" s="229">
        <v>1.46E-2</v>
      </c>
      <c r="AP57" s="228">
        <v>744.03</v>
      </c>
      <c r="AQ57" s="228">
        <v>748.95</v>
      </c>
      <c r="AR57" s="228">
        <v>0</v>
      </c>
      <c r="AS57" s="230">
        <v>1474</v>
      </c>
      <c r="AT57" s="228">
        <v>693</v>
      </c>
      <c r="AU57" s="228">
        <v>781</v>
      </c>
      <c r="AV57" s="229">
        <v>1.1269</v>
      </c>
      <c r="AW57" s="228">
        <v>751</v>
      </c>
      <c r="AX57" s="228">
        <v>418</v>
      </c>
      <c r="AY57" s="228">
        <v>333</v>
      </c>
      <c r="AZ57" s="229">
        <v>0.79610000000000003</v>
      </c>
      <c r="BA57" s="228">
        <v>715</v>
      </c>
      <c r="BB57" s="228">
        <v>266</v>
      </c>
      <c r="BC57" s="228">
        <v>449</v>
      </c>
      <c r="BD57" s="229">
        <v>1.6887000000000001</v>
      </c>
      <c r="BE57" s="228">
        <v>8</v>
      </c>
      <c r="BF57" s="228">
        <v>9</v>
      </c>
      <c r="BG57" s="228">
        <v>-1</v>
      </c>
      <c r="BH57" s="229">
        <v>-0.1172</v>
      </c>
      <c r="BI57" s="230">
        <v>1286</v>
      </c>
      <c r="BJ57" s="230">
        <v>1584</v>
      </c>
      <c r="BK57" s="228">
        <v>-298</v>
      </c>
      <c r="BL57" s="229">
        <v>-0.18820000000000001</v>
      </c>
      <c r="BM57" s="228">
        <v>487</v>
      </c>
      <c r="BN57" s="228">
        <v>933</v>
      </c>
      <c r="BO57" s="228">
        <v>-447</v>
      </c>
      <c r="BP57" s="229">
        <v>-0.47870000000000001</v>
      </c>
      <c r="BQ57" s="230">
        <v>3247</v>
      </c>
      <c r="BR57" s="230">
        <v>3211</v>
      </c>
      <c r="BS57" s="228">
        <v>36</v>
      </c>
      <c r="BT57" s="229">
        <v>1.12E-2</v>
      </c>
      <c r="BU57" s="230">
        <v>1555942</v>
      </c>
      <c r="BV57" s="230">
        <v>2666552</v>
      </c>
      <c r="BW57" s="230">
        <v>-1110610</v>
      </c>
      <c r="BX57" s="229">
        <v>-0.41649999999999998</v>
      </c>
      <c r="BY57" s="230">
        <v>3056</v>
      </c>
      <c r="BZ57" s="230">
        <v>2992</v>
      </c>
      <c r="CA57" s="228">
        <v>64</v>
      </c>
      <c r="CB57" s="229">
        <v>2.1399999999999999E-2</v>
      </c>
      <c r="CC57" s="230">
        <v>1918</v>
      </c>
      <c r="CD57" s="230">
        <v>2500</v>
      </c>
      <c r="CE57" s="228">
        <v>-582</v>
      </c>
      <c r="CF57" s="229">
        <v>-0.23269999999999999</v>
      </c>
      <c r="CG57" s="230">
        <v>1111</v>
      </c>
      <c r="CH57" s="228">
        <v>469</v>
      </c>
      <c r="CI57" s="228">
        <v>642</v>
      </c>
      <c r="CJ57" s="229">
        <v>1.3697999999999999</v>
      </c>
      <c r="CK57" s="228">
        <v>27</v>
      </c>
      <c r="CL57" s="228">
        <v>23</v>
      </c>
      <c r="CM57" s="228">
        <v>4</v>
      </c>
      <c r="CN57" s="229">
        <v>0.1583</v>
      </c>
      <c r="CO57" s="230">
        <v>1176</v>
      </c>
      <c r="CP57" s="230">
        <v>1215</v>
      </c>
      <c r="CQ57" s="228">
        <v>-39</v>
      </c>
      <c r="CR57" s="229">
        <v>-3.2000000000000001E-2</v>
      </c>
      <c r="CS57" s="228">
        <v>848</v>
      </c>
      <c r="CT57" s="228">
        <v>856</v>
      </c>
      <c r="CU57" s="228">
        <v>-8</v>
      </c>
      <c r="CV57" s="229">
        <v>-9.2999999999999992E-3</v>
      </c>
      <c r="CW57" s="230">
        <v>5080</v>
      </c>
      <c r="CX57" s="230">
        <v>5063</v>
      </c>
      <c r="CY57" s="228">
        <v>17</v>
      </c>
      <c r="CZ57" s="229">
        <v>3.3999999999999998E-3</v>
      </c>
      <c r="DA57" s="228">
        <v>24.09</v>
      </c>
      <c r="DB57" s="228">
        <v>25.67</v>
      </c>
      <c r="DC57" s="228">
        <v>-1.58</v>
      </c>
      <c r="DD57" s="228">
        <v>-1.58</v>
      </c>
      <c r="DE57" s="228">
        <v>35.65</v>
      </c>
      <c r="DF57" s="228">
        <v>35.729999999999997</v>
      </c>
      <c r="DG57" s="228">
        <v>-11.56</v>
      </c>
      <c r="DH57" s="228">
        <v>-0.08</v>
      </c>
      <c r="DI57" s="228">
        <v>24.05</v>
      </c>
      <c r="DJ57" s="228">
        <v>26.14</v>
      </c>
      <c r="DK57" s="228">
        <v>-2.09</v>
      </c>
      <c r="DL57" s="228">
        <v>-2.09</v>
      </c>
      <c r="DM57" s="228">
        <v>24.16</v>
      </c>
      <c r="DN57" s="228">
        <v>24.87</v>
      </c>
      <c r="DO57" s="228">
        <v>-0.71</v>
      </c>
      <c r="DP57" s="228">
        <v>-0.71</v>
      </c>
      <c r="DQ57" s="228">
        <v>0.72</v>
      </c>
      <c r="DR57" s="228">
        <v>0.7</v>
      </c>
      <c r="DS57" s="228">
        <v>0.02</v>
      </c>
      <c r="DT57" s="229">
        <v>2.86E-2</v>
      </c>
      <c r="DU57" s="228">
        <v>780</v>
      </c>
      <c r="DV57" s="228">
        <v>720</v>
      </c>
      <c r="DW57" s="228">
        <v>0.38</v>
      </c>
      <c r="DX57" s="228">
        <v>0.59</v>
      </c>
      <c r="DY57" s="228">
        <v>-0.21</v>
      </c>
      <c r="DZ57" s="229">
        <v>-0.35589999999999999</v>
      </c>
      <c r="EA57" s="229">
        <v>0.37230000000000002</v>
      </c>
      <c r="EB57" s="230">
        <v>6623925</v>
      </c>
      <c r="EC57" s="229">
        <v>6.3E-3</v>
      </c>
      <c r="ED57" s="229">
        <v>0.37230000000000002</v>
      </c>
      <c r="EE57" s="228">
        <v>4.92</v>
      </c>
      <c r="EF57" s="229">
        <v>6.6E-3</v>
      </c>
      <c r="EG57" s="230">
        <v>919360</v>
      </c>
      <c r="EH57" s="230">
        <v>1352202</v>
      </c>
      <c r="EI57" s="229">
        <v>-0.3201</v>
      </c>
      <c r="EJ57" s="229">
        <v>0.59089999999999998</v>
      </c>
      <c r="EK57" s="231">
        <v>1340.88</v>
      </c>
      <c r="EL57" s="228">
        <v>489.11</v>
      </c>
      <c r="EM57" s="231">
        <v>1481.51</v>
      </c>
      <c r="EN57" s="228">
        <v>78.430000000000007</v>
      </c>
      <c r="EO57" s="231">
        <v>3311.51</v>
      </c>
      <c r="EP57" s="231">
        <v>3296.93</v>
      </c>
      <c r="EQ57" s="228">
        <v>14.57</v>
      </c>
      <c r="ER57" s="229">
        <v>4.4000000000000003E-3</v>
      </c>
      <c r="ES57" s="231">
        <v>1245.97</v>
      </c>
      <c r="ET57" s="228">
        <v>856.4</v>
      </c>
      <c r="EU57" s="231">
        <v>3063.18</v>
      </c>
      <c r="EV57" s="231">
        <v>83667734</v>
      </c>
      <c r="EW57" s="231">
        <v>5165.5600000000004</v>
      </c>
      <c r="EX57" s="231">
        <v>5161.1000000000004</v>
      </c>
      <c r="EY57" s="228">
        <v>4.46</v>
      </c>
      <c r="EZ57" s="229">
        <v>8.9999999999999998E-4</v>
      </c>
      <c r="FA57" s="229">
        <v>0.8175</v>
      </c>
      <c r="FB57" s="227" t="s">
        <v>567</v>
      </c>
      <c r="FC57">
        <f t="shared" si="0"/>
        <v>1138</v>
      </c>
    </row>
    <row r="58" spans="1:159" ht="17.25" thickBot="1" x14ac:dyDescent="0.3">
      <c r="A58" s="226">
        <v>45981</v>
      </c>
      <c r="B58" s="227" t="s">
        <v>615</v>
      </c>
      <c r="C58" s="227" t="s">
        <v>583</v>
      </c>
      <c r="D58" s="228">
        <v>150</v>
      </c>
      <c r="E58" s="228">
        <v>5</v>
      </c>
      <c r="F58" s="231">
        <v>4097.7</v>
      </c>
      <c r="G58" s="231">
        <v>4042.2</v>
      </c>
      <c r="H58" s="228">
        <v>55.5</v>
      </c>
      <c r="I58" s="229">
        <v>1.37E-2</v>
      </c>
      <c r="J58" s="231">
        <v>4085</v>
      </c>
      <c r="K58" s="231">
        <v>4026.5</v>
      </c>
      <c r="L58" s="228">
        <v>58.5</v>
      </c>
      <c r="M58" s="229">
        <v>1.4500000000000001E-2</v>
      </c>
      <c r="N58" s="231">
        <v>4097.7</v>
      </c>
      <c r="O58" s="231">
        <v>4042.2</v>
      </c>
      <c r="P58" s="228">
        <v>55.5</v>
      </c>
      <c r="Q58" s="229">
        <v>1.37E-2</v>
      </c>
      <c r="R58" s="231">
        <v>4095.8</v>
      </c>
      <c r="S58" s="231">
        <v>4037.1</v>
      </c>
      <c r="T58" s="228">
        <v>58.7</v>
      </c>
      <c r="U58" s="229">
        <v>1.4500000000000001E-2</v>
      </c>
      <c r="V58" s="231">
        <v>4107.2</v>
      </c>
      <c r="W58" s="231">
        <v>4044.7</v>
      </c>
      <c r="X58" s="228">
        <v>62.5</v>
      </c>
      <c r="Y58" s="229">
        <v>1.55E-2</v>
      </c>
      <c r="Z58" s="228">
        <v>12.7</v>
      </c>
      <c r="AA58" s="228">
        <v>15.7</v>
      </c>
      <c r="AB58" s="228">
        <v>-3</v>
      </c>
      <c r="AC58" s="229">
        <v>3.0999999999999999E-3</v>
      </c>
      <c r="AD58" s="228">
        <v>12.7</v>
      </c>
      <c r="AE58" s="228">
        <v>15.7</v>
      </c>
      <c r="AF58" s="228">
        <v>-3</v>
      </c>
      <c r="AG58" s="229">
        <v>3.0999999999999999E-3</v>
      </c>
      <c r="AH58" s="228">
        <v>10.8</v>
      </c>
      <c r="AI58" s="228">
        <v>10.6</v>
      </c>
      <c r="AJ58" s="228">
        <v>0.2</v>
      </c>
      <c r="AK58" s="229">
        <v>2.5999999999999999E-3</v>
      </c>
      <c r="AL58" s="228">
        <v>22.2</v>
      </c>
      <c r="AM58" s="228">
        <v>18.2</v>
      </c>
      <c r="AN58" s="228">
        <v>4</v>
      </c>
      <c r="AO58" s="229">
        <v>5.4000000000000003E-3</v>
      </c>
      <c r="AP58" s="231">
        <v>4088.84</v>
      </c>
      <c r="AQ58" s="231">
        <v>4079.36</v>
      </c>
      <c r="AR58" s="228">
        <v>0</v>
      </c>
      <c r="AS58" s="230">
        <v>2086</v>
      </c>
      <c r="AT58" s="228">
        <v>362</v>
      </c>
      <c r="AU58" s="230">
        <v>1724</v>
      </c>
      <c r="AV58" s="229">
        <v>4.7636000000000003</v>
      </c>
      <c r="AW58" s="230">
        <v>1020</v>
      </c>
      <c r="AX58" s="228">
        <v>210</v>
      </c>
      <c r="AY58" s="228">
        <v>810</v>
      </c>
      <c r="AZ58" s="229">
        <v>3.8660000000000001</v>
      </c>
      <c r="BA58" s="230">
        <v>1060</v>
      </c>
      <c r="BB58" s="228">
        <v>148</v>
      </c>
      <c r="BC58" s="228">
        <v>912</v>
      </c>
      <c r="BD58" s="229">
        <v>6.165</v>
      </c>
      <c r="BE58" s="228">
        <v>7</v>
      </c>
      <c r="BF58" s="228">
        <v>4</v>
      </c>
      <c r="BG58" s="228">
        <v>2</v>
      </c>
      <c r="BH58" s="229">
        <v>0.50680000000000003</v>
      </c>
      <c r="BI58" s="230">
        <v>2623</v>
      </c>
      <c r="BJ58" s="230">
        <v>1290</v>
      </c>
      <c r="BK58" s="230">
        <v>1333</v>
      </c>
      <c r="BL58" s="229">
        <v>1.0327</v>
      </c>
      <c r="BM58" s="228">
        <v>664</v>
      </c>
      <c r="BN58" s="228">
        <v>334</v>
      </c>
      <c r="BO58" s="228">
        <v>331</v>
      </c>
      <c r="BP58" s="229">
        <v>0.99080000000000001</v>
      </c>
      <c r="BQ58" s="230">
        <v>5374</v>
      </c>
      <c r="BR58" s="230">
        <v>1986</v>
      </c>
      <c r="BS58" s="230">
        <v>3388</v>
      </c>
      <c r="BT58" s="229">
        <v>1.7056</v>
      </c>
      <c r="BU58" s="230">
        <v>406342</v>
      </c>
      <c r="BV58" s="230">
        <v>381644</v>
      </c>
      <c r="BW58" s="230">
        <v>24698</v>
      </c>
      <c r="BX58" s="229">
        <v>6.4699999999999994E-2</v>
      </c>
      <c r="BY58" s="230">
        <v>2527</v>
      </c>
      <c r="BZ58" s="230">
        <v>2783</v>
      </c>
      <c r="CA58" s="228">
        <v>-255</v>
      </c>
      <c r="CB58" s="229">
        <v>-9.1800000000000007E-2</v>
      </c>
      <c r="CC58" s="230">
        <v>1639</v>
      </c>
      <c r="CD58" s="230">
        <v>2351</v>
      </c>
      <c r="CE58" s="228">
        <v>-712</v>
      </c>
      <c r="CF58" s="229">
        <v>-0.30299999999999999</v>
      </c>
      <c r="CG58" s="228">
        <v>868</v>
      </c>
      <c r="CH58" s="228">
        <v>411</v>
      </c>
      <c r="CI58" s="228">
        <v>457</v>
      </c>
      <c r="CJ58" s="229">
        <v>1.1126</v>
      </c>
      <c r="CK58" s="228">
        <v>20</v>
      </c>
      <c r="CL58" s="228">
        <v>21</v>
      </c>
      <c r="CM58" s="228">
        <v>0</v>
      </c>
      <c r="CN58" s="229">
        <v>-8.9999999999999993E-3</v>
      </c>
      <c r="CO58" s="228">
        <v>904</v>
      </c>
      <c r="CP58" s="230">
        <v>1038</v>
      </c>
      <c r="CQ58" s="228">
        <v>-134</v>
      </c>
      <c r="CR58" s="229">
        <v>-0.1288</v>
      </c>
      <c r="CS58" s="228">
        <v>415</v>
      </c>
      <c r="CT58" s="228">
        <v>437</v>
      </c>
      <c r="CU58" s="228">
        <v>-21</v>
      </c>
      <c r="CV58" s="229">
        <v>-4.9099999999999998E-2</v>
      </c>
      <c r="CW58" s="230">
        <v>3847</v>
      </c>
      <c r="CX58" s="230">
        <v>4257</v>
      </c>
      <c r="CY58" s="228">
        <v>-410</v>
      </c>
      <c r="CZ58" s="229">
        <v>-9.64E-2</v>
      </c>
      <c r="DA58" s="228">
        <v>23.31</v>
      </c>
      <c r="DB58" s="228">
        <v>23.49</v>
      </c>
      <c r="DC58" s="228">
        <v>-0.18</v>
      </c>
      <c r="DD58" s="228">
        <v>-0.18</v>
      </c>
      <c r="DE58" s="228">
        <v>31.61</v>
      </c>
      <c r="DF58" s="228">
        <v>31.63</v>
      </c>
      <c r="DG58" s="228">
        <v>-8.3000000000000007</v>
      </c>
      <c r="DH58" s="228">
        <v>-0.02</v>
      </c>
      <c r="DI58" s="228">
        <v>23.41</v>
      </c>
      <c r="DJ58" s="228">
        <v>23.9</v>
      </c>
      <c r="DK58" s="228">
        <v>-0.49</v>
      </c>
      <c r="DL58" s="228">
        <v>-0.49</v>
      </c>
      <c r="DM58" s="228">
        <v>23.01</v>
      </c>
      <c r="DN58" s="228">
        <v>21.9</v>
      </c>
      <c r="DO58" s="228">
        <v>1.1100000000000001</v>
      </c>
      <c r="DP58" s="228">
        <v>1.1100000000000001</v>
      </c>
      <c r="DQ58" s="228">
        <v>0.46</v>
      </c>
      <c r="DR58" s="228">
        <v>0.42</v>
      </c>
      <c r="DS58" s="228">
        <v>0.04</v>
      </c>
      <c r="DT58" s="229">
        <v>9.5200000000000007E-2</v>
      </c>
      <c r="DU58" s="231">
        <v>4200</v>
      </c>
      <c r="DV58" s="231">
        <v>4000</v>
      </c>
      <c r="DW58" s="228">
        <v>0.25</v>
      </c>
      <c r="DX58" s="228">
        <v>0.26</v>
      </c>
      <c r="DY58" s="228">
        <v>-0.01</v>
      </c>
      <c r="DZ58" s="229">
        <v>-3.85E-2</v>
      </c>
      <c r="EA58" s="229">
        <v>0.35160000000000002</v>
      </c>
      <c r="EB58" s="230">
        <v>1053150</v>
      </c>
      <c r="EC58" s="229">
        <v>-5.0000000000000001E-4</v>
      </c>
      <c r="ED58" s="229">
        <v>0.35160000000000002</v>
      </c>
      <c r="EE58" s="228">
        <v>-9.48</v>
      </c>
      <c r="EF58" s="229">
        <v>-2.3E-3</v>
      </c>
      <c r="EG58" s="230">
        <v>194297</v>
      </c>
      <c r="EH58" s="230">
        <v>266877</v>
      </c>
      <c r="EI58" s="229">
        <v>-0.27200000000000002</v>
      </c>
      <c r="EJ58" s="229">
        <v>0.47820000000000001</v>
      </c>
      <c r="EK58" s="231">
        <v>2682.43</v>
      </c>
      <c r="EL58" s="228">
        <v>655.69</v>
      </c>
      <c r="EM58" s="231">
        <v>2079.31</v>
      </c>
      <c r="EN58" s="228">
        <v>39.07</v>
      </c>
      <c r="EO58" s="231">
        <v>5417.42</v>
      </c>
      <c r="EP58" s="231">
        <v>2002.87</v>
      </c>
      <c r="EQ58" s="231">
        <v>3414.56</v>
      </c>
      <c r="ER58" s="229">
        <v>1.7048000000000001</v>
      </c>
      <c r="ES58" s="228">
        <v>947.01</v>
      </c>
      <c r="ET58" s="228">
        <v>409.19</v>
      </c>
      <c r="EU58" s="231">
        <v>2526.92</v>
      </c>
      <c r="EV58" s="231">
        <v>22136392</v>
      </c>
      <c r="EW58" s="231">
        <v>3883.12</v>
      </c>
      <c r="EX58" s="231">
        <v>4258.97</v>
      </c>
      <c r="EY58" s="228">
        <v>-375.85</v>
      </c>
      <c r="EZ58" s="229">
        <v>-8.8200000000000001E-2</v>
      </c>
      <c r="FA58" s="229">
        <v>0.42409999999999998</v>
      </c>
      <c r="FB58" s="227" t="s">
        <v>556</v>
      </c>
      <c r="FC58">
        <f t="shared" si="0"/>
        <v>888</v>
      </c>
    </row>
    <row r="59" spans="1:159" ht="17.25" thickBot="1" x14ac:dyDescent="0.3">
      <c r="A59" s="226">
        <v>45981</v>
      </c>
      <c r="B59" s="227" t="s">
        <v>170</v>
      </c>
      <c r="C59" s="227" t="s">
        <v>208</v>
      </c>
      <c r="D59" s="228">
        <v>625</v>
      </c>
      <c r="E59" s="228">
        <v>5</v>
      </c>
      <c r="F59" s="231">
        <v>1247.5999999999999</v>
      </c>
      <c r="G59" s="231">
        <v>1247</v>
      </c>
      <c r="H59" s="228">
        <v>0.6</v>
      </c>
      <c r="I59" s="229">
        <v>5.0000000000000001E-4</v>
      </c>
      <c r="J59" s="231">
        <v>1248.5999999999999</v>
      </c>
      <c r="K59" s="231">
        <v>1250.2</v>
      </c>
      <c r="L59" s="228">
        <v>-1.6</v>
      </c>
      <c r="M59" s="229">
        <v>-1.2999999999999999E-3</v>
      </c>
      <c r="N59" s="231">
        <v>1247.5999999999999</v>
      </c>
      <c r="O59" s="231">
        <v>1247</v>
      </c>
      <c r="P59" s="228">
        <v>0.6</v>
      </c>
      <c r="Q59" s="229">
        <v>5.0000000000000001E-4</v>
      </c>
      <c r="R59" s="231">
        <v>1249.8</v>
      </c>
      <c r="S59" s="231">
        <v>1249.8</v>
      </c>
      <c r="T59" s="228">
        <v>0</v>
      </c>
      <c r="U59" s="229">
        <v>0</v>
      </c>
      <c r="V59" s="231">
        <v>1251.8</v>
      </c>
      <c r="W59" s="231">
        <v>1251.7</v>
      </c>
      <c r="X59" s="228">
        <v>0.1</v>
      </c>
      <c r="Y59" s="229">
        <v>1E-4</v>
      </c>
      <c r="Z59" s="228">
        <v>-1</v>
      </c>
      <c r="AA59" s="228">
        <v>-3.2</v>
      </c>
      <c r="AB59" s="228">
        <v>2.2000000000000002</v>
      </c>
      <c r="AC59" s="229">
        <v>-8.0000000000000004E-4</v>
      </c>
      <c r="AD59" s="228">
        <v>-1</v>
      </c>
      <c r="AE59" s="228">
        <v>-3.2</v>
      </c>
      <c r="AF59" s="228">
        <v>2.2000000000000002</v>
      </c>
      <c r="AG59" s="229">
        <v>-8.0000000000000004E-4</v>
      </c>
      <c r="AH59" s="228">
        <v>1.2</v>
      </c>
      <c r="AI59" s="228">
        <v>-0.4</v>
      </c>
      <c r="AJ59" s="228">
        <v>1.6</v>
      </c>
      <c r="AK59" s="229">
        <v>1E-3</v>
      </c>
      <c r="AL59" s="228">
        <v>3.2</v>
      </c>
      <c r="AM59" s="228">
        <v>1.5</v>
      </c>
      <c r="AN59" s="228">
        <v>1.7</v>
      </c>
      <c r="AO59" s="229">
        <v>2.5999999999999999E-3</v>
      </c>
      <c r="AP59" s="231">
        <v>1244.94</v>
      </c>
      <c r="AQ59" s="231">
        <v>1246.1099999999999</v>
      </c>
      <c r="AR59" s="228">
        <v>0</v>
      </c>
      <c r="AS59" s="230">
        <v>1432</v>
      </c>
      <c r="AT59" s="228">
        <v>234</v>
      </c>
      <c r="AU59" s="230">
        <v>1198</v>
      </c>
      <c r="AV59" s="229">
        <v>5.1093999999999999</v>
      </c>
      <c r="AW59" s="228">
        <v>735</v>
      </c>
      <c r="AX59" s="228">
        <v>173</v>
      </c>
      <c r="AY59" s="228">
        <v>561</v>
      </c>
      <c r="AZ59" s="229">
        <v>3.2418</v>
      </c>
      <c r="BA59" s="228">
        <v>696</v>
      </c>
      <c r="BB59" s="228">
        <v>60</v>
      </c>
      <c r="BC59" s="228">
        <v>636</v>
      </c>
      <c r="BD59" s="229">
        <v>10.633599999999999</v>
      </c>
      <c r="BE59" s="228">
        <v>2</v>
      </c>
      <c r="BF59" s="228">
        <v>1</v>
      </c>
      <c r="BG59" s="228">
        <v>0</v>
      </c>
      <c r="BH59" s="229">
        <v>0.16669999999999999</v>
      </c>
      <c r="BI59" s="228">
        <v>924</v>
      </c>
      <c r="BJ59" s="228">
        <v>975</v>
      </c>
      <c r="BK59" s="228">
        <v>-50</v>
      </c>
      <c r="BL59" s="229">
        <v>-5.1700000000000003E-2</v>
      </c>
      <c r="BM59" s="228">
        <v>485</v>
      </c>
      <c r="BN59" s="228">
        <v>421</v>
      </c>
      <c r="BO59" s="228">
        <v>64</v>
      </c>
      <c r="BP59" s="229">
        <v>0.15310000000000001</v>
      </c>
      <c r="BQ59" s="230">
        <v>2841</v>
      </c>
      <c r="BR59" s="230">
        <v>1630</v>
      </c>
      <c r="BS59" s="230">
        <v>1212</v>
      </c>
      <c r="BT59" s="229">
        <v>0.74350000000000005</v>
      </c>
      <c r="BU59" s="230">
        <v>878639</v>
      </c>
      <c r="BV59" s="230">
        <v>895302</v>
      </c>
      <c r="BW59" s="230">
        <v>-16663</v>
      </c>
      <c r="BX59" s="229">
        <v>-1.8599999999999998E-2</v>
      </c>
      <c r="BY59" s="230">
        <v>1894</v>
      </c>
      <c r="BZ59" s="230">
        <v>2004</v>
      </c>
      <c r="CA59" s="228">
        <v>-111</v>
      </c>
      <c r="CB59" s="229">
        <v>-5.5300000000000002E-2</v>
      </c>
      <c r="CC59" s="230">
        <v>1232</v>
      </c>
      <c r="CD59" s="230">
        <v>1776</v>
      </c>
      <c r="CE59" s="228">
        <v>-544</v>
      </c>
      <c r="CF59" s="229">
        <v>-0.30630000000000002</v>
      </c>
      <c r="CG59" s="228">
        <v>648</v>
      </c>
      <c r="CH59" s="228">
        <v>215</v>
      </c>
      <c r="CI59" s="228">
        <v>433</v>
      </c>
      <c r="CJ59" s="229">
        <v>2.0148999999999999</v>
      </c>
      <c r="CK59" s="228">
        <v>14</v>
      </c>
      <c r="CL59" s="228">
        <v>14</v>
      </c>
      <c r="CM59" s="228">
        <v>0</v>
      </c>
      <c r="CN59" s="229">
        <v>-1.6899999999999998E-2</v>
      </c>
      <c r="CO59" s="230">
        <v>1329</v>
      </c>
      <c r="CP59" s="230">
        <v>1461</v>
      </c>
      <c r="CQ59" s="228">
        <v>-132</v>
      </c>
      <c r="CR59" s="229">
        <v>-9.06E-2</v>
      </c>
      <c r="CS59" s="228">
        <v>648</v>
      </c>
      <c r="CT59" s="228">
        <v>661</v>
      </c>
      <c r="CU59" s="228">
        <v>-12</v>
      </c>
      <c r="CV59" s="229">
        <v>-1.83E-2</v>
      </c>
      <c r="CW59" s="230">
        <v>3871</v>
      </c>
      <c r="CX59" s="230">
        <v>4126</v>
      </c>
      <c r="CY59" s="228">
        <v>-255</v>
      </c>
      <c r="CZ59" s="229">
        <v>-6.1899999999999997E-2</v>
      </c>
      <c r="DA59" s="228">
        <v>19.84</v>
      </c>
      <c r="DB59" s="228">
        <v>19.53</v>
      </c>
      <c r="DC59" s="228">
        <v>0.31</v>
      </c>
      <c r="DD59" s="228">
        <v>0.31</v>
      </c>
      <c r="DE59" s="228">
        <v>24.72</v>
      </c>
      <c r="DF59" s="228">
        <v>24.78</v>
      </c>
      <c r="DG59" s="228">
        <v>-4.88</v>
      </c>
      <c r="DH59" s="228">
        <v>-0.06</v>
      </c>
      <c r="DI59" s="228">
        <v>19.73</v>
      </c>
      <c r="DJ59" s="228">
        <v>18.8</v>
      </c>
      <c r="DK59" s="228">
        <v>0.93</v>
      </c>
      <c r="DL59" s="228">
        <v>0.93</v>
      </c>
      <c r="DM59" s="228">
        <v>20.02</v>
      </c>
      <c r="DN59" s="228">
        <v>21.2</v>
      </c>
      <c r="DO59" s="228">
        <v>-1.18</v>
      </c>
      <c r="DP59" s="228">
        <v>-1.18</v>
      </c>
      <c r="DQ59" s="228">
        <v>0.49</v>
      </c>
      <c r="DR59" s="228">
        <v>0.45</v>
      </c>
      <c r="DS59" s="228">
        <v>0.04</v>
      </c>
      <c r="DT59" s="229">
        <v>8.8900000000000007E-2</v>
      </c>
      <c r="DU59" s="231">
        <v>1300</v>
      </c>
      <c r="DV59" s="231">
        <v>1200</v>
      </c>
      <c r="DW59" s="228">
        <v>0.52</v>
      </c>
      <c r="DX59" s="228">
        <v>0.43</v>
      </c>
      <c r="DY59" s="228">
        <v>0.09</v>
      </c>
      <c r="DZ59" s="229">
        <v>0.20930000000000001</v>
      </c>
      <c r="EA59" s="229">
        <v>0.34949999999999998</v>
      </c>
      <c r="EB59" s="230">
        <v>1834375</v>
      </c>
      <c r="EC59" s="229">
        <v>1.8E-3</v>
      </c>
      <c r="ED59" s="229">
        <v>0.34949999999999998</v>
      </c>
      <c r="EE59" s="228">
        <v>1.17</v>
      </c>
      <c r="EF59" s="229">
        <v>8.9999999999999998E-4</v>
      </c>
      <c r="EG59" s="230">
        <v>417192</v>
      </c>
      <c r="EH59" s="230">
        <v>534314</v>
      </c>
      <c r="EI59" s="229">
        <v>-0.21920000000000001</v>
      </c>
      <c r="EJ59" s="229">
        <v>0.4748</v>
      </c>
      <c r="EK59" s="228">
        <v>948.01</v>
      </c>
      <c r="EL59" s="228">
        <v>478.86</v>
      </c>
      <c r="EM59" s="231">
        <v>1429.62</v>
      </c>
      <c r="EN59" s="228">
        <v>34.56</v>
      </c>
      <c r="EO59" s="231">
        <v>2856.49</v>
      </c>
      <c r="EP59" s="231">
        <v>1642.55</v>
      </c>
      <c r="EQ59" s="231">
        <v>1213.94</v>
      </c>
      <c r="ER59" s="229">
        <v>0.73909999999999998</v>
      </c>
      <c r="ES59" s="231">
        <v>1364.7</v>
      </c>
      <c r="ET59" s="228">
        <v>627.08000000000004</v>
      </c>
      <c r="EU59" s="231">
        <v>1894.73</v>
      </c>
      <c r="EV59" s="231">
        <v>61006521</v>
      </c>
      <c r="EW59" s="231">
        <v>3886.51</v>
      </c>
      <c r="EX59" s="231">
        <v>4145.68</v>
      </c>
      <c r="EY59" s="228">
        <v>-259.17</v>
      </c>
      <c r="EZ59" s="229">
        <v>-6.25E-2</v>
      </c>
      <c r="FA59" s="229">
        <v>0.50860000000000005</v>
      </c>
      <c r="FB59" s="227" t="s">
        <v>556</v>
      </c>
      <c r="FC59">
        <f t="shared" si="0"/>
        <v>662</v>
      </c>
    </row>
    <row r="60" spans="1:159" ht="17.25" thickBot="1" x14ac:dyDescent="0.3">
      <c r="A60" s="226">
        <v>45981</v>
      </c>
      <c r="B60" s="227" t="s">
        <v>162</v>
      </c>
      <c r="C60" s="227" t="s">
        <v>209</v>
      </c>
      <c r="D60" s="228">
        <v>175</v>
      </c>
      <c r="E60" s="228">
        <v>5</v>
      </c>
      <c r="F60" s="231">
        <v>7113.5</v>
      </c>
      <c r="G60" s="231">
        <v>6889</v>
      </c>
      <c r="H60" s="228">
        <v>224.5</v>
      </c>
      <c r="I60" s="229">
        <v>3.2599999999999997E-2</v>
      </c>
      <c r="J60" s="231">
        <v>7125.5</v>
      </c>
      <c r="K60" s="231">
        <v>6896.5</v>
      </c>
      <c r="L60" s="228">
        <v>229</v>
      </c>
      <c r="M60" s="229">
        <v>3.32E-2</v>
      </c>
      <c r="N60" s="231">
        <v>7113.5</v>
      </c>
      <c r="O60" s="231">
        <v>6889</v>
      </c>
      <c r="P60" s="228">
        <v>224.5</v>
      </c>
      <c r="Q60" s="229">
        <v>3.2599999999999997E-2</v>
      </c>
      <c r="R60" s="231">
        <v>7164.5</v>
      </c>
      <c r="S60" s="231">
        <v>6934</v>
      </c>
      <c r="T60" s="228">
        <v>230.5</v>
      </c>
      <c r="U60" s="229">
        <v>3.32E-2</v>
      </c>
      <c r="V60" s="231">
        <v>7200.5</v>
      </c>
      <c r="W60" s="231">
        <v>6974.5</v>
      </c>
      <c r="X60" s="228">
        <v>226</v>
      </c>
      <c r="Y60" s="229">
        <v>3.2399999999999998E-2</v>
      </c>
      <c r="Z60" s="228">
        <v>-12</v>
      </c>
      <c r="AA60" s="228">
        <v>-7.5</v>
      </c>
      <c r="AB60" s="228">
        <v>-4.5</v>
      </c>
      <c r="AC60" s="229">
        <v>-1.6999999999999999E-3</v>
      </c>
      <c r="AD60" s="228">
        <v>-12</v>
      </c>
      <c r="AE60" s="228">
        <v>-7.5</v>
      </c>
      <c r="AF60" s="228">
        <v>-4.5</v>
      </c>
      <c r="AG60" s="229">
        <v>-1.6999999999999999E-3</v>
      </c>
      <c r="AH60" s="228">
        <v>39</v>
      </c>
      <c r="AI60" s="228">
        <v>37.5</v>
      </c>
      <c r="AJ60" s="228">
        <v>1.5</v>
      </c>
      <c r="AK60" s="229">
        <v>5.4999999999999997E-3</v>
      </c>
      <c r="AL60" s="228">
        <v>75</v>
      </c>
      <c r="AM60" s="228">
        <v>78</v>
      </c>
      <c r="AN60" s="228">
        <v>-3</v>
      </c>
      <c r="AO60" s="229">
        <v>1.0500000000000001E-2</v>
      </c>
      <c r="AP60" s="231">
        <v>7051.74</v>
      </c>
      <c r="AQ60" s="231">
        <v>7102.01</v>
      </c>
      <c r="AR60" s="228">
        <v>0</v>
      </c>
      <c r="AS60" s="230">
        <v>1882</v>
      </c>
      <c r="AT60" s="228">
        <v>513</v>
      </c>
      <c r="AU60" s="230">
        <v>1369</v>
      </c>
      <c r="AV60" s="229">
        <v>2.6692999999999998</v>
      </c>
      <c r="AW60" s="230">
        <v>1047</v>
      </c>
      <c r="AX60" s="228">
        <v>373</v>
      </c>
      <c r="AY60" s="228">
        <v>673</v>
      </c>
      <c r="AZ60" s="229">
        <v>1.8050999999999999</v>
      </c>
      <c r="BA60" s="228">
        <v>813</v>
      </c>
      <c r="BB60" s="228">
        <v>137</v>
      </c>
      <c r="BC60" s="228">
        <v>676</v>
      </c>
      <c r="BD60" s="229">
        <v>4.9337</v>
      </c>
      <c r="BE60" s="228">
        <v>23</v>
      </c>
      <c r="BF60" s="228">
        <v>3</v>
      </c>
      <c r="BG60" s="228">
        <v>20</v>
      </c>
      <c r="BH60" s="229">
        <v>6.8696000000000002</v>
      </c>
      <c r="BI60" s="230">
        <v>21863</v>
      </c>
      <c r="BJ60" s="230">
        <v>3920</v>
      </c>
      <c r="BK60" s="230">
        <v>17942</v>
      </c>
      <c r="BL60" s="229">
        <v>4.5766</v>
      </c>
      <c r="BM60" s="230">
        <v>6448</v>
      </c>
      <c r="BN60" s="230">
        <v>1602</v>
      </c>
      <c r="BO60" s="230">
        <v>4846</v>
      </c>
      <c r="BP60" s="229">
        <v>3.0247000000000002</v>
      </c>
      <c r="BQ60" s="230">
        <v>30193</v>
      </c>
      <c r="BR60" s="230">
        <v>6035</v>
      </c>
      <c r="BS60" s="230">
        <v>24157</v>
      </c>
      <c r="BT60" s="229">
        <v>4.0026000000000002</v>
      </c>
      <c r="BU60" s="230">
        <v>876233</v>
      </c>
      <c r="BV60" s="230">
        <v>420102</v>
      </c>
      <c r="BW60" s="230">
        <v>456131</v>
      </c>
      <c r="BX60" s="229">
        <v>1.0858000000000001</v>
      </c>
      <c r="BY60" s="230">
        <v>2218</v>
      </c>
      <c r="BZ60" s="230">
        <v>2211</v>
      </c>
      <c r="CA60" s="228">
        <v>7</v>
      </c>
      <c r="CB60" s="229">
        <v>3.2000000000000002E-3</v>
      </c>
      <c r="CC60" s="230">
        <v>1534</v>
      </c>
      <c r="CD60" s="230">
        <v>1979</v>
      </c>
      <c r="CE60" s="228">
        <v>-445</v>
      </c>
      <c r="CF60" s="229">
        <v>-0.22500000000000001</v>
      </c>
      <c r="CG60" s="228">
        <v>668</v>
      </c>
      <c r="CH60" s="228">
        <v>221</v>
      </c>
      <c r="CI60" s="228">
        <v>447</v>
      </c>
      <c r="CJ60" s="229">
        <v>2.0203000000000002</v>
      </c>
      <c r="CK60" s="228">
        <v>16</v>
      </c>
      <c r="CL60" s="228">
        <v>11</v>
      </c>
      <c r="CM60" s="228">
        <v>6</v>
      </c>
      <c r="CN60" s="229">
        <v>0.54049999999999998</v>
      </c>
      <c r="CO60" s="230">
        <v>1950</v>
      </c>
      <c r="CP60" s="230">
        <v>1710</v>
      </c>
      <c r="CQ60" s="228">
        <v>241</v>
      </c>
      <c r="CR60" s="229">
        <v>0.14069999999999999</v>
      </c>
      <c r="CS60" s="230">
        <v>1734</v>
      </c>
      <c r="CT60" s="230">
        <v>1251</v>
      </c>
      <c r="CU60" s="228">
        <v>484</v>
      </c>
      <c r="CV60" s="229">
        <v>0.38679999999999998</v>
      </c>
      <c r="CW60" s="230">
        <v>5903</v>
      </c>
      <c r="CX60" s="230">
        <v>5171</v>
      </c>
      <c r="CY60" s="228">
        <v>731</v>
      </c>
      <c r="CZ60" s="229">
        <v>0.1414</v>
      </c>
      <c r="DA60" s="228">
        <v>20.57</v>
      </c>
      <c r="DB60" s="228">
        <v>20.22</v>
      </c>
      <c r="DC60" s="228">
        <v>0.35</v>
      </c>
      <c r="DD60" s="228">
        <v>0.35</v>
      </c>
      <c r="DE60" s="228">
        <v>27.7</v>
      </c>
      <c r="DF60" s="228">
        <v>27.42</v>
      </c>
      <c r="DG60" s="228">
        <v>-7.13</v>
      </c>
      <c r="DH60" s="228">
        <v>0.28000000000000003</v>
      </c>
      <c r="DI60" s="228">
        <v>20.190000000000001</v>
      </c>
      <c r="DJ60" s="228">
        <v>19.940000000000001</v>
      </c>
      <c r="DK60" s="228">
        <v>0.25</v>
      </c>
      <c r="DL60" s="228">
        <v>0.25</v>
      </c>
      <c r="DM60" s="228">
        <v>21.38</v>
      </c>
      <c r="DN60" s="228">
        <v>20.89</v>
      </c>
      <c r="DO60" s="228">
        <v>0.49</v>
      </c>
      <c r="DP60" s="228">
        <v>0.49</v>
      </c>
      <c r="DQ60" s="228">
        <v>0.89</v>
      </c>
      <c r="DR60" s="228">
        <v>0.73</v>
      </c>
      <c r="DS60" s="228">
        <v>0.16</v>
      </c>
      <c r="DT60" s="229">
        <v>0.21920000000000001</v>
      </c>
      <c r="DU60" s="231">
        <v>7500</v>
      </c>
      <c r="DV60" s="231">
        <v>7000</v>
      </c>
      <c r="DW60" s="228">
        <v>0.28999999999999998</v>
      </c>
      <c r="DX60" s="228">
        <v>0.41</v>
      </c>
      <c r="DY60" s="228">
        <v>-0.12</v>
      </c>
      <c r="DZ60" s="229">
        <v>-0.29270000000000002</v>
      </c>
      <c r="EA60" s="229">
        <v>0.3085</v>
      </c>
      <c r="EB60" s="230">
        <v>325775</v>
      </c>
      <c r="EC60" s="229">
        <v>7.1999999999999998E-3</v>
      </c>
      <c r="ED60" s="229">
        <v>0.3085</v>
      </c>
      <c r="EE60" s="228">
        <v>50.27</v>
      </c>
      <c r="EF60" s="229">
        <v>7.1000000000000004E-3</v>
      </c>
      <c r="EG60" s="230">
        <v>405930</v>
      </c>
      <c r="EH60" s="230">
        <v>287095</v>
      </c>
      <c r="EI60" s="229">
        <v>0.41389999999999999</v>
      </c>
      <c r="EJ60" s="229">
        <v>0.46329999999999999</v>
      </c>
      <c r="EK60" s="231">
        <v>22199.26</v>
      </c>
      <c r="EL60" s="231">
        <v>6294.09</v>
      </c>
      <c r="EM60" s="231">
        <v>1862.35</v>
      </c>
      <c r="EN60" s="228">
        <v>66.38</v>
      </c>
      <c r="EO60" s="231">
        <v>30355.71</v>
      </c>
      <c r="EP60" s="231">
        <v>5889.95</v>
      </c>
      <c r="EQ60" s="231">
        <v>24465.75</v>
      </c>
      <c r="ER60" s="229">
        <v>4.1538000000000004</v>
      </c>
      <c r="ES60" s="231">
        <v>2001.44</v>
      </c>
      <c r="ET60" s="231">
        <v>1636.6</v>
      </c>
      <c r="EU60" s="231">
        <v>2223.37</v>
      </c>
      <c r="EV60" s="231">
        <v>20353850</v>
      </c>
      <c r="EW60" s="231">
        <v>5861.41</v>
      </c>
      <c r="EX60" s="231">
        <v>5023.0600000000004</v>
      </c>
      <c r="EY60" s="228">
        <v>838.35</v>
      </c>
      <c r="EZ60" s="229">
        <v>0.16689999999999999</v>
      </c>
      <c r="FA60" s="229">
        <v>0.40770000000000001</v>
      </c>
      <c r="FB60" s="227" t="s">
        <v>555</v>
      </c>
      <c r="FC60">
        <f t="shared" si="0"/>
        <v>684</v>
      </c>
    </row>
    <row r="61" spans="1:159" ht="17.25" thickBot="1" x14ac:dyDescent="0.3">
      <c r="A61" s="226">
        <v>45981</v>
      </c>
      <c r="B61" s="227" t="s">
        <v>615</v>
      </c>
      <c r="C61" s="227" t="s">
        <v>668</v>
      </c>
      <c r="D61" s="228">
        <v>2425</v>
      </c>
      <c r="E61" s="228">
        <v>5</v>
      </c>
      <c r="F61" s="228">
        <v>306.75</v>
      </c>
      <c r="G61" s="228">
        <v>306.8</v>
      </c>
      <c r="H61" s="228">
        <v>-0.05</v>
      </c>
      <c r="I61" s="229">
        <v>-2.0000000000000001E-4</v>
      </c>
      <c r="J61" s="228">
        <v>306.89999999999998</v>
      </c>
      <c r="K61" s="228">
        <v>306.60000000000002</v>
      </c>
      <c r="L61" s="228">
        <v>0.3</v>
      </c>
      <c r="M61" s="229">
        <v>1E-3</v>
      </c>
      <c r="N61" s="228">
        <v>306.75</v>
      </c>
      <c r="O61" s="228">
        <v>306.8</v>
      </c>
      <c r="P61" s="228">
        <v>-0.05</v>
      </c>
      <c r="Q61" s="229">
        <v>-2.0000000000000001E-4</v>
      </c>
      <c r="R61" s="228">
        <v>308.85000000000002</v>
      </c>
      <c r="S61" s="228">
        <v>308.85000000000002</v>
      </c>
      <c r="T61" s="228">
        <v>0</v>
      </c>
      <c r="U61" s="229">
        <v>0</v>
      </c>
      <c r="V61" s="228">
        <v>310.7</v>
      </c>
      <c r="W61" s="228">
        <v>310.64999999999998</v>
      </c>
      <c r="X61" s="228">
        <v>0.05</v>
      </c>
      <c r="Y61" s="229">
        <v>2.0000000000000001E-4</v>
      </c>
      <c r="Z61" s="228">
        <v>-0.15</v>
      </c>
      <c r="AA61" s="228">
        <v>0.2</v>
      </c>
      <c r="AB61" s="228">
        <v>-0.35</v>
      </c>
      <c r="AC61" s="229">
        <v>-5.0000000000000001E-4</v>
      </c>
      <c r="AD61" s="228">
        <v>-0.15</v>
      </c>
      <c r="AE61" s="228">
        <v>0.2</v>
      </c>
      <c r="AF61" s="228">
        <v>-0.35</v>
      </c>
      <c r="AG61" s="229">
        <v>-5.0000000000000001E-4</v>
      </c>
      <c r="AH61" s="228">
        <v>1.95</v>
      </c>
      <c r="AI61" s="228">
        <v>2.25</v>
      </c>
      <c r="AJ61" s="228">
        <v>-0.3</v>
      </c>
      <c r="AK61" s="229">
        <v>6.4000000000000003E-3</v>
      </c>
      <c r="AL61" s="228">
        <v>3.8</v>
      </c>
      <c r="AM61" s="228">
        <v>4.05</v>
      </c>
      <c r="AN61" s="228">
        <v>-0.25</v>
      </c>
      <c r="AO61" s="229">
        <v>1.24E-2</v>
      </c>
      <c r="AP61" s="228">
        <v>307.04000000000002</v>
      </c>
      <c r="AQ61" s="228">
        <v>309.13</v>
      </c>
      <c r="AR61" s="228">
        <v>0</v>
      </c>
      <c r="AS61" s="230">
        <v>5525</v>
      </c>
      <c r="AT61" s="228">
        <v>745</v>
      </c>
      <c r="AU61" s="230">
        <v>4780</v>
      </c>
      <c r="AV61" s="229">
        <v>6.4180999999999999</v>
      </c>
      <c r="AW61" s="230">
        <v>2792</v>
      </c>
      <c r="AX61" s="228">
        <v>521</v>
      </c>
      <c r="AY61" s="230">
        <v>2270</v>
      </c>
      <c r="AZ61" s="229">
        <v>4.3539000000000003</v>
      </c>
      <c r="BA61" s="230">
        <v>2721</v>
      </c>
      <c r="BB61" s="228">
        <v>216</v>
      </c>
      <c r="BC61" s="230">
        <v>2505</v>
      </c>
      <c r="BD61" s="229">
        <v>11.605399999999999</v>
      </c>
      <c r="BE61" s="228">
        <v>12</v>
      </c>
      <c r="BF61" s="228">
        <v>7</v>
      </c>
      <c r="BG61" s="228">
        <v>4</v>
      </c>
      <c r="BH61" s="229">
        <v>0.57999999999999996</v>
      </c>
      <c r="BI61" s="230">
        <v>2780</v>
      </c>
      <c r="BJ61" s="230">
        <v>2799</v>
      </c>
      <c r="BK61" s="228">
        <v>-19</v>
      </c>
      <c r="BL61" s="229">
        <v>-6.8999999999999999E-3</v>
      </c>
      <c r="BM61" s="228">
        <v>896</v>
      </c>
      <c r="BN61" s="230">
        <v>1022</v>
      </c>
      <c r="BO61" s="228">
        <v>-125</v>
      </c>
      <c r="BP61" s="229">
        <v>-0.1226</v>
      </c>
      <c r="BQ61" s="230">
        <v>9201</v>
      </c>
      <c r="BR61" s="230">
        <v>4565</v>
      </c>
      <c r="BS61" s="230">
        <v>4635</v>
      </c>
      <c r="BT61" s="229">
        <v>1.0154000000000001</v>
      </c>
      <c r="BU61" s="230">
        <v>16800466</v>
      </c>
      <c r="BV61" s="230">
        <v>16134803</v>
      </c>
      <c r="BW61" s="230">
        <v>665663</v>
      </c>
      <c r="BX61" s="229">
        <v>4.1300000000000003E-2</v>
      </c>
      <c r="BY61" s="230">
        <v>9332</v>
      </c>
      <c r="BZ61" s="230">
        <v>9308</v>
      </c>
      <c r="CA61" s="228">
        <v>24</v>
      </c>
      <c r="CB61" s="229">
        <v>2.5999999999999999E-3</v>
      </c>
      <c r="CC61" s="230">
        <v>5858</v>
      </c>
      <c r="CD61" s="230">
        <v>8424</v>
      </c>
      <c r="CE61" s="230">
        <v>-2566</v>
      </c>
      <c r="CF61" s="229">
        <v>-0.30459999999999998</v>
      </c>
      <c r="CG61" s="230">
        <v>3420</v>
      </c>
      <c r="CH61" s="228">
        <v>832</v>
      </c>
      <c r="CI61" s="230">
        <v>2588</v>
      </c>
      <c r="CJ61" s="229">
        <v>3.1086999999999998</v>
      </c>
      <c r="CK61" s="228">
        <v>54</v>
      </c>
      <c r="CL61" s="228">
        <v>52</v>
      </c>
      <c r="CM61" s="228">
        <v>2</v>
      </c>
      <c r="CN61" s="229">
        <v>4.0300000000000002E-2</v>
      </c>
      <c r="CO61" s="230">
        <v>3266</v>
      </c>
      <c r="CP61" s="230">
        <v>3527</v>
      </c>
      <c r="CQ61" s="228">
        <v>-261</v>
      </c>
      <c r="CR61" s="229">
        <v>-7.3999999999999996E-2</v>
      </c>
      <c r="CS61" s="230">
        <v>1643</v>
      </c>
      <c r="CT61" s="230">
        <v>1665</v>
      </c>
      <c r="CU61" s="228">
        <v>-22</v>
      </c>
      <c r="CV61" s="229">
        <v>-1.34E-2</v>
      </c>
      <c r="CW61" s="230">
        <v>14241</v>
      </c>
      <c r="CX61" s="230">
        <v>14501</v>
      </c>
      <c r="CY61" s="228">
        <v>-259</v>
      </c>
      <c r="CZ61" s="229">
        <v>-1.7899999999999999E-2</v>
      </c>
      <c r="DA61" s="228">
        <v>28.17</v>
      </c>
      <c r="DB61" s="228">
        <v>29.93</v>
      </c>
      <c r="DC61" s="228">
        <v>-1.76</v>
      </c>
      <c r="DD61" s="228">
        <v>-1.76</v>
      </c>
      <c r="DE61" s="228">
        <v>44.65</v>
      </c>
      <c r="DF61" s="228">
        <v>44.76</v>
      </c>
      <c r="DG61" s="228">
        <v>-16.48</v>
      </c>
      <c r="DH61" s="228">
        <v>-0.11</v>
      </c>
      <c r="DI61" s="228">
        <v>27.99</v>
      </c>
      <c r="DJ61" s="228">
        <v>30.5</v>
      </c>
      <c r="DK61" s="228">
        <v>-2.5099999999999998</v>
      </c>
      <c r="DL61" s="228">
        <v>-2.5099999999999998</v>
      </c>
      <c r="DM61" s="228">
        <v>28.63</v>
      </c>
      <c r="DN61" s="228">
        <v>28.37</v>
      </c>
      <c r="DO61" s="228">
        <v>0.26</v>
      </c>
      <c r="DP61" s="228">
        <v>0.26</v>
      </c>
      <c r="DQ61" s="228">
        <v>0.5</v>
      </c>
      <c r="DR61" s="228">
        <v>0.47</v>
      </c>
      <c r="DS61" s="228">
        <v>0.03</v>
      </c>
      <c r="DT61" s="229">
        <v>6.3799999999999996E-2</v>
      </c>
      <c r="DU61" s="228">
        <v>330</v>
      </c>
      <c r="DV61" s="228">
        <v>300</v>
      </c>
      <c r="DW61" s="228">
        <v>0.32</v>
      </c>
      <c r="DX61" s="228">
        <v>0.37</v>
      </c>
      <c r="DY61" s="228">
        <v>-0.05</v>
      </c>
      <c r="DZ61" s="229">
        <v>-0.1351</v>
      </c>
      <c r="EA61" s="229">
        <v>0.37230000000000002</v>
      </c>
      <c r="EB61" s="230">
        <v>28821125</v>
      </c>
      <c r="EC61" s="229">
        <v>6.7999999999999996E-3</v>
      </c>
      <c r="ED61" s="229">
        <v>0.37230000000000002</v>
      </c>
      <c r="EE61" s="228">
        <v>2.09</v>
      </c>
      <c r="EF61" s="229">
        <v>6.7999999999999996E-3</v>
      </c>
      <c r="EG61" s="230">
        <v>11147738</v>
      </c>
      <c r="EH61" s="230">
        <v>9262738</v>
      </c>
      <c r="EI61" s="229">
        <v>0.20349999999999999</v>
      </c>
      <c r="EJ61" s="229">
        <v>0.66349999999999998</v>
      </c>
      <c r="EK61" s="231">
        <v>2939.64</v>
      </c>
      <c r="EL61" s="228">
        <v>894.04</v>
      </c>
      <c r="EM61" s="231">
        <v>5548.62</v>
      </c>
      <c r="EN61" s="228">
        <v>155.38999999999999</v>
      </c>
      <c r="EO61" s="231">
        <v>9382.2900000000009</v>
      </c>
      <c r="EP61" s="231">
        <v>4717.49</v>
      </c>
      <c r="EQ61" s="231">
        <v>4664.8</v>
      </c>
      <c r="ER61" s="229">
        <v>0.98880000000000001</v>
      </c>
      <c r="ES61" s="231">
        <v>3516.66</v>
      </c>
      <c r="ET61" s="231">
        <v>1652.88</v>
      </c>
      <c r="EU61" s="231">
        <v>9356.09</v>
      </c>
      <c r="EV61" s="231">
        <v>1361988292</v>
      </c>
      <c r="EW61" s="231">
        <v>14525.63</v>
      </c>
      <c r="EX61" s="231">
        <v>14797.83</v>
      </c>
      <c r="EY61" s="228">
        <v>-272.2</v>
      </c>
      <c r="EZ61" s="229">
        <v>-1.84E-2</v>
      </c>
      <c r="FA61" s="229">
        <v>0.34089999999999998</v>
      </c>
      <c r="FB61" s="227" t="s">
        <v>567</v>
      </c>
      <c r="FC61">
        <f t="shared" si="0"/>
        <v>3474</v>
      </c>
    </row>
    <row r="62" spans="1:159" ht="17.25" thickBot="1" x14ac:dyDescent="0.3">
      <c r="A62" s="226">
        <v>45981</v>
      </c>
      <c r="B62" s="227" t="s">
        <v>162</v>
      </c>
      <c r="C62" s="227" t="s">
        <v>211</v>
      </c>
      <c r="D62" s="228">
        <v>1800</v>
      </c>
      <c r="E62" s="228">
        <v>5</v>
      </c>
      <c r="F62" s="228">
        <v>381.4</v>
      </c>
      <c r="G62" s="228">
        <v>380.75</v>
      </c>
      <c r="H62" s="228">
        <v>0.65</v>
      </c>
      <c r="I62" s="229">
        <v>1.6999999999999999E-3</v>
      </c>
      <c r="J62" s="228">
        <v>380.8</v>
      </c>
      <c r="K62" s="228">
        <v>380.9</v>
      </c>
      <c r="L62" s="228">
        <v>-0.1</v>
      </c>
      <c r="M62" s="229">
        <v>-2.9999999999999997E-4</v>
      </c>
      <c r="N62" s="228">
        <v>381.4</v>
      </c>
      <c r="O62" s="228">
        <v>380.75</v>
      </c>
      <c r="P62" s="228">
        <v>0.65</v>
      </c>
      <c r="Q62" s="229">
        <v>1.6999999999999999E-3</v>
      </c>
      <c r="R62" s="228">
        <v>383.9</v>
      </c>
      <c r="S62" s="228">
        <v>383.4</v>
      </c>
      <c r="T62" s="228">
        <v>0.5</v>
      </c>
      <c r="U62" s="229">
        <v>1.2999999999999999E-3</v>
      </c>
      <c r="V62" s="228">
        <v>386.35</v>
      </c>
      <c r="W62" s="228">
        <v>387.65</v>
      </c>
      <c r="X62" s="228">
        <v>-1.3</v>
      </c>
      <c r="Y62" s="229">
        <v>-3.3999999999999998E-3</v>
      </c>
      <c r="Z62" s="228">
        <v>0.6</v>
      </c>
      <c r="AA62" s="228">
        <v>-0.15</v>
      </c>
      <c r="AB62" s="228">
        <v>0.75</v>
      </c>
      <c r="AC62" s="229">
        <v>1.6000000000000001E-3</v>
      </c>
      <c r="AD62" s="228">
        <v>0.6</v>
      </c>
      <c r="AE62" s="228">
        <v>-0.15</v>
      </c>
      <c r="AF62" s="228">
        <v>0.75</v>
      </c>
      <c r="AG62" s="229">
        <v>1.6000000000000001E-3</v>
      </c>
      <c r="AH62" s="228">
        <v>3.1</v>
      </c>
      <c r="AI62" s="228">
        <v>2.5</v>
      </c>
      <c r="AJ62" s="228">
        <v>0.6</v>
      </c>
      <c r="AK62" s="229">
        <v>8.0999999999999996E-3</v>
      </c>
      <c r="AL62" s="228">
        <v>5.55</v>
      </c>
      <c r="AM62" s="228">
        <v>6.75</v>
      </c>
      <c r="AN62" s="228">
        <v>-1.2</v>
      </c>
      <c r="AO62" s="229">
        <v>1.46E-2</v>
      </c>
      <c r="AP62" s="228">
        <v>382.11</v>
      </c>
      <c r="AQ62" s="228">
        <v>384.55</v>
      </c>
      <c r="AR62" s="228">
        <v>0</v>
      </c>
      <c r="AS62" s="228">
        <v>442</v>
      </c>
      <c r="AT62" s="228">
        <v>330</v>
      </c>
      <c r="AU62" s="228">
        <v>112</v>
      </c>
      <c r="AV62" s="229">
        <v>0.33860000000000001</v>
      </c>
      <c r="AW62" s="228">
        <v>235</v>
      </c>
      <c r="AX62" s="228">
        <v>214</v>
      </c>
      <c r="AY62" s="228">
        <v>20</v>
      </c>
      <c r="AZ62" s="229">
        <v>9.5399999999999999E-2</v>
      </c>
      <c r="BA62" s="228">
        <v>204</v>
      </c>
      <c r="BB62" s="228">
        <v>113</v>
      </c>
      <c r="BC62" s="228">
        <v>91</v>
      </c>
      <c r="BD62" s="229">
        <v>0.80740000000000001</v>
      </c>
      <c r="BE62" s="228">
        <v>3</v>
      </c>
      <c r="BF62" s="228">
        <v>3</v>
      </c>
      <c r="BG62" s="228">
        <v>0</v>
      </c>
      <c r="BH62" s="229">
        <v>2.5600000000000001E-2</v>
      </c>
      <c r="BI62" s="228">
        <v>547</v>
      </c>
      <c r="BJ62" s="228">
        <v>836</v>
      </c>
      <c r="BK62" s="228">
        <v>-288</v>
      </c>
      <c r="BL62" s="229">
        <v>-0.34489999999999998</v>
      </c>
      <c r="BM62" s="228">
        <v>211</v>
      </c>
      <c r="BN62" s="228">
        <v>350</v>
      </c>
      <c r="BO62" s="228">
        <v>-139</v>
      </c>
      <c r="BP62" s="229">
        <v>-0.39700000000000002</v>
      </c>
      <c r="BQ62" s="230">
        <v>1200</v>
      </c>
      <c r="BR62" s="230">
        <v>1516</v>
      </c>
      <c r="BS62" s="228">
        <v>-315</v>
      </c>
      <c r="BT62" s="229">
        <v>-0.20810000000000001</v>
      </c>
      <c r="BU62" s="230">
        <v>1303172</v>
      </c>
      <c r="BV62" s="230">
        <v>1480793</v>
      </c>
      <c r="BW62" s="230">
        <v>-177621</v>
      </c>
      <c r="BX62" s="229">
        <v>-0.11990000000000001</v>
      </c>
      <c r="BY62" s="230">
        <v>1375</v>
      </c>
      <c r="BZ62" s="230">
        <v>1389</v>
      </c>
      <c r="CA62" s="228">
        <v>-14</v>
      </c>
      <c r="CB62" s="229">
        <v>-0.01</v>
      </c>
      <c r="CC62" s="228">
        <v>924</v>
      </c>
      <c r="CD62" s="230">
        <v>1085</v>
      </c>
      <c r="CE62" s="228">
        <v>-161</v>
      </c>
      <c r="CF62" s="229">
        <v>-0.14849999999999999</v>
      </c>
      <c r="CG62" s="228">
        <v>440</v>
      </c>
      <c r="CH62" s="228">
        <v>295</v>
      </c>
      <c r="CI62" s="228">
        <v>146</v>
      </c>
      <c r="CJ62" s="229">
        <v>0.49490000000000001</v>
      </c>
      <c r="CK62" s="228">
        <v>11</v>
      </c>
      <c r="CL62" s="228">
        <v>10</v>
      </c>
      <c r="CM62" s="228">
        <v>1</v>
      </c>
      <c r="CN62" s="229">
        <v>0.13789999999999999</v>
      </c>
      <c r="CO62" s="228">
        <v>683</v>
      </c>
      <c r="CP62" s="228">
        <v>697</v>
      </c>
      <c r="CQ62" s="228">
        <v>-15</v>
      </c>
      <c r="CR62" s="229">
        <v>-2.1100000000000001E-2</v>
      </c>
      <c r="CS62" s="228">
        <v>445</v>
      </c>
      <c r="CT62" s="228">
        <v>465</v>
      </c>
      <c r="CU62" s="228">
        <v>-20</v>
      </c>
      <c r="CV62" s="229">
        <v>-4.2700000000000002E-2</v>
      </c>
      <c r="CW62" s="230">
        <v>2503</v>
      </c>
      <c r="CX62" s="230">
        <v>2551</v>
      </c>
      <c r="CY62" s="228">
        <v>-48</v>
      </c>
      <c r="CZ62" s="229">
        <v>-1.9E-2</v>
      </c>
      <c r="DA62" s="228">
        <v>22.55</v>
      </c>
      <c r="DB62" s="228">
        <v>23.71</v>
      </c>
      <c r="DC62" s="228">
        <v>-1.1599999999999999</v>
      </c>
      <c r="DD62" s="228">
        <v>-1.1599999999999999</v>
      </c>
      <c r="DE62" s="228">
        <v>34.08</v>
      </c>
      <c r="DF62" s="228">
        <v>34.17</v>
      </c>
      <c r="DG62" s="228">
        <v>-11.53</v>
      </c>
      <c r="DH62" s="228">
        <v>-0.09</v>
      </c>
      <c r="DI62" s="228">
        <v>22.48</v>
      </c>
      <c r="DJ62" s="228">
        <v>23.69</v>
      </c>
      <c r="DK62" s="228">
        <v>-1.21</v>
      </c>
      <c r="DL62" s="228">
        <v>-1.21</v>
      </c>
      <c r="DM62" s="228">
        <v>22.66</v>
      </c>
      <c r="DN62" s="228">
        <v>23.78</v>
      </c>
      <c r="DO62" s="228">
        <v>-1.1200000000000001</v>
      </c>
      <c r="DP62" s="228">
        <v>-1.1200000000000001</v>
      </c>
      <c r="DQ62" s="228">
        <v>0.65</v>
      </c>
      <c r="DR62" s="228">
        <v>0.67</v>
      </c>
      <c r="DS62" s="228">
        <v>-0.02</v>
      </c>
      <c r="DT62" s="229">
        <v>-2.9899999999999999E-2</v>
      </c>
      <c r="DU62" s="228">
        <v>400</v>
      </c>
      <c r="DV62" s="228">
        <v>380</v>
      </c>
      <c r="DW62" s="228">
        <v>0.39</v>
      </c>
      <c r="DX62" s="228">
        <v>0.42</v>
      </c>
      <c r="DY62" s="228">
        <v>-0.03</v>
      </c>
      <c r="DZ62" s="229">
        <v>-7.1400000000000005E-2</v>
      </c>
      <c r="EA62" s="229">
        <v>0.32829999999999998</v>
      </c>
      <c r="EB62" s="230">
        <v>7983000</v>
      </c>
      <c r="EC62" s="229">
        <v>6.6E-3</v>
      </c>
      <c r="ED62" s="229">
        <v>0.32829999999999998</v>
      </c>
      <c r="EE62" s="228">
        <v>2.44</v>
      </c>
      <c r="EF62" s="229">
        <v>6.4000000000000003E-3</v>
      </c>
      <c r="EG62" s="230">
        <v>692047</v>
      </c>
      <c r="EH62" s="230">
        <v>614519</v>
      </c>
      <c r="EI62" s="229">
        <v>0.12620000000000001</v>
      </c>
      <c r="EJ62" s="229">
        <v>0.53100000000000003</v>
      </c>
      <c r="EK62" s="228">
        <v>563.26</v>
      </c>
      <c r="EL62" s="228">
        <v>210.06</v>
      </c>
      <c r="EM62" s="228">
        <v>444.01</v>
      </c>
      <c r="EN62" s="228">
        <v>45.3</v>
      </c>
      <c r="EO62" s="231">
        <v>1217.33</v>
      </c>
      <c r="EP62" s="231">
        <v>1539.96</v>
      </c>
      <c r="EQ62" s="228">
        <v>-322.63</v>
      </c>
      <c r="ER62" s="229">
        <v>-0.20949999999999999</v>
      </c>
      <c r="ES62" s="228">
        <v>710.6</v>
      </c>
      <c r="ET62" s="228">
        <v>444.56</v>
      </c>
      <c r="EU62" s="231">
        <v>1378.48</v>
      </c>
      <c r="EV62" s="231">
        <v>68856800</v>
      </c>
      <c r="EW62" s="231">
        <v>2533.64</v>
      </c>
      <c r="EX62" s="231">
        <v>2579.56</v>
      </c>
      <c r="EY62" s="228">
        <v>-45.92</v>
      </c>
      <c r="EZ62" s="229">
        <v>-1.78E-2</v>
      </c>
      <c r="FA62" s="229">
        <v>0.95299999999999996</v>
      </c>
      <c r="FB62" s="227" t="s">
        <v>556</v>
      </c>
      <c r="FC62">
        <f t="shared" si="0"/>
        <v>451</v>
      </c>
    </row>
    <row r="63" spans="1:159" ht="17.25" thickBot="1" x14ac:dyDescent="0.3">
      <c r="A63" s="226">
        <v>45981</v>
      </c>
      <c r="B63" s="227" t="s">
        <v>172</v>
      </c>
      <c r="C63" s="227" t="s">
        <v>212</v>
      </c>
      <c r="D63" s="228">
        <v>5000</v>
      </c>
      <c r="E63" s="228">
        <v>5</v>
      </c>
      <c r="F63" s="228">
        <v>244.79</v>
      </c>
      <c r="G63" s="228">
        <v>245.39</v>
      </c>
      <c r="H63" s="228">
        <v>-0.6</v>
      </c>
      <c r="I63" s="229">
        <v>-2.3999999999999998E-3</v>
      </c>
      <c r="J63" s="228">
        <v>244.93</v>
      </c>
      <c r="K63" s="228">
        <v>246.02</v>
      </c>
      <c r="L63" s="228">
        <v>-1.0900000000000001</v>
      </c>
      <c r="M63" s="229">
        <v>-4.4000000000000003E-3</v>
      </c>
      <c r="N63" s="228">
        <v>244.79</v>
      </c>
      <c r="O63" s="228">
        <v>245.39</v>
      </c>
      <c r="P63" s="228">
        <v>-0.6</v>
      </c>
      <c r="Q63" s="229">
        <v>-2.3999999999999998E-3</v>
      </c>
      <c r="R63" s="228">
        <v>245.93</v>
      </c>
      <c r="S63" s="228">
        <v>246.54</v>
      </c>
      <c r="T63" s="228">
        <v>-0.61</v>
      </c>
      <c r="U63" s="229">
        <v>-2.5000000000000001E-3</v>
      </c>
      <c r="V63" s="228">
        <v>246.95</v>
      </c>
      <c r="W63" s="228">
        <v>247.49</v>
      </c>
      <c r="X63" s="228">
        <v>-0.54</v>
      </c>
      <c r="Y63" s="229">
        <v>-2.2000000000000001E-3</v>
      </c>
      <c r="Z63" s="228">
        <v>-0.14000000000000001</v>
      </c>
      <c r="AA63" s="228">
        <v>-0.63</v>
      </c>
      <c r="AB63" s="228">
        <v>0.49</v>
      </c>
      <c r="AC63" s="229">
        <v>-5.9999999999999995E-4</v>
      </c>
      <c r="AD63" s="228">
        <v>-0.14000000000000001</v>
      </c>
      <c r="AE63" s="228">
        <v>-0.63</v>
      </c>
      <c r="AF63" s="228">
        <v>0.49</v>
      </c>
      <c r="AG63" s="229">
        <v>-5.9999999999999995E-4</v>
      </c>
      <c r="AH63" s="228">
        <v>1</v>
      </c>
      <c r="AI63" s="228">
        <v>0.52</v>
      </c>
      <c r="AJ63" s="228">
        <v>0.48</v>
      </c>
      <c r="AK63" s="229">
        <v>4.1000000000000003E-3</v>
      </c>
      <c r="AL63" s="228">
        <v>2.02</v>
      </c>
      <c r="AM63" s="228">
        <v>1.47</v>
      </c>
      <c r="AN63" s="228">
        <v>0.55000000000000004</v>
      </c>
      <c r="AO63" s="229">
        <v>8.2000000000000007E-3</v>
      </c>
      <c r="AP63" s="228">
        <v>244.83</v>
      </c>
      <c r="AQ63" s="228">
        <v>245.96</v>
      </c>
      <c r="AR63" s="228">
        <v>0</v>
      </c>
      <c r="AS63" s="228">
        <v>845</v>
      </c>
      <c r="AT63" s="228">
        <v>753</v>
      </c>
      <c r="AU63" s="228">
        <v>92</v>
      </c>
      <c r="AV63" s="229">
        <v>0.1217</v>
      </c>
      <c r="AW63" s="228">
        <v>466</v>
      </c>
      <c r="AX63" s="228">
        <v>534</v>
      </c>
      <c r="AY63" s="228">
        <v>-68</v>
      </c>
      <c r="AZ63" s="229">
        <v>-0.12690000000000001</v>
      </c>
      <c r="BA63" s="228">
        <v>372</v>
      </c>
      <c r="BB63" s="228">
        <v>210</v>
      </c>
      <c r="BC63" s="228">
        <v>162</v>
      </c>
      <c r="BD63" s="229">
        <v>0.77390000000000003</v>
      </c>
      <c r="BE63" s="228">
        <v>7</v>
      </c>
      <c r="BF63" s="228">
        <v>10</v>
      </c>
      <c r="BG63" s="228">
        <v>-3</v>
      </c>
      <c r="BH63" s="229">
        <v>-0.27710000000000001</v>
      </c>
      <c r="BI63" s="230">
        <v>1397</v>
      </c>
      <c r="BJ63" s="230">
        <v>3162</v>
      </c>
      <c r="BK63" s="230">
        <v>-1765</v>
      </c>
      <c r="BL63" s="229">
        <v>-0.55810000000000004</v>
      </c>
      <c r="BM63" s="228">
        <v>932</v>
      </c>
      <c r="BN63" s="230">
        <v>1509</v>
      </c>
      <c r="BO63" s="228">
        <v>-576</v>
      </c>
      <c r="BP63" s="229">
        <v>-0.3821</v>
      </c>
      <c r="BQ63" s="230">
        <v>3174</v>
      </c>
      <c r="BR63" s="230">
        <v>5424</v>
      </c>
      <c r="BS63" s="230">
        <v>-2249</v>
      </c>
      <c r="BT63" s="229">
        <v>-0.41470000000000001</v>
      </c>
      <c r="BU63" s="230">
        <v>4907863</v>
      </c>
      <c r="BV63" s="230">
        <v>15856815</v>
      </c>
      <c r="BW63" s="230">
        <v>-10948952</v>
      </c>
      <c r="BX63" s="229">
        <v>-0.6905</v>
      </c>
      <c r="BY63" s="230">
        <v>1469</v>
      </c>
      <c r="BZ63" s="230">
        <v>1482</v>
      </c>
      <c r="CA63" s="228">
        <v>-13</v>
      </c>
      <c r="CB63" s="229">
        <v>-8.9999999999999993E-3</v>
      </c>
      <c r="CC63" s="230">
        <v>1042</v>
      </c>
      <c r="CD63" s="230">
        <v>1263</v>
      </c>
      <c r="CE63" s="228">
        <v>-221</v>
      </c>
      <c r="CF63" s="229">
        <v>-0.1749</v>
      </c>
      <c r="CG63" s="228">
        <v>408</v>
      </c>
      <c r="CH63" s="228">
        <v>203</v>
      </c>
      <c r="CI63" s="228">
        <v>205</v>
      </c>
      <c r="CJ63" s="229">
        <v>1.0115000000000001</v>
      </c>
      <c r="CK63" s="228">
        <v>18</v>
      </c>
      <c r="CL63" s="228">
        <v>16</v>
      </c>
      <c r="CM63" s="228">
        <v>2</v>
      </c>
      <c r="CN63" s="229">
        <v>0.13739999999999999</v>
      </c>
      <c r="CO63" s="230">
        <v>1153</v>
      </c>
      <c r="CP63" s="230">
        <v>1278</v>
      </c>
      <c r="CQ63" s="228">
        <v>-126</v>
      </c>
      <c r="CR63" s="229">
        <v>-9.8299999999999998E-2</v>
      </c>
      <c r="CS63" s="228">
        <v>998</v>
      </c>
      <c r="CT63" s="230">
        <v>1192</v>
      </c>
      <c r="CU63" s="228">
        <v>-194</v>
      </c>
      <c r="CV63" s="229">
        <v>-0.16270000000000001</v>
      </c>
      <c r="CW63" s="230">
        <v>3620</v>
      </c>
      <c r="CX63" s="230">
        <v>3953</v>
      </c>
      <c r="CY63" s="228">
        <v>-333</v>
      </c>
      <c r="CZ63" s="229">
        <v>-8.43E-2</v>
      </c>
      <c r="DA63" s="228">
        <v>19.05</v>
      </c>
      <c r="DB63" s="228">
        <v>23.05</v>
      </c>
      <c r="DC63" s="228">
        <v>-4</v>
      </c>
      <c r="DD63" s="228">
        <v>-4</v>
      </c>
      <c r="DE63" s="228">
        <v>29.09</v>
      </c>
      <c r="DF63" s="228">
        <v>29.16</v>
      </c>
      <c r="DG63" s="228">
        <v>-10.039999999999999</v>
      </c>
      <c r="DH63" s="228">
        <v>-7.0000000000000007E-2</v>
      </c>
      <c r="DI63" s="228">
        <v>18.79</v>
      </c>
      <c r="DJ63" s="228">
        <v>22.61</v>
      </c>
      <c r="DK63" s="228">
        <v>-3.82</v>
      </c>
      <c r="DL63" s="228">
        <v>-3.82</v>
      </c>
      <c r="DM63" s="228">
        <v>19.41</v>
      </c>
      <c r="DN63" s="228">
        <v>23.97</v>
      </c>
      <c r="DO63" s="228">
        <v>-4.5599999999999996</v>
      </c>
      <c r="DP63" s="228">
        <v>-4.5599999999999996</v>
      </c>
      <c r="DQ63" s="228">
        <v>0.87</v>
      </c>
      <c r="DR63" s="228">
        <v>0.93</v>
      </c>
      <c r="DS63" s="228">
        <v>-0.06</v>
      </c>
      <c r="DT63" s="229">
        <v>-6.4500000000000002E-2</v>
      </c>
      <c r="DU63" s="228">
        <v>250</v>
      </c>
      <c r="DV63" s="228">
        <v>240</v>
      </c>
      <c r="DW63" s="228">
        <v>0.67</v>
      </c>
      <c r="DX63" s="228">
        <v>0.48</v>
      </c>
      <c r="DY63" s="228">
        <v>0.19</v>
      </c>
      <c r="DZ63" s="229">
        <v>0.39579999999999999</v>
      </c>
      <c r="EA63" s="229">
        <v>0.29049999999999998</v>
      </c>
      <c r="EB63" s="230">
        <v>8950000</v>
      </c>
      <c r="EC63" s="229">
        <v>4.7000000000000002E-3</v>
      </c>
      <c r="ED63" s="229">
        <v>0.29049999999999998</v>
      </c>
      <c r="EE63" s="228">
        <v>1.1299999999999999</v>
      </c>
      <c r="EF63" s="229">
        <v>4.5999999999999999E-3</v>
      </c>
      <c r="EG63" s="230">
        <v>2823907</v>
      </c>
      <c r="EH63" s="230">
        <v>9106072</v>
      </c>
      <c r="EI63" s="229">
        <v>-0.68989999999999996</v>
      </c>
      <c r="EJ63" s="229">
        <v>0.57540000000000002</v>
      </c>
      <c r="EK63" s="231">
        <v>1444.42</v>
      </c>
      <c r="EL63" s="228">
        <v>906.79</v>
      </c>
      <c r="EM63" s="228">
        <v>846.83</v>
      </c>
      <c r="EN63" s="228">
        <v>47.71</v>
      </c>
      <c r="EO63" s="231">
        <v>3198.04</v>
      </c>
      <c r="EP63" s="231">
        <v>5510.78</v>
      </c>
      <c r="EQ63" s="231">
        <v>-2312.7399999999998</v>
      </c>
      <c r="ER63" s="229">
        <v>-0.41970000000000002</v>
      </c>
      <c r="ES63" s="231">
        <v>1157.3</v>
      </c>
      <c r="ET63" s="228">
        <v>937.05</v>
      </c>
      <c r="EU63" s="231">
        <v>1470.68</v>
      </c>
      <c r="EV63" s="231">
        <v>338654719</v>
      </c>
      <c r="EW63" s="231">
        <v>3565.03</v>
      </c>
      <c r="EX63" s="231">
        <v>3892.6</v>
      </c>
      <c r="EY63" s="228">
        <v>-327.57</v>
      </c>
      <c r="EZ63" s="229">
        <v>-8.4199999999999997E-2</v>
      </c>
      <c r="FA63" s="229">
        <v>0.43659999999999999</v>
      </c>
      <c r="FB63" s="227" t="s">
        <v>568</v>
      </c>
      <c r="FC63">
        <f t="shared" si="0"/>
        <v>427</v>
      </c>
    </row>
    <row r="64" spans="1:159" ht="17.25" thickBot="1" x14ac:dyDescent="0.3">
      <c r="A64" s="226">
        <v>45981</v>
      </c>
      <c r="B64" s="227" t="s">
        <v>181</v>
      </c>
      <c r="C64" s="227" t="s">
        <v>480</v>
      </c>
      <c r="D64" s="228">
        <v>65</v>
      </c>
      <c r="E64" s="228">
        <v>5</v>
      </c>
      <c r="F64" s="231">
        <v>27885.599999999999</v>
      </c>
      <c r="G64" s="231">
        <v>27662.400000000001</v>
      </c>
      <c r="H64" s="228">
        <v>223.2</v>
      </c>
      <c r="I64" s="229">
        <v>8.0999999999999996E-3</v>
      </c>
      <c r="J64" s="231">
        <v>27861.35</v>
      </c>
      <c r="K64" s="231">
        <v>27643.7</v>
      </c>
      <c r="L64" s="228">
        <v>217.65</v>
      </c>
      <c r="M64" s="229">
        <v>7.9000000000000008E-3</v>
      </c>
      <c r="N64" s="231">
        <v>27885.599999999999</v>
      </c>
      <c r="O64" s="231">
        <v>27662.400000000001</v>
      </c>
      <c r="P64" s="228">
        <v>223.2</v>
      </c>
      <c r="Q64" s="229">
        <v>8.0999999999999996E-3</v>
      </c>
      <c r="R64" s="231">
        <v>28039.8</v>
      </c>
      <c r="S64" s="231">
        <v>27818.6</v>
      </c>
      <c r="T64" s="228">
        <v>221.2</v>
      </c>
      <c r="U64" s="229">
        <v>8.0000000000000002E-3</v>
      </c>
      <c r="V64" s="228">
        <v>0</v>
      </c>
      <c r="W64" s="228">
        <v>0</v>
      </c>
      <c r="X64" s="228">
        <v>0</v>
      </c>
      <c r="Y64" s="229">
        <v>0</v>
      </c>
      <c r="Z64" s="228">
        <v>24.25</v>
      </c>
      <c r="AA64" s="228">
        <v>18.7</v>
      </c>
      <c r="AB64" s="228">
        <v>5.55</v>
      </c>
      <c r="AC64" s="229">
        <v>8.9999999999999998E-4</v>
      </c>
      <c r="AD64" s="228">
        <v>24.25</v>
      </c>
      <c r="AE64" s="228">
        <v>18.7</v>
      </c>
      <c r="AF64" s="228">
        <v>5.55</v>
      </c>
      <c r="AG64" s="229">
        <v>8.9999999999999998E-4</v>
      </c>
      <c r="AH64" s="228">
        <v>178.45</v>
      </c>
      <c r="AI64" s="228">
        <v>174.9</v>
      </c>
      <c r="AJ64" s="228">
        <v>3.55</v>
      </c>
      <c r="AK64" s="229">
        <v>6.4000000000000003E-3</v>
      </c>
      <c r="AL64" s="228">
        <v>0</v>
      </c>
      <c r="AM64" s="228">
        <v>0</v>
      </c>
      <c r="AN64" s="228">
        <v>0</v>
      </c>
      <c r="AO64" s="229">
        <v>0</v>
      </c>
      <c r="AP64" s="231">
        <v>27829.67</v>
      </c>
      <c r="AQ64" s="231">
        <v>27980.16</v>
      </c>
      <c r="AR64" s="228">
        <v>0</v>
      </c>
      <c r="AS64" s="228">
        <v>87</v>
      </c>
      <c r="AT64" s="228">
        <v>44</v>
      </c>
      <c r="AU64" s="228">
        <v>43</v>
      </c>
      <c r="AV64" s="229">
        <v>0.97540000000000004</v>
      </c>
      <c r="AW64" s="228">
        <v>61</v>
      </c>
      <c r="AX64" s="228">
        <v>36</v>
      </c>
      <c r="AY64" s="228">
        <v>25</v>
      </c>
      <c r="AZ64" s="229">
        <v>0.7107</v>
      </c>
      <c r="BA64" s="228">
        <v>26</v>
      </c>
      <c r="BB64" s="228">
        <v>9</v>
      </c>
      <c r="BC64" s="228">
        <v>18</v>
      </c>
      <c r="BD64" s="229">
        <v>2.0851000000000002</v>
      </c>
      <c r="BE64" s="228">
        <v>0</v>
      </c>
      <c r="BF64" s="228">
        <v>0</v>
      </c>
      <c r="BG64" s="228">
        <v>0</v>
      </c>
      <c r="BH64" s="229">
        <v>0</v>
      </c>
      <c r="BI64" s="230">
        <v>23082</v>
      </c>
      <c r="BJ64" s="230">
        <v>18504</v>
      </c>
      <c r="BK64" s="230">
        <v>4578</v>
      </c>
      <c r="BL64" s="229">
        <v>0.24740000000000001</v>
      </c>
      <c r="BM64" s="230">
        <v>18924</v>
      </c>
      <c r="BN64" s="230">
        <v>17385</v>
      </c>
      <c r="BO64" s="230">
        <v>1539</v>
      </c>
      <c r="BP64" s="229">
        <v>8.8499999999999995E-2</v>
      </c>
      <c r="BQ64" s="230">
        <v>42094</v>
      </c>
      <c r="BR64" s="230">
        <v>35933</v>
      </c>
      <c r="BS64" s="230">
        <v>6161</v>
      </c>
      <c r="BT64" s="229">
        <v>0.1714</v>
      </c>
      <c r="BU64" s="228">
        <v>0</v>
      </c>
      <c r="BV64" s="228">
        <v>0</v>
      </c>
      <c r="BW64" s="228">
        <v>0</v>
      </c>
      <c r="BX64" s="229">
        <v>0</v>
      </c>
      <c r="BY64" s="228">
        <v>115</v>
      </c>
      <c r="BZ64" s="228">
        <v>113</v>
      </c>
      <c r="CA64" s="228">
        <v>2</v>
      </c>
      <c r="CB64" s="229">
        <v>1.61E-2</v>
      </c>
      <c r="CC64" s="228">
        <v>94</v>
      </c>
      <c r="CD64" s="228">
        <v>104</v>
      </c>
      <c r="CE64" s="228">
        <v>-10</v>
      </c>
      <c r="CF64" s="229">
        <v>-9.2700000000000005E-2</v>
      </c>
      <c r="CG64" s="228">
        <v>21</v>
      </c>
      <c r="CH64" s="228">
        <v>9</v>
      </c>
      <c r="CI64" s="228">
        <v>11</v>
      </c>
      <c r="CJ64" s="229">
        <v>1.2353000000000001</v>
      </c>
      <c r="CK64" s="228">
        <v>0</v>
      </c>
      <c r="CL64" s="228">
        <v>0</v>
      </c>
      <c r="CM64" s="228">
        <v>0</v>
      </c>
      <c r="CN64" s="229">
        <v>0</v>
      </c>
      <c r="CO64" s="230">
        <v>3089</v>
      </c>
      <c r="CP64" s="230">
        <v>3686</v>
      </c>
      <c r="CQ64" s="228">
        <v>-597</v>
      </c>
      <c r="CR64" s="229">
        <v>-0.16200000000000001</v>
      </c>
      <c r="CS64" s="230">
        <v>4102</v>
      </c>
      <c r="CT64" s="230">
        <v>3951</v>
      </c>
      <c r="CU64" s="228">
        <v>151</v>
      </c>
      <c r="CV64" s="229">
        <v>3.8199999999999998E-2</v>
      </c>
      <c r="CW64" s="230">
        <v>7306</v>
      </c>
      <c r="CX64" s="230">
        <v>7750</v>
      </c>
      <c r="CY64" s="228">
        <v>-444</v>
      </c>
      <c r="CZ64" s="229">
        <v>-5.7299999999999997E-2</v>
      </c>
      <c r="DA64" s="228">
        <v>11.25</v>
      </c>
      <c r="DB64" s="228">
        <v>13.62</v>
      </c>
      <c r="DC64" s="228">
        <v>-2.37</v>
      </c>
      <c r="DD64" s="228">
        <v>-2.37</v>
      </c>
      <c r="DE64" s="228">
        <v>17</v>
      </c>
      <c r="DF64" s="228">
        <v>17.010000000000002</v>
      </c>
      <c r="DG64" s="228">
        <v>-5.75</v>
      </c>
      <c r="DH64" s="228">
        <v>-0.01</v>
      </c>
      <c r="DI64" s="228">
        <v>10.050000000000001</v>
      </c>
      <c r="DJ64" s="228">
        <v>12.46</v>
      </c>
      <c r="DK64" s="228">
        <v>-2.41</v>
      </c>
      <c r="DL64" s="228">
        <v>-2.41</v>
      </c>
      <c r="DM64" s="228">
        <v>11.57</v>
      </c>
      <c r="DN64" s="228">
        <v>14.85</v>
      </c>
      <c r="DO64" s="228">
        <v>-3.28</v>
      </c>
      <c r="DP64" s="228">
        <v>-3.28</v>
      </c>
      <c r="DQ64" s="228">
        <v>1.33</v>
      </c>
      <c r="DR64" s="228">
        <v>1.07</v>
      </c>
      <c r="DS64" s="228">
        <v>0.26</v>
      </c>
      <c r="DT64" s="229">
        <v>0.24299999999999999</v>
      </c>
      <c r="DU64" s="231">
        <v>27900</v>
      </c>
      <c r="DV64" s="231">
        <v>27500</v>
      </c>
      <c r="DW64" s="228">
        <v>0.82</v>
      </c>
      <c r="DX64" s="228">
        <v>0.94</v>
      </c>
      <c r="DY64" s="228">
        <v>-0.12</v>
      </c>
      <c r="DZ64" s="229">
        <v>-0.12770000000000001</v>
      </c>
      <c r="EA64" s="229">
        <v>0.18010000000000001</v>
      </c>
      <c r="EB64" s="230">
        <v>3315</v>
      </c>
      <c r="EC64" s="229">
        <v>5.4999999999999997E-3</v>
      </c>
      <c r="ED64" s="229">
        <v>0.18010000000000001</v>
      </c>
      <c r="EE64" s="228">
        <v>150.49</v>
      </c>
      <c r="EF64" s="229">
        <v>5.4000000000000003E-3</v>
      </c>
      <c r="EG64" s="228">
        <v>0</v>
      </c>
      <c r="EH64" s="228">
        <v>0</v>
      </c>
      <c r="EI64" s="229">
        <v>0</v>
      </c>
      <c r="EJ64" s="229">
        <v>0</v>
      </c>
      <c r="EK64" s="231">
        <v>23281.51</v>
      </c>
      <c r="EL64" s="231">
        <v>18508.68</v>
      </c>
      <c r="EM64" s="228">
        <v>87.33</v>
      </c>
      <c r="EN64" s="228">
        <v>0</v>
      </c>
      <c r="EO64" s="231">
        <v>41877.519999999997</v>
      </c>
      <c r="EP64" s="231">
        <v>35529.589999999997</v>
      </c>
      <c r="EQ64" s="231">
        <v>6347.93</v>
      </c>
      <c r="ER64" s="229">
        <v>0.1787</v>
      </c>
      <c r="ES64" s="231">
        <v>3121.21</v>
      </c>
      <c r="ET64" s="231">
        <v>3974.66</v>
      </c>
      <c r="EU64" s="228">
        <v>114.85</v>
      </c>
      <c r="EV64" s="228">
        <v>0</v>
      </c>
      <c r="EW64" s="231">
        <v>7210.71</v>
      </c>
      <c r="EX64" s="231">
        <v>7630.82</v>
      </c>
      <c r="EY64" s="228">
        <v>-420.11</v>
      </c>
      <c r="EZ64" s="229">
        <v>-5.5100000000000003E-2</v>
      </c>
      <c r="FA64" s="229">
        <v>0</v>
      </c>
      <c r="FB64" s="227" t="s">
        <v>555</v>
      </c>
      <c r="FC64">
        <f t="shared" si="0"/>
        <v>21</v>
      </c>
    </row>
    <row r="65" spans="1:159" ht="17.25" thickBot="1" x14ac:dyDescent="0.3">
      <c r="A65" s="226">
        <v>45981</v>
      </c>
      <c r="B65" s="227" t="s">
        <v>170</v>
      </c>
      <c r="C65" s="227" t="s">
        <v>678</v>
      </c>
      <c r="D65" s="228">
        <v>775</v>
      </c>
      <c r="E65" s="228">
        <v>5</v>
      </c>
      <c r="F65" s="228">
        <v>932.4</v>
      </c>
      <c r="G65" s="228">
        <v>923.1</v>
      </c>
      <c r="H65" s="228">
        <v>9.3000000000000007</v>
      </c>
      <c r="I65" s="229">
        <v>1.01E-2</v>
      </c>
      <c r="J65" s="228">
        <v>935.4</v>
      </c>
      <c r="K65" s="228">
        <v>922.9</v>
      </c>
      <c r="L65" s="228">
        <v>12.5</v>
      </c>
      <c r="M65" s="229">
        <v>1.35E-2</v>
      </c>
      <c r="N65" s="228">
        <v>932.4</v>
      </c>
      <c r="O65" s="228">
        <v>923.1</v>
      </c>
      <c r="P65" s="228">
        <v>9.3000000000000007</v>
      </c>
      <c r="Q65" s="229">
        <v>1.01E-2</v>
      </c>
      <c r="R65" s="228">
        <v>936.2</v>
      </c>
      <c r="S65" s="228">
        <v>926.5</v>
      </c>
      <c r="T65" s="228">
        <v>9.6999999999999993</v>
      </c>
      <c r="U65" s="229">
        <v>1.0500000000000001E-2</v>
      </c>
      <c r="V65" s="228">
        <v>942.4</v>
      </c>
      <c r="W65" s="228">
        <v>930.2</v>
      </c>
      <c r="X65" s="228">
        <v>12.2</v>
      </c>
      <c r="Y65" s="229">
        <v>1.3100000000000001E-2</v>
      </c>
      <c r="Z65" s="228">
        <v>-3</v>
      </c>
      <c r="AA65" s="228">
        <v>0.2</v>
      </c>
      <c r="AB65" s="228">
        <v>-3.2</v>
      </c>
      <c r="AC65" s="229">
        <v>-3.2000000000000002E-3</v>
      </c>
      <c r="AD65" s="228">
        <v>-3</v>
      </c>
      <c r="AE65" s="228">
        <v>0.2</v>
      </c>
      <c r="AF65" s="228">
        <v>-3.2</v>
      </c>
      <c r="AG65" s="229">
        <v>-3.2000000000000002E-3</v>
      </c>
      <c r="AH65" s="228">
        <v>0.8</v>
      </c>
      <c r="AI65" s="228">
        <v>3.6</v>
      </c>
      <c r="AJ65" s="228">
        <v>-2.8</v>
      </c>
      <c r="AK65" s="229">
        <v>8.9999999999999998E-4</v>
      </c>
      <c r="AL65" s="228">
        <v>7</v>
      </c>
      <c r="AM65" s="228">
        <v>7.3</v>
      </c>
      <c r="AN65" s="228">
        <v>-0.3</v>
      </c>
      <c r="AO65" s="229">
        <v>7.4999999999999997E-3</v>
      </c>
      <c r="AP65" s="228">
        <v>933.09</v>
      </c>
      <c r="AQ65" s="228">
        <v>937.24</v>
      </c>
      <c r="AR65" s="228">
        <v>0</v>
      </c>
      <c r="AS65" s="228">
        <v>710</v>
      </c>
      <c r="AT65" s="228">
        <v>294</v>
      </c>
      <c r="AU65" s="228">
        <v>415</v>
      </c>
      <c r="AV65" s="229">
        <v>1.4113</v>
      </c>
      <c r="AW65" s="228">
        <v>401</v>
      </c>
      <c r="AX65" s="228">
        <v>198</v>
      </c>
      <c r="AY65" s="228">
        <v>203</v>
      </c>
      <c r="AZ65" s="229">
        <v>1.0241</v>
      </c>
      <c r="BA65" s="228">
        <v>305</v>
      </c>
      <c r="BB65" s="228">
        <v>94</v>
      </c>
      <c r="BC65" s="228">
        <v>212</v>
      </c>
      <c r="BD65" s="229">
        <v>2.2618</v>
      </c>
      <c r="BE65" s="228">
        <v>3</v>
      </c>
      <c r="BF65" s="228">
        <v>2</v>
      </c>
      <c r="BG65" s="228">
        <v>1</v>
      </c>
      <c r="BH65" s="229">
        <v>0.26469999999999999</v>
      </c>
      <c r="BI65" s="230">
        <v>1320</v>
      </c>
      <c r="BJ65" s="230">
        <v>1558</v>
      </c>
      <c r="BK65" s="228">
        <v>-238</v>
      </c>
      <c r="BL65" s="229">
        <v>-0.15279999999999999</v>
      </c>
      <c r="BM65" s="228">
        <v>399</v>
      </c>
      <c r="BN65" s="228">
        <v>399</v>
      </c>
      <c r="BO65" s="228">
        <v>-1</v>
      </c>
      <c r="BP65" s="229">
        <v>-1.4E-3</v>
      </c>
      <c r="BQ65" s="230">
        <v>2428</v>
      </c>
      <c r="BR65" s="230">
        <v>2252</v>
      </c>
      <c r="BS65" s="228">
        <v>177</v>
      </c>
      <c r="BT65" s="229">
        <v>7.85E-2</v>
      </c>
      <c r="BU65" s="230">
        <v>2760325</v>
      </c>
      <c r="BV65" s="230">
        <v>3068377</v>
      </c>
      <c r="BW65" s="230">
        <v>-308052</v>
      </c>
      <c r="BX65" s="229">
        <v>-0.1004</v>
      </c>
      <c r="BY65" s="230">
        <v>1221</v>
      </c>
      <c r="BZ65" s="230">
        <v>1261</v>
      </c>
      <c r="CA65" s="228">
        <v>-40</v>
      </c>
      <c r="CB65" s="229">
        <v>-3.1699999999999999E-2</v>
      </c>
      <c r="CC65" s="228">
        <v>894</v>
      </c>
      <c r="CD65" s="230">
        <v>1069</v>
      </c>
      <c r="CE65" s="228">
        <v>-175</v>
      </c>
      <c r="CF65" s="229">
        <v>-0.16339999999999999</v>
      </c>
      <c r="CG65" s="228">
        <v>316</v>
      </c>
      <c r="CH65" s="228">
        <v>182</v>
      </c>
      <c r="CI65" s="228">
        <v>134</v>
      </c>
      <c r="CJ65" s="229">
        <v>0.73929999999999996</v>
      </c>
      <c r="CK65" s="228">
        <v>11</v>
      </c>
      <c r="CL65" s="228">
        <v>10</v>
      </c>
      <c r="CM65" s="228">
        <v>0</v>
      </c>
      <c r="CN65" s="229">
        <v>2.76E-2</v>
      </c>
      <c r="CO65" s="228">
        <v>902</v>
      </c>
      <c r="CP65" s="228">
        <v>996</v>
      </c>
      <c r="CQ65" s="228">
        <v>-93</v>
      </c>
      <c r="CR65" s="229">
        <v>-9.3799999999999994E-2</v>
      </c>
      <c r="CS65" s="228">
        <v>369</v>
      </c>
      <c r="CT65" s="228">
        <v>375</v>
      </c>
      <c r="CU65" s="228">
        <v>-7</v>
      </c>
      <c r="CV65" s="229">
        <v>-1.7299999999999999E-2</v>
      </c>
      <c r="CW65" s="230">
        <v>2493</v>
      </c>
      <c r="CX65" s="230">
        <v>2633</v>
      </c>
      <c r="CY65" s="228">
        <v>-140</v>
      </c>
      <c r="CZ65" s="229">
        <v>-5.3199999999999997E-2</v>
      </c>
      <c r="DA65" s="228">
        <v>26.36</v>
      </c>
      <c r="DB65" s="228">
        <v>29.81</v>
      </c>
      <c r="DC65" s="228">
        <v>-3.45</v>
      </c>
      <c r="DD65" s="228">
        <v>-3.45</v>
      </c>
      <c r="DE65" s="228">
        <v>36.159999999999997</v>
      </c>
      <c r="DF65" s="228">
        <v>36.200000000000003</v>
      </c>
      <c r="DG65" s="228">
        <v>-9.8000000000000007</v>
      </c>
      <c r="DH65" s="228">
        <v>-0.04</v>
      </c>
      <c r="DI65" s="228">
        <v>26.67</v>
      </c>
      <c r="DJ65" s="228">
        <v>30.86</v>
      </c>
      <c r="DK65" s="228">
        <v>-4.1900000000000004</v>
      </c>
      <c r="DL65" s="228">
        <v>-4.1900000000000004</v>
      </c>
      <c r="DM65" s="228">
        <v>25.16</v>
      </c>
      <c r="DN65" s="228">
        <v>25.71</v>
      </c>
      <c r="DO65" s="228">
        <v>-0.55000000000000004</v>
      </c>
      <c r="DP65" s="228">
        <v>-0.55000000000000004</v>
      </c>
      <c r="DQ65" s="228">
        <v>0.41</v>
      </c>
      <c r="DR65" s="228">
        <v>0.38</v>
      </c>
      <c r="DS65" s="228">
        <v>0.03</v>
      </c>
      <c r="DT65" s="229">
        <v>7.8899999999999998E-2</v>
      </c>
      <c r="DU65" s="231">
        <v>1000</v>
      </c>
      <c r="DV65" s="228">
        <v>970</v>
      </c>
      <c r="DW65" s="228">
        <v>0.3</v>
      </c>
      <c r="DX65" s="228">
        <v>0.26</v>
      </c>
      <c r="DY65" s="228">
        <v>0.04</v>
      </c>
      <c r="DZ65" s="229">
        <v>0.15379999999999999</v>
      </c>
      <c r="EA65" s="229">
        <v>0.26769999999999999</v>
      </c>
      <c r="EB65" s="230">
        <v>2062275</v>
      </c>
      <c r="EC65" s="229">
        <v>4.1000000000000003E-3</v>
      </c>
      <c r="ED65" s="229">
        <v>0.26769999999999999</v>
      </c>
      <c r="EE65" s="228">
        <v>4.1500000000000004</v>
      </c>
      <c r="EF65" s="229">
        <v>4.4000000000000003E-3</v>
      </c>
      <c r="EG65" s="230">
        <v>1646428</v>
      </c>
      <c r="EH65" s="230">
        <v>1973790</v>
      </c>
      <c r="EI65" s="229">
        <v>-0.16589999999999999</v>
      </c>
      <c r="EJ65" s="229">
        <v>0.59650000000000003</v>
      </c>
      <c r="EK65" s="231">
        <v>1381.59</v>
      </c>
      <c r="EL65" s="228">
        <v>394.14</v>
      </c>
      <c r="EM65" s="228">
        <v>711.44</v>
      </c>
      <c r="EN65" s="228">
        <v>44.17</v>
      </c>
      <c r="EO65" s="231">
        <v>2487.17</v>
      </c>
      <c r="EP65" s="231">
        <v>2312.0700000000002</v>
      </c>
      <c r="EQ65" s="228">
        <v>175.11</v>
      </c>
      <c r="ER65" s="229">
        <v>7.5700000000000003E-2</v>
      </c>
      <c r="ES65" s="228">
        <v>969.14</v>
      </c>
      <c r="ET65" s="228">
        <v>375.82</v>
      </c>
      <c r="EU65" s="231">
        <v>1222.83</v>
      </c>
      <c r="EV65" s="231">
        <v>62490435</v>
      </c>
      <c r="EW65" s="231">
        <v>2567.79</v>
      </c>
      <c r="EX65" s="231">
        <v>2702.65</v>
      </c>
      <c r="EY65" s="228">
        <v>-134.86000000000001</v>
      </c>
      <c r="EZ65" s="229">
        <v>-4.99E-2</v>
      </c>
      <c r="FA65" s="229">
        <v>0.42780000000000001</v>
      </c>
      <c r="FB65" s="227" t="s">
        <v>556</v>
      </c>
      <c r="FC65">
        <f t="shared" si="0"/>
        <v>327</v>
      </c>
    </row>
    <row r="66" spans="1:159" ht="17.25" thickBot="1" x14ac:dyDescent="0.3">
      <c r="A66" s="226">
        <v>45981</v>
      </c>
      <c r="B66" s="227" t="s">
        <v>193</v>
      </c>
      <c r="C66" s="227" t="s">
        <v>213</v>
      </c>
      <c r="D66" s="228">
        <v>3150</v>
      </c>
      <c r="E66" s="228">
        <v>5</v>
      </c>
      <c r="F66" s="228">
        <v>184.19</v>
      </c>
      <c r="G66" s="228">
        <v>183.96</v>
      </c>
      <c r="H66" s="228">
        <v>0.23</v>
      </c>
      <c r="I66" s="229">
        <v>1.2999999999999999E-3</v>
      </c>
      <c r="J66" s="228">
        <v>184.31</v>
      </c>
      <c r="K66" s="228">
        <v>184.05</v>
      </c>
      <c r="L66" s="228">
        <v>0.26</v>
      </c>
      <c r="M66" s="229">
        <v>1.4E-3</v>
      </c>
      <c r="N66" s="228">
        <v>184.19</v>
      </c>
      <c r="O66" s="228">
        <v>183.96</v>
      </c>
      <c r="P66" s="228">
        <v>0.23</v>
      </c>
      <c r="Q66" s="229">
        <v>1.2999999999999999E-3</v>
      </c>
      <c r="R66" s="228">
        <v>185.24</v>
      </c>
      <c r="S66" s="228">
        <v>185.16</v>
      </c>
      <c r="T66" s="228">
        <v>0.08</v>
      </c>
      <c r="U66" s="229">
        <v>4.0000000000000002E-4</v>
      </c>
      <c r="V66" s="228">
        <v>186.69</v>
      </c>
      <c r="W66" s="228">
        <v>186.17</v>
      </c>
      <c r="X66" s="228">
        <v>0.52</v>
      </c>
      <c r="Y66" s="229">
        <v>2.8E-3</v>
      </c>
      <c r="Z66" s="228">
        <v>-0.12</v>
      </c>
      <c r="AA66" s="228">
        <v>-0.09</v>
      </c>
      <c r="AB66" s="228">
        <v>-0.03</v>
      </c>
      <c r="AC66" s="229">
        <v>-6.9999999999999999E-4</v>
      </c>
      <c r="AD66" s="228">
        <v>-0.12</v>
      </c>
      <c r="AE66" s="228">
        <v>-0.09</v>
      </c>
      <c r="AF66" s="228">
        <v>-0.03</v>
      </c>
      <c r="AG66" s="229">
        <v>-6.9999999999999999E-4</v>
      </c>
      <c r="AH66" s="228">
        <v>0.93</v>
      </c>
      <c r="AI66" s="228">
        <v>1.1100000000000001</v>
      </c>
      <c r="AJ66" s="228">
        <v>-0.18</v>
      </c>
      <c r="AK66" s="229">
        <v>5.0000000000000001E-3</v>
      </c>
      <c r="AL66" s="228">
        <v>2.38</v>
      </c>
      <c r="AM66" s="228">
        <v>2.12</v>
      </c>
      <c r="AN66" s="228">
        <v>0.26</v>
      </c>
      <c r="AO66" s="229">
        <v>1.29E-2</v>
      </c>
      <c r="AP66" s="228">
        <v>184.32</v>
      </c>
      <c r="AQ66" s="228">
        <v>185.41</v>
      </c>
      <c r="AR66" s="228">
        <v>0</v>
      </c>
      <c r="AS66" s="228">
        <v>692</v>
      </c>
      <c r="AT66" s="228">
        <v>179</v>
      </c>
      <c r="AU66" s="228">
        <v>513</v>
      </c>
      <c r="AV66" s="229">
        <v>2.8654999999999999</v>
      </c>
      <c r="AW66" s="228">
        <v>392</v>
      </c>
      <c r="AX66" s="228">
        <v>124</v>
      </c>
      <c r="AY66" s="228">
        <v>268</v>
      </c>
      <c r="AZ66" s="229">
        <v>2.1516999999999999</v>
      </c>
      <c r="BA66" s="228">
        <v>297</v>
      </c>
      <c r="BB66" s="228">
        <v>52</v>
      </c>
      <c r="BC66" s="228">
        <v>245</v>
      </c>
      <c r="BD66" s="229">
        <v>4.7592999999999996</v>
      </c>
      <c r="BE66" s="228">
        <v>3</v>
      </c>
      <c r="BF66" s="228">
        <v>3</v>
      </c>
      <c r="BG66" s="228">
        <v>0</v>
      </c>
      <c r="BH66" s="229">
        <v>-3.7699999999999997E-2</v>
      </c>
      <c r="BI66" s="228">
        <v>609</v>
      </c>
      <c r="BJ66" s="228">
        <v>342</v>
      </c>
      <c r="BK66" s="228">
        <v>267</v>
      </c>
      <c r="BL66" s="229">
        <v>0.77939999999999998</v>
      </c>
      <c r="BM66" s="228">
        <v>344</v>
      </c>
      <c r="BN66" s="228">
        <v>140</v>
      </c>
      <c r="BO66" s="228">
        <v>203</v>
      </c>
      <c r="BP66" s="229">
        <v>1.4469000000000001</v>
      </c>
      <c r="BQ66" s="230">
        <v>1644</v>
      </c>
      <c r="BR66" s="228">
        <v>661</v>
      </c>
      <c r="BS66" s="228">
        <v>983</v>
      </c>
      <c r="BT66" s="229">
        <v>1.4857</v>
      </c>
      <c r="BU66" s="230">
        <v>8378339</v>
      </c>
      <c r="BV66" s="230">
        <v>3102632</v>
      </c>
      <c r="BW66" s="230">
        <v>5275707</v>
      </c>
      <c r="BX66" s="229">
        <v>1.7003999999999999</v>
      </c>
      <c r="BY66" s="230">
        <v>1488</v>
      </c>
      <c r="BZ66" s="230">
        <v>1492</v>
      </c>
      <c r="CA66" s="228">
        <v>-4</v>
      </c>
      <c r="CB66" s="229">
        <v>-2.7000000000000001E-3</v>
      </c>
      <c r="CC66" s="230">
        <v>1111</v>
      </c>
      <c r="CD66" s="230">
        <v>1329</v>
      </c>
      <c r="CE66" s="228">
        <v>-217</v>
      </c>
      <c r="CF66" s="229">
        <v>-0.1636</v>
      </c>
      <c r="CG66" s="228">
        <v>358</v>
      </c>
      <c r="CH66" s="228">
        <v>145</v>
      </c>
      <c r="CI66" s="228">
        <v>213</v>
      </c>
      <c r="CJ66" s="229">
        <v>1.4661999999999999</v>
      </c>
      <c r="CK66" s="228">
        <v>19</v>
      </c>
      <c r="CL66" s="228">
        <v>18</v>
      </c>
      <c r="CM66" s="228">
        <v>1</v>
      </c>
      <c r="CN66" s="229">
        <v>3.56E-2</v>
      </c>
      <c r="CO66" s="228">
        <v>722</v>
      </c>
      <c r="CP66" s="228">
        <v>789</v>
      </c>
      <c r="CQ66" s="228">
        <v>-67</v>
      </c>
      <c r="CR66" s="229">
        <v>-8.4699999999999998E-2</v>
      </c>
      <c r="CS66" s="228">
        <v>502</v>
      </c>
      <c r="CT66" s="228">
        <v>517</v>
      </c>
      <c r="CU66" s="228">
        <v>-16</v>
      </c>
      <c r="CV66" s="229">
        <v>-3.0099999999999998E-2</v>
      </c>
      <c r="CW66" s="230">
        <v>2711</v>
      </c>
      <c r="CX66" s="230">
        <v>2797</v>
      </c>
      <c r="CY66" s="228">
        <v>-86</v>
      </c>
      <c r="CZ66" s="229">
        <v>-3.09E-2</v>
      </c>
      <c r="DA66" s="228">
        <v>21.4</v>
      </c>
      <c r="DB66" s="228">
        <v>24.96</v>
      </c>
      <c r="DC66" s="228">
        <v>-3.56</v>
      </c>
      <c r="DD66" s="228">
        <v>-3.56</v>
      </c>
      <c r="DE66" s="228">
        <v>35.01</v>
      </c>
      <c r="DF66" s="228">
        <v>35.1</v>
      </c>
      <c r="DG66" s="228">
        <v>-13.61</v>
      </c>
      <c r="DH66" s="228">
        <v>-0.09</v>
      </c>
      <c r="DI66" s="228">
        <v>21</v>
      </c>
      <c r="DJ66" s="228">
        <v>23.74</v>
      </c>
      <c r="DK66" s="228">
        <v>-2.74</v>
      </c>
      <c r="DL66" s="228">
        <v>-2.74</v>
      </c>
      <c r="DM66" s="228">
        <v>21.97</v>
      </c>
      <c r="DN66" s="228">
        <v>27.94</v>
      </c>
      <c r="DO66" s="228">
        <v>-5.97</v>
      </c>
      <c r="DP66" s="228">
        <v>-5.97</v>
      </c>
      <c r="DQ66" s="228">
        <v>0.7</v>
      </c>
      <c r="DR66" s="228">
        <v>0.66</v>
      </c>
      <c r="DS66" s="228">
        <v>0.04</v>
      </c>
      <c r="DT66" s="229">
        <v>6.0600000000000001E-2</v>
      </c>
      <c r="DU66" s="228">
        <v>190</v>
      </c>
      <c r="DV66" s="228">
        <v>180</v>
      </c>
      <c r="DW66" s="228">
        <v>0.56000000000000005</v>
      </c>
      <c r="DX66" s="228">
        <v>0.41</v>
      </c>
      <c r="DY66" s="228">
        <v>0.15</v>
      </c>
      <c r="DZ66" s="229">
        <v>0.3659</v>
      </c>
      <c r="EA66" s="229">
        <v>0.253</v>
      </c>
      <c r="EB66" s="230">
        <v>8851500</v>
      </c>
      <c r="EC66" s="229">
        <v>5.7000000000000002E-3</v>
      </c>
      <c r="ED66" s="229">
        <v>0.253</v>
      </c>
      <c r="EE66" s="228">
        <v>1.0900000000000001</v>
      </c>
      <c r="EF66" s="229">
        <v>5.8999999999999999E-3</v>
      </c>
      <c r="EG66" s="230">
        <v>5904100</v>
      </c>
      <c r="EH66" s="230">
        <v>2043465</v>
      </c>
      <c r="EI66" s="229">
        <v>1.8893</v>
      </c>
      <c r="EJ66" s="229">
        <v>0.70469999999999999</v>
      </c>
      <c r="EK66" s="228">
        <v>630.87</v>
      </c>
      <c r="EL66" s="228">
        <v>349.38</v>
      </c>
      <c r="EM66" s="228">
        <v>694.18</v>
      </c>
      <c r="EN66" s="228">
        <v>32.31</v>
      </c>
      <c r="EO66" s="231">
        <v>1674.43</v>
      </c>
      <c r="EP66" s="228">
        <v>669.93</v>
      </c>
      <c r="EQ66" s="231">
        <v>1004.5</v>
      </c>
      <c r="ER66" s="229">
        <v>1.4994000000000001</v>
      </c>
      <c r="ES66" s="228">
        <v>741.25</v>
      </c>
      <c r="ET66" s="228">
        <v>497.31</v>
      </c>
      <c r="EU66" s="231">
        <v>1489.98</v>
      </c>
      <c r="EV66" s="231">
        <v>402429848</v>
      </c>
      <c r="EW66" s="231">
        <v>2728.54</v>
      </c>
      <c r="EX66" s="231">
        <v>2810.94</v>
      </c>
      <c r="EY66" s="228">
        <v>-82.4</v>
      </c>
      <c r="EZ66" s="229">
        <v>-2.93E-2</v>
      </c>
      <c r="FA66" s="229">
        <v>0.36580000000000001</v>
      </c>
      <c r="FB66" s="227" t="s">
        <v>556</v>
      </c>
      <c r="FC66">
        <f t="shared" si="0"/>
        <v>377</v>
      </c>
    </row>
    <row r="67" spans="1:159" ht="17.25" thickBot="1" x14ac:dyDescent="0.3">
      <c r="A67" s="226">
        <v>45981</v>
      </c>
      <c r="B67" s="227" t="s">
        <v>170</v>
      </c>
      <c r="C67" s="227" t="s">
        <v>214</v>
      </c>
      <c r="D67" s="228">
        <v>375</v>
      </c>
      <c r="E67" s="228">
        <v>5</v>
      </c>
      <c r="F67" s="231">
        <v>1883.9</v>
      </c>
      <c r="G67" s="231">
        <v>1842.1</v>
      </c>
      <c r="H67" s="228">
        <v>41.8</v>
      </c>
      <c r="I67" s="229">
        <v>2.2700000000000001E-2</v>
      </c>
      <c r="J67" s="231">
        <v>1878</v>
      </c>
      <c r="K67" s="231">
        <v>1840.8</v>
      </c>
      <c r="L67" s="228">
        <v>37.200000000000003</v>
      </c>
      <c r="M67" s="229">
        <v>2.0199999999999999E-2</v>
      </c>
      <c r="N67" s="231">
        <v>1883.9</v>
      </c>
      <c r="O67" s="231">
        <v>1842.1</v>
      </c>
      <c r="P67" s="228">
        <v>41.8</v>
      </c>
      <c r="Q67" s="229">
        <v>2.2700000000000001E-2</v>
      </c>
      <c r="R67" s="231">
        <v>1894.7</v>
      </c>
      <c r="S67" s="231">
        <v>1854.6</v>
      </c>
      <c r="T67" s="228">
        <v>40.1</v>
      </c>
      <c r="U67" s="229">
        <v>2.1600000000000001E-2</v>
      </c>
      <c r="V67" s="231">
        <v>1903.8</v>
      </c>
      <c r="W67" s="231">
        <v>1866.2</v>
      </c>
      <c r="X67" s="228">
        <v>37.6</v>
      </c>
      <c r="Y67" s="229">
        <v>2.01E-2</v>
      </c>
      <c r="Z67" s="228">
        <v>5.9</v>
      </c>
      <c r="AA67" s="228">
        <v>1.3</v>
      </c>
      <c r="AB67" s="228">
        <v>4.5999999999999996</v>
      </c>
      <c r="AC67" s="229">
        <v>3.0999999999999999E-3</v>
      </c>
      <c r="AD67" s="228">
        <v>5.9</v>
      </c>
      <c r="AE67" s="228">
        <v>1.3</v>
      </c>
      <c r="AF67" s="228">
        <v>4.5999999999999996</v>
      </c>
      <c r="AG67" s="229">
        <v>3.0999999999999999E-3</v>
      </c>
      <c r="AH67" s="228">
        <v>16.7</v>
      </c>
      <c r="AI67" s="228">
        <v>13.8</v>
      </c>
      <c r="AJ67" s="228">
        <v>2.9</v>
      </c>
      <c r="AK67" s="229">
        <v>8.8999999999999999E-3</v>
      </c>
      <c r="AL67" s="228">
        <v>25.8</v>
      </c>
      <c r="AM67" s="228">
        <v>25.4</v>
      </c>
      <c r="AN67" s="228">
        <v>0.4</v>
      </c>
      <c r="AO67" s="229">
        <v>1.37E-2</v>
      </c>
      <c r="AP67" s="231">
        <v>1864.07</v>
      </c>
      <c r="AQ67" s="231">
        <v>1874.25</v>
      </c>
      <c r="AR67" s="228">
        <v>0</v>
      </c>
      <c r="AS67" s="230">
        <v>1776</v>
      </c>
      <c r="AT67" s="230">
        <v>1039</v>
      </c>
      <c r="AU67" s="228">
        <v>737</v>
      </c>
      <c r="AV67" s="229">
        <v>0.70899999999999996</v>
      </c>
      <c r="AW67" s="228">
        <v>959</v>
      </c>
      <c r="AX67" s="228">
        <v>625</v>
      </c>
      <c r="AY67" s="228">
        <v>334</v>
      </c>
      <c r="AZ67" s="229">
        <v>0.53520000000000001</v>
      </c>
      <c r="BA67" s="228">
        <v>812</v>
      </c>
      <c r="BB67" s="228">
        <v>411</v>
      </c>
      <c r="BC67" s="228">
        <v>401</v>
      </c>
      <c r="BD67" s="229">
        <v>0.97460000000000002</v>
      </c>
      <c r="BE67" s="228">
        <v>5</v>
      </c>
      <c r="BF67" s="228">
        <v>3</v>
      </c>
      <c r="BG67" s="228">
        <v>2</v>
      </c>
      <c r="BH67" s="229">
        <v>0.51160000000000005</v>
      </c>
      <c r="BI67" s="230">
        <v>5237</v>
      </c>
      <c r="BJ67" s="230">
        <v>3798</v>
      </c>
      <c r="BK67" s="230">
        <v>1438</v>
      </c>
      <c r="BL67" s="229">
        <v>0.37869999999999998</v>
      </c>
      <c r="BM67" s="230">
        <v>1515</v>
      </c>
      <c r="BN67" s="230">
        <v>1106</v>
      </c>
      <c r="BO67" s="228">
        <v>409</v>
      </c>
      <c r="BP67" s="229">
        <v>0.36969999999999997</v>
      </c>
      <c r="BQ67" s="230">
        <v>8527</v>
      </c>
      <c r="BR67" s="230">
        <v>5943</v>
      </c>
      <c r="BS67" s="230">
        <v>2584</v>
      </c>
      <c r="BT67" s="229">
        <v>0.43480000000000002</v>
      </c>
      <c r="BU67" s="230">
        <v>1299036</v>
      </c>
      <c r="BV67" s="230">
        <v>562830</v>
      </c>
      <c r="BW67" s="230">
        <v>736206</v>
      </c>
      <c r="BX67" s="229">
        <v>1.3080000000000001</v>
      </c>
      <c r="BY67" s="230">
        <v>2929</v>
      </c>
      <c r="BZ67" s="230">
        <v>2945</v>
      </c>
      <c r="CA67" s="228">
        <v>-16</v>
      </c>
      <c r="CB67" s="229">
        <v>-5.4000000000000003E-3</v>
      </c>
      <c r="CC67" s="230">
        <v>1685</v>
      </c>
      <c r="CD67" s="230">
        <v>2195</v>
      </c>
      <c r="CE67" s="228">
        <v>-510</v>
      </c>
      <c r="CF67" s="229">
        <v>-0.23250000000000001</v>
      </c>
      <c r="CG67" s="230">
        <v>1232</v>
      </c>
      <c r="CH67" s="228">
        <v>738</v>
      </c>
      <c r="CI67" s="228">
        <v>494</v>
      </c>
      <c r="CJ67" s="229">
        <v>0.66839999999999999</v>
      </c>
      <c r="CK67" s="228">
        <v>12</v>
      </c>
      <c r="CL67" s="228">
        <v>11</v>
      </c>
      <c r="CM67" s="228">
        <v>1</v>
      </c>
      <c r="CN67" s="229">
        <v>7.7899999999999997E-2</v>
      </c>
      <c r="CO67" s="230">
        <v>1380</v>
      </c>
      <c r="CP67" s="230">
        <v>1839</v>
      </c>
      <c r="CQ67" s="228">
        <v>-459</v>
      </c>
      <c r="CR67" s="229">
        <v>-0.2495</v>
      </c>
      <c r="CS67" s="228">
        <v>758</v>
      </c>
      <c r="CT67" s="228">
        <v>817</v>
      </c>
      <c r="CU67" s="228">
        <v>-60</v>
      </c>
      <c r="CV67" s="229">
        <v>-7.2900000000000006E-2</v>
      </c>
      <c r="CW67" s="230">
        <v>5067</v>
      </c>
      <c r="CX67" s="230">
        <v>5602</v>
      </c>
      <c r="CY67" s="228">
        <v>-534</v>
      </c>
      <c r="CZ67" s="229">
        <v>-9.5399999999999999E-2</v>
      </c>
      <c r="DA67" s="228">
        <v>27.95</v>
      </c>
      <c r="DB67" s="228">
        <v>31.99</v>
      </c>
      <c r="DC67" s="228">
        <v>-4.04</v>
      </c>
      <c r="DD67" s="228">
        <v>-4.04</v>
      </c>
      <c r="DE67" s="228">
        <v>37</v>
      </c>
      <c r="DF67" s="228">
        <v>37</v>
      </c>
      <c r="DG67" s="228">
        <v>-9.0500000000000007</v>
      </c>
      <c r="DH67" s="228">
        <v>0</v>
      </c>
      <c r="DI67" s="228">
        <v>28.54</v>
      </c>
      <c r="DJ67" s="228">
        <v>32.97</v>
      </c>
      <c r="DK67" s="228">
        <v>-4.43</v>
      </c>
      <c r="DL67" s="228">
        <v>-4.43</v>
      </c>
      <c r="DM67" s="228">
        <v>26.56</v>
      </c>
      <c r="DN67" s="228">
        <v>28.63</v>
      </c>
      <c r="DO67" s="228">
        <v>-2.0699999999999998</v>
      </c>
      <c r="DP67" s="228">
        <v>-2.0699999999999998</v>
      </c>
      <c r="DQ67" s="228">
        <v>0.55000000000000004</v>
      </c>
      <c r="DR67" s="228">
        <v>0.44</v>
      </c>
      <c r="DS67" s="228">
        <v>0.11</v>
      </c>
      <c r="DT67" s="229">
        <v>0.25</v>
      </c>
      <c r="DU67" s="231">
        <v>1900</v>
      </c>
      <c r="DV67" s="231">
        <v>1900</v>
      </c>
      <c r="DW67" s="228">
        <v>0.28999999999999998</v>
      </c>
      <c r="DX67" s="228">
        <v>0.28999999999999998</v>
      </c>
      <c r="DY67" s="228">
        <v>0</v>
      </c>
      <c r="DZ67" s="229">
        <v>0</v>
      </c>
      <c r="EA67" s="229">
        <v>0.42470000000000002</v>
      </c>
      <c r="EB67" s="230">
        <v>3977625</v>
      </c>
      <c r="EC67" s="229">
        <v>5.7000000000000002E-3</v>
      </c>
      <c r="ED67" s="229">
        <v>0.42470000000000002</v>
      </c>
      <c r="EE67" s="228">
        <v>10.18</v>
      </c>
      <c r="EF67" s="229">
        <v>5.4999999999999997E-3</v>
      </c>
      <c r="EG67" s="230">
        <v>308174</v>
      </c>
      <c r="EH67" s="230">
        <v>198211</v>
      </c>
      <c r="EI67" s="229">
        <v>0.55479999999999996</v>
      </c>
      <c r="EJ67" s="229">
        <v>0.23719999999999999</v>
      </c>
      <c r="EK67" s="231">
        <v>5385.72</v>
      </c>
      <c r="EL67" s="231">
        <v>1479.6</v>
      </c>
      <c r="EM67" s="231">
        <v>1761.31</v>
      </c>
      <c r="EN67" s="228">
        <v>180.08</v>
      </c>
      <c r="EO67" s="231">
        <v>8626.64</v>
      </c>
      <c r="EP67" s="231">
        <v>5998.5</v>
      </c>
      <c r="EQ67" s="231">
        <v>2628.14</v>
      </c>
      <c r="ER67" s="229">
        <v>0.43809999999999999</v>
      </c>
      <c r="ES67" s="231">
        <v>1435.09</v>
      </c>
      <c r="ET67" s="228">
        <v>733.06</v>
      </c>
      <c r="EU67" s="231">
        <v>2936.11</v>
      </c>
      <c r="EV67" s="231">
        <v>22585180</v>
      </c>
      <c r="EW67" s="231">
        <v>5104.26</v>
      </c>
      <c r="EX67" s="231">
        <v>5577.32</v>
      </c>
      <c r="EY67" s="228">
        <v>-473.06</v>
      </c>
      <c r="EZ67" s="229">
        <v>-8.48E-2</v>
      </c>
      <c r="FA67" s="229">
        <v>1.1909000000000001</v>
      </c>
      <c r="FB67" s="227" t="s">
        <v>556</v>
      </c>
      <c r="FC67">
        <f t="shared" ref="FC67:FC130" si="1">BY67-CC67</f>
        <v>1244</v>
      </c>
    </row>
    <row r="68" spans="1:159" ht="17.25" thickBot="1" x14ac:dyDescent="0.3">
      <c r="A68" s="226">
        <v>45981</v>
      </c>
      <c r="B68" s="227" t="s">
        <v>215</v>
      </c>
      <c r="C68" s="227" t="s">
        <v>631</v>
      </c>
      <c r="D68" s="228">
        <v>6975</v>
      </c>
      <c r="E68" s="228">
        <v>5</v>
      </c>
      <c r="F68" s="228">
        <v>103.2</v>
      </c>
      <c r="G68" s="228">
        <v>102.87</v>
      </c>
      <c r="H68" s="228">
        <v>0.33</v>
      </c>
      <c r="I68" s="229">
        <v>3.2000000000000002E-3</v>
      </c>
      <c r="J68" s="228">
        <v>103.27</v>
      </c>
      <c r="K68" s="228">
        <v>102.92</v>
      </c>
      <c r="L68" s="228">
        <v>0.35</v>
      </c>
      <c r="M68" s="229">
        <v>3.3999999999999998E-3</v>
      </c>
      <c r="N68" s="228">
        <v>103.2</v>
      </c>
      <c r="O68" s="228">
        <v>102.87</v>
      </c>
      <c r="P68" s="228">
        <v>0.33</v>
      </c>
      <c r="Q68" s="229">
        <v>3.2000000000000002E-3</v>
      </c>
      <c r="R68" s="228">
        <v>103.86</v>
      </c>
      <c r="S68" s="228">
        <v>103.56</v>
      </c>
      <c r="T68" s="228">
        <v>0.3</v>
      </c>
      <c r="U68" s="229">
        <v>2.8999999999999998E-3</v>
      </c>
      <c r="V68" s="228">
        <v>104.56</v>
      </c>
      <c r="W68" s="228">
        <v>104.07</v>
      </c>
      <c r="X68" s="228">
        <v>0.49</v>
      </c>
      <c r="Y68" s="229">
        <v>4.7000000000000002E-3</v>
      </c>
      <c r="Z68" s="228">
        <v>-7.0000000000000007E-2</v>
      </c>
      <c r="AA68" s="228">
        <v>-0.05</v>
      </c>
      <c r="AB68" s="228">
        <v>-0.02</v>
      </c>
      <c r="AC68" s="229">
        <v>-6.9999999999999999E-4</v>
      </c>
      <c r="AD68" s="228">
        <v>-7.0000000000000007E-2</v>
      </c>
      <c r="AE68" s="228">
        <v>-0.05</v>
      </c>
      <c r="AF68" s="228">
        <v>-0.02</v>
      </c>
      <c r="AG68" s="229">
        <v>-6.9999999999999999E-4</v>
      </c>
      <c r="AH68" s="228">
        <v>0.59</v>
      </c>
      <c r="AI68" s="228">
        <v>0.64</v>
      </c>
      <c r="AJ68" s="228">
        <v>-0.05</v>
      </c>
      <c r="AK68" s="229">
        <v>5.7000000000000002E-3</v>
      </c>
      <c r="AL68" s="228">
        <v>1.29</v>
      </c>
      <c r="AM68" s="228">
        <v>1.1499999999999999</v>
      </c>
      <c r="AN68" s="228">
        <v>0.14000000000000001</v>
      </c>
      <c r="AO68" s="229">
        <v>1.2500000000000001E-2</v>
      </c>
      <c r="AP68" s="228">
        <v>103.52</v>
      </c>
      <c r="AQ68" s="228">
        <v>104.23</v>
      </c>
      <c r="AR68" s="228">
        <v>0</v>
      </c>
      <c r="AS68" s="230">
        <v>1075</v>
      </c>
      <c r="AT68" s="228">
        <v>694</v>
      </c>
      <c r="AU68" s="228">
        <v>381</v>
      </c>
      <c r="AV68" s="229">
        <v>0.54869999999999997</v>
      </c>
      <c r="AW68" s="228">
        <v>591</v>
      </c>
      <c r="AX68" s="228">
        <v>449</v>
      </c>
      <c r="AY68" s="228">
        <v>142</v>
      </c>
      <c r="AZ68" s="229">
        <v>0.31569999999999998</v>
      </c>
      <c r="BA68" s="228">
        <v>477</v>
      </c>
      <c r="BB68" s="228">
        <v>237</v>
      </c>
      <c r="BC68" s="228">
        <v>240</v>
      </c>
      <c r="BD68" s="229">
        <v>1.0125</v>
      </c>
      <c r="BE68" s="228">
        <v>7</v>
      </c>
      <c r="BF68" s="228">
        <v>8</v>
      </c>
      <c r="BG68" s="228">
        <v>-1</v>
      </c>
      <c r="BH68" s="229">
        <v>-0.1193</v>
      </c>
      <c r="BI68" s="230">
        <v>1619</v>
      </c>
      <c r="BJ68" s="230">
        <v>2868</v>
      </c>
      <c r="BK68" s="230">
        <v>-1248</v>
      </c>
      <c r="BL68" s="229">
        <v>-0.43530000000000002</v>
      </c>
      <c r="BM68" s="228">
        <v>754</v>
      </c>
      <c r="BN68" s="230">
        <v>1313</v>
      </c>
      <c r="BO68" s="228">
        <v>-559</v>
      </c>
      <c r="BP68" s="229">
        <v>-0.4259</v>
      </c>
      <c r="BQ68" s="230">
        <v>3448</v>
      </c>
      <c r="BR68" s="230">
        <v>4875</v>
      </c>
      <c r="BS68" s="230">
        <v>-1427</v>
      </c>
      <c r="BT68" s="229">
        <v>-0.29270000000000002</v>
      </c>
      <c r="BU68" s="230">
        <v>22471259</v>
      </c>
      <c r="BV68" s="230">
        <v>24782245</v>
      </c>
      <c r="BW68" s="230">
        <v>-2310986</v>
      </c>
      <c r="BX68" s="229">
        <v>-9.3299999999999994E-2</v>
      </c>
      <c r="BY68" s="230">
        <v>2291</v>
      </c>
      <c r="BZ68" s="230">
        <v>2377</v>
      </c>
      <c r="CA68" s="228">
        <v>-86</v>
      </c>
      <c r="CB68" s="229">
        <v>-3.5999999999999997E-2</v>
      </c>
      <c r="CC68" s="230">
        <v>1499</v>
      </c>
      <c r="CD68" s="230">
        <v>1913</v>
      </c>
      <c r="CE68" s="228">
        <v>-414</v>
      </c>
      <c r="CF68" s="229">
        <v>-0.21629999999999999</v>
      </c>
      <c r="CG68" s="228">
        <v>775</v>
      </c>
      <c r="CH68" s="228">
        <v>449</v>
      </c>
      <c r="CI68" s="228">
        <v>326</v>
      </c>
      <c r="CJ68" s="229">
        <v>0.72560000000000002</v>
      </c>
      <c r="CK68" s="228">
        <v>17</v>
      </c>
      <c r="CL68" s="228">
        <v>15</v>
      </c>
      <c r="CM68" s="228">
        <v>2</v>
      </c>
      <c r="CN68" s="229">
        <v>0.1618</v>
      </c>
      <c r="CO68" s="230">
        <v>1637</v>
      </c>
      <c r="CP68" s="230">
        <v>1638</v>
      </c>
      <c r="CQ68" s="228">
        <v>-1</v>
      </c>
      <c r="CR68" s="229">
        <v>-6.9999999999999999E-4</v>
      </c>
      <c r="CS68" s="228">
        <v>981</v>
      </c>
      <c r="CT68" s="230">
        <v>1033</v>
      </c>
      <c r="CU68" s="228">
        <v>-52</v>
      </c>
      <c r="CV68" s="229">
        <v>-5.0500000000000003E-2</v>
      </c>
      <c r="CW68" s="230">
        <v>4909</v>
      </c>
      <c r="CX68" s="230">
        <v>5048</v>
      </c>
      <c r="CY68" s="228">
        <v>-139</v>
      </c>
      <c r="CZ68" s="229">
        <v>-2.75E-2</v>
      </c>
      <c r="DA68" s="228">
        <v>25.85</v>
      </c>
      <c r="DB68" s="228">
        <v>29.86</v>
      </c>
      <c r="DC68" s="228">
        <v>-4.01</v>
      </c>
      <c r="DD68" s="228">
        <v>-4.01</v>
      </c>
      <c r="DE68" s="228">
        <v>36.520000000000003</v>
      </c>
      <c r="DF68" s="228">
        <v>36.61</v>
      </c>
      <c r="DG68" s="228">
        <v>-10.67</v>
      </c>
      <c r="DH68" s="228">
        <v>-0.09</v>
      </c>
      <c r="DI68" s="228">
        <v>26.08</v>
      </c>
      <c r="DJ68" s="228">
        <v>30.62</v>
      </c>
      <c r="DK68" s="228">
        <v>-4.54</v>
      </c>
      <c r="DL68" s="228">
        <v>-4.54</v>
      </c>
      <c r="DM68" s="228">
        <v>24.94</v>
      </c>
      <c r="DN68" s="228">
        <v>28.18</v>
      </c>
      <c r="DO68" s="228">
        <v>-3.24</v>
      </c>
      <c r="DP68" s="228">
        <v>-3.24</v>
      </c>
      <c r="DQ68" s="228">
        <v>0.6</v>
      </c>
      <c r="DR68" s="228">
        <v>0.63</v>
      </c>
      <c r="DS68" s="228">
        <v>-0.03</v>
      </c>
      <c r="DT68" s="229">
        <v>-4.7600000000000003E-2</v>
      </c>
      <c r="DU68" s="228">
        <v>105</v>
      </c>
      <c r="DV68" s="228">
        <v>100</v>
      </c>
      <c r="DW68" s="228">
        <v>0.47</v>
      </c>
      <c r="DX68" s="228">
        <v>0.46</v>
      </c>
      <c r="DY68" s="228">
        <v>0.01</v>
      </c>
      <c r="DZ68" s="229">
        <v>2.1700000000000001E-2</v>
      </c>
      <c r="EA68" s="229">
        <v>0.34570000000000001</v>
      </c>
      <c r="EB68" s="230">
        <v>44939925</v>
      </c>
      <c r="EC68" s="229">
        <v>6.4000000000000003E-3</v>
      </c>
      <c r="ED68" s="229">
        <v>0.34570000000000001</v>
      </c>
      <c r="EE68" s="228">
        <v>0.71</v>
      </c>
      <c r="EF68" s="229">
        <v>6.8999999999999999E-3</v>
      </c>
      <c r="EG68" s="230">
        <v>13004917</v>
      </c>
      <c r="EH68" s="230">
        <v>8757865</v>
      </c>
      <c r="EI68" s="229">
        <v>0.4849</v>
      </c>
      <c r="EJ68" s="229">
        <v>0.57869999999999999</v>
      </c>
      <c r="EK68" s="231">
        <v>1680.27</v>
      </c>
      <c r="EL68" s="228">
        <v>741.09</v>
      </c>
      <c r="EM68" s="231">
        <v>1081.6600000000001</v>
      </c>
      <c r="EN68" s="228">
        <v>104.6</v>
      </c>
      <c r="EO68" s="231">
        <v>3503.02</v>
      </c>
      <c r="EP68" s="231">
        <v>4972.25</v>
      </c>
      <c r="EQ68" s="231">
        <v>-1469.23</v>
      </c>
      <c r="ER68" s="229">
        <v>-0.29549999999999998</v>
      </c>
      <c r="ES68" s="231">
        <v>1627.5</v>
      </c>
      <c r="ET68" s="228">
        <v>922.86</v>
      </c>
      <c r="EU68" s="231">
        <v>2296.3000000000002</v>
      </c>
      <c r="EV68" s="231">
        <v>534704421</v>
      </c>
      <c r="EW68" s="231">
        <v>4846.66</v>
      </c>
      <c r="EX68" s="231">
        <v>4968.21</v>
      </c>
      <c r="EY68" s="228">
        <v>-121.55</v>
      </c>
      <c r="EZ68" s="229">
        <v>-2.4500000000000001E-2</v>
      </c>
      <c r="FA68" s="229">
        <v>0.88959999999999995</v>
      </c>
      <c r="FB68" s="227" t="s">
        <v>556</v>
      </c>
      <c r="FC68">
        <f t="shared" si="1"/>
        <v>792</v>
      </c>
    </row>
    <row r="69" spans="1:159" ht="17.25" thickBot="1" x14ac:dyDescent="0.3">
      <c r="A69" s="226">
        <v>45981</v>
      </c>
      <c r="B69" s="227" t="s">
        <v>168</v>
      </c>
      <c r="C69" s="227" t="s">
        <v>217</v>
      </c>
      <c r="D69" s="228">
        <v>500</v>
      </c>
      <c r="E69" s="228">
        <v>5</v>
      </c>
      <c r="F69" s="231">
        <v>1129.2</v>
      </c>
      <c r="G69" s="231">
        <v>1143.0999999999999</v>
      </c>
      <c r="H69" s="228">
        <v>-13.9</v>
      </c>
      <c r="I69" s="229">
        <v>-1.2200000000000001E-2</v>
      </c>
      <c r="J69" s="231">
        <v>1127.3</v>
      </c>
      <c r="K69" s="231">
        <v>1139.9000000000001</v>
      </c>
      <c r="L69" s="228">
        <v>-12.6</v>
      </c>
      <c r="M69" s="229">
        <v>-1.11E-2</v>
      </c>
      <c r="N69" s="231">
        <v>1129.2</v>
      </c>
      <c r="O69" s="231">
        <v>1143.0999999999999</v>
      </c>
      <c r="P69" s="228">
        <v>-13.9</v>
      </c>
      <c r="Q69" s="229">
        <v>-1.2200000000000001E-2</v>
      </c>
      <c r="R69" s="231">
        <v>1136.3</v>
      </c>
      <c r="S69" s="231">
        <v>1148.7</v>
      </c>
      <c r="T69" s="228">
        <v>-12.4</v>
      </c>
      <c r="U69" s="229">
        <v>-1.0800000000000001E-2</v>
      </c>
      <c r="V69" s="231">
        <v>1143.2</v>
      </c>
      <c r="W69" s="231">
        <v>1155.8</v>
      </c>
      <c r="X69" s="228">
        <v>-12.6</v>
      </c>
      <c r="Y69" s="229">
        <v>-1.09E-2</v>
      </c>
      <c r="Z69" s="228">
        <v>1.9</v>
      </c>
      <c r="AA69" s="228">
        <v>3.2</v>
      </c>
      <c r="AB69" s="228">
        <v>-1.3</v>
      </c>
      <c r="AC69" s="229">
        <v>1.6999999999999999E-3</v>
      </c>
      <c r="AD69" s="228">
        <v>1.9</v>
      </c>
      <c r="AE69" s="228">
        <v>3.2</v>
      </c>
      <c r="AF69" s="228">
        <v>-1.3</v>
      </c>
      <c r="AG69" s="229">
        <v>1.6999999999999999E-3</v>
      </c>
      <c r="AH69" s="228">
        <v>9</v>
      </c>
      <c r="AI69" s="228">
        <v>8.8000000000000007</v>
      </c>
      <c r="AJ69" s="228">
        <v>0.2</v>
      </c>
      <c r="AK69" s="229">
        <v>8.0000000000000002E-3</v>
      </c>
      <c r="AL69" s="228">
        <v>15.9</v>
      </c>
      <c r="AM69" s="228">
        <v>15.9</v>
      </c>
      <c r="AN69" s="228">
        <v>0</v>
      </c>
      <c r="AO69" s="229">
        <v>1.41E-2</v>
      </c>
      <c r="AP69" s="231">
        <v>1135.9000000000001</v>
      </c>
      <c r="AQ69" s="231">
        <v>1142.6099999999999</v>
      </c>
      <c r="AR69" s="228">
        <v>0</v>
      </c>
      <c r="AS69" s="228">
        <v>738</v>
      </c>
      <c r="AT69" s="228">
        <v>215</v>
      </c>
      <c r="AU69" s="228">
        <v>523</v>
      </c>
      <c r="AV69" s="229">
        <v>2.4306999999999999</v>
      </c>
      <c r="AW69" s="228">
        <v>366</v>
      </c>
      <c r="AX69" s="228">
        <v>144</v>
      </c>
      <c r="AY69" s="228">
        <v>222</v>
      </c>
      <c r="AZ69" s="229">
        <v>1.5443</v>
      </c>
      <c r="BA69" s="228">
        <v>371</v>
      </c>
      <c r="BB69" s="228">
        <v>71</v>
      </c>
      <c r="BC69" s="228">
        <v>300</v>
      </c>
      <c r="BD69" s="229">
        <v>4.2153</v>
      </c>
      <c r="BE69" s="228">
        <v>1</v>
      </c>
      <c r="BF69" s="228">
        <v>0</v>
      </c>
      <c r="BG69" s="228">
        <v>1</v>
      </c>
      <c r="BH69" s="229">
        <v>6.3333000000000004</v>
      </c>
      <c r="BI69" s="228">
        <v>262</v>
      </c>
      <c r="BJ69" s="228">
        <v>303</v>
      </c>
      <c r="BK69" s="228">
        <v>-40</v>
      </c>
      <c r="BL69" s="229">
        <v>-0.13320000000000001</v>
      </c>
      <c r="BM69" s="228">
        <v>135</v>
      </c>
      <c r="BN69" s="228">
        <v>174</v>
      </c>
      <c r="BO69" s="228">
        <v>-39</v>
      </c>
      <c r="BP69" s="229">
        <v>-0.22339999999999999</v>
      </c>
      <c r="BQ69" s="230">
        <v>1136</v>
      </c>
      <c r="BR69" s="228">
        <v>692</v>
      </c>
      <c r="BS69" s="228">
        <v>444</v>
      </c>
      <c r="BT69" s="229">
        <v>0.64090000000000003</v>
      </c>
      <c r="BU69" s="230">
        <v>1184998</v>
      </c>
      <c r="BV69" s="230">
        <v>1741300</v>
      </c>
      <c r="BW69" s="230">
        <v>-556302</v>
      </c>
      <c r="BX69" s="229">
        <v>-0.31950000000000001</v>
      </c>
      <c r="BY69" s="230">
        <v>1191</v>
      </c>
      <c r="BZ69" s="230">
        <v>1134</v>
      </c>
      <c r="CA69" s="228">
        <v>57</v>
      </c>
      <c r="CB69" s="229">
        <v>5.04E-2</v>
      </c>
      <c r="CC69" s="228">
        <v>799</v>
      </c>
      <c r="CD69" s="230">
        <v>1037</v>
      </c>
      <c r="CE69" s="228">
        <v>-238</v>
      </c>
      <c r="CF69" s="229">
        <v>-0.22919999999999999</v>
      </c>
      <c r="CG69" s="228">
        <v>388</v>
      </c>
      <c r="CH69" s="228">
        <v>94</v>
      </c>
      <c r="CI69" s="228">
        <v>294</v>
      </c>
      <c r="CJ69" s="229">
        <v>3.133</v>
      </c>
      <c r="CK69" s="228">
        <v>4</v>
      </c>
      <c r="CL69" s="228">
        <v>3</v>
      </c>
      <c r="CM69" s="228">
        <v>1</v>
      </c>
      <c r="CN69" s="229">
        <v>0.24590000000000001</v>
      </c>
      <c r="CO69" s="228">
        <v>262</v>
      </c>
      <c r="CP69" s="228">
        <v>278</v>
      </c>
      <c r="CQ69" s="228">
        <v>-16</v>
      </c>
      <c r="CR69" s="229">
        <v>-5.7799999999999997E-2</v>
      </c>
      <c r="CS69" s="228">
        <v>199</v>
      </c>
      <c r="CT69" s="228">
        <v>200</v>
      </c>
      <c r="CU69" s="228">
        <v>0</v>
      </c>
      <c r="CV69" s="229">
        <v>-5.9999999999999995E-4</v>
      </c>
      <c r="CW69" s="230">
        <v>1653</v>
      </c>
      <c r="CX69" s="230">
        <v>1612</v>
      </c>
      <c r="CY69" s="228">
        <v>41</v>
      </c>
      <c r="CZ69" s="229">
        <v>2.5399999999999999E-2</v>
      </c>
      <c r="DA69" s="228">
        <v>22.53</v>
      </c>
      <c r="DB69" s="228">
        <v>23.83</v>
      </c>
      <c r="DC69" s="228">
        <v>-1.3</v>
      </c>
      <c r="DD69" s="228">
        <v>-1.3</v>
      </c>
      <c r="DE69" s="228">
        <v>29.52</v>
      </c>
      <c r="DF69" s="228">
        <v>29.55</v>
      </c>
      <c r="DG69" s="228">
        <v>-6.99</v>
      </c>
      <c r="DH69" s="228">
        <v>-0.03</v>
      </c>
      <c r="DI69" s="228">
        <v>23.21</v>
      </c>
      <c r="DJ69" s="228">
        <v>24.3</v>
      </c>
      <c r="DK69" s="228">
        <v>-1.0900000000000001</v>
      </c>
      <c r="DL69" s="228">
        <v>-1.0900000000000001</v>
      </c>
      <c r="DM69" s="228">
        <v>21.65</v>
      </c>
      <c r="DN69" s="228">
        <v>23.01</v>
      </c>
      <c r="DO69" s="228">
        <v>-1.36</v>
      </c>
      <c r="DP69" s="228">
        <v>-1.36</v>
      </c>
      <c r="DQ69" s="228">
        <v>0.76</v>
      </c>
      <c r="DR69" s="228">
        <v>0.72</v>
      </c>
      <c r="DS69" s="228">
        <v>0.04</v>
      </c>
      <c r="DT69" s="229">
        <v>5.5599999999999997E-2</v>
      </c>
      <c r="DU69" s="231">
        <v>1160</v>
      </c>
      <c r="DV69" s="231">
        <v>1100</v>
      </c>
      <c r="DW69" s="228">
        <v>0.52</v>
      </c>
      <c r="DX69" s="228">
        <v>0.57999999999999996</v>
      </c>
      <c r="DY69" s="228">
        <v>-0.06</v>
      </c>
      <c r="DZ69" s="229">
        <v>-0.10340000000000001</v>
      </c>
      <c r="EA69" s="229">
        <v>0.3291</v>
      </c>
      <c r="EB69" s="230">
        <v>861500</v>
      </c>
      <c r="EC69" s="229">
        <v>6.3E-3</v>
      </c>
      <c r="ED69" s="229">
        <v>0.3291</v>
      </c>
      <c r="EE69" s="228">
        <v>6.71</v>
      </c>
      <c r="EF69" s="229">
        <v>5.8999999999999999E-3</v>
      </c>
      <c r="EG69" s="230">
        <v>854067</v>
      </c>
      <c r="EH69" s="230">
        <v>1313467</v>
      </c>
      <c r="EI69" s="229">
        <v>-0.3498</v>
      </c>
      <c r="EJ69" s="229">
        <v>0.72070000000000001</v>
      </c>
      <c r="EK69" s="228">
        <v>274.45999999999998</v>
      </c>
      <c r="EL69" s="228">
        <v>134.54</v>
      </c>
      <c r="EM69" s="228">
        <v>744.58</v>
      </c>
      <c r="EN69" s="228">
        <v>28.78</v>
      </c>
      <c r="EO69" s="231">
        <v>1153.5899999999999</v>
      </c>
      <c r="EP69" s="228">
        <v>709.58</v>
      </c>
      <c r="EQ69" s="228">
        <v>444.01</v>
      </c>
      <c r="ER69" s="229">
        <v>0.62570000000000003</v>
      </c>
      <c r="ES69" s="228">
        <v>276.49</v>
      </c>
      <c r="ET69" s="228">
        <v>195.67</v>
      </c>
      <c r="EU69" s="231">
        <v>1193.97</v>
      </c>
      <c r="EV69" s="231">
        <v>58001204</v>
      </c>
      <c r="EW69" s="231">
        <v>1666.13</v>
      </c>
      <c r="EX69" s="231">
        <v>1639.05</v>
      </c>
      <c r="EY69" s="228">
        <v>27.08</v>
      </c>
      <c r="EZ69" s="229">
        <v>1.6500000000000001E-2</v>
      </c>
      <c r="FA69" s="229">
        <v>0.25240000000000001</v>
      </c>
      <c r="FB69" s="227" t="s">
        <v>567</v>
      </c>
      <c r="FC69">
        <f t="shared" si="1"/>
        <v>392</v>
      </c>
    </row>
    <row r="70" spans="1:159" ht="17.25" thickBot="1" x14ac:dyDescent="0.3">
      <c r="A70" s="226">
        <v>45981</v>
      </c>
      <c r="B70" s="227" t="s">
        <v>206</v>
      </c>
      <c r="C70" s="227" t="s">
        <v>218</v>
      </c>
      <c r="D70" s="228">
        <v>275</v>
      </c>
      <c r="E70" s="228">
        <v>5</v>
      </c>
      <c r="F70" s="231">
        <v>2125.6999999999998</v>
      </c>
      <c r="G70" s="231">
        <v>2132.1999999999998</v>
      </c>
      <c r="H70" s="228">
        <v>-6.5</v>
      </c>
      <c r="I70" s="229">
        <v>-3.0000000000000001E-3</v>
      </c>
      <c r="J70" s="231">
        <v>2123.8000000000002</v>
      </c>
      <c r="K70" s="231">
        <v>2130.4</v>
      </c>
      <c r="L70" s="228">
        <v>-6.6</v>
      </c>
      <c r="M70" s="229">
        <v>-3.0999999999999999E-3</v>
      </c>
      <c r="N70" s="231">
        <v>2125.6999999999998</v>
      </c>
      <c r="O70" s="231">
        <v>2132.1999999999998</v>
      </c>
      <c r="P70" s="228">
        <v>-6.5</v>
      </c>
      <c r="Q70" s="229">
        <v>-3.0000000000000001E-3</v>
      </c>
      <c r="R70" s="231">
        <v>2139.4</v>
      </c>
      <c r="S70" s="231">
        <v>2146</v>
      </c>
      <c r="T70" s="228">
        <v>-6.6</v>
      </c>
      <c r="U70" s="229">
        <v>-3.0999999999999999E-3</v>
      </c>
      <c r="V70" s="231">
        <v>2152.6999999999998</v>
      </c>
      <c r="W70" s="231">
        <v>2160</v>
      </c>
      <c r="X70" s="228">
        <v>-7.3</v>
      </c>
      <c r="Y70" s="229">
        <v>-3.3999999999999998E-3</v>
      </c>
      <c r="Z70" s="228">
        <v>1.9</v>
      </c>
      <c r="AA70" s="228">
        <v>1.8</v>
      </c>
      <c r="AB70" s="228">
        <v>0.1</v>
      </c>
      <c r="AC70" s="229">
        <v>8.9999999999999998E-4</v>
      </c>
      <c r="AD70" s="228">
        <v>1.9</v>
      </c>
      <c r="AE70" s="228">
        <v>1.8</v>
      </c>
      <c r="AF70" s="228">
        <v>0.1</v>
      </c>
      <c r="AG70" s="229">
        <v>8.9999999999999998E-4</v>
      </c>
      <c r="AH70" s="228">
        <v>15.6</v>
      </c>
      <c r="AI70" s="228">
        <v>15.6</v>
      </c>
      <c r="AJ70" s="228">
        <v>0</v>
      </c>
      <c r="AK70" s="229">
        <v>7.3000000000000001E-3</v>
      </c>
      <c r="AL70" s="228">
        <v>28.9</v>
      </c>
      <c r="AM70" s="228">
        <v>29.6</v>
      </c>
      <c r="AN70" s="228">
        <v>-0.7</v>
      </c>
      <c r="AO70" s="229">
        <v>1.3599999999999999E-2</v>
      </c>
      <c r="AP70" s="231">
        <v>2127.61</v>
      </c>
      <c r="AQ70" s="231">
        <v>2141.4</v>
      </c>
      <c r="AR70" s="228">
        <v>0</v>
      </c>
      <c r="AS70" s="228">
        <v>723</v>
      </c>
      <c r="AT70" s="228">
        <v>242</v>
      </c>
      <c r="AU70" s="228">
        <v>481</v>
      </c>
      <c r="AV70" s="229">
        <v>1.9879</v>
      </c>
      <c r="AW70" s="228">
        <v>398</v>
      </c>
      <c r="AX70" s="228">
        <v>173</v>
      </c>
      <c r="AY70" s="228">
        <v>225</v>
      </c>
      <c r="AZ70" s="229">
        <v>1.2994000000000001</v>
      </c>
      <c r="BA70" s="228">
        <v>322</v>
      </c>
      <c r="BB70" s="228">
        <v>64</v>
      </c>
      <c r="BC70" s="228">
        <v>257</v>
      </c>
      <c r="BD70" s="229">
        <v>3.9990999999999999</v>
      </c>
      <c r="BE70" s="228">
        <v>3</v>
      </c>
      <c r="BF70" s="228">
        <v>5</v>
      </c>
      <c r="BG70" s="228">
        <v>-1</v>
      </c>
      <c r="BH70" s="229">
        <v>-0.2727</v>
      </c>
      <c r="BI70" s="228">
        <v>674</v>
      </c>
      <c r="BJ70" s="228">
        <v>914</v>
      </c>
      <c r="BK70" s="228">
        <v>-240</v>
      </c>
      <c r="BL70" s="229">
        <v>-0.26290000000000002</v>
      </c>
      <c r="BM70" s="228">
        <v>215</v>
      </c>
      <c r="BN70" s="228">
        <v>441</v>
      </c>
      <c r="BO70" s="228">
        <v>-226</v>
      </c>
      <c r="BP70" s="229">
        <v>-0.51190000000000002</v>
      </c>
      <c r="BQ70" s="230">
        <v>1613</v>
      </c>
      <c r="BR70" s="230">
        <v>1598</v>
      </c>
      <c r="BS70" s="228">
        <v>15</v>
      </c>
      <c r="BT70" s="229">
        <v>9.2999999999999992E-3</v>
      </c>
      <c r="BU70" s="230">
        <v>371821</v>
      </c>
      <c r="BV70" s="230">
        <v>384623</v>
      </c>
      <c r="BW70" s="230">
        <v>-12802</v>
      </c>
      <c r="BX70" s="229">
        <v>-3.3300000000000003E-2</v>
      </c>
      <c r="BY70" s="230">
        <v>1712</v>
      </c>
      <c r="BZ70" s="230">
        <v>1721</v>
      </c>
      <c r="CA70" s="228">
        <v>-9</v>
      </c>
      <c r="CB70" s="229">
        <v>-5.0000000000000001E-3</v>
      </c>
      <c r="CC70" s="230">
        <v>1319</v>
      </c>
      <c r="CD70" s="230">
        <v>1587</v>
      </c>
      <c r="CE70" s="228">
        <v>-268</v>
      </c>
      <c r="CF70" s="229">
        <v>-0.16869999999999999</v>
      </c>
      <c r="CG70" s="228">
        <v>380</v>
      </c>
      <c r="CH70" s="228">
        <v>122</v>
      </c>
      <c r="CI70" s="228">
        <v>258</v>
      </c>
      <c r="CJ70" s="229">
        <v>2.1105</v>
      </c>
      <c r="CK70" s="228">
        <v>13</v>
      </c>
      <c r="CL70" s="228">
        <v>11</v>
      </c>
      <c r="CM70" s="228">
        <v>1</v>
      </c>
      <c r="CN70" s="229">
        <v>0.1173</v>
      </c>
      <c r="CO70" s="228">
        <v>655</v>
      </c>
      <c r="CP70" s="228">
        <v>640</v>
      </c>
      <c r="CQ70" s="228">
        <v>15</v>
      </c>
      <c r="CR70" s="229">
        <v>2.3099999999999999E-2</v>
      </c>
      <c r="CS70" s="228">
        <v>380</v>
      </c>
      <c r="CT70" s="228">
        <v>384</v>
      </c>
      <c r="CU70" s="228">
        <v>-4</v>
      </c>
      <c r="CV70" s="229">
        <v>-1.1599999999999999E-2</v>
      </c>
      <c r="CW70" s="230">
        <v>2747</v>
      </c>
      <c r="CX70" s="230">
        <v>2746</v>
      </c>
      <c r="CY70" s="228">
        <v>2</v>
      </c>
      <c r="CZ70" s="229">
        <v>5.9999999999999995E-4</v>
      </c>
      <c r="DA70" s="228">
        <v>29.02</v>
      </c>
      <c r="DB70" s="228">
        <v>30.14</v>
      </c>
      <c r="DC70" s="228">
        <v>-1.1200000000000001</v>
      </c>
      <c r="DD70" s="228">
        <v>-1.1200000000000001</v>
      </c>
      <c r="DE70" s="228">
        <v>42.88</v>
      </c>
      <c r="DF70" s="228">
        <v>42.98</v>
      </c>
      <c r="DG70" s="228">
        <v>-13.86</v>
      </c>
      <c r="DH70" s="228">
        <v>-0.1</v>
      </c>
      <c r="DI70" s="228">
        <v>29.31</v>
      </c>
      <c r="DJ70" s="228">
        <v>31.37</v>
      </c>
      <c r="DK70" s="228">
        <v>-2.06</v>
      </c>
      <c r="DL70" s="228">
        <v>-2.06</v>
      </c>
      <c r="DM70" s="228">
        <v>28.24</v>
      </c>
      <c r="DN70" s="228">
        <v>27.58</v>
      </c>
      <c r="DO70" s="228">
        <v>0.66</v>
      </c>
      <c r="DP70" s="228">
        <v>0.66</v>
      </c>
      <c r="DQ70" s="228">
        <v>0.57999999999999996</v>
      </c>
      <c r="DR70" s="228">
        <v>0.6</v>
      </c>
      <c r="DS70" s="228">
        <v>-0.02</v>
      </c>
      <c r="DT70" s="229">
        <v>-3.3300000000000003E-2</v>
      </c>
      <c r="DU70" s="231">
        <v>2300</v>
      </c>
      <c r="DV70" s="231">
        <v>2100</v>
      </c>
      <c r="DW70" s="228">
        <v>0.32</v>
      </c>
      <c r="DX70" s="228">
        <v>0.48</v>
      </c>
      <c r="DY70" s="228">
        <v>-0.16</v>
      </c>
      <c r="DZ70" s="229">
        <v>-0.33329999999999999</v>
      </c>
      <c r="EA70" s="229">
        <v>0.22939999999999999</v>
      </c>
      <c r="EB70" s="230">
        <v>628650</v>
      </c>
      <c r="EC70" s="229">
        <v>6.4000000000000003E-3</v>
      </c>
      <c r="ED70" s="229">
        <v>0.22939999999999999</v>
      </c>
      <c r="EE70" s="228">
        <v>13.79</v>
      </c>
      <c r="EF70" s="229">
        <v>6.4999999999999997E-3</v>
      </c>
      <c r="EG70" s="230">
        <v>148698</v>
      </c>
      <c r="EH70" s="230">
        <v>118258</v>
      </c>
      <c r="EI70" s="229">
        <v>0.25740000000000002</v>
      </c>
      <c r="EJ70" s="229">
        <v>0.39989999999999998</v>
      </c>
      <c r="EK70" s="228">
        <v>703.56</v>
      </c>
      <c r="EL70" s="228">
        <v>216.22</v>
      </c>
      <c r="EM70" s="228">
        <v>726.06</v>
      </c>
      <c r="EN70" s="228">
        <v>31.96</v>
      </c>
      <c r="EO70" s="231">
        <v>1645.85</v>
      </c>
      <c r="EP70" s="231">
        <v>1652.58</v>
      </c>
      <c r="EQ70" s="228">
        <v>-6.73</v>
      </c>
      <c r="ER70" s="229">
        <v>-4.1000000000000003E-3</v>
      </c>
      <c r="ES70" s="228">
        <v>704.79</v>
      </c>
      <c r="ET70" s="228">
        <v>382.59</v>
      </c>
      <c r="EU70" s="231">
        <v>1714.93</v>
      </c>
      <c r="EV70" s="231">
        <v>24082879</v>
      </c>
      <c r="EW70" s="231">
        <v>2802.3</v>
      </c>
      <c r="EX70" s="231">
        <v>2804.97</v>
      </c>
      <c r="EY70" s="228">
        <v>-2.67</v>
      </c>
      <c r="EZ70" s="229">
        <v>-1E-3</v>
      </c>
      <c r="FA70" s="229">
        <v>0.53669999999999995</v>
      </c>
      <c r="FB70" s="227" t="s">
        <v>568</v>
      </c>
      <c r="FC70">
        <f t="shared" si="1"/>
        <v>393</v>
      </c>
    </row>
    <row r="71" spans="1:159" ht="17.25" thickBot="1" x14ac:dyDescent="0.3">
      <c r="A71" s="226">
        <v>45981</v>
      </c>
      <c r="B71" s="227" t="s">
        <v>157</v>
      </c>
      <c r="C71" s="227" t="s">
        <v>219</v>
      </c>
      <c r="D71" s="228">
        <v>250</v>
      </c>
      <c r="E71" s="228">
        <v>5</v>
      </c>
      <c r="F71" s="231">
        <v>2751.9</v>
      </c>
      <c r="G71" s="231">
        <v>2745.7</v>
      </c>
      <c r="H71" s="228">
        <v>6.2</v>
      </c>
      <c r="I71" s="229">
        <v>2.3E-3</v>
      </c>
      <c r="J71" s="231">
        <v>2748.6</v>
      </c>
      <c r="K71" s="231">
        <v>2744.7</v>
      </c>
      <c r="L71" s="228">
        <v>3.9</v>
      </c>
      <c r="M71" s="229">
        <v>1.4E-3</v>
      </c>
      <c r="N71" s="231">
        <v>2751.9</v>
      </c>
      <c r="O71" s="231">
        <v>2745.7</v>
      </c>
      <c r="P71" s="228">
        <v>6.2</v>
      </c>
      <c r="Q71" s="229">
        <v>2.3E-3</v>
      </c>
      <c r="R71" s="231">
        <v>2771</v>
      </c>
      <c r="S71" s="231">
        <v>2765.4</v>
      </c>
      <c r="T71" s="228">
        <v>5.6</v>
      </c>
      <c r="U71" s="229">
        <v>2E-3</v>
      </c>
      <c r="V71" s="231">
        <v>2796.6</v>
      </c>
      <c r="W71" s="231">
        <v>2782.7</v>
      </c>
      <c r="X71" s="228">
        <v>13.9</v>
      </c>
      <c r="Y71" s="229">
        <v>5.0000000000000001E-3</v>
      </c>
      <c r="Z71" s="228">
        <v>3.3</v>
      </c>
      <c r="AA71" s="228">
        <v>1</v>
      </c>
      <c r="AB71" s="228">
        <v>2.2999999999999998</v>
      </c>
      <c r="AC71" s="229">
        <v>1.1999999999999999E-3</v>
      </c>
      <c r="AD71" s="228">
        <v>3.3</v>
      </c>
      <c r="AE71" s="228">
        <v>1</v>
      </c>
      <c r="AF71" s="228">
        <v>2.2999999999999998</v>
      </c>
      <c r="AG71" s="229">
        <v>1.1999999999999999E-3</v>
      </c>
      <c r="AH71" s="228">
        <v>22.4</v>
      </c>
      <c r="AI71" s="228">
        <v>20.7</v>
      </c>
      <c r="AJ71" s="228">
        <v>1.7</v>
      </c>
      <c r="AK71" s="229">
        <v>8.0999999999999996E-3</v>
      </c>
      <c r="AL71" s="228">
        <v>48</v>
      </c>
      <c r="AM71" s="228">
        <v>38</v>
      </c>
      <c r="AN71" s="228">
        <v>10</v>
      </c>
      <c r="AO71" s="229">
        <v>1.7500000000000002E-2</v>
      </c>
      <c r="AP71" s="231">
        <v>2758.28</v>
      </c>
      <c r="AQ71" s="231">
        <v>2776.92</v>
      </c>
      <c r="AR71" s="228">
        <v>0</v>
      </c>
      <c r="AS71" s="230">
        <v>1882</v>
      </c>
      <c r="AT71" s="230">
        <v>1921</v>
      </c>
      <c r="AU71" s="228">
        <v>-38</v>
      </c>
      <c r="AV71" s="229">
        <v>-1.9900000000000001E-2</v>
      </c>
      <c r="AW71" s="228">
        <v>961</v>
      </c>
      <c r="AX71" s="230">
        <v>1034</v>
      </c>
      <c r="AY71" s="228">
        <v>-73</v>
      </c>
      <c r="AZ71" s="229">
        <v>-7.0099999999999996E-2</v>
      </c>
      <c r="BA71" s="228">
        <v>920</v>
      </c>
      <c r="BB71" s="228">
        <v>886</v>
      </c>
      <c r="BC71" s="228">
        <v>34</v>
      </c>
      <c r="BD71" s="229">
        <v>3.85E-2</v>
      </c>
      <c r="BE71" s="228">
        <v>1</v>
      </c>
      <c r="BF71" s="228">
        <v>0</v>
      </c>
      <c r="BG71" s="228">
        <v>0</v>
      </c>
      <c r="BH71" s="229">
        <v>0.5</v>
      </c>
      <c r="BI71" s="230">
        <v>1024</v>
      </c>
      <c r="BJ71" s="230">
        <v>1204</v>
      </c>
      <c r="BK71" s="228">
        <v>-180</v>
      </c>
      <c r="BL71" s="229">
        <v>-0.14979999999999999</v>
      </c>
      <c r="BM71" s="228">
        <v>409</v>
      </c>
      <c r="BN71" s="228">
        <v>432</v>
      </c>
      <c r="BO71" s="228">
        <v>-23</v>
      </c>
      <c r="BP71" s="229">
        <v>-5.33E-2</v>
      </c>
      <c r="BQ71" s="230">
        <v>3315</v>
      </c>
      <c r="BR71" s="230">
        <v>3557</v>
      </c>
      <c r="BS71" s="228">
        <v>-242</v>
      </c>
      <c r="BT71" s="229">
        <v>-6.7900000000000002E-2</v>
      </c>
      <c r="BU71" s="230">
        <v>643955</v>
      </c>
      <c r="BV71" s="230">
        <v>609688</v>
      </c>
      <c r="BW71" s="230">
        <v>34267</v>
      </c>
      <c r="BX71" s="229">
        <v>5.62E-2</v>
      </c>
      <c r="BY71" s="230">
        <v>4429</v>
      </c>
      <c r="BZ71" s="230">
        <v>4451</v>
      </c>
      <c r="CA71" s="228">
        <v>-22</v>
      </c>
      <c r="CB71" s="229">
        <v>-4.8999999999999998E-3</v>
      </c>
      <c r="CC71" s="230">
        <v>2583</v>
      </c>
      <c r="CD71" s="230">
        <v>3387</v>
      </c>
      <c r="CE71" s="228">
        <v>-804</v>
      </c>
      <c r="CF71" s="229">
        <v>-0.23730000000000001</v>
      </c>
      <c r="CG71" s="230">
        <v>1840</v>
      </c>
      <c r="CH71" s="230">
        <v>1058</v>
      </c>
      <c r="CI71" s="228">
        <v>782</v>
      </c>
      <c r="CJ71" s="229">
        <v>0.73899999999999999</v>
      </c>
      <c r="CK71" s="228">
        <v>6</v>
      </c>
      <c r="CL71" s="228">
        <v>6</v>
      </c>
      <c r="CM71" s="228">
        <v>0</v>
      </c>
      <c r="CN71" s="229">
        <v>5.6800000000000003E-2</v>
      </c>
      <c r="CO71" s="230">
        <v>1308</v>
      </c>
      <c r="CP71" s="230">
        <v>1372</v>
      </c>
      <c r="CQ71" s="228">
        <v>-64</v>
      </c>
      <c r="CR71" s="229">
        <v>-4.6600000000000003E-2</v>
      </c>
      <c r="CS71" s="228">
        <v>704</v>
      </c>
      <c r="CT71" s="228">
        <v>708</v>
      </c>
      <c r="CU71" s="228">
        <v>-4</v>
      </c>
      <c r="CV71" s="229">
        <v>-5.8999999999999999E-3</v>
      </c>
      <c r="CW71" s="230">
        <v>6441</v>
      </c>
      <c r="CX71" s="230">
        <v>6531</v>
      </c>
      <c r="CY71" s="228">
        <v>-90</v>
      </c>
      <c r="CZ71" s="229">
        <v>-1.38E-2</v>
      </c>
      <c r="DA71" s="228">
        <v>17.260000000000002</v>
      </c>
      <c r="DB71" s="228">
        <v>20.260000000000002</v>
      </c>
      <c r="DC71" s="228">
        <v>-3</v>
      </c>
      <c r="DD71" s="228">
        <v>-3</v>
      </c>
      <c r="DE71" s="228">
        <v>26.27</v>
      </c>
      <c r="DF71" s="228">
        <v>26.33</v>
      </c>
      <c r="DG71" s="228">
        <v>-9.01</v>
      </c>
      <c r="DH71" s="228">
        <v>-0.06</v>
      </c>
      <c r="DI71" s="228">
        <v>17.8</v>
      </c>
      <c r="DJ71" s="228">
        <v>21.16</v>
      </c>
      <c r="DK71" s="228">
        <v>-3.36</v>
      </c>
      <c r="DL71" s="228">
        <v>-3.36</v>
      </c>
      <c r="DM71" s="228">
        <v>16.670000000000002</v>
      </c>
      <c r="DN71" s="228">
        <v>17.77</v>
      </c>
      <c r="DO71" s="228">
        <v>-1.1000000000000001</v>
      </c>
      <c r="DP71" s="228">
        <v>-1.1000000000000001</v>
      </c>
      <c r="DQ71" s="228">
        <v>0.54</v>
      </c>
      <c r="DR71" s="228">
        <v>0.52</v>
      </c>
      <c r="DS71" s="228">
        <v>0.02</v>
      </c>
      <c r="DT71" s="229">
        <v>3.85E-2</v>
      </c>
      <c r="DU71" s="231">
        <v>3000</v>
      </c>
      <c r="DV71" s="231">
        <v>2700</v>
      </c>
      <c r="DW71" s="228">
        <v>0.4</v>
      </c>
      <c r="DX71" s="228">
        <v>0.36</v>
      </c>
      <c r="DY71" s="228">
        <v>0.04</v>
      </c>
      <c r="DZ71" s="229">
        <v>0.1111</v>
      </c>
      <c r="EA71" s="229">
        <v>0.41670000000000001</v>
      </c>
      <c r="EB71" s="230">
        <v>3866000</v>
      </c>
      <c r="EC71" s="229">
        <v>6.8999999999999999E-3</v>
      </c>
      <c r="ED71" s="229">
        <v>0.41670000000000001</v>
      </c>
      <c r="EE71" s="228">
        <v>18.64</v>
      </c>
      <c r="EF71" s="229">
        <v>6.7999999999999996E-3</v>
      </c>
      <c r="EG71" s="230">
        <v>453189</v>
      </c>
      <c r="EH71" s="230">
        <v>397632</v>
      </c>
      <c r="EI71" s="229">
        <v>0.13969999999999999</v>
      </c>
      <c r="EJ71" s="229">
        <v>0.70379999999999998</v>
      </c>
      <c r="EK71" s="231">
        <v>1065.29</v>
      </c>
      <c r="EL71" s="228">
        <v>410.03</v>
      </c>
      <c r="EM71" s="231">
        <v>1892.98</v>
      </c>
      <c r="EN71" s="228">
        <v>91.73</v>
      </c>
      <c r="EO71" s="231">
        <v>3368.29</v>
      </c>
      <c r="EP71" s="231">
        <v>3619.29</v>
      </c>
      <c r="EQ71" s="228">
        <v>-251</v>
      </c>
      <c r="ER71" s="229">
        <v>-6.9400000000000003E-2</v>
      </c>
      <c r="ES71" s="231">
        <v>1390.53</v>
      </c>
      <c r="ET71" s="228">
        <v>699.5</v>
      </c>
      <c r="EU71" s="231">
        <v>4442.33</v>
      </c>
      <c r="EV71" s="231">
        <v>38514157</v>
      </c>
      <c r="EW71" s="231">
        <v>6532.35</v>
      </c>
      <c r="EX71" s="231">
        <v>6615.61</v>
      </c>
      <c r="EY71" s="228">
        <v>-83.26</v>
      </c>
      <c r="EZ71" s="229">
        <v>-1.26E-2</v>
      </c>
      <c r="FA71" s="229">
        <v>0.60770000000000002</v>
      </c>
      <c r="FB71" s="227" t="s">
        <v>556</v>
      </c>
      <c r="FC71">
        <f t="shared" si="1"/>
        <v>1846</v>
      </c>
    </row>
    <row r="72" spans="1:159" ht="17.25" thickBot="1" x14ac:dyDescent="0.3">
      <c r="A72" s="226">
        <v>45981</v>
      </c>
      <c r="B72" s="227" t="s">
        <v>184</v>
      </c>
      <c r="C72" s="227" t="s">
        <v>513</v>
      </c>
      <c r="D72" s="228">
        <v>150</v>
      </c>
      <c r="E72" s="228">
        <v>5</v>
      </c>
      <c r="F72" s="231">
        <v>4716.8</v>
      </c>
      <c r="G72" s="231">
        <v>4742.2</v>
      </c>
      <c r="H72" s="228">
        <v>-25.4</v>
      </c>
      <c r="I72" s="229">
        <v>-5.4000000000000003E-3</v>
      </c>
      <c r="J72" s="231">
        <v>4716.6000000000004</v>
      </c>
      <c r="K72" s="231">
        <v>4744.2</v>
      </c>
      <c r="L72" s="228">
        <v>-27.6</v>
      </c>
      <c r="M72" s="229">
        <v>-5.7999999999999996E-3</v>
      </c>
      <c r="N72" s="231">
        <v>4716.8</v>
      </c>
      <c r="O72" s="231">
        <v>4742.2</v>
      </c>
      <c r="P72" s="228">
        <v>-25.4</v>
      </c>
      <c r="Q72" s="229">
        <v>-5.4000000000000003E-3</v>
      </c>
      <c r="R72" s="231">
        <v>4748.3</v>
      </c>
      <c r="S72" s="231">
        <v>4773.8</v>
      </c>
      <c r="T72" s="228">
        <v>-25.5</v>
      </c>
      <c r="U72" s="229">
        <v>-5.3E-3</v>
      </c>
      <c r="V72" s="231">
        <v>4778.3999999999996</v>
      </c>
      <c r="W72" s="231">
        <v>4802.3</v>
      </c>
      <c r="X72" s="228">
        <v>-23.9</v>
      </c>
      <c r="Y72" s="229">
        <v>-5.0000000000000001E-3</v>
      </c>
      <c r="Z72" s="228">
        <v>0.2</v>
      </c>
      <c r="AA72" s="228">
        <v>-2</v>
      </c>
      <c r="AB72" s="228">
        <v>2.2000000000000002</v>
      </c>
      <c r="AC72" s="229">
        <v>0</v>
      </c>
      <c r="AD72" s="228">
        <v>0.2</v>
      </c>
      <c r="AE72" s="228">
        <v>-2</v>
      </c>
      <c r="AF72" s="228">
        <v>2.2000000000000002</v>
      </c>
      <c r="AG72" s="229">
        <v>0</v>
      </c>
      <c r="AH72" s="228">
        <v>31.7</v>
      </c>
      <c r="AI72" s="228">
        <v>29.6</v>
      </c>
      <c r="AJ72" s="228">
        <v>2.1</v>
      </c>
      <c r="AK72" s="229">
        <v>6.7000000000000002E-3</v>
      </c>
      <c r="AL72" s="228">
        <v>61.8</v>
      </c>
      <c r="AM72" s="228">
        <v>58.1</v>
      </c>
      <c r="AN72" s="228">
        <v>3.7</v>
      </c>
      <c r="AO72" s="229">
        <v>1.3100000000000001E-2</v>
      </c>
      <c r="AP72" s="231">
        <v>4747.34</v>
      </c>
      <c r="AQ72" s="231">
        <v>4779.5</v>
      </c>
      <c r="AR72" s="228">
        <v>0</v>
      </c>
      <c r="AS72" s="230">
        <v>1693</v>
      </c>
      <c r="AT72" s="228">
        <v>931</v>
      </c>
      <c r="AU72" s="228">
        <v>762</v>
      </c>
      <c r="AV72" s="229">
        <v>0.81789999999999996</v>
      </c>
      <c r="AW72" s="228">
        <v>876</v>
      </c>
      <c r="AX72" s="228">
        <v>617</v>
      </c>
      <c r="AY72" s="228">
        <v>259</v>
      </c>
      <c r="AZ72" s="229">
        <v>0.41970000000000002</v>
      </c>
      <c r="BA72" s="228">
        <v>797</v>
      </c>
      <c r="BB72" s="228">
        <v>294</v>
      </c>
      <c r="BC72" s="228">
        <v>503</v>
      </c>
      <c r="BD72" s="229">
        <v>1.7101999999999999</v>
      </c>
      <c r="BE72" s="228">
        <v>20</v>
      </c>
      <c r="BF72" s="228">
        <v>20</v>
      </c>
      <c r="BG72" s="228">
        <v>0</v>
      </c>
      <c r="BH72" s="229">
        <v>-7.0000000000000001E-3</v>
      </c>
      <c r="BI72" s="230">
        <v>7572</v>
      </c>
      <c r="BJ72" s="230">
        <v>6205</v>
      </c>
      <c r="BK72" s="230">
        <v>1367</v>
      </c>
      <c r="BL72" s="229">
        <v>0.2203</v>
      </c>
      <c r="BM72" s="230">
        <v>2195</v>
      </c>
      <c r="BN72" s="230">
        <v>2151</v>
      </c>
      <c r="BO72" s="228">
        <v>45</v>
      </c>
      <c r="BP72" s="229">
        <v>2.07E-2</v>
      </c>
      <c r="BQ72" s="230">
        <v>11460</v>
      </c>
      <c r="BR72" s="230">
        <v>9287</v>
      </c>
      <c r="BS72" s="230">
        <v>2173</v>
      </c>
      <c r="BT72" s="229">
        <v>0.23400000000000001</v>
      </c>
      <c r="BU72" s="230">
        <v>838929</v>
      </c>
      <c r="BV72" s="230">
        <v>906582</v>
      </c>
      <c r="BW72" s="230">
        <v>-67653</v>
      </c>
      <c r="BX72" s="229">
        <v>-7.46E-2</v>
      </c>
      <c r="BY72" s="230">
        <v>4698</v>
      </c>
      <c r="BZ72" s="230">
        <v>4680</v>
      </c>
      <c r="CA72" s="228">
        <v>18</v>
      </c>
      <c r="CB72" s="229">
        <v>3.8E-3</v>
      </c>
      <c r="CC72" s="230">
        <v>3278</v>
      </c>
      <c r="CD72" s="230">
        <v>3892</v>
      </c>
      <c r="CE72" s="228">
        <v>-614</v>
      </c>
      <c r="CF72" s="229">
        <v>-0.1578</v>
      </c>
      <c r="CG72" s="230">
        <v>1341</v>
      </c>
      <c r="CH72" s="228">
        <v>716</v>
      </c>
      <c r="CI72" s="228">
        <v>625</v>
      </c>
      <c r="CJ72" s="229">
        <v>0.87229999999999996</v>
      </c>
      <c r="CK72" s="228">
        <v>79</v>
      </c>
      <c r="CL72" s="228">
        <v>72</v>
      </c>
      <c r="CM72" s="228">
        <v>7</v>
      </c>
      <c r="CN72" s="229">
        <v>0.1017</v>
      </c>
      <c r="CO72" s="230">
        <v>3445</v>
      </c>
      <c r="CP72" s="230">
        <v>3621</v>
      </c>
      <c r="CQ72" s="228">
        <v>-175</v>
      </c>
      <c r="CR72" s="229">
        <v>-4.8500000000000001E-2</v>
      </c>
      <c r="CS72" s="230">
        <v>1581</v>
      </c>
      <c r="CT72" s="230">
        <v>1625</v>
      </c>
      <c r="CU72" s="228">
        <v>-43</v>
      </c>
      <c r="CV72" s="229">
        <v>-2.6599999999999999E-2</v>
      </c>
      <c r="CW72" s="230">
        <v>9725</v>
      </c>
      <c r="CX72" s="230">
        <v>9925</v>
      </c>
      <c r="CY72" s="228">
        <v>-201</v>
      </c>
      <c r="CZ72" s="229">
        <v>-2.0199999999999999E-2</v>
      </c>
      <c r="DA72" s="228">
        <v>24.36</v>
      </c>
      <c r="DB72" s="228">
        <v>28.41</v>
      </c>
      <c r="DC72" s="228">
        <v>-4.05</v>
      </c>
      <c r="DD72" s="228">
        <v>-4.05</v>
      </c>
      <c r="DE72" s="228">
        <v>38.39</v>
      </c>
      <c r="DF72" s="228">
        <v>38.479999999999997</v>
      </c>
      <c r="DG72" s="228">
        <v>-14.03</v>
      </c>
      <c r="DH72" s="228">
        <v>-0.09</v>
      </c>
      <c r="DI72" s="228">
        <v>24.27</v>
      </c>
      <c r="DJ72" s="228">
        <v>29.58</v>
      </c>
      <c r="DK72" s="228">
        <v>-5.31</v>
      </c>
      <c r="DL72" s="228">
        <v>-5.31</v>
      </c>
      <c r="DM72" s="228">
        <v>24.55</v>
      </c>
      <c r="DN72" s="228">
        <v>25.01</v>
      </c>
      <c r="DO72" s="228">
        <v>-0.46</v>
      </c>
      <c r="DP72" s="228">
        <v>-0.46</v>
      </c>
      <c r="DQ72" s="228">
        <v>0.46</v>
      </c>
      <c r="DR72" s="228">
        <v>0.45</v>
      </c>
      <c r="DS72" s="228">
        <v>0.01</v>
      </c>
      <c r="DT72" s="229">
        <v>2.2200000000000001E-2</v>
      </c>
      <c r="DU72" s="231">
        <v>4900</v>
      </c>
      <c r="DV72" s="231">
        <v>4800</v>
      </c>
      <c r="DW72" s="228">
        <v>0.28999999999999998</v>
      </c>
      <c r="DX72" s="228">
        <v>0.35</v>
      </c>
      <c r="DY72" s="228">
        <v>-0.06</v>
      </c>
      <c r="DZ72" s="229">
        <v>-0.1714</v>
      </c>
      <c r="EA72" s="229">
        <v>0.30230000000000001</v>
      </c>
      <c r="EB72" s="230">
        <v>1670700</v>
      </c>
      <c r="EC72" s="229">
        <v>6.7000000000000002E-3</v>
      </c>
      <c r="ED72" s="229">
        <v>0.30230000000000001</v>
      </c>
      <c r="EE72" s="228">
        <v>32.159999999999997</v>
      </c>
      <c r="EF72" s="229">
        <v>6.7999999999999996E-3</v>
      </c>
      <c r="EG72" s="230">
        <v>432643</v>
      </c>
      <c r="EH72" s="230">
        <v>460610</v>
      </c>
      <c r="EI72" s="229">
        <v>-6.0699999999999997E-2</v>
      </c>
      <c r="EJ72" s="229">
        <v>0.51570000000000005</v>
      </c>
      <c r="EK72" s="231">
        <v>7947.11</v>
      </c>
      <c r="EL72" s="231">
        <v>2181.44</v>
      </c>
      <c r="EM72" s="231">
        <v>1709.52</v>
      </c>
      <c r="EN72" s="228">
        <v>119.56</v>
      </c>
      <c r="EO72" s="231">
        <v>11838.07</v>
      </c>
      <c r="EP72" s="231">
        <v>9628.85</v>
      </c>
      <c r="EQ72" s="231">
        <v>2209.23</v>
      </c>
      <c r="ER72" s="229">
        <v>0.22939999999999999</v>
      </c>
      <c r="ES72" s="231">
        <v>3628.06</v>
      </c>
      <c r="ET72" s="231">
        <v>1572.83</v>
      </c>
      <c r="EU72" s="231">
        <v>4707.99</v>
      </c>
      <c r="EV72" s="231">
        <v>28450886</v>
      </c>
      <c r="EW72" s="231">
        <v>9908.8799999999992</v>
      </c>
      <c r="EX72" s="231">
        <v>10154.799999999999</v>
      </c>
      <c r="EY72" s="228">
        <v>-245.92</v>
      </c>
      <c r="EZ72" s="229">
        <v>-2.4199999999999999E-2</v>
      </c>
      <c r="FA72" s="229">
        <v>0.72470000000000001</v>
      </c>
      <c r="FB72" s="227" t="s">
        <v>567</v>
      </c>
      <c r="FC72">
        <f t="shared" si="1"/>
        <v>1420</v>
      </c>
    </row>
    <row r="73" spans="1:159" ht="17.25" thickBot="1" x14ac:dyDescent="0.3">
      <c r="A73" s="226">
        <v>45981</v>
      </c>
      <c r="B73" s="227" t="s">
        <v>184</v>
      </c>
      <c r="C73" s="227" t="s">
        <v>220</v>
      </c>
      <c r="D73" s="228">
        <v>500</v>
      </c>
      <c r="E73" s="228">
        <v>5</v>
      </c>
      <c r="F73" s="231">
        <v>1447.9</v>
      </c>
      <c r="G73" s="231">
        <v>1443</v>
      </c>
      <c r="H73" s="228">
        <v>4.9000000000000004</v>
      </c>
      <c r="I73" s="229">
        <v>3.3999999999999998E-3</v>
      </c>
      <c r="J73" s="231">
        <v>1448.5</v>
      </c>
      <c r="K73" s="231">
        <v>1440.4</v>
      </c>
      <c r="L73" s="228">
        <v>8.1</v>
      </c>
      <c r="M73" s="229">
        <v>5.5999999999999999E-3</v>
      </c>
      <c r="N73" s="231">
        <v>1447.9</v>
      </c>
      <c r="O73" s="231">
        <v>1443</v>
      </c>
      <c r="P73" s="228">
        <v>4.9000000000000004</v>
      </c>
      <c r="Q73" s="229">
        <v>3.3999999999999998E-3</v>
      </c>
      <c r="R73" s="231">
        <v>1458.1</v>
      </c>
      <c r="S73" s="231">
        <v>1452.5</v>
      </c>
      <c r="T73" s="228">
        <v>5.6</v>
      </c>
      <c r="U73" s="229">
        <v>3.8999999999999998E-3</v>
      </c>
      <c r="V73" s="231">
        <v>1466.8</v>
      </c>
      <c r="W73" s="231">
        <v>1460.9</v>
      </c>
      <c r="X73" s="228">
        <v>5.9</v>
      </c>
      <c r="Y73" s="229">
        <v>4.0000000000000001E-3</v>
      </c>
      <c r="Z73" s="228">
        <v>-0.6</v>
      </c>
      <c r="AA73" s="228">
        <v>2.6</v>
      </c>
      <c r="AB73" s="228">
        <v>-3.2</v>
      </c>
      <c r="AC73" s="229">
        <v>-4.0000000000000002E-4</v>
      </c>
      <c r="AD73" s="228">
        <v>-0.6</v>
      </c>
      <c r="AE73" s="228">
        <v>2.6</v>
      </c>
      <c r="AF73" s="228">
        <v>-3.2</v>
      </c>
      <c r="AG73" s="229">
        <v>-4.0000000000000002E-4</v>
      </c>
      <c r="AH73" s="228">
        <v>9.6</v>
      </c>
      <c r="AI73" s="228">
        <v>12.1</v>
      </c>
      <c r="AJ73" s="228">
        <v>-2.5</v>
      </c>
      <c r="AK73" s="229">
        <v>6.6E-3</v>
      </c>
      <c r="AL73" s="228">
        <v>18.3</v>
      </c>
      <c r="AM73" s="228">
        <v>20.5</v>
      </c>
      <c r="AN73" s="228">
        <v>-2.2000000000000002</v>
      </c>
      <c r="AO73" s="229">
        <v>1.26E-2</v>
      </c>
      <c r="AP73" s="231">
        <v>1449.08</v>
      </c>
      <c r="AQ73" s="231">
        <v>1458.43</v>
      </c>
      <c r="AR73" s="228">
        <v>0</v>
      </c>
      <c r="AS73" s="228">
        <v>768</v>
      </c>
      <c r="AT73" s="228">
        <v>239</v>
      </c>
      <c r="AU73" s="228">
        <v>529</v>
      </c>
      <c r="AV73" s="229">
        <v>2.2086999999999999</v>
      </c>
      <c r="AW73" s="228">
        <v>411</v>
      </c>
      <c r="AX73" s="228">
        <v>160</v>
      </c>
      <c r="AY73" s="228">
        <v>251</v>
      </c>
      <c r="AZ73" s="229">
        <v>1.5620000000000001</v>
      </c>
      <c r="BA73" s="228">
        <v>355</v>
      </c>
      <c r="BB73" s="228">
        <v>75</v>
      </c>
      <c r="BC73" s="228">
        <v>280</v>
      </c>
      <c r="BD73" s="229">
        <v>3.7435</v>
      </c>
      <c r="BE73" s="228">
        <v>2</v>
      </c>
      <c r="BF73" s="228">
        <v>4</v>
      </c>
      <c r="BG73" s="228">
        <v>-2</v>
      </c>
      <c r="BH73" s="229">
        <v>-0.5</v>
      </c>
      <c r="BI73" s="228">
        <v>351</v>
      </c>
      <c r="BJ73" s="228">
        <v>477</v>
      </c>
      <c r="BK73" s="228">
        <v>-126</v>
      </c>
      <c r="BL73" s="229">
        <v>-0.26500000000000001</v>
      </c>
      <c r="BM73" s="228">
        <v>157</v>
      </c>
      <c r="BN73" s="228">
        <v>217</v>
      </c>
      <c r="BO73" s="228">
        <v>-60</v>
      </c>
      <c r="BP73" s="229">
        <v>-0.27639999999999998</v>
      </c>
      <c r="BQ73" s="230">
        <v>1276</v>
      </c>
      <c r="BR73" s="228">
        <v>934</v>
      </c>
      <c r="BS73" s="228">
        <v>342</v>
      </c>
      <c r="BT73" s="229">
        <v>0.3664</v>
      </c>
      <c r="BU73" s="230">
        <v>813884</v>
      </c>
      <c r="BV73" s="230">
        <v>1061339</v>
      </c>
      <c r="BW73" s="230">
        <v>-247455</v>
      </c>
      <c r="BX73" s="229">
        <v>-0.23319999999999999</v>
      </c>
      <c r="BY73" s="230">
        <v>1247</v>
      </c>
      <c r="BZ73" s="230">
        <v>1286</v>
      </c>
      <c r="CA73" s="228">
        <v>-39</v>
      </c>
      <c r="CB73" s="229">
        <v>-3.0300000000000001E-2</v>
      </c>
      <c r="CC73" s="228">
        <v>820</v>
      </c>
      <c r="CD73" s="230">
        <v>1152</v>
      </c>
      <c r="CE73" s="228">
        <v>-332</v>
      </c>
      <c r="CF73" s="229">
        <v>-0.28810000000000002</v>
      </c>
      <c r="CG73" s="228">
        <v>416</v>
      </c>
      <c r="CH73" s="228">
        <v>124</v>
      </c>
      <c r="CI73" s="228">
        <v>292</v>
      </c>
      <c r="CJ73" s="229">
        <v>2.3496999999999999</v>
      </c>
      <c r="CK73" s="228">
        <v>11</v>
      </c>
      <c r="CL73" s="228">
        <v>10</v>
      </c>
      <c r="CM73" s="228">
        <v>1</v>
      </c>
      <c r="CN73" s="229">
        <v>9.1499999999999998E-2</v>
      </c>
      <c r="CO73" s="228">
        <v>413</v>
      </c>
      <c r="CP73" s="228">
        <v>440</v>
      </c>
      <c r="CQ73" s="228">
        <v>-26</v>
      </c>
      <c r="CR73" s="229">
        <v>-5.9799999999999999E-2</v>
      </c>
      <c r="CS73" s="228">
        <v>298</v>
      </c>
      <c r="CT73" s="228">
        <v>291</v>
      </c>
      <c r="CU73" s="228">
        <v>7</v>
      </c>
      <c r="CV73" s="229">
        <v>2.4899999999999999E-2</v>
      </c>
      <c r="CW73" s="230">
        <v>1959</v>
      </c>
      <c r="CX73" s="230">
        <v>2017</v>
      </c>
      <c r="CY73" s="228">
        <v>-58</v>
      </c>
      <c r="CZ73" s="229">
        <v>-2.8799999999999999E-2</v>
      </c>
      <c r="DA73" s="228">
        <v>19.43</v>
      </c>
      <c r="DB73" s="228">
        <v>23.67</v>
      </c>
      <c r="DC73" s="228">
        <v>-4.24</v>
      </c>
      <c r="DD73" s="228">
        <v>-4.24</v>
      </c>
      <c r="DE73" s="228">
        <v>27.72</v>
      </c>
      <c r="DF73" s="228">
        <v>27.79</v>
      </c>
      <c r="DG73" s="228">
        <v>-8.2899999999999991</v>
      </c>
      <c r="DH73" s="228">
        <v>-7.0000000000000007E-2</v>
      </c>
      <c r="DI73" s="228">
        <v>19.32</v>
      </c>
      <c r="DJ73" s="228">
        <v>24.7</v>
      </c>
      <c r="DK73" s="228">
        <v>-5.38</v>
      </c>
      <c r="DL73" s="228">
        <v>-5.38</v>
      </c>
      <c r="DM73" s="228">
        <v>19.55</v>
      </c>
      <c r="DN73" s="228">
        <v>21.38</v>
      </c>
      <c r="DO73" s="228">
        <v>-1.83</v>
      </c>
      <c r="DP73" s="228">
        <v>-1.83</v>
      </c>
      <c r="DQ73" s="228">
        <v>0.72</v>
      </c>
      <c r="DR73" s="228">
        <v>0.66</v>
      </c>
      <c r="DS73" s="228">
        <v>0.06</v>
      </c>
      <c r="DT73" s="229">
        <v>9.0899999999999995E-2</v>
      </c>
      <c r="DU73" s="231">
        <v>1500</v>
      </c>
      <c r="DV73" s="231">
        <v>1500</v>
      </c>
      <c r="DW73" s="228">
        <v>0.45</v>
      </c>
      <c r="DX73" s="228">
        <v>0.45</v>
      </c>
      <c r="DY73" s="228">
        <v>0</v>
      </c>
      <c r="DZ73" s="229">
        <v>0</v>
      </c>
      <c r="EA73" s="229">
        <v>0.34260000000000002</v>
      </c>
      <c r="EB73" s="230">
        <v>929000</v>
      </c>
      <c r="EC73" s="229">
        <v>7.0000000000000001E-3</v>
      </c>
      <c r="ED73" s="229">
        <v>0.34260000000000002</v>
      </c>
      <c r="EE73" s="228">
        <v>9.35</v>
      </c>
      <c r="EF73" s="229">
        <v>6.4999999999999997E-3</v>
      </c>
      <c r="EG73" s="230">
        <v>561523</v>
      </c>
      <c r="EH73" s="230">
        <v>726228</v>
      </c>
      <c r="EI73" s="229">
        <v>-0.2268</v>
      </c>
      <c r="EJ73" s="229">
        <v>0.68989999999999996</v>
      </c>
      <c r="EK73" s="228">
        <v>363.5</v>
      </c>
      <c r="EL73" s="228">
        <v>156.93</v>
      </c>
      <c r="EM73" s="228">
        <v>770.91</v>
      </c>
      <c r="EN73" s="228">
        <v>20.55</v>
      </c>
      <c r="EO73" s="231">
        <v>1291.3399999999999</v>
      </c>
      <c r="EP73" s="228">
        <v>952.22</v>
      </c>
      <c r="EQ73" s="228">
        <v>339.11</v>
      </c>
      <c r="ER73" s="229">
        <v>0.35610000000000003</v>
      </c>
      <c r="ES73" s="228">
        <v>436.18</v>
      </c>
      <c r="ET73" s="228">
        <v>298.38</v>
      </c>
      <c r="EU73" s="231">
        <v>1250.3</v>
      </c>
      <c r="EV73" s="231">
        <v>38133766</v>
      </c>
      <c r="EW73" s="231">
        <v>1984.86</v>
      </c>
      <c r="EX73" s="231">
        <v>2038</v>
      </c>
      <c r="EY73" s="228">
        <v>-53.14</v>
      </c>
      <c r="EZ73" s="229">
        <v>-2.6100000000000002E-2</v>
      </c>
      <c r="FA73" s="229">
        <v>0.35470000000000002</v>
      </c>
      <c r="FB73" s="227" t="s">
        <v>556</v>
      </c>
      <c r="FC73">
        <f t="shared" si="1"/>
        <v>427</v>
      </c>
    </row>
    <row r="74" spans="1:159" ht="17.25" thickBot="1" x14ac:dyDescent="0.3">
      <c r="A74" s="226">
        <v>45981</v>
      </c>
      <c r="B74" s="227" t="s">
        <v>221</v>
      </c>
      <c r="C74" s="227" t="s">
        <v>222</v>
      </c>
      <c r="D74" s="228">
        <v>350</v>
      </c>
      <c r="E74" s="228">
        <v>5</v>
      </c>
      <c r="F74" s="231">
        <v>1647.6</v>
      </c>
      <c r="G74" s="231">
        <v>1660</v>
      </c>
      <c r="H74" s="228">
        <v>-12.4</v>
      </c>
      <c r="I74" s="229">
        <v>-7.4999999999999997E-3</v>
      </c>
      <c r="J74" s="231">
        <v>1645.4</v>
      </c>
      <c r="K74" s="231">
        <v>1662.6</v>
      </c>
      <c r="L74" s="228">
        <v>-17.2</v>
      </c>
      <c r="M74" s="229">
        <v>-1.03E-2</v>
      </c>
      <c r="N74" s="231">
        <v>1647.6</v>
      </c>
      <c r="O74" s="231">
        <v>1660</v>
      </c>
      <c r="P74" s="228">
        <v>-12.4</v>
      </c>
      <c r="Q74" s="229">
        <v>-7.4999999999999997E-3</v>
      </c>
      <c r="R74" s="231">
        <v>1658.8</v>
      </c>
      <c r="S74" s="231">
        <v>1671.1</v>
      </c>
      <c r="T74" s="228">
        <v>-12.3</v>
      </c>
      <c r="U74" s="229">
        <v>-7.4000000000000003E-3</v>
      </c>
      <c r="V74" s="231">
        <v>1657.4</v>
      </c>
      <c r="W74" s="231">
        <v>1668.6</v>
      </c>
      <c r="X74" s="228">
        <v>-11.2</v>
      </c>
      <c r="Y74" s="229">
        <v>-6.7000000000000002E-3</v>
      </c>
      <c r="Z74" s="228">
        <v>2.2000000000000002</v>
      </c>
      <c r="AA74" s="228">
        <v>-2.6</v>
      </c>
      <c r="AB74" s="228">
        <v>4.8</v>
      </c>
      <c r="AC74" s="229">
        <v>1.2999999999999999E-3</v>
      </c>
      <c r="AD74" s="228">
        <v>2.2000000000000002</v>
      </c>
      <c r="AE74" s="228">
        <v>-2.6</v>
      </c>
      <c r="AF74" s="228">
        <v>4.8</v>
      </c>
      <c r="AG74" s="229">
        <v>1.2999999999999999E-3</v>
      </c>
      <c r="AH74" s="228">
        <v>13.4</v>
      </c>
      <c r="AI74" s="228">
        <v>8.5</v>
      </c>
      <c r="AJ74" s="228">
        <v>4.9000000000000004</v>
      </c>
      <c r="AK74" s="229">
        <v>8.0999999999999996E-3</v>
      </c>
      <c r="AL74" s="228">
        <v>12</v>
      </c>
      <c r="AM74" s="228">
        <v>6</v>
      </c>
      <c r="AN74" s="228">
        <v>6</v>
      </c>
      <c r="AO74" s="229">
        <v>7.3000000000000001E-3</v>
      </c>
      <c r="AP74" s="231">
        <v>1654.51</v>
      </c>
      <c r="AQ74" s="231">
        <v>1665.25</v>
      </c>
      <c r="AR74" s="228">
        <v>0</v>
      </c>
      <c r="AS74" s="230">
        <v>1826</v>
      </c>
      <c r="AT74" s="230">
        <v>1138</v>
      </c>
      <c r="AU74" s="228">
        <v>688</v>
      </c>
      <c r="AV74" s="229">
        <v>0.60419999999999996</v>
      </c>
      <c r="AW74" s="228">
        <v>947</v>
      </c>
      <c r="AX74" s="228">
        <v>829</v>
      </c>
      <c r="AY74" s="228">
        <v>119</v>
      </c>
      <c r="AZ74" s="229">
        <v>0.14299999999999999</v>
      </c>
      <c r="BA74" s="228">
        <v>866</v>
      </c>
      <c r="BB74" s="228">
        <v>283</v>
      </c>
      <c r="BC74" s="228">
        <v>583</v>
      </c>
      <c r="BD74" s="229">
        <v>2.0589</v>
      </c>
      <c r="BE74" s="228">
        <v>12</v>
      </c>
      <c r="BF74" s="228">
        <v>26</v>
      </c>
      <c r="BG74" s="228">
        <v>-14</v>
      </c>
      <c r="BH74" s="229">
        <v>-0.5232</v>
      </c>
      <c r="BI74" s="230">
        <v>2848</v>
      </c>
      <c r="BJ74" s="230">
        <v>11172</v>
      </c>
      <c r="BK74" s="230">
        <v>-8324</v>
      </c>
      <c r="BL74" s="229">
        <v>-0.74509999999999998</v>
      </c>
      <c r="BM74" s="230">
        <v>1945</v>
      </c>
      <c r="BN74" s="230">
        <v>4518</v>
      </c>
      <c r="BO74" s="230">
        <v>-2574</v>
      </c>
      <c r="BP74" s="229">
        <v>-0.5696</v>
      </c>
      <c r="BQ74" s="230">
        <v>6618</v>
      </c>
      <c r="BR74" s="230">
        <v>16829</v>
      </c>
      <c r="BS74" s="230">
        <v>-10210</v>
      </c>
      <c r="BT74" s="229">
        <v>-0.60670000000000002</v>
      </c>
      <c r="BU74" s="230">
        <v>2886062</v>
      </c>
      <c r="BV74" s="230">
        <v>6507861</v>
      </c>
      <c r="BW74" s="230">
        <v>-3621799</v>
      </c>
      <c r="BX74" s="229">
        <v>-0.55649999999999999</v>
      </c>
      <c r="BY74" s="230">
        <v>2621</v>
      </c>
      <c r="BZ74" s="230">
        <v>2624</v>
      </c>
      <c r="CA74" s="228">
        <v>-3</v>
      </c>
      <c r="CB74" s="229">
        <v>-1.1000000000000001E-3</v>
      </c>
      <c r="CC74" s="230">
        <v>1688</v>
      </c>
      <c r="CD74" s="230">
        <v>2304</v>
      </c>
      <c r="CE74" s="228">
        <v>-616</v>
      </c>
      <c r="CF74" s="229">
        <v>-0.26750000000000002</v>
      </c>
      <c r="CG74" s="228">
        <v>911</v>
      </c>
      <c r="CH74" s="228">
        <v>296</v>
      </c>
      <c r="CI74" s="228">
        <v>615</v>
      </c>
      <c r="CJ74" s="229">
        <v>2.0735000000000001</v>
      </c>
      <c r="CK74" s="228">
        <v>22</v>
      </c>
      <c r="CL74" s="228">
        <v>23</v>
      </c>
      <c r="CM74" s="228">
        <v>-1</v>
      </c>
      <c r="CN74" s="229">
        <v>-5.4199999999999998E-2</v>
      </c>
      <c r="CO74" s="230">
        <v>1155</v>
      </c>
      <c r="CP74" s="230">
        <v>1126</v>
      </c>
      <c r="CQ74" s="228">
        <v>28</v>
      </c>
      <c r="CR74" s="229">
        <v>2.53E-2</v>
      </c>
      <c r="CS74" s="228">
        <v>890</v>
      </c>
      <c r="CT74" s="230">
        <v>1029</v>
      </c>
      <c r="CU74" s="228">
        <v>-139</v>
      </c>
      <c r="CV74" s="229">
        <v>-0.1351</v>
      </c>
      <c r="CW74" s="230">
        <v>4666</v>
      </c>
      <c r="CX74" s="230">
        <v>4779</v>
      </c>
      <c r="CY74" s="228">
        <v>-113</v>
      </c>
      <c r="CZ74" s="229">
        <v>-2.3699999999999999E-2</v>
      </c>
      <c r="DA74" s="228">
        <v>21.25</v>
      </c>
      <c r="DB74" s="228">
        <v>23.95</v>
      </c>
      <c r="DC74" s="228">
        <v>-2.7</v>
      </c>
      <c r="DD74" s="228">
        <v>-2.7</v>
      </c>
      <c r="DE74" s="228">
        <v>28.73</v>
      </c>
      <c r="DF74" s="228">
        <v>28.77</v>
      </c>
      <c r="DG74" s="228">
        <v>-7.48</v>
      </c>
      <c r="DH74" s="228">
        <v>-0.04</v>
      </c>
      <c r="DI74" s="228">
        <v>21.19</v>
      </c>
      <c r="DJ74" s="228">
        <v>23.15</v>
      </c>
      <c r="DK74" s="228">
        <v>-1.96</v>
      </c>
      <c r="DL74" s="228">
        <v>-1.96</v>
      </c>
      <c r="DM74" s="228">
        <v>21.35</v>
      </c>
      <c r="DN74" s="228">
        <v>25.95</v>
      </c>
      <c r="DO74" s="228">
        <v>-4.5999999999999996</v>
      </c>
      <c r="DP74" s="228">
        <v>-4.5999999999999996</v>
      </c>
      <c r="DQ74" s="228">
        <v>0.77</v>
      </c>
      <c r="DR74" s="228">
        <v>0.91</v>
      </c>
      <c r="DS74" s="228">
        <v>-0.14000000000000001</v>
      </c>
      <c r="DT74" s="229">
        <v>-0.15379999999999999</v>
      </c>
      <c r="DU74" s="231">
        <v>1700</v>
      </c>
      <c r="DV74" s="231">
        <v>1600</v>
      </c>
      <c r="DW74" s="228">
        <v>0.68</v>
      </c>
      <c r="DX74" s="228">
        <v>0.4</v>
      </c>
      <c r="DY74" s="228">
        <v>0.28000000000000003</v>
      </c>
      <c r="DZ74" s="229">
        <v>0.7</v>
      </c>
      <c r="EA74" s="229">
        <v>0.35599999999999998</v>
      </c>
      <c r="EB74" s="230">
        <v>1941450</v>
      </c>
      <c r="EC74" s="229">
        <v>6.7999999999999996E-3</v>
      </c>
      <c r="ED74" s="229">
        <v>0.35599999999999998</v>
      </c>
      <c r="EE74" s="228">
        <v>10.74</v>
      </c>
      <c r="EF74" s="229">
        <v>6.4999999999999997E-3</v>
      </c>
      <c r="EG74" s="230">
        <v>1780902</v>
      </c>
      <c r="EH74" s="230">
        <v>3498382</v>
      </c>
      <c r="EI74" s="229">
        <v>-0.4909</v>
      </c>
      <c r="EJ74" s="229">
        <v>0.61709999999999998</v>
      </c>
      <c r="EK74" s="231">
        <v>2947.68</v>
      </c>
      <c r="EL74" s="231">
        <v>1932.53</v>
      </c>
      <c r="EM74" s="231">
        <v>1838.95</v>
      </c>
      <c r="EN74" s="228">
        <v>93.29</v>
      </c>
      <c r="EO74" s="231">
        <v>6719.17</v>
      </c>
      <c r="EP74" s="231">
        <v>16979.5</v>
      </c>
      <c r="EQ74" s="231">
        <v>-10260.33</v>
      </c>
      <c r="ER74" s="229">
        <v>-0.60429999999999995</v>
      </c>
      <c r="ES74" s="231">
        <v>1165.1400000000001</v>
      </c>
      <c r="ET74" s="228">
        <v>834.7</v>
      </c>
      <c r="EU74" s="231">
        <v>2627.76</v>
      </c>
      <c r="EV74" s="231">
        <v>145993539</v>
      </c>
      <c r="EW74" s="231">
        <v>4627.6099999999997</v>
      </c>
      <c r="EX74" s="231">
        <v>4751.29</v>
      </c>
      <c r="EY74" s="228">
        <v>-123.68</v>
      </c>
      <c r="EZ74" s="229">
        <v>-2.5999999999999999E-2</v>
      </c>
      <c r="FA74" s="229">
        <v>0.19400000000000001</v>
      </c>
      <c r="FB74" s="227" t="s">
        <v>568</v>
      </c>
      <c r="FC74">
        <f t="shared" si="1"/>
        <v>933</v>
      </c>
    </row>
    <row r="75" spans="1:159" ht="17.25" thickBot="1" x14ac:dyDescent="0.3">
      <c r="A75" s="226">
        <v>45981</v>
      </c>
      <c r="B75" s="227" t="s">
        <v>175</v>
      </c>
      <c r="C75" s="227" t="s">
        <v>475</v>
      </c>
      <c r="D75" s="228">
        <v>150</v>
      </c>
      <c r="E75" s="228">
        <v>5</v>
      </c>
      <c r="F75" s="231">
        <v>5406</v>
      </c>
      <c r="G75" s="231">
        <v>5399.5</v>
      </c>
      <c r="H75" s="228">
        <v>6.5</v>
      </c>
      <c r="I75" s="229">
        <v>1.1999999999999999E-3</v>
      </c>
      <c r="J75" s="231">
        <v>5399</v>
      </c>
      <c r="K75" s="231">
        <v>5392</v>
      </c>
      <c r="L75" s="228">
        <v>7</v>
      </c>
      <c r="M75" s="229">
        <v>1.2999999999999999E-3</v>
      </c>
      <c r="N75" s="231">
        <v>5406</v>
      </c>
      <c r="O75" s="231">
        <v>5399.5</v>
      </c>
      <c r="P75" s="228">
        <v>6.5</v>
      </c>
      <c r="Q75" s="229">
        <v>1.1999999999999999E-3</v>
      </c>
      <c r="R75" s="231">
        <v>5442</v>
      </c>
      <c r="S75" s="231">
        <v>5436</v>
      </c>
      <c r="T75" s="228">
        <v>6</v>
      </c>
      <c r="U75" s="229">
        <v>1.1000000000000001E-3</v>
      </c>
      <c r="V75" s="231">
        <v>5473.5</v>
      </c>
      <c r="W75" s="231">
        <v>5476</v>
      </c>
      <c r="X75" s="228">
        <v>-2.5</v>
      </c>
      <c r="Y75" s="229">
        <v>-5.0000000000000001E-4</v>
      </c>
      <c r="Z75" s="228">
        <v>7</v>
      </c>
      <c r="AA75" s="228">
        <v>7.5</v>
      </c>
      <c r="AB75" s="228">
        <v>-0.5</v>
      </c>
      <c r="AC75" s="229">
        <v>1.2999999999999999E-3</v>
      </c>
      <c r="AD75" s="228">
        <v>7</v>
      </c>
      <c r="AE75" s="228">
        <v>7.5</v>
      </c>
      <c r="AF75" s="228">
        <v>-0.5</v>
      </c>
      <c r="AG75" s="229">
        <v>1.2999999999999999E-3</v>
      </c>
      <c r="AH75" s="228">
        <v>43</v>
      </c>
      <c r="AI75" s="228">
        <v>44</v>
      </c>
      <c r="AJ75" s="228">
        <v>-1</v>
      </c>
      <c r="AK75" s="229">
        <v>8.0000000000000002E-3</v>
      </c>
      <c r="AL75" s="228">
        <v>74.5</v>
      </c>
      <c r="AM75" s="228">
        <v>84</v>
      </c>
      <c r="AN75" s="228">
        <v>-9.5</v>
      </c>
      <c r="AO75" s="229">
        <v>1.38E-2</v>
      </c>
      <c r="AP75" s="231">
        <v>5407.06</v>
      </c>
      <c r="AQ75" s="231">
        <v>5441.53</v>
      </c>
      <c r="AR75" s="228">
        <v>0</v>
      </c>
      <c r="AS75" s="228">
        <v>734</v>
      </c>
      <c r="AT75" s="228">
        <v>214</v>
      </c>
      <c r="AU75" s="228">
        <v>519</v>
      </c>
      <c r="AV75" s="229">
        <v>2.4256000000000002</v>
      </c>
      <c r="AW75" s="228">
        <v>407</v>
      </c>
      <c r="AX75" s="228">
        <v>157</v>
      </c>
      <c r="AY75" s="228">
        <v>250</v>
      </c>
      <c r="AZ75" s="229">
        <v>1.5931</v>
      </c>
      <c r="BA75" s="228">
        <v>326</v>
      </c>
      <c r="BB75" s="228">
        <v>56</v>
      </c>
      <c r="BC75" s="228">
        <v>270</v>
      </c>
      <c r="BD75" s="229">
        <v>4.7938999999999998</v>
      </c>
      <c r="BE75" s="228">
        <v>1</v>
      </c>
      <c r="BF75" s="228">
        <v>1</v>
      </c>
      <c r="BG75" s="228">
        <v>0</v>
      </c>
      <c r="BH75" s="229">
        <v>-0.15379999999999999</v>
      </c>
      <c r="BI75" s="228">
        <v>879</v>
      </c>
      <c r="BJ75" s="230">
        <v>1086</v>
      </c>
      <c r="BK75" s="228">
        <v>-207</v>
      </c>
      <c r="BL75" s="229">
        <v>-0.19059999999999999</v>
      </c>
      <c r="BM75" s="228">
        <v>241</v>
      </c>
      <c r="BN75" s="228">
        <v>257</v>
      </c>
      <c r="BO75" s="228">
        <v>-16</v>
      </c>
      <c r="BP75" s="229">
        <v>-6.1899999999999997E-2</v>
      </c>
      <c r="BQ75" s="230">
        <v>1854</v>
      </c>
      <c r="BR75" s="230">
        <v>1557</v>
      </c>
      <c r="BS75" s="228">
        <v>297</v>
      </c>
      <c r="BT75" s="229">
        <v>0.19040000000000001</v>
      </c>
      <c r="BU75" s="230">
        <v>365476</v>
      </c>
      <c r="BV75" s="230">
        <v>429642</v>
      </c>
      <c r="BW75" s="230">
        <v>-64166</v>
      </c>
      <c r="BX75" s="229">
        <v>-0.14929999999999999</v>
      </c>
      <c r="BY75" s="230">
        <v>1351</v>
      </c>
      <c r="BZ75" s="230">
        <v>1346</v>
      </c>
      <c r="CA75" s="228">
        <v>5</v>
      </c>
      <c r="CB75" s="229">
        <v>3.8999999999999998E-3</v>
      </c>
      <c r="CC75" s="228">
        <v>953</v>
      </c>
      <c r="CD75" s="230">
        <v>1228</v>
      </c>
      <c r="CE75" s="228">
        <v>-275</v>
      </c>
      <c r="CF75" s="229">
        <v>-0.224</v>
      </c>
      <c r="CG75" s="228">
        <v>393</v>
      </c>
      <c r="CH75" s="228">
        <v>112</v>
      </c>
      <c r="CI75" s="228">
        <v>280</v>
      </c>
      <c r="CJ75" s="229">
        <v>2.4948999999999999</v>
      </c>
      <c r="CK75" s="228">
        <v>6</v>
      </c>
      <c r="CL75" s="228">
        <v>6</v>
      </c>
      <c r="CM75" s="228">
        <v>0</v>
      </c>
      <c r="CN75" s="229">
        <v>-4.1700000000000001E-2</v>
      </c>
      <c r="CO75" s="228">
        <v>857</v>
      </c>
      <c r="CP75" s="228">
        <v>920</v>
      </c>
      <c r="CQ75" s="228">
        <v>-63</v>
      </c>
      <c r="CR75" s="229">
        <v>-6.9000000000000006E-2</v>
      </c>
      <c r="CS75" s="228">
        <v>523</v>
      </c>
      <c r="CT75" s="228">
        <v>531</v>
      </c>
      <c r="CU75" s="228">
        <v>-8</v>
      </c>
      <c r="CV75" s="229">
        <v>-1.4200000000000001E-2</v>
      </c>
      <c r="CW75" s="230">
        <v>2731</v>
      </c>
      <c r="CX75" s="230">
        <v>2797</v>
      </c>
      <c r="CY75" s="228">
        <v>-66</v>
      </c>
      <c r="CZ75" s="229">
        <v>-2.35E-2</v>
      </c>
      <c r="DA75" s="228">
        <v>21.65</v>
      </c>
      <c r="DB75" s="228">
        <v>27.89</v>
      </c>
      <c r="DC75" s="228">
        <v>-6.24</v>
      </c>
      <c r="DD75" s="228">
        <v>-6.24</v>
      </c>
      <c r="DE75" s="228">
        <v>33.979999999999997</v>
      </c>
      <c r="DF75" s="228">
        <v>34.07</v>
      </c>
      <c r="DG75" s="228">
        <v>-12.33</v>
      </c>
      <c r="DH75" s="228">
        <v>-0.09</v>
      </c>
      <c r="DI75" s="228">
        <v>21.64</v>
      </c>
      <c r="DJ75" s="228">
        <v>28.48</v>
      </c>
      <c r="DK75" s="228">
        <v>-6.84</v>
      </c>
      <c r="DL75" s="228">
        <v>-6.84</v>
      </c>
      <c r="DM75" s="228">
        <v>21.66</v>
      </c>
      <c r="DN75" s="228">
        <v>25.39</v>
      </c>
      <c r="DO75" s="228">
        <v>-3.73</v>
      </c>
      <c r="DP75" s="228">
        <v>-3.73</v>
      </c>
      <c r="DQ75" s="228">
        <v>0.61</v>
      </c>
      <c r="DR75" s="228">
        <v>0.57999999999999996</v>
      </c>
      <c r="DS75" s="228">
        <v>0.03</v>
      </c>
      <c r="DT75" s="229">
        <v>5.1700000000000003E-2</v>
      </c>
      <c r="DU75" s="231">
        <v>5500</v>
      </c>
      <c r="DV75" s="231">
        <v>5400</v>
      </c>
      <c r="DW75" s="228">
        <v>0.27</v>
      </c>
      <c r="DX75" s="228">
        <v>0.24</v>
      </c>
      <c r="DY75" s="228">
        <v>0.03</v>
      </c>
      <c r="DZ75" s="229">
        <v>0.125</v>
      </c>
      <c r="EA75" s="229">
        <v>0.29480000000000001</v>
      </c>
      <c r="EB75" s="230">
        <v>218700</v>
      </c>
      <c r="EC75" s="229">
        <v>6.7000000000000002E-3</v>
      </c>
      <c r="ED75" s="229">
        <v>0.29480000000000001</v>
      </c>
      <c r="EE75" s="228">
        <v>34.47</v>
      </c>
      <c r="EF75" s="229">
        <v>6.4000000000000003E-3</v>
      </c>
      <c r="EG75" s="230">
        <v>275276</v>
      </c>
      <c r="EH75" s="230">
        <v>314833</v>
      </c>
      <c r="EI75" s="229">
        <v>-0.12559999999999999</v>
      </c>
      <c r="EJ75" s="229">
        <v>0.75319999999999998</v>
      </c>
      <c r="EK75" s="228">
        <v>919.58</v>
      </c>
      <c r="EL75" s="228">
        <v>237.65</v>
      </c>
      <c r="EM75" s="228">
        <v>735.85</v>
      </c>
      <c r="EN75" s="228">
        <v>26.14</v>
      </c>
      <c r="EO75" s="231">
        <v>1893.09</v>
      </c>
      <c r="EP75" s="231">
        <v>1609.07</v>
      </c>
      <c r="EQ75" s="228">
        <v>284.02999999999997</v>
      </c>
      <c r="ER75" s="229">
        <v>0.17649999999999999</v>
      </c>
      <c r="ES75" s="228">
        <v>899.43</v>
      </c>
      <c r="ET75" s="228">
        <v>517.44000000000005</v>
      </c>
      <c r="EU75" s="231">
        <v>1353.89</v>
      </c>
      <c r="EV75" s="231">
        <v>15259458</v>
      </c>
      <c r="EW75" s="231">
        <v>2770.76</v>
      </c>
      <c r="EX75" s="231">
        <v>2837.55</v>
      </c>
      <c r="EY75" s="228">
        <v>-66.790000000000006</v>
      </c>
      <c r="EZ75" s="229">
        <v>-2.35E-2</v>
      </c>
      <c r="FA75" s="229">
        <v>0.33110000000000001</v>
      </c>
      <c r="FB75" s="227" t="s">
        <v>555</v>
      </c>
      <c r="FC75">
        <f t="shared" si="1"/>
        <v>398</v>
      </c>
    </row>
    <row r="76" spans="1:159" ht="17.25" thickBot="1" x14ac:dyDescent="0.3">
      <c r="A76" s="226">
        <v>45981</v>
      </c>
      <c r="B76" s="227" t="s">
        <v>172</v>
      </c>
      <c r="C76" s="227" t="s">
        <v>224</v>
      </c>
      <c r="D76" s="228">
        <v>550</v>
      </c>
      <c r="E76" s="228">
        <v>5</v>
      </c>
      <c r="F76" s="231">
        <v>1010.05</v>
      </c>
      <c r="G76" s="228">
        <v>995.2</v>
      </c>
      <c r="H76" s="228">
        <v>14.85</v>
      </c>
      <c r="I76" s="229">
        <v>1.49E-2</v>
      </c>
      <c r="J76" s="231">
        <v>1008.85</v>
      </c>
      <c r="K76" s="228">
        <v>994.6</v>
      </c>
      <c r="L76" s="228">
        <v>14.25</v>
      </c>
      <c r="M76" s="229">
        <v>1.43E-2</v>
      </c>
      <c r="N76" s="231">
        <v>1010.05</v>
      </c>
      <c r="O76" s="228">
        <v>995.2</v>
      </c>
      <c r="P76" s="228">
        <v>14.85</v>
      </c>
      <c r="Q76" s="229">
        <v>1.49E-2</v>
      </c>
      <c r="R76" s="231">
        <v>1016.9</v>
      </c>
      <c r="S76" s="231">
        <v>1001.8</v>
      </c>
      <c r="T76" s="228">
        <v>15.1</v>
      </c>
      <c r="U76" s="229">
        <v>1.5100000000000001E-2</v>
      </c>
      <c r="V76" s="231">
        <v>1022.35</v>
      </c>
      <c r="W76" s="231">
        <v>1007.55</v>
      </c>
      <c r="X76" s="228">
        <v>14.8</v>
      </c>
      <c r="Y76" s="229">
        <v>1.47E-2</v>
      </c>
      <c r="Z76" s="228">
        <v>1.2</v>
      </c>
      <c r="AA76" s="228">
        <v>0.6</v>
      </c>
      <c r="AB76" s="228">
        <v>0.6</v>
      </c>
      <c r="AC76" s="229">
        <v>1.1999999999999999E-3</v>
      </c>
      <c r="AD76" s="228">
        <v>1.2</v>
      </c>
      <c r="AE76" s="228">
        <v>0.6</v>
      </c>
      <c r="AF76" s="228">
        <v>0.6</v>
      </c>
      <c r="AG76" s="229">
        <v>1.1999999999999999E-3</v>
      </c>
      <c r="AH76" s="228">
        <v>8.0500000000000007</v>
      </c>
      <c r="AI76" s="228">
        <v>7.2</v>
      </c>
      <c r="AJ76" s="228">
        <v>0.85</v>
      </c>
      <c r="AK76" s="229">
        <v>8.0000000000000002E-3</v>
      </c>
      <c r="AL76" s="228">
        <v>13.5</v>
      </c>
      <c r="AM76" s="228">
        <v>12.95</v>
      </c>
      <c r="AN76" s="228">
        <v>0.55000000000000004</v>
      </c>
      <c r="AO76" s="229">
        <v>1.34E-2</v>
      </c>
      <c r="AP76" s="231">
        <v>1004.09</v>
      </c>
      <c r="AQ76" s="231">
        <v>1011</v>
      </c>
      <c r="AR76" s="228">
        <v>0</v>
      </c>
      <c r="AS76" s="230">
        <v>11394</v>
      </c>
      <c r="AT76" s="230">
        <v>2737</v>
      </c>
      <c r="AU76" s="230">
        <v>8657</v>
      </c>
      <c r="AV76" s="229">
        <v>3.1625999999999999</v>
      </c>
      <c r="AW76" s="230">
        <v>5889</v>
      </c>
      <c r="AX76" s="230">
        <v>1613</v>
      </c>
      <c r="AY76" s="230">
        <v>4276</v>
      </c>
      <c r="AZ76" s="229">
        <v>2.6518999999999999</v>
      </c>
      <c r="BA76" s="230">
        <v>5476</v>
      </c>
      <c r="BB76" s="230">
        <v>1087</v>
      </c>
      <c r="BC76" s="230">
        <v>4390</v>
      </c>
      <c r="BD76" s="229">
        <v>4.0399000000000003</v>
      </c>
      <c r="BE76" s="228">
        <v>29</v>
      </c>
      <c r="BF76" s="228">
        <v>38</v>
      </c>
      <c r="BG76" s="228">
        <v>-9</v>
      </c>
      <c r="BH76" s="229">
        <v>-0.23400000000000001</v>
      </c>
      <c r="BI76" s="230">
        <v>11664</v>
      </c>
      <c r="BJ76" s="230">
        <v>6844</v>
      </c>
      <c r="BK76" s="230">
        <v>4819</v>
      </c>
      <c r="BL76" s="229">
        <v>0.70409999999999995</v>
      </c>
      <c r="BM76" s="230">
        <v>5894</v>
      </c>
      <c r="BN76" s="230">
        <v>3221</v>
      </c>
      <c r="BO76" s="230">
        <v>2673</v>
      </c>
      <c r="BP76" s="229">
        <v>0.82989999999999997</v>
      </c>
      <c r="BQ76" s="230">
        <v>28953</v>
      </c>
      <c r="BR76" s="230">
        <v>12803</v>
      </c>
      <c r="BS76" s="230">
        <v>16150</v>
      </c>
      <c r="BT76" s="229">
        <v>1.2614000000000001</v>
      </c>
      <c r="BU76" s="230">
        <v>21454088</v>
      </c>
      <c r="BV76" s="230">
        <v>20157526</v>
      </c>
      <c r="BW76" s="230">
        <v>1296562</v>
      </c>
      <c r="BX76" s="229">
        <v>6.4299999999999996E-2</v>
      </c>
      <c r="BY76" s="230">
        <v>21847</v>
      </c>
      <c r="BZ76" s="230">
        <v>21761</v>
      </c>
      <c r="CA76" s="228">
        <v>86</v>
      </c>
      <c r="CB76" s="229">
        <v>4.0000000000000001E-3</v>
      </c>
      <c r="CC76" s="230">
        <v>13885</v>
      </c>
      <c r="CD76" s="230">
        <v>18848</v>
      </c>
      <c r="CE76" s="230">
        <v>-4964</v>
      </c>
      <c r="CF76" s="229">
        <v>-0.26340000000000002</v>
      </c>
      <c r="CG76" s="230">
        <v>7807</v>
      </c>
      <c r="CH76" s="230">
        <v>2767</v>
      </c>
      <c r="CI76" s="230">
        <v>5040</v>
      </c>
      <c r="CJ76" s="229">
        <v>1.8211999999999999</v>
      </c>
      <c r="CK76" s="228">
        <v>155</v>
      </c>
      <c r="CL76" s="228">
        <v>145</v>
      </c>
      <c r="CM76" s="228">
        <v>10</v>
      </c>
      <c r="CN76" s="229">
        <v>6.6900000000000001E-2</v>
      </c>
      <c r="CO76" s="230">
        <v>3399</v>
      </c>
      <c r="CP76" s="230">
        <v>4003</v>
      </c>
      <c r="CQ76" s="228">
        <v>-603</v>
      </c>
      <c r="CR76" s="229">
        <v>-0.1507</v>
      </c>
      <c r="CS76" s="230">
        <v>2504</v>
      </c>
      <c r="CT76" s="230">
        <v>2464</v>
      </c>
      <c r="CU76" s="228">
        <v>40</v>
      </c>
      <c r="CV76" s="229">
        <v>1.6299999999999999E-2</v>
      </c>
      <c r="CW76" s="230">
        <v>27751</v>
      </c>
      <c r="CX76" s="230">
        <v>28228</v>
      </c>
      <c r="CY76" s="228">
        <v>-477</v>
      </c>
      <c r="CZ76" s="229">
        <v>-1.6899999999999998E-2</v>
      </c>
      <c r="DA76" s="228">
        <v>15.76</v>
      </c>
      <c r="DB76" s="228">
        <v>16.61</v>
      </c>
      <c r="DC76" s="228">
        <v>-0.85</v>
      </c>
      <c r="DD76" s="228">
        <v>-0.85</v>
      </c>
      <c r="DE76" s="228">
        <v>20.46</v>
      </c>
      <c r="DF76" s="228">
        <v>20.420000000000002</v>
      </c>
      <c r="DG76" s="228">
        <v>-4.7</v>
      </c>
      <c r="DH76" s="228">
        <v>0.04</v>
      </c>
      <c r="DI76" s="228">
        <v>15.55</v>
      </c>
      <c r="DJ76" s="228">
        <v>16.48</v>
      </c>
      <c r="DK76" s="228">
        <v>-0.93</v>
      </c>
      <c r="DL76" s="228">
        <v>-0.93</v>
      </c>
      <c r="DM76" s="228">
        <v>16.23</v>
      </c>
      <c r="DN76" s="228">
        <v>16.89</v>
      </c>
      <c r="DO76" s="228">
        <v>-0.66</v>
      </c>
      <c r="DP76" s="228">
        <v>-0.66</v>
      </c>
      <c r="DQ76" s="228">
        <v>0.74</v>
      </c>
      <c r="DR76" s="228">
        <v>0.62</v>
      </c>
      <c r="DS76" s="228">
        <v>0.12</v>
      </c>
      <c r="DT76" s="229">
        <v>0.19350000000000001</v>
      </c>
      <c r="DU76" s="231">
        <v>1020</v>
      </c>
      <c r="DV76" s="228">
        <v>950</v>
      </c>
      <c r="DW76" s="228">
        <v>0.51</v>
      </c>
      <c r="DX76" s="228">
        <v>0.47</v>
      </c>
      <c r="DY76" s="228">
        <v>0.04</v>
      </c>
      <c r="DZ76" s="229">
        <v>8.5099999999999995E-2</v>
      </c>
      <c r="EA76" s="229">
        <v>0.36449999999999999</v>
      </c>
      <c r="EB76" s="230">
        <v>28837050</v>
      </c>
      <c r="EC76" s="229">
        <v>6.7999999999999996E-3</v>
      </c>
      <c r="ED76" s="229">
        <v>0.36449999999999999</v>
      </c>
      <c r="EE76" s="228">
        <v>6.91</v>
      </c>
      <c r="EF76" s="229">
        <v>6.8999999999999999E-3</v>
      </c>
      <c r="EG76" s="230">
        <v>13066818</v>
      </c>
      <c r="EH76" s="230">
        <v>14599934</v>
      </c>
      <c r="EI76" s="229">
        <v>-0.105</v>
      </c>
      <c r="EJ76" s="229">
        <v>0.60909999999999997</v>
      </c>
      <c r="EK76" s="231">
        <v>11773.28</v>
      </c>
      <c r="EL76" s="231">
        <v>5816.62</v>
      </c>
      <c r="EM76" s="231">
        <v>11364.82</v>
      </c>
      <c r="EN76" s="228">
        <v>376.6</v>
      </c>
      <c r="EO76" s="231">
        <v>28954.73</v>
      </c>
      <c r="EP76" s="231">
        <v>12691.84</v>
      </c>
      <c r="EQ76" s="231">
        <v>16262.89</v>
      </c>
      <c r="ER76" s="229">
        <v>1.2814000000000001</v>
      </c>
      <c r="ES76" s="231">
        <v>3449.18</v>
      </c>
      <c r="ET76" s="231">
        <v>2412.12</v>
      </c>
      <c r="EU76" s="231">
        <v>21901.84</v>
      </c>
      <c r="EV76" s="231">
        <v>1329733550</v>
      </c>
      <c r="EW76" s="231">
        <v>27763.15</v>
      </c>
      <c r="EX76" s="231">
        <v>27866.95</v>
      </c>
      <c r="EY76" s="228">
        <v>-103.8</v>
      </c>
      <c r="EZ76" s="229">
        <v>-3.7000000000000002E-3</v>
      </c>
      <c r="FA76" s="229">
        <v>0.20660000000000001</v>
      </c>
      <c r="FB76" s="227" t="s">
        <v>555</v>
      </c>
      <c r="FC76">
        <f t="shared" si="1"/>
        <v>7962</v>
      </c>
    </row>
    <row r="77" spans="1:159" ht="17.25" thickBot="1" x14ac:dyDescent="0.3">
      <c r="A77" s="226">
        <v>45981</v>
      </c>
      <c r="B77" s="227" t="s">
        <v>175</v>
      </c>
      <c r="C77" s="227" t="s">
        <v>225</v>
      </c>
      <c r="D77" s="228">
        <v>1100</v>
      </c>
      <c r="E77" s="228">
        <v>5</v>
      </c>
      <c r="F77" s="228">
        <v>762.6</v>
      </c>
      <c r="G77" s="228">
        <v>760.45</v>
      </c>
      <c r="H77" s="228">
        <v>2.15</v>
      </c>
      <c r="I77" s="229">
        <v>2.8E-3</v>
      </c>
      <c r="J77" s="228">
        <v>762.2</v>
      </c>
      <c r="K77" s="228">
        <v>761.1</v>
      </c>
      <c r="L77" s="228">
        <v>1.1000000000000001</v>
      </c>
      <c r="M77" s="229">
        <v>1.4E-3</v>
      </c>
      <c r="N77" s="228">
        <v>762.6</v>
      </c>
      <c r="O77" s="228">
        <v>760.45</v>
      </c>
      <c r="P77" s="228">
        <v>2.15</v>
      </c>
      <c r="Q77" s="229">
        <v>2.8E-3</v>
      </c>
      <c r="R77" s="228">
        <v>767.6</v>
      </c>
      <c r="S77" s="228">
        <v>765.6</v>
      </c>
      <c r="T77" s="228">
        <v>2</v>
      </c>
      <c r="U77" s="229">
        <v>2.5999999999999999E-3</v>
      </c>
      <c r="V77" s="228">
        <v>773.2</v>
      </c>
      <c r="W77" s="228">
        <v>770.7</v>
      </c>
      <c r="X77" s="228">
        <v>2.5</v>
      </c>
      <c r="Y77" s="229">
        <v>3.2000000000000002E-3</v>
      </c>
      <c r="Z77" s="228">
        <v>0.4</v>
      </c>
      <c r="AA77" s="228">
        <v>-0.65</v>
      </c>
      <c r="AB77" s="228">
        <v>1.05</v>
      </c>
      <c r="AC77" s="229">
        <v>5.0000000000000001E-4</v>
      </c>
      <c r="AD77" s="228">
        <v>0.4</v>
      </c>
      <c r="AE77" s="228">
        <v>-0.65</v>
      </c>
      <c r="AF77" s="228">
        <v>1.05</v>
      </c>
      <c r="AG77" s="229">
        <v>5.0000000000000001E-4</v>
      </c>
      <c r="AH77" s="228">
        <v>5.4</v>
      </c>
      <c r="AI77" s="228">
        <v>4.5</v>
      </c>
      <c r="AJ77" s="228">
        <v>0.9</v>
      </c>
      <c r="AK77" s="229">
        <v>7.1000000000000004E-3</v>
      </c>
      <c r="AL77" s="228">
        <v>11</v>
      </c>
      <c r="AM77" s="228">
        <v>9.6</v>
      </c>
      <c r="AN77" s="228">
        <v>1.4</v>
      </c>
      <c r="AO77" s="229">
        <v>1.44E-2</v>
      </c>
      <c r="AP77" s="228">
        <v>758.12</v>
      </c>
      <c r="AQ77" s="228">
        <v>763.42</v>
      </c>
      <c r="AR77" s="228">
        <v>0</v>
      </c>
      <c r="AS77" s="230">
        <v>1386</v>
      </c>
      <c r="AT77" s="228">
        <v>242</v>
      </c>
      <c r="AU77" s="230">
        <v>1144</v>
      </c>
      <c r="AV77" s="229">
        <v>4.7298</v>
      </c>
      <c r="AW77" s="228">
        <v>726</v>
      </c>
      <c r="AX77" s="228">
        <v>167</v>
      </c>
      <c r="AY77" s="228">
        <v>559</v>
      </c>
      <c r="AZ77" s="229">
        <v>3.3367</v>
      </c>
      <c r="BA77" s="228">
        <v>655</v>
      </c>
      <c r="BB77" s="228">
        <v>73</v>
      </c>
      <c r="BC77" s="228">
        <v>582</v>
      </c>
      <c r="BD77" s="229">
        <v>8.0253999999999994</v>
      </c>
      <c r="BE77" s="228">
        <v>5</v>
      </c>
      <c r="BF77" s="228">
        <v>2</v>
      </c>
      <c r="BG77" s="228">
        <v>3</v>
      </c>
      <c r="BH77" s="229">
        <v>1.5455000000000001</v>
      </c>
      <c r="BI77" s="230">
        <v>1217</v>
      </c>
      <c r="BJ77" s="228">
        <v>721</v>
      </c>
      <c r="BK77" s="228">
        <v>496</v>
      </c>
      <c r="BL77" s="229">
        <v>0.68769999999999998</v>
      </c>
      <c r="BM77" s="228">
        <v>677</v>
      </c>
      <c r="BN77" s="228">
        <v>348</v>
      </c>
      <c r="BO77" s="228">
        <v>330</v>
      </c>
      <c r="BP77" s="229">
        <v>0.94789999999999996</v>
      </c>
      <c r="BQ77" s="230">
        <v>3280</v>
      </c>
      <c r="BR77" s="230">
        <v>1311</v>
      </c>
      <c r="BS77" s="230">
        <v>1969</v>
      </c>
      <c r="BT77" s="229">
        <v>1.5026999999999999</v>
      </c>
      <c r="BU77" s="230">
        <v>2651014</v>
      </c>
      <c r="BV77" s="230">
        <v>962410</v>
      </c>
      <c r="BW77" s="230">
        <v>1688604</v>
      </c>
      <c r="BX77" s="229">
        <v>1.7545999999999999</v>
      </c>
      <c r="BY77" s="230">
        <v>2255</v>
      </c>
      <c r="BZ77" s="230">
        <v>2245</v>
      </c>
      <c r="CA77" s="228">
        <v>10</v>
      </c>
      <c r="CB77" s="229">
        <v>4.5999999999999999E-3</v>
      </c>
      <c r="CC77" s="230">
        <v>1550</v>
      </c>
      <c r="CD77" s="230">
        <v>2072</v>
      </c>
      <c r="CE77" s="228">
        <v>-522</v>
      </c>
      <c r="CF77" s="229">
        <v>-0.252</v>
      </c>
      <c r="CG77" s="228">
        <v>698</v>
      </c>
      <c r="CH77" s="228">
        <v>167</v>
      </c>
      <c r="CI77" s="228">
        <v>531</v>
      </c>
      <c r="CJ77" s="229">
        <v>3.1861000000000002</v>
      </c>
      <c r="CK77" s="228">
        <v>7</v>
      </c>
      <c r="CL77" s="228">
        <v>6</v>
      </c>
      <c r="CM77" s="228">
        <v>1</v>
      </c>
      <c r="CN77" s="229">
        <v>0.18310000000000001</v>
      </c>
      <c r="CO77" s="228">
        <v>807</v>
      </c>
      <c r="CP77" s="228">
        <v>815</v>
      </c>
      <c r="CQ77" s="228">
        <v>-7</v>
      </c>
      <c r="CR77" s="229">
        <v>-8.6999999999999994E-3</v>
      </c>
      <c r="CS77" s="228">
        <v>571</v>
      </c>
      <c r="CT77" s="228">
        <v>543</v>
      </c>
      <c r="CU77" s="228">
        <v>29</v>
      </c>
      <c r="CV77" s="229">
        <v>5.2999999999999999E-2</v>
      </c>
      <c r="CW77" s="230">
        <v>3634</v>
      </c>
      <c r="CX77" s="230">
        <v>3602</v>
      </c>
      <c r="CY77" s="228">
        <v>32</v>
      </c>
      <c r="CZ77" s="229">
        <v>8.8999999999999999E-3</v>
      </c>
      <c r="DA77" s="228">
        <v>19.39</v>
      </c>
      <c r="DB77" s="228">
        <v>16.98</v>
      </c>
      <c r="DC77" s="228">
        <v>2.41</v>
      </c>
      <c r="DD77" s="228">
        <v>2.41</v>
      </c>
      <c r="DE77" s="228">
        <v>25.75</v>
      </c>
      <c r="DF77" s="228">
        <v>25.81</v>
      </c>
      <c r="DG77" s="228">
        <v>-6.36</v>
      </c>
      <c r="DH77" s="228">
        <v>-0.06</v>
      </c>
      <c r="DI77" s="228">
        <v>19.649999999999999</v>
      </c>
      <c r="DJ77" s="228">
        <v>17.27</v>
      </c>
      <c r="DK77" s="228">
        <v>2.38</v>
      </c>
      <c r="DL77" s="228">
        <v>2.38</v>
      </c>
      <c r="DM77" s="228">
        <v>18.86</v>
      </c>
      <c r="DN77" s="228">
        <v>16.37</v>
      </c>
      <c r="DO77" s="228">
        <v>2.4900000000000002</v>
      </c>
      <c r="DP77" s="228">
        <v>2.4900000000000002</v>
      </c>
      <c r="DQ77" s="228">
        <v>0.71</v>
      </c>
      <c r="DR77" s="228">
        <v>0.67</v>
      </c>
      <c r="DS77" s="228">
        <v>0.04</v>
      </c>
      <c r="DT77" s="229">
        <v>5.9700000000000003E-2</v>
      </c>
      <c r="DU77" s="228">
        <v>820</v>
      </c>
      <c r="DV77" s="228">
        <v>740</v>
      </c>
      <c r="DW77" s="228">
        <v>0.56000000000000005</v>
      </c>
      <c r="DX77" s="228">
        <v>0.48</v>
      </c>
      <c r="DY77" s="228">
        <v>0.08</v>
      </c>
      <c r="DZ77" s="229">
        <v>0.16669999999999999</v>
      </c>
      <c r="EA77" s="229">
        <v>0.31269999999999998</v>
      </c>
      <c r="EB77" s="230">
        <v>2264900</v>
      </c>
      <c r="EC77" s="229">
        <v>6.6E-3</v>
      </c>
      <c r="ED77" s="229">
        <v>0.31269999999999998</v>
      </c>
      <c r="EE77" s="228">
        <v>5.3</v>
      </c>
      <c r="EF77" s="229">
        <v>7.0000000000000001E-3</v>
      </c>
      <c r="EG77" s="230">
        <v>1557377</v>
      </c>
      <c r="EH77" s="230">
        <v>579888</v>
      </c>
      <c r="EI77" s="229">
        <v>1.6857</v>
      </c>
      <c r="EJ77" s="229">
        <v>0.58750000000000002</v>
      </c>
      <c r="EK77" s="231">
        <v>1238.1400000000001</v>
      </c>
      <c r="EL77" s="228">
        <v>668.53</v>
      </c>
      <c r="EM77" s="231">
        <v>1382.18</v>
      </c>
      <c r="EN77" s="228">
        <v>28.49</v>
      </c>
      <c r="EO77" s="231">
        <v>3288.85</v>
      </c>
      <c r="EP77" s="231">
        <v>1321.87</v>
      </c>
      <c r="EQ77" s="231">
        <v>1966.98</v>
      </c>
      <c r="ER77" s="229">
        <v>1.488</v>
      </c>
      <c r="ES77" s="228">
        <v>835.37</v>
      </c>
      <c r="ET77" s="228">
        <v>549.45000000000005</v>
      </c>
      <c r="EU77" s="231">
        <v>2259.6999999999998</v>
      </c>
      <c r="EV77" s="231">
        <v>119296253</v>
      </c>
      <c r="EW77" s="231">
        <v>3644.52</v>
      </c>
      <c r="EX77" s="231">
        <v>3604.5</v>
      </c>
      <c r="EY77" s="228">
        <v>40.020000000000003</v>
      </c>
      <c r="EZ77" s="229">
        <v>1.11E-2</v>
      </c>
      <c r="FA77" s="229">
        <v>0.39939999999999998</v>
      </c>
      <c r="FB77" s="227" t="s">
        <v>555</v>
      </c>
      <c r="FC77">
        <f t="shared" si="1"/>
        <v>705</v>
      </c>
    </row>
    <row r="78" spans="1:159" ht="17.25" thickBot="1" x14ac:dyDescent="0.3">
      <c r="A78" s="226">
        <v>45981</v>
      </c>
      <c r="B78" s="227" t="s">
        <v>162</v>
      </c>
      <c r="C78" s="227" t="s">
        <v>226</v>
      </c>
      <c r="D78" s="228">
        <v>150</v>
      </c>
      <c r="E78" s="228">
        <v>5</v>
      </c>
      <c r="F78" s="231">
        <v>6005</v>
      </c>
      <c r="G78" s="231">
        <v>5891</v>
      </c>
      <c r="H78" s="228">
        <v>114</v>
      </c>
      <c r="I78" s="229">
        <v>1.9400000000000001E-2</v>
      </c>
      <c r="J78" s="231">
        <v>5999.5</v>
      </c>
      <c r="K78" s="231">
        <v>5876.5</v>
      </c>
      <c r="L78" s="228">
        <v>123</v>
      </c>
      <c r="M78" s="229">
        <v>2.0899999999999998E-2</v>
      </c>
      <c r="N78" s="231">
        <v>6005</v>
      </c>
      <c r="O78" s="231">
        <v>5891</v>
      </c>
      <c r="P78" s="228">
        <v>114</v>
      </c>
      <c r="Q78" s="229">
        <v>1.9400000000000001E-2</v>
      </c>
      <c r="R78" s="231">
        <v>6044.5</v>
      </c>
      <c r="S78" s="231">
        <v>5923</v>
      </c>
      <c r="T78" s="228">
        <v>121.5</v>
      </c>
      <c r="U78" s="229">
        <v>2.0500000000000001E-2</v>
      </c>
      <c r="V78" s="231">
        <v>6067.5</v>
      </c>
      <c r="W78" s="231">
        <v>5941.5</v>
      </c>
      <c r="X78" s="228">
        <v>126</v>
      </c>
      <c r="Y78" s="229">
        <v>2.12E-2</v>
      </c>
      <c r="Z78" s="228">
        <v>5.5</v>
      </c>
      <c r="AA78" s="228">
        <v>14.5</v>
      </c>
      <c r="AB78" s="228">
        <v>-9</v>
      </c>
      <c r="AC78" s="229">
        <v>8.9999999999999998E-4</v>
      </c>
      <c r="AD78" s="228">
        <v>5.5</v>
      </c>
      <c r="AE78" s="228">
        <v>14.5</v>
      </c>
      <c r="AF78" s="228">
        <v>-9</v>
      </c>
      <c r="AG78" s="229">
        <v>8.9999999999999998E-4</v>
      </c>
      <c r="AH78" s="228">
        <v>45</v>
      </c>
      <c r="AI78" s="228">
        <v>46.5</v>
      </c>
      <c r="AJ78" s="228">
        <v>-1.5</v>
      </c>
      <c r="AK78" s="229">
        <v>7.4999999999999997E-3</v>
      </c>
      <c r="AL78" s="228">
        <v>68</v>
      </c>
      <c r="AM78" s="228">
        <v>65</v>
      </c>
      <c r="AN78" s="228">
        <v>3</v>
      </c>
      <c r="AO78" s="229">
        <v>1.1299999999999999E-2</v>
      </c>
      <c r="AP78" s="231">
        <v>6011.98</v>
      </c>
      <c r="AQ78" s="231">
        <v>6048.3</v>
      </c>
      <c r="AR78" s="228">
        <v>0</v>
      </c>
      <c r="AS78" s="230">
        <v>2910</v>
      </c>
      <c r="AT78" s="228">
        <v>765</v>
      </c>
      <c r="AU78" s="230">
        <v>2145</v>
      </c>
      <c r="AV78" s="229">
        <v>2.8043</v>
      </c>
      <c r="AW78" s="230">
        <v>1642</v>
      </c>
      <c r="AX78" s="228">
        <v>583</v>
      </c>
      <c r="AY78" s="230">
        <v>1060</v>
      </c>
      <c r="AZ78" s="229">
        <v>1.8182</v>
      </c>
      <c r="BA78" s="230">
        <v>1253</v>
      </c>
      <c r="BB78" s="228">
        <v>176</v>
      </c>
      <c r="BC78" s="230">
        <v>1077</v>
      </c>
      <c r="BD78" s="229">
        <v>6.1041999999999996</v>
      </c>
      <c r="BE78" s="228">
        <v>15</v>
      </c>
      <c r="BF78" s="228">
        <v>6</v>
      </c>
      <c r="BG78" s="228">
        <v>9</v>
      </c>
      <c r="BH78" s="229">
        <v>1.5538000000000001</v>
      </c>
      <c r="BI78" s="230">
        <v>17288</v>
      </c>
      <c r="BJ78" s="230">
        <v>8824</v>
      </c>
      <c r="BK78" s="230">
        <v>8465</v>
      </c>
      <c r="BL78" s="229">
        <v>0.95930000000000004</v>
      </c>
      <c r="BM78" s="230">
        <v>8929</v>
      </c>
      <c r="BN78" s="230">
        <v>5197</v>
      </c>
      <c r="BO78" s="230">
        <v>3732</v>
      </c>
      <c r="BP78" s="229">
        <v>0.71799999999999997</v>
      </c>
      <c r="BQ78" s="230">
        <v>29128</v>
      </c>
      <c r="BR78" s="230">
        <v>14786</v>
      </c>
      <c r="BS78" s="230">
        <v>14342</v>
      </c>
      <c r="BT78" s="229">
        <v>0.96989999999999998</v>
      </c>
      <c r="BU78" s="230">
        <v>1320078</v>
      </c>
      <c r="BV78" s="230">
        <v>982522</v>
      </c>
      <c r="BW78" s="230">
        <v>337556</v>
      </c>
      <c r="BX78" s="229">
        <v>0.34360000000000002</v>
      </c>
      <c r="BY78" s="230">
        <v>3597</v>
      </c>
      <c r="BZ78" s="230">
        <v>3580</v>
      </c>
      <c r="CA78" s="228">
        <v>17</v>
      </c>
      <c r="CB78" s="229">
        <v>4.8999999999999998E-3</v>
      </c>
      <c r="CC78" s="230">
        <v>2464</v>
      </c>
      <c r="CD78" s="230">
        <v>3280</v>
      </c>
      <c r="CE78" s="228">
        <v>-816</v>
      </c>
      <c r="CF78" s="229">
        <v>-0.24879999999999999</v>
      </c>
      <c r="CG78" s="230">
        <v>1116</v>
      </c>
      <c r="CH78" s="228">
        <v>287</v>
      </c>
      <c r="CI78" s="228">
        <v>830</v>
      </c>
      <c r="CJ78" s="229">
        <v>2.8940999999999999</v>
      </c>
      <c r="CK78" s="228">
        <v>17</v>
      </c>
      <c r="CL78" s="228">
        <v>14</v>
      </c>
      <c r="CM78" s="228">
        <v>4</v>
      </c>
      <c r="CN78" s="229">
        <v>0.28670000000000001</v>
      </c>
      <c r="CO78" s="230">
        <v>2326</v>
      </c>
      <c r="CP78" s="230">
        <v>2156</v>
      </c>
      <c r="CQ78" s="228">
        <v>170</v>
      </c>
      <c r="CR78" s="229">
        <v>7.8600000000000003E-2</v>
      </c>
      <c r="CS78" s="230">
        <v>2434</v>
      </c>
      <c r="CT78" s="230">
        <v>2180</v>
      </c>
      <c r="CU78" s="228">
        <v>253</v>
      </c>
      <c r="CV78" s="229">
        <v>0.1162</v>
      </c>
      <c r="CW78" s="230">
        <v>8357</v>
      </c>
      <c r="CX78" s="230">
        <v>7916</v>
      </c>
      <c r="CY78" s="228">
        <v>440</v>
      </c>
      <c r="CZ78" s="229">
        <v>5.5599999999999997E-2</v>
      </c>
      <c r="DA78" s="228">
        <v>23.64</v>
      </c>
      <c r="DB78" s="228">
        <v>25.03</v>
      </c>
      <c r="DC78" s="228">
        <v>-1.39</v>
      </c>
      <c r="DD78" s="228">
        <v>-1.39</v>
      </c>
      <c r="DE78" s="228">
        <v>30.8</v>
      </c>
      <c r="DF78" s="228">
        <v>30.75</v>
      </c>
      <c r="DG78" s="228">
        <v>-7.16</v>
      </c>
      <c r="DH78" s="228">
        <v>0.05</v>
      </c>
      <c r="DI78" s="228">
        <v>23.22</v>
      </c>
      <c r="DJ78" s="228">
        <v>23.53</v>
      </c>
      <c r="DK78" s="228">
        <v>-0.31</v>
      </c>
      <c r="DL78" s="228">
        <v>-0.31</v>
      </c>
      <c r="DM78" s="228">
        <v>24.41</v>
      </c>
      <c r="DN78" s="228">
        <v>27.59</v>
      </c>
      <c r="DO78" s="228">
        <v>-3.18</v>
      </c>
      <c r="DP78" s="228">
        <v>-3.18</v>
      </c>
      <c r="DQ78" s="228">
        <v>1.05</v>
      </c>
      <c r="DR78" s="228">
        <v>1.01</v>
      </c>
      <c r="DS78" s="228">
        <v>0.04</v>
      </c>
      <c r="DT78" s="229">
        <v>3.9600000000000003E-2</v>
      </c>
      <c r="DU78" s="231">
        <v>6400</v>
      </c>
      <c r="DV78" s="231">
        <v>5700</v>
      </c>
      <c r="DW78" s="228">
        <v>0.52</v>
      </c>
      <c r="DX78" s="228">
        <v>0.59</v>
      </c>
      <c r="DY78" s="228">
        <v>-7.0000000000000007E-2</v>
      </c>
      <c r="DZ78" s="229">
        <v>-0.1186</v>
      </c>
      <c r="EA78" s="229">
        <v>0.31509999999999999</v>
      </c>
      <c r="EB78" s="230">
        <v>499800</v>
      </c>
      <c r="EC78" s="229">
        <v>6.6E-3</v>
      </c>
      <c r="ED78" s="229">
        <v>0.31509999999999999</v>
      </c>
      <c r="EE78" s="228">
        <v>36.32</v>
      </c>
      <c r="EF78" s="229">
        <v>6.0000000000000001E-3</v>
      </c>
      <c r="EG78" s="230">
        <v>561959</v>
      </c>
      <c r="EH78" s="230">
        <v>514187</v>
      </c>
      <c r="EI78" s="229">
        <v>9.2899999999999996E-2</v>
      </c>
      <c r="EJ78" s="229">
        <v>0.42570000000000002</v>
      </c>
      <c r="EK78" s="231">
        <v>17713.43</v>
      </c>
      <c r="EL78" s="231">
        <v>8660.49</v>
      </c>
      <c r="EM78" s="231">
        <v>2921.42</v>
      </c>
      <c r="EN78" s="228">
        <v>123.23</v>
      </c>
      <c r="EO78" s="231">
        <v>29295.34</v>
      </c>
      <c r="EP78" s="231">
        <v>14570.16</v>
      </c>
      <c r="EQ78" s="231">
        <v>14725.18</v>
      </c>
      <c r="ER78" s="229">
        <v>1.0105999999999999</v>
      </c>
      <c r="ES78" s="231">
        <v>2339.34</v>
      </c>
      <c r="ET78" s="231">
        <v>2269.5300000000002</v>
      </c>
      <c r="EU78" s="231">
        <v>3604.94</v>
      </c>
      <c r="EV78" s="231">
        <v>19579129</v>
      </c>
      <c r="EW78" s="231">
        <v>8213.81</v>
      </c>
      <c r="EX78" s="231">
        <v>7648.51</v>
      </c>
      <c r="EY78" s="228">
        <v>565.29999999999995</v>
      </c>
      <c r="EZ78" s="229">
        <v>7.3899999999999993E-2</v>
      </c>
      <c r="FA78" s="229">
        <v>0.71079999999999999</v>
      </c>
      <c r="FB78" s="227" t="s">
        <v>555</v>
      </c>
      <c r="FC78">
        <f t="shared" si="1"/>
        <v>1133</v>
      </c>
    </row>
    <row r="79" spans="1:159" ht="17.25" thickBot="1" x14ac:dyDescent="0.3">
      <c r="A79" s="226">
        <v>45981</v>
      </c>
      <c r="B79" s="227" t="s">
        <v>221</v>
      </c>
      <c r="C79" s="227" t="s">
        <v>576</v>
      </c>
      <c r="D79" s="228">
        <v>6450</v>
      </c>
      <c r="E79" s="228">
        <v>5</v>
      </c>
      <c r="F79" s="228">
        <v>73.38</v>
      </c>
      <c r="G79" s="228">
        <v>73.739999999999995</v>
      </c>
      <c r="H79" s="228">
        <v>-0.36</v>
      </c>
      <c r="I79" s="229">
        <v>-4.8999999999999998E-3</v>
      </c>
      <c r="J79" s="228">
        <v>73.400000000000006</v>
      </c>
      <c r="K79" s="228">
        <v>73.790000000000006</v>
      </c>
      <c r="L79" s="228">
        <v>-0.39</v>
      </c>
      <c r="M79" s="229">
        <v>-5.3E-3</v>
      </c>
      <c r="N79" s="228">
        <v>73.38</v>
      </c>
      <c r="O79" s="228">
        <v>73.739999999999995</v>
      </c>
      <c r="P79" s="228">
        <v>-0.36</v>
      </c>
      <c r="Q79" s="229">
        <v>-4.8999999999999998E-3</v>
      </c>
      <c r="R79" s="228">
        <v>73.84</v>
      </c>
      <c r="S79" s="228">
        <v>74.28</v>
      </c>
      <c r="T79" s="228">
        <v>-0.44</v>
      </c>
      <c r="U79" s="229">
        <v>-5.8999999999999999E-3</v>
      </c>
      <c r="V79" s="228">
        <v>0</v>
      </c>
      <c r="W79" s="228">
        <v>0</v>
      </c>
      <c r="X79" s="228">
        <v>0</v>
      </c>
      <c r="Y79" s="229">
        <v>0</v>
      </c>
      <c r="Z79" s="228">
        <v>-0.02</v>
      </c>
      <c r="AA79" s="228">
        <v>-0.05</v>
      </c>
      <c r="AB79" s="228">
        <v>0.03</v>
      </c>
      <c r="AC79" s="229">
        <v>-2.9999999999999997E-4</v>
      </c>
      <c r="AD79" s="228">
        <v>-0.02</v>
      </c>
      <c r="AE79" s="228">
        <v>-0.05</v>
      </c>
      <c r="AF79" s="228">
        <v>0.03</v>
      </c>
      <c r="AG79" s="229">
        <v>-2.9999999999999997E-4</v>
      </c>
      <c r="AH79" s="228">
        <v>0.44</v>
      </c>
      <c r="AI79" s="228">
        <v>0.49</v>
      </c>
      <c r="AJ79" s="228">
        <v>-0.05</v>
      </c>
      <c r="AK79" s="229">
        <v>6.0000000000000001E-3</v>
      </c>
      <c r="AL79" s="228">
        <v>0</v>
      </c>
      <c r="AM79" s="228">
        <v>0</v>
      </c>
      <c r="AN79" s="228">
        <v>0</v>
      </c>
      <c r="AO79" s="229">
        <v>0</v>
      </c>
      <c r="AP79" s="228">
        <v>73.69</v>
      </c>
      <c r="AQ79" s="228">
        <v>74.19</v>
      </c>
      <c r="AR79" s="228">
        <v>0</v>
      </c>
      <c r="AS79" s="228">
        <v>337</v>
      </c>
      <c r="AT79" s="228">
        <v>167</v>
      </c>
      <c r="AU79" s="228">
        <v>170</v>
      </c>
      <c r="AV79" s="229">
        <v>1.0221</v>
      </c>
      <c r="AW79" s="228">
        <v>171</v>
      </c>
      <c r="AX79" s="228">
        <v>94</v>
      </c>
      <c r="AY79" s="228">
        <v>77</v>
      </c>
      <c r="AZ79" s="229">
        <v>0.81969999999999998</v>
      </c>
      <c r="BA79" s="228">
        <v>167</v>
      </c>
      <c r="BB79" s="228">
        <v>73</v>
      </c>
      <c r="BC79" s="228">
        <v>94</v>
      </c>
      <c r="BD79" s="229">
        <v>1.2819</v>
      </c>
      <c r="BE79" s="228">
        <v>0</v>
      </c>
      <c r="BF79" s="228">
        <v>0</v>
      </c>
      <c r="BG79" s="228">
        <v>0</v>
      </c>
      <c r="BH79" s="229">
        <v>0</v>
      </c>
      <c r="BI79" s="228">
        <v>239</v>
      </c>
      <c r="BJ79" s="228">
        <v>340</v>
      </c>
      <c r="BK79" s="228">
        <v>-101</v>
      </c>
      <c r="BL79" s="229">
        <v>-0.29770000000000002</v>
      </c>
      <c r="BM79" s="228">
        <v>152</v>
      </c>
      <c r="BN79" s="228">
        <v>153</v>
      </c>
      <c r="BO79" s="228">
        <v>-1</v>
      </c>
      <c r="BP79" s="229">
        <v>-8.0000000000000002E-3</v>
      </c>
      <c r="BQ79" s="228">
        <v>728</v>
      </c>
      <c r="BR79" s="228">
        <v>660</v>
      </c>
      <c r="BS79" s="228">
        <v>68</v>
      </c>
      <c r="BT79" s="229">
        <v>0.10290000000000001</v>
      </c>
      <c r="BU79" s="230">
        <v>6792339</v>
      </c>
      <c r="BV79" s="230">
        <v>8364075</v>
      </c>
      <c r="BW79" s="230">
        <v>-1571736</v>
      </c>
      <c r="BX79" s="229">
        <v>-0.18790000000000001</v>
      </c>
      <c r="BY79" s="228">
        <v>901</v>
      </c>
      <c r="BZ79" s="228">
        <v>915</v>
      </c>
      <c r="CA79" s="228">
        <v>-15</v>
      </c>
      <c r="CB79" s="229">
        <v>-1.5900000000000001E-2</v>
      </c>
      <c r="CC79" s="228">
        <v>558</v>
      </c>
      <c r="CD79" s="228">
        <v>688</v>
      </c>
      <c r="CE79" s="228">
        <v>-130</v>
      </c>
      <c r="CF79" s="229">
        <v>-0.1888</v>
      </c>
      <c r="CG79" s="228">
        <v>343</v>
      </c>
      <c r="CH79" s="228">
        <v>227</v>
      </c>
      <c r="CI79" s="228">
        <v>115</v>
      </c>
      <c r="CJ79" s="229">
        <v>0.50739999999999996</v>
      </c>
      <c r="CK79" s="228">
        <v>0</v>
      </c>
      <c r="CL79" s="228">
        <v>0</v>
      </c>
      <c r="CM79" s="228">
        <v>0</v>
      </c>
      <c r="CN79" s="229">
        <v>0</v>
      </c>
      <c r="CO79" s="228">
        <v>388</v>
      </c>
      <c r="CP79" s="228">
        <v>383</v>
      </c>
      <c r="CQ79" s="228">
        <v>5</v>
      </c>
      <c r="CR79" s="229">
        <v>1.2200000000000001E-2</v>
      </c>
      <c r="CS79" s="228">
        <v>217</v>
      </c>
      <c r="CT79" s="228">
        <v>214</v>
      </c>
      <c r="CU79" s="228">
        <v>4</v>
      </c>
      <c r="CV79" s="229">
        <v>1.77E-2</v>
      </c>
      <c r="CW79" s="230">
        <v>1506</v>
      </c>
      <c r="CX79" s="230">
        <v>1512</v>
      </c>
      <c r="CY79" s="228">
        <v>-6</v>
      </c>
      <c r="CZ79" s="229">
        <v>-4.0000000000000001E-3</v>
      </c>
      <c r="DA79" s="228">
        <v>37.159999999999997</v>
      </c>
      <c r="DB79" s="228">
        <v>36.81</v>
      </c>
      <c r="DC79" s="228">
        <v>0.35</v>
      </c>
      <c r="DD79" s="228">
        <v>0.35</v>
      </c>
      <c r="DE79" s="228">
        <v>53.7</v>
      </c>
      <c r="DF79" s="228">
        <v>53.83</v>
      </c>
      <c r="DG79" s="228">
        <v>-16.54</v>
      </c>
      <c r="DH79" s="228">
        <v>-0.13</v>
      </c>
      <c r="DI79" s="228">
        <v>37.409999999999997</v>
      </c>
      <c r="DJ79" s="228">
        <v>37.22</v>
      </c>
      <c r="DK79" s="228">
        <v>0.19</v>
      </c>
      <c r="DL79" s="228">
        <v>0.19</v>
      </c>
      <c r="DM79" s="228">
        <v>36.630000000000003</v>
      </c>
      <c r="DN79" s="228">
        <v>35.880000000000003</v>
      </c>
      <c r="DO79" s="228">
        <v>0.75</v>
      </c>
      <c r="DP79" s="228">
        <v>0.75</v>
      </c>
      <c r="DQ79" s="228">
        <v>0.56000000000000005</v>
      </c>
      <c r="DR79" s="228">
        <v>0.56000000000000005</v>
      </c>
      <c r="DS79" s="228">
        <v>0</v>
      </c>
      <c r="DT79" s="229">
        <v>0</v>
      </c>
      <c r="DU79" s="228">
        <v>80</v>
      </c>
      <c r="DV79" s="228">
        <v>70</v>
      </c>
      <c r="DW79" s="228">
        <v>0.64</v>
      </c>
      <c r="DX79" s="228">
        <v>0.45</v>
      </c>
      <c r="DY79" s="228">
        <v>0.19</v>
      </c>
      <c r="DZ79" s="229">
        <v>0.42220000000000002</v>
      </c>
      <c r="EA79" s="229">
        <v>0.3805</v>
      </c>
      <c r="EB79" s="230">
        <v>30992250</v>
      </c>
      <c r="EC79" s="229">
        <v>6.3E-3</v>
      </c>
      <c r="ED79" s="229">
        <v>0.3805</v>
      </c>
      <c r="EE79" s="228">
        <v>0.5</v>
      </c>
      <c r="EF79" s="229">
        <v>6.7999999999999996E-3</v>
      </c>
      <c r="EG79" s="230">
        <v>2586541</v>
      </c>
      <c r="EH79" s="230">
        <v>2779572</v>
      </c>
      <c r="EI79" s="229">
        <v>-6.9400000000000003E-2</v>
      </c>
      <c r="EJ79" s="229">
        <v>0.38080000000000003</v>
      </c>
      <c r="EK79" s="228">
        <v>253.02</v>
      </c>
      <c r="EL79" s="228">
        <v>150.34</v>
      </c>
      <c r="EM79" s="228">
        <v>339.75</v>
      </c>
      <c r="EN79" s="228">
        <v>24.18</v>
      </c>
      <c r="EO79" s="228">
        <v>743.11</v>
      </c>
      <c r="EP79" s="228">
        <v>684.09</v>
      </c>
      <c r="EQ79" s="228">
        <v>59.02</v>
      </c>
      <c r="ER79" s="229">
        <v>8.6300000000000002E-2</v>
      </c>
      <c r="ES79" s="228">
        <v>418.67</v>
      </c>
      <c r="ET79" s="228">
        <v>219.02</v>
      </c>
      <c r="EU79" s="228">
        <v>903.03</v>
      </c>
      <c r="EV79" s="231">
        <v>147979599</v>
      </c>
      <c r="EW79" s="231">
        <v>1540.72</v>
      </c>
      <c r="EX79" s="231">
        <v>1551.68</v>
      </c>
      <c r="EY79" s="228">
        <v>-10.96</v>
      </c>
      <c r="EZ79" s="229">
        <v>-7.1000000000000004E-3</v>
      </c>
      <c r="FA79" s="229">
        <v>1.3869</v>
      </c>
      <c r="FB79" s="227" t="s">
        <v>568</v>
      </c>
      <c r="FC79">
        <f t="shared" si="1"/>
        <v>343</v>
      </c>
    </row>
    <row r="80" spans="1:159" ht="17.25" thickBot="1" x14ac:dyDescent="0.3">
      <c r="A80" s="226">
        <v>45981</v>
      </c>
      <c r="B80" s="227" t="s">
        <v>227</v>
      </c>
      <c r="C80" s="227" t="s">
        <v>228</v>
      </c>
      <c r="D80" s="228">
        <v>700</v>
      </c>
      <c r="E80" s="228">
        <v>5</v>
      </c>
      <c r="F80" s="228">
        <v>800.45</v>
      </c>
      <c r="G80" s="228">
        <v>792.1</v>
      </c>
      <c r="H80" s="228">
        <v>8.35</v>
      </c>
      <c r="I80" s="229">
        <v>1.0500000000000001E-2</v>
      </c>
      <c r="J80" s="228">
        <v>799.8</v>
      </c>
      <c r="K80" s="228">
        <v>790.95</v>
      </c>
      <c r="L80" s="228">
        <v>8.85</v>
      </c>
      <c r="M80" s="229">
        <v>1.12E-2</v>
      </c>
      <c r="N80" s="228">
        <v>800.45</v>
      </c>
      <c r="O80" s="228">
        <v>792.1</v>
      </c>
      <c r="P80" s="228">
        <v>8.35</v>
      </c>
      <c r="Q80" s="229">
        <v>1.0500000000000001E-2</v>
      </c>
      <c r="R80" s="228">
        <v>806.35</v>
      </c>
      <c r="S80" s="228">
        <v>797.6</v>
      </c>
      <c r="T80" s="228">
        <v>8.75</v>
      </c>
      <c r="U80" s="229">
        <v>1.0999999999999999E-2</v>
      </c>
      <c r="V80" s="228">
        <v>811</v>
      </c>
      <c r="W80" s="228">
        <v>802.3</v>
      </c>
      <c r="X80" s="228">
        <v>8.6999999999999993</v>
      </c>
      <c r="Y80" s="229">
        <v>1.0800000000000001E-2</v>
      </c>
      <c r="Z80" s="228">
        <v>0.65</v>
      </c>
      <c r="AA80" s="228">
        <v>1.1499999999999999</v>
      </c>
      <c r="AB80" s="228">
        <v>-0.5</v>
      </c>
      <c r="AC80" s="229">
        <v>8.0000000000000004E-4</v>
      </c>
      <c r="AD80" s="228">
        <v>0.65</v>
      </c>
      <c r="AE80" s="228">
        <v>1.1499999999999999</v>
      </c>
      <c r="AF80" s="228">
        <v>-0.5</v>
      </c>
      <c r="AG80" s="229">
        <v>8.0000000000000004E-4</v>
      </c>
      <c r="AH80" s="228">
        <v>6.55</v>
      </c>
      <c r="AI80" s="228">
        <v>6.65</v>
      </c>
      <c r="AJ80" s="228">
        <v>-0.1</v>
      </c>
      <c r="AK80" s="229">
        <v>8.2000000000000007E-3</v>
      </c>
      <c r="AL80" s="228">
        <v>11.2</v>
      </c>
      <c r="AM80" s="228">
        <v>11.35</v>
      </c>
      <c r="AN80" s="228">
        <v>-0.15</v>
      </c>
      <c r="AO80" s="229">
        <v>1.4E-2</v>
      </c>
      <c r="AP80" s="228">
        <v>799.66</v>
      </c>
      <c r="AQ80" s="228">
        <v>805.2</v>
      </c>
      <c r="AR80" s="228">
        <v>0</v>
      </c>
      <c r="AS80" s="230">
        <v>3815</v>
      </c>
      <c r="AT80" s="230">
        <v>3151</v>
      </c>
      <c r="AU80" s="228">
        <v>664</v>
      </c>
      <c r="AV80" s="229">
        <v>0.2107</v>
      </c>
      <c r="AW80" s="230">
        <v>1986</v>
      </c>
      <c r="AX80" s="230">
        <v>1737</v>
      </c>
      <c r="AY80" s="228">
        <v>249</v>
      </c>
      <c r="AZ80" s="229">
        <v>0.14330000000000001</v>
      </c>
      <c r="BA80" s="230">
        <v>1823</v>
      </c>
      <c r="BB80" s="230">
        <v>1410</v>
      </c>
      <c r="BC80" s="228">
        <v>413</v>
      </c>
      <c r="BD80" s="229">
        <v>0.2928</v>
      </c>
      <c r="BE80" s="228">
        <v>5</v>
      </c>
      <c r="BF80" s="228">
        <v>3</v>
      </c>
      <c r="BG80" s="228">
        <v>2</v>
      </c>
      <c r="BH80" s="229">
        <v>0.53449999999999998</v>
      </c>
      <c r="BI80" s="230">
        <v>3389</v>
      </c>
      <c r="BJ80" s="230">
        <v>2245</v>
      </c>
      <c r="BK80" s="230">
        <v>1144</v>
      </c>
      <c r="BL80" s="229">
        <v>0.50960000000000005</v>
      </c>
      <c r="BM80" s="230">
        <v>1402</v>
      </c>
      <c r="BN80" s="230">
        <v>1340</v>
      </c>
      <c r="BO80" s="228">
        <v>62</v>
      </c>
      <c r="BP80" s="229">
        <v>4.6100000000000002E-2</v>
      </c>
      <c r="BQ80" s="230">
        <v>8605</v>
      </c>
      <c r="BR80" s="230">
        <v>6736</v>
      </c>
      <c r="BS80" s="230">
        <v>1870</v>
      </c>
      <c r="BT80" s="229">
        <v>0.27760000000000001</v>
      </c>
      <c r="BU80" s="230">
        <v>6174795</v>
      </c>
      <c r="BV80" s="230">
        <v>3085892</v>
      </c>
      <c r="BW80" s="230">
        <v>3088903</v>
      </c>
      <c r="BX80" s="229">
        <v>1.0009999999999999</v>
      </c>
      <c r="BY80" s="230">
        <v>6514</v>
      </c>
      <c r="BZ80" s="230">
        <v>6487</v>
      </c>
      <c r="CA80" s="228">
        <v>27</v>
      </c>
      <c r="CB80" s="229">
        <v>4.1999999999999997E-3</v>
      </c>
      <c r="CC80" s="230">
        <v>3121</v>
      </c>
      <c r="CD80" s="230">
        <v>4735</v>
      </c>
      <c r="CE80" s="230">
        <v>-1614</v>
      </c>
      <c r="CF80" s="229">
        <v>-0.34089999999999998</v>
      </c>
      <c r="CG80" s="230">
        <v>3369</v>
      </c>
      <c r="CH80" s="230">
        <v>1729</v>
      </c>
      <c r="CI80" s="230">
        <v>1640</v>
      </c>
      <c r="CJ80" s="229">
        <v>0.94830000000000003</v>
      </c>
      <c r="CK80" s="228">
        <v>25</v>
      </c>
      <c r="CL80" s="228">
        <v>23</v>
      </c>
      <c r="CM80" s="228">
        <v>2</v>
      </c>
      <c r="CN80" s="229">
        <v>7.3499999999999996E-2</v>
      </c>
      <c r="CO80" s="230">
        <v>1951</v>
      </c>
      <c r="CP80" s="230">
        <v>2032</v>
      </c>
      <c r="CQ80" s="228">
        <v>-82</v>
      </c>
      <c r="CR80" s="229">
        <v>-4.0300000000000002E-2</v>
      </c>
      <c r="CS80" s="230">
        <v>1350</v>
      </c>
      <c r="CT80" s="230">
        <v>1385</v>
      </c>
      <c r="CU80" s="228">
        <v>-35</v>
      </c>
      <c r="CV80" s="229">
        <v>-2.52E-2</v>
      </c>
      <c r="CW80" s="230">
        <v>9815</v>
      </c>
      <c r="CX80" s="230">
        <v>9905</v>
      </c>
      <c r="CY80" s="228">
        <v>-90</v>
      </c>
      <c r="CZ80" s="229">
        <v>-9.1000000000000004E-3</v>
      </c>
      <c r="DA80" s="228">
        <v>23.96</v>
      </c>
      <c r="DB80" s="228">
        <v>25.08</v>
      </c>
      <c r="DC80" s="228">
        <v>-1.1200000000000001</v>
      </c>
      <c r="DD80" s="228">
        <v>-1.1200000000000001</v>
      </c>
      <c r="DE80" s="228">
        <v>33.159999999999997</v>
      </c>
      <c r="DF80" s="228">
        <v>33.21</v>
      </c>
      <c r="DG80" s="228">
        <v>-9.1999999999999993</v>
      </c>
      <c r="DH80" s="228">
        <v>-0.05</v>
      </c>
      <c r="DI80" s="228">
        <v>24.02</v>
      </c>
      <c r="DJ80" s="228">
        <v>25.77</v>
      </c>
      <c r="DK80" s="228">
        <v>-1.75</v>
      </c>
      <c r="DL80" s="228">
        <v>-1.75</v>
      </c>
      <c r="DM80" s="228">
        <v>23.89</v>
      </c>
      <c r="DN80" s="228">
        <v>23.91</v>
      </c>
      <c r="DO80" s="228">
        <v>-0.02</v>
      </c>
      <c r="DP80" s="228">
        <v>-0.02</v>
      </c>
      <c r="DQ80" s="228">
        <v>0.69</v>
      </c>
      <c r="DR80" s="228">
        <v>0.68</v>
      </c>
      <c r="DS80" s="228">
        <v>0.01</v>
      </c>
      <c r="DT80" s="229">
        <v>1.47E-2</v>
      </c>
      <c r="DU80" s="228">
        <v>800</v>
      </c>
      <c r="DV80" s="228">
        <v>800</v>
      </c>
      <c r="DW80" s="228">
        <v>0.41</v>
      </c>
      <c r="DX80" s="228">
        <v>0.6</v>
      </c>
      <c r="DY80" s="228">
        <v>-0.19</v>
      </c>
      <c r="DZ80" s="229">
        <v>-0.31669999999999998</v>
      </c>
      <c r="EA80" s="229">
        <v>0.52090000000000003</v>
      </c>
      <c r="EB80" s="230">
        <v>21885500</v>
      </c>
      <c r="EC80" s="229">
        <v>7.4000000000000003E-3</v>
      </c>
      <c r="ED80" s="229">
        <v>0.52090000000000003</v>
      </c>
      <c r="EE80" s="228">
        <v>5.54</v>
      </c>
      <c r="EF80" s="229">
        <v>6.8999999999999999E-3</v>
      </c>
      <c r="EG80" s="230">
        <v>3602295</v>
      </c>
      <c r="EH80" s="230">
        <v>1651638</v>
      </c>
      <c r="EI80" s="229">
        <v>1.181</v>
      </c>
      <c r="EJ80" s="229">
        <v>0.58340000000000003</v>
      </c>
      <c r="EK80" s="231">
        <v>3476.41</v>
      </c>
      <c r="EL80" s="231">
        <v>1389.96</v>
      </c>
      <c r="EM80" s="231">
        <v>3823.48</v>
      </c>
      <c r="EN80" s="228">
        <v>217.4</v>
      </c>
      <c r="EO80" s="231">
        <v>8689.84</v>
      </c>
      <c r="EP80" s="231">
        <v>6792.05</v>
      </c>
      <c r="EQ80" s="231">
        <v>1897.79</v>
      </c>
      <c r="ER80" s="229">
        <v>0.27939999999999998</v>
      </c>
      <c r="ES80" s="231">
        <v>2031.85</v>
      </c>
      <c r="ET80" s="231">
        <v>1322.29</v>
      </c>
      <c r="EU80" s="231">
        <v>6538.98</v>
      </c>
      <c r="EV80" s="231">
        <v>176136372</v>
      </c>
      <c r="EW80" s="231">
        <v>9893.1299999999992</v>
      </c>
      <c r="EX80" s="231">
        <v>9904.92</v>
      </c>
      <c r="EY80" s="228">
        <v>-11.79</v>
      </c>
      <c r="EZ80" s="229">
        <v>-1.1999999999999999E-3</v>
      </c>
      <c r="FA80" s="229">
        <v>0.69610000000000005</v>
      </c>
      <c r="FB80" s="227" t="s">
        <v>555</v>
      </c>
      <c r="FC80">
        <f t="shared" si="1"/>
        <v>3393</v>
      </c>
    </row>
    <row r="81" spans="1:159" ht="17.25" thickBot="1" x14ac:dyDescent="0.3">
      <c r="A81" s="226">
        <v>45981</v>
      </c>
      <c r="B81" s="227" t="s">
        <v>193</v>
      </c>
      <c r="C81" s="227" t="s">
        <v>229</v>
      </c>
      <c r="D81" s="228">
        <v>2025</v>
      </c>
      <c r="E81" s="228">
        <v>5</v>
      </c>
      <c r="F81" s="228">
        <v>478.6</v>
      </c>
      <c r="G81" s="228">
        <v>478.25</v>
      </c>
      <c r="H81" s="228">
        <v>0.35</v>
      </c>
      <c r="I81" s="229">
        <v>6.9999999999999999E-4</v>
      </c>
      <c r="J81" s="228">
        <v>477.9</v>
      </c>
      <c r="K81" s="228">
        <v>477.15</v>
      </c>
      <c r="L81" s="228">
        <v>0.75</v>
      </c>
      <c r="M81" s="229">
        <v>1.6000000000000001E-3</v>
      </c>
      <c r="N81" s="228">
        <v>478.6</v>
      </c>
      <c r="O81" s="228">
        <v>478.25</v>
      </c>
      <c r="P81" s="228">
        <v>0.35</v>
      </c>
      <c r="Q81" s="229">
        <v>6.9999999999999999E-4</v>
      </c>
      <c r="R81" s="228">
        <v>481.85</v>
      </c>
      <c r="S81" s="228">
        <v>481.3</v>
      </c>
      <c r="T81" s="228">
        <v>0.55000000000000004</v>
      </c>
      <c r="U81" s="229">
        <v>1.1000000000000001E-3</v>
      </c>
      <c r="V81" s="228">
        <v>485</v>
      </c>
      <c r="W81" s="228">
        <v>484.35</v>
      </c>
      <c r="X81" s="228">
        <v>0.65</v>
      </c>
      <c r="Y81" s="229">
        <v>1.2999999999999999E-3</v>
      </c>
      <c r="Z81" s="228">
        <v>0.7</v>
      </c>
      <c r="AA81" s="228">
        <v>1.1000000000000001</v>
      </c>
      <c r="AB81" s="228">
        <v>-0.4</v>
      </c>
      <c r="AC81" s="229">
        <v>1.5E-3</v>
      </c>
      <c r="AD81" s="228">
        <v>0.7</v>
      </c>
      <c r="AE81" s="228">
        <v>1.1000000000000001</v>
      </c>
      <c r="AF81" s="228">
        <v>-0.4</v>
      </c>
      <c r="AG81" s="229">
        <v>1.5E-3</v>
      </c>
      <c r="AH81" s="228">
        <v>3.95</v>
      </c>
      <c r="AI81" s="228">
        <v>4.1500000000000004</v>
      </c>
      <c r="AJ81" s="228">
        <v>-0.2</v>
      </c>
      <c r="AK81" s="229">
        <v>8.3000000000000001E-3</v>
      </c>
      <c r="AL81" s="228">
        <v>7.1</v>
      </c>
      <c r="AM81" s="228">
        <v>7.2</v>
      </c>
      <c r="AN81" s="228">
        <v>-0.1</v>
      </c>
      <c r="AO81" s="229">
        <v>1.49E-2</v>
      </c>
      <c r="AP81" s="228">
        <v>478.56</v>
      </c>
      <c r="AQ81" s="228">
        <v>481.73</v>
      </c>
      <c r="AR81" s="228">
        <v>0</v>
      </c>
      <c r="AS81" s="230">
        <v>1320</v>
      </c>
      <c r="AT81" s="228">
        <v>384</v>
      </c>
      <c r="AU81" s="228">
        <v>936</v>
      </c>
      <c r="AV81" s="229">
        <v>2.4367000000000001</v>
      </c>
      <c r="AW81" s="228">
        <v>683</v>
      </c>
      <c r="AX81" s="228">
        <v>250</v>
      </c>
      <c r="AY81" s="228">
        <v>432</v>
      </c>
      <c r="AZ81" s="229">
        <v>1.7267999999999999</v>
      </c>
      <c r="BA81" s="228">
        <v>632</v>
      </c>
      <c r="BB81" s="228">
        <v>125</v>
      </c>
      <c r="BC81" s="228">
        <v>507</v>
      </c>
      <c r="BD81" s="229">
        <v>4.0597000000000003</v>
      </c>
      <c r="BE81" s="228">
        <v>5</v>
      </c>
      <c r="BF81" s="228">
        <v>9</v>
      </c>
      <c r="BG81" s="228">
        <v>-3</v>
      </c>
      <c r="BH81" s="229">
        <v>-0.39560000000000001</v>
      </c>
      <c r="BI81" s="228">
        <v>634</v>
      </c>
      <c r="BJ81" s="228">
        <v>828</v>
      </c>
      <c r="BK81" s="228">
        <v>-194</v>
      </c>
      <c r="BL81" s="229">
        <v>-0.23400000000000001</v>
      </c>
      <c r="BM81" s="228">
        <v>252</v>
      </c>
      <c r="BN81" s="228">
        <v>413</v>
      </c>
      <c r="BO81" s="228">
        <v>-161</v>
      </c>
      <c r="BP81" s="229">
        <v>-0.38940000000000002</v>
      </c>
      <c r="BQ81" s="230">
        <v>2207</v>
      </c>
      <c r="BR81" s="230">
        <v>1625</v>
      </c>
      <c r="BS81" s="228">
        <v>581</v>
      </c>
      <c r="BT81" s="229">
        <v>0.35780000000000001</v>
      </c>
      <c r="BU81" s="230">
        <v>2924023</v>
      </c>
      <c r="BV81" s="230">
        <v>4042926</v>
      </c>
      <c r="BW81" s="230">
        <v>-1118903</v>
      </c>
      <c r="BX81" s="229">
        <v>-0.27679999999999999</v>
      </c>
      <c r="BY81" s="230">
        <v>1917</v>
      </c>
      <c r="BZ81" s="230">
        <v>1902</v>
      </c>
      <c r="CA81" s="228">
        <v>14</v>
      </c>
      <c r="CB81" s="229">
        <v>7.4999999999999997E-3</v>
      </c>
      <c r="CC81" s="230">
        <v>1211</v>
      </c>
      <c r="CD81" s="230">
        <v>1746</v>
      </c>
      <c r="CE81" s="228">
        <v>-535</v>
      </c>
      <c r="CF81" s="229">
        <v>-0.30659999999999998</v>
      </c>
      <c r="CG81" s="228">
        <v>693</v>
      </c>
      <c r="CH81" s="228">
        <v>144</v>
      </c>
      <c r="CI81" s="228">
        <v>549</v>
      </c>
      <c r="CJ81" s="229">
        <v>3.8109999999999999</v>
      </c>
      <c r="CK81" s="228">
        <v>13</v>
      </c>
      <c r="CL81" s="228">
        <v>12</v>
      </c>
      <c r="CM81" s="228">
        <v>0</v>
      </c>
      <c r="CN81" s="229">
        <v>2.3400000000000001E-2</v>
      </c>
      <c r="CO81" s="228">
        <v>694</v>
      </c>
      <c r="CP81" s="228">
        <v>732</v>
      </c>
      <c r="CQ81" s="228">
        <v>-37</v>
      </c>
      <c r="CR81" s="229">
        <v>-5.11E-2</v>
      </c>
      <c r="CS81" s="228">
        <v>479</v>
      </c>
      <c r="CT81" s="228">
        <v>485</v>
      </c>
      <c r="CU81" s="228">
        <v>-6</v>
      </c>
      <c r="CV81" s="229">
        <v>-1.26E-2</v>
      </c>
      <c r="CW81" s="230">
        <v>3090</v>
      </c>
      <c r="CX81" s="230">
        <v>3119</v>
      </c>
      <c r="CY81" s="228">
        <v>-29</v>
      </c>
      <c r="CZ81" s="229">
        <v>-9.4000000000000004E-3</v>
      </c>
      <c r="DA81" s="228">
        <v>25.08</v>
      </c>
      <c r="DB81" s="228">
        <v>26.69</v>
      </c>
      <c r="DC81" s="228">
        <v>-1.61</v>
      </c>
      <c r="DD81" s="228">
        <v>-1.61</v>
      </c>
      <c r="DE81" s="228">
        <v>39.53</v>
      </c>
      <c r="DF81" s="228">
        <v>39.630000000000003</v>
      </c>
      <c r="DG81" s="228">
        <v>-14.45</v>
      </c>
      <c r="DH81" s="228">
        <v>-0.1</v>
      </c>
      <c r="DI81" s="228">
        <v>25.02</v>
      </c>
      <c r="DJ81" s="228">
        <v>26.66</v>
      </c>
      <c r="DK81" s="228">
        <v>-1.64</v>
      </c>
      <c r="DL81" s="228">
        <v>-1.64</v>
      </c>
      <c r="DM81" s="228">
        <v>25.18</v>
      </c>
      <c r="DN81" s="228">
        <v>26.75</v>
      </c>
      <c r="DO81" s="228">
        <v>-1.57</v>
      </c>
      <c r="DP81" s="228">
        <v>-1.57</v>
      </c>
      <c r="DQ81" s="228">
        <v>0.69</v>
      </c>
      <c r="DR81" s="228">
        <v>0.66</v>
      </c>
      <c r="DS81" s="228">
        <v>0.03</v>
      </c>
      <c r="DT81" s="229">
        <v>4.5499999999999999E-2</v>
      </c>
      <c r="DU81" s="228">
        <v>500</v>
      </c>
      <c r="DV81" s="228">
        <v>450</v>
      </c>
      <c r="DW81" s="228">
        <v>0.4</v>
      </c>
      <c r="DX81" s="228">
        <v>0.5</v>
      </c>
      <c r="DY81" s="228">
        <v>-0.1</v>
      </c>
      <c r="DZ81" s="229">
        <v>-0.2</v>
      </c>
      <c r="EA81" s="229">
        <v>0.36840000000000001</v>
      </c>
      <c r="EB81" s="230">
        <v>3270375</v>
      </c>
      <c r="EC81" s="229">
        <v>6.7999999999999996E-3</v>
      </c>
      <c r="ED81" s="229">
        <v>0.36840000000000001</v>
      </c>
      <c r="EE81" s="228">
        <v>3.17</v>
      </c>
      <c r="EF81" s="229">
        <v>6.6E-3</v>
      </c>
      <c r="EG81" s="230">
        <v>1895020</v>
      </c>
      <c r="EH81" s="230">
        <v>2716489</v>
      </c>
      <c r="EI81" s="229">
        <v>-0.3024</v>
      </c>
      <c r="EJ81" s="229">
        <v>0.64810000000000001</v>
      </c>
      <c r="EK81" s="228">
        <v>656.48</v>
      </c>
      <c r="EL81" s="228">
        <v>248.32</v>
      </c>
      <c r="EM81" s="231">
        <v>1324.44</v>
      </c>
      <c r="EN81" s="228">
        <v>27.5</v>
      </c>
      <c r="EO81" s="231">
        <v>2229.23</v>
      </c>
      <c r="EP81" s="231">
        <v>1652.28</v>
      </c>
      <c r="EQ81" s="228">
        <v>576.96</v>
      </c>
      <c r="ER81" s="229">
        <v>0.34920000000000001</v>
      </c>
      <c r="ES81" s="228">
        <v>706.33</v>
      </c>
      <c r="ET81" s="228">
        <v>454.6</v>
      </c>
      <c r="EU81" s="231">
        <v>1921.5</v>
      </c>
      <c r="EV81" s="231">
        <v>143933168</v>
      </c>
      <c r="EW81" s="231">
        <v>3082.43</v>
      </c>
      <c r="EX81" s="231">
        <v>3107.26</v>
      </c>
      <c r="EY81" s="228">
        <v>-24.83</v>
      </c>
      <c r="EZ81" s="229">
        <v>-8.0000000000000002E-3</v>
      </c>
      <c r="FA81" s="229">
        <v>0.4486</v>
      </c>
      <c r="FB81" s="227" t="s">
        <v>555</v>
      </c>
      <c r="FC81">
        <f t="shared" si="1"/>
        <v>706</v>
      </c>
    </row>
    <row r="82" spans="1:159" ht="17.25" thickBot="1" x14ac:dyDescent="0.3">
      <c r="A82" s="226">
        <v>45981</v>
      </c>
      <c r="B82" s="227" t="s">
        <v>168</v>
      </c>
      <c r="C82" s="227" t="s">
        <v>230</v>
      </c>
      <c r="D82" s="228">
        <v>300</v>
      </c>
      <c r="E82" s="228">
        <v>5</v>
      </c>
      <c r="F82" s="231">
        <v>2432.8000000000002</v>
      </c>
      <c r="G82" s="231">
        <v>2442.1</v>
      </c>
      <c r="H82" s="228">
        <v>-9.3000000000000007</v>
      </c>
      <c r="I82" s="229">
        <v>-3.8E-3</v>
      </c>
      <c r="J82" s="231">
        <v>2428.4</v>
      </c>
      <c r="K82" s="231">
        <v>2441.6</v>
      </c>
      <c r="L82" s="228">
        <v>-13.2</v>
      </c>
      <c r="M82" s="229">
        <v>-5.4000000000000003E-3</v>
      </c>
      <c r="N82" s="231">
        <v>2432.8000000000002</v>
      </c>
      <c r="O82" s="231">
        <v>2442.1</v>
      </c>
      <c r="P82" s="228">
        <v>-9.3000000000000007</v>
      </c>
      <c r="Q82" s="229">
        <v>-3.8E-3</v>
      </c>
      <c r="R82" s="231">
        <v>2438.9</v>
      </c>
      <c r="S82" s="231">
        <v>2449.1</v>
      </c>
      <c r="T82" s="228">
        <v>-10.199999999999999</v>
      </c>
      <c r="U82" s="229">
        <v>-4.1999999999999997E-3</v>
      </c>
      <c r="V82" s="231">
        <v>2441.5</v>
      </c>
      <c r="W82" s="231">
        <v>2450.1999999999998</v>
      </c>
      <c r="X82" s="228">
        <v>-8.6999999999999993</v>
      </c>
      <c r="Y82" s="229">
        <v>-3.5999999999999999E-3</v>
      </c>
      <c r="Z82" s="228">
        <v>4.4000000000000004</v>
      </c>
      <c r="AA82" s="228">
        <v>0.5</v>
      </c>
      <c r="AB82" s="228">
        <v>3.9</v>
      </c>
      <c r="AC82" s="229">
        <v>1.8E-3</v>
      </c>
      <c r="AD82" s="228">
        <v>4.4000000000000004</v>
      </c>
      <c r="AE82" s="228">
        <v>0.5</v>
      </c>
      <c r="AF82" s="228">
        <v>3.9</v>
      </c>
      <c r="AG82" s="229">
        <v>1.8E-3</v>
      </c>
      <c r="AH82" s="228">
        <v>10.5</v>
      </c>
      <c r="AI82" s="228">
        <v>7.5</v>
      </c>
      <c r="AJ82" s="228">
        <v>3</v>
      </c>
      <c r="AK82" s="229">
        <v>4.3E-3</v>
      </c>
      <c r="AL82" s="228">
        <v>13.1</v>
      </c>
      <c r="AM82" s="228">
        <v>8.6</v>
      </c>
      <c r="AN82" s="228">
        <v>4.5</v>
      </c>
      <c r="AO82" s="229">
        <v>5.4000000000000003E-3</v>
      </c>
      <c r="AP82" s="231">
        <v>2446.23</v>
      </c>
      <c r="AQ82" s="231">
        <v>2450.9</v>
      </c>
      <c r="AR82" s="228">
        <v>0</v>
      </c>
      <c r="AS82" s="230">
        <v>2862</v>
      </c>
      <c r="AT82" s="230">
        <v>1348</v>
      </c>
      <c r="AU82" s="230">
        <v>1515</v>
      </c>
      <c r="AV82" s="229">
        <v>1.1240000000000001</v>
      </c>
      <c r="AW82" s="230">
        <v>1541</v>
      </c>
      <c r="AX82" s="228">
        <v>840</v>
      </c>
      <c r="AY82" s="228">
        <v>701</v>
      </c>
      <c r="AZ82" s="229">
        <v>0.83409999999999995</v>
      </c>
      <c r="BA82" s="230">
        <v>1307</v>
      </c>
      <c r="BB82" s="228">
        <v>491</v>
      </c>
      <c r="BC82" s="228">
        <v>816</v>
      </c>
      <c r="BD82" s="229">
        <v>1.6624000000000001</v>
      </c>
      <c r="BE82" s="228">
        <v>15</v>
      </c>
      <c r="BF82" s="228">
        <v>17</v>
      </c>
      <c r="BG82" s="228">
        <v>-2</v>
      </c>
      <c r="BH82" s="229">
        <v>-0.114</v>
      </c>
      <c r="BI82" s="230">
        <v>4073</v>
      </c>
      <c r="BJ82" s="230">
        <v>7246</v>
      </c>
      <c r="BK82" s="230">
        <v>-3172</v>
      </c>
      <c r="BL82" s="229">
        <v>-0.43780000000000002</v>
      </c>
      <c r="BM82" s="230">
        <v>1499</v>
      </c>
      <c r="BN82" s="230">
        <v>2515</v>
      </c>
      <c r="BO82" s="230">
        <v>-1017</v>
      </c>
      <c r="BP82" s="229">
        <v>-0.4042</v>
      </c>
      <c r="BQ82" s="230">
        <v>8434</v>
      </c>
      <c r="BR82" s="230">
        <v>11109</v>
      </c>
      <c r="BS82" s="230">
        <v>-2674</v>
      </c>
      <c r="BT82" s="229">
        <v>-0.2407</v>
      </c>
      <c r="BU82" s="230">
        <v>1716912</v>
      </c>
      <c r="BV82" s="230">
        <v>1506217</v>
      </c>
      <c r="BW82" s="230">
        <v>210695</v>
      </c>
      <c r="BX82" s="229">
        <v>0.1399</v>
      </c>
      <c r="BY82" s="230">
        <v>4384</v>
      </c>
      <c r="BZ82" s="230">
        <v>4708</v>
      </c>
      <c r="CA82" s="228">
        <v>-324</v>
      </c>
      <c r="CB82" s="229">
        <v>-6.88E-2</v>
      </c>
      <c r="CC82" s="230">
        <v>2808</v>
      </c>
      <c r="CD82" s="230">
        <v>3942</v>
      </c>
      <c r="CE82" s="230">
        <v>-1134</v>
      </c>
      <c r="CF82" s="229">
        <v>-0.28760000000000002</v>
      </c>
      <c r="CG82" s="230">
        <v>1509</v>
      </c>
      <c r="CH82" s="228">
        <v>705</v>
      </c>
      <c r="CI82" s="228">
        <v>804</v>
      </c>
      <c r="CJ82" s="229">
        <v>1.1412</v>
      </c>
      <c r="CK82" s="228">
        <v>67</v>
      </c>
      <c r="CL82" s="228">
        <v>62</v>
      </c>
      <c r="CM82" s="228">
        <v>5</v>
      </c>
      <c r="CN82" s="229">
        <v>8.8900000000000007E-2</v>
      </c>
      <c r="CO82" s="230">
        <v>2842</v>
      </c>
      <c r="CP82" s="230">
        <v>3047</v>
      </c>
      <c r="CQ82" s="228">
        <v>-206</v>
      </c>
      <c r="CR82" s="229">
        <v>-6.7500000000000004E-2</v>
      </c>
      <c r="CS82" s="230">
        <v>1277</v>
      </c>
      <c r="CT82" s="230">
        <v>1367</v>
      </c>
      <c r="CU82" s="228">
        <v>-90</v>
      </c>
      <c r="CV82" s="229">
        <v>-6.5600000000000006E-2</v>
      </c>
      <c r="CW82" s="230">
        <v>8503</v>
      </c>
      <c r="CX82" s="230">
        <v>9122</v>
      </c>
      <c r="CY82" s="228">
        <v>-619</v>
      </c>
      <c r="CZ82" s="229">
        <v>-6.7900000000000002E-2</v>
      </c>
      <c r="DA82" s="228">
        <v>12.34</v>
      </c>
      <c r="DB82" s="228">
        <v>16.5</v>
      </c>
      <c r="DC82" s="228">
        <v>-4.16</v>
      </c>
      <c r="DD82" s="228">
        <v>-4.16</v>
      </c>
      <c r="DE82" s="228">
        <v>22.21</v>
      </c>
      <c r="DF82" s="228">
        <v>22.25</v>
      </c>
      <c r="DG82" s="228">
        <v>-9.8699999999999992</v>
      </c>
      <c r="DH82" s="228">
        <v>-0.04</v>
      </c>
      <c r="DI82" s="228">
        <v>12.71</v>
      </c>
      <c r="DJ82" s="228">
        <v>16.920000000000002</v>
      </c>
      <c r="DK82" s="228">
        <v>-4.21</v>
      </c>
      <c r="DL82" s="228">
        <v>-4.21</v>
      </c>
      <c r="DM82" s="228">
        <v>11.34</v>
      </c>
      <c r="DN82" s="228">
        <v>15.29</v>
      </c>
      <c r="DO82" s="228">
        <v>-3.95</v>
      </c>
      <c r="DP82" s="228">
        <v>-3.95</v>
      </c>
      <c r="DQ82" s="228">
        <v>0.45</v>
      </c>
      <c r="DR82" s="228">
        <v>0.45</v>
      </c>
      <c r="DS82" s="228">
        <v>0</v>
      </c>
      <c r="DT82" s="229">
        <v>0</v>
      </c>
      <c r="DU82" s="231">
        <v>2500</v>
      </c>
      <c r="DV82" s="231">
        <v>2500</v>
      </c>
      <c r="DW82" s="228">
        <v>0.37</v>
      </c>
      <c r="DX82" s="228">
        <v>0.35</v>
      </c>
      <c r="DY82" s="228">
        <v>0.02</v>
      </c>
      <c r="DZ82" s="229">
        <v>5.7099999999999998E-2</v>
      </c>
      <c r="EA82" s="229">
        <v>0.35949999999999999</v>
      </c>
      <c r="EB82" s="230">
        <v>3150300</v>
      </c>
      <c r="EC82" s="229">
        <v>2.5000000000000001E-3</v>
      </c>
      <c r="ED82" s="229">
        <v>0.35949999999999999</v>
      </c>
      <c r="EE82" s="228">
        <v>4.67</v>
      </c>
      <c r="EF82" s="229">
        <v>1.9E-3</v>
      </c>
      <c r="EG82" s="230">
        <v>895304</v>
      </c>
      <c r="EH82" s="230">
        <v>771256</v>
      </c>
      <c r="EI82" s="229">
        <v>0.1608</v>
      </c>
      <c r="EJ82" s="229">
        <v>0.52149999999999996</v>
      </c>
      <c r="EK82" s="231">
        <v>4214.91</v>
      </c>
      <c r="EL82" s="231">
        <v>1497.14</v>
      </c>
      <c r="EM82" s="231">
        <v>2880.63</v>
      </c>
      <c r="EN82" s="228">
        <v>84.08</v>
      </c>
      <c r="EO82" s="231">
        <v>8592.69</v>
      </c>
      <c r="EP82" s="231">
        <v>11311.16</v>
      </c>
      <c r="EQ82" s="231">
        <v>-2718.47</v>
      </c>
      <c r="ER82" s="229">
        <v>-0.24030000000000001</v>
      </c>
      <c r="ES82" s="231">
        <v>2969.13</v>
      </c>
      <c r="ET82" s="231">
        <v>1283.8</v>
      </c>
      <c r="EU82" s="231">
        <v>4388.1000000000004</v>
      </c>
      <c r="EV82" s="231">
        <v>89517840</v>
      </c>
      <c r="EW82" s="231">
        <v>8641.0300000000007</v>
      </c>
      <c r="EX82" s="231">
        <v>9288.7199999999993</v>
      </c>
      <c r="EY82" s="228">
        <v>-647.69000000000005</v>
      </c>
      <c r="EZ82" s="229">
        <v>-6.9699999999999998E-2</v>
      </c>
      <c r="FA82" s="229">
        <v>0.39040000000000002</v>
      </c>
      <c r="FB82" s="227" t="s">
        <v>568</v>
      </c>
      <c r="FC82">
        <f t="shared" si="1"/>
        <v>1576</v>
      </c>
    </row>
    <row r="83" spans="1:159" ht="17.25" thickBot="1" x14ac:dyDescent="0.3">
      <c r="A83" s="226">
        <v>45981</v>
      </c>
      <c r="B83" s="227" t="s">
        <v>227</v>
      </c>
      <c r="C83" s="227" t="s">
        <v>669</v>
      </c>
      <c r="D83" s="228">
        <v>1225</v>
      </c>
      <c r="E83" s="228">
        <v>5</v>
      </c>
      <c r="F83" s="228">
        <v>472.05</v>
      </c>
      <c r="G83" s="228">
        <v>477.45</v>
      </c>
      <c r="H83" s="228">
        <v>-5.4</v>
      </c>
      <c r="I83" s="229">
        <v>-1.1299999999999999E-2</v>
      </c>
      <c r="J83" s="228">
        <v>472.15</v>
      </c>
      <c r="K83" s="228">
        <v>476.55</v>
      </c>
      <c r="L83" s="228">
        <v>-4.4000000000000004</v>
      </c>
      <c r="M83" s="229">
        <v>-9.1999999999999998E-3</v>
      </c>
      <c r="N83" s="228">
        <v>472.05</v>
      </c>
      <c r="O83" s="228">
        <v>477.45</v>
      </c>
      <c r="P83" s="228">
        <v>-5.4</v>
      </c>
      <c r="Q83" s="229">
        <v>-1.1299999999999999E-2</v>
      </c>
      <c r="R83" s="228">
        <v>475.2</v>
      </c>
      <c r="S83" s="228">
        <v>480.8</v>
      </c>
      <c r="T83" s="228">
        <v>-5.6</v>
      </c>
      <c r="U83" s="229">
        <v>-1.1599999999999999E-2</v>
      </c>
      <c r="V83" s="228">
        <v>478.45</v>
      </c>
      <c r="W83" s="228">
        <v>483.65</v>
      </c>
      <c r="X83" s="228">
        <v>-5.2</v>
      </c>
      <c r="Y83" s="229">
        <v>-1.0800000000000001E-2</v>
      </c>
      <c r="Z83" s="228">
        <v>-0.1</v>
      </c>
      <c r="AA83" s="228">
        <v>0.9</v>
      </c>
      <c r="AB83" s="228">
        <v>-1</v>
      </c>
      <c r="AC83" s="229">
        <v>-2.0000000000000001E-4</v>
      </c>
      <c r="AD83" s="228">
        <v>-0.1</v>
      </c>
      <c r="AE83" s="228">
        <v>0.9</v>
      </c>
      <c r="AF83" s="228">
        <v>-1</v>
      </c>
      <c r="AG83" s="229">
        <v>-2.0000000000000001E-4</v>
      </c>
      <c r="AH83" s="228">
        <v>3.05</v>
      </c>
      <c r="AI83" s="228">
        <v>4.25</v>
      </c>
      <c r="AJ83" s="228">
        <v>-1.2</v>
      </c>
      <c r="AK83" s="229">
        <v>6.4999999999999997E-3</v>
      </c>
      <c r="AL83" s="228">
        <v>6.3</v>
      </c>
      <c r="AM83" s="228">
        <v>7.1</v>
      </c>
      <c r="AN83" s="228">
        <v>-0.8</v>
      </c>
      <c r="AO83" s="229">
        <v>1.3299999999999999E-2</v>
      </c>
      <c r="AP83" s="228">
        <v>474.36</v>
      </c>
      <c r="AQ83" s="228">
        <v>477.62</v>
      </c>
      <c r="AR83" s="228">
        <v>0</v>
      </c>
      <c r="AS83" s="228">
        <v>623</v>
      </c>
      <c r="AT83" s="228">
        <v>221</v>
      </c>
      <c r="AU83" s="228">
        <v>401</v>
      </c>
      <c r="AV83" s="229">
        <v>1.8127</v>
      </c>
      <c r="AW83" s="228">
        <v>309</v>
      </c>
      <c r="AX83" s="228">
        <v>134</v>
      </c>
      <c r="AY83" s="228">
        <v>175</v>
      </c>
      <c r="AZ83" s="229">
        <v>1.3105</v>
      </c>
      <c r="BA83" s="228">
        <v>311</v>
      </c>
      <c r="BB83" s="228">
        <v>86</v>
      </c>
      <c r="BC83" s="228">
        <v>225</v>
      </c>
      <c r="BD83" s="229">
        <v>2.6356000000000002</v>
      </c>
      <c r="BE83" s="228">
        <v>3</v>
      </c>
      <c r="BF83" s="228">
        <v>2</v>
      </c>
      <c r="BG83" s="228">
        <v>1</v>
      </c>
      <c r="BH83" s="229">
        <v>0.41460000000000002</v>
      </c>
      <c r="BI83" s="228">
        <v>968</v>
      </c>
      <c r="BJ83" s="230">
        <v>1092</v>
      </c>
      <c r="BK83" s="228">
        <v>-124</v>
      </c>
      <c r="BL83" s="229">
        <v>-0.11360000000000001</v>
      </c>
      <c r="BM83" s="228">
        <v>227</v>
      </c>
      <c r="BN83" s="228">
        <v>377</v>
      </c>
      <c r="BO83" s="228">
        <v>-150</v>
      </c>
      <c r="BP83" s="229">
        <v>-0.39779999999999999</v>
      </c>
      <c r="BQ83" s="230">
        <v>1818</v>
      </c>
      <c r="BR83" s="230">
        <v>1690</v>
      </c>
      <c r="BS83" s="228">
        <v>127</v>
      </c>
      <c r="BT83" s="229">
        <v>7.5399999999999995E-2</v>
      </c>
      <c r="BU83" s="230">
        <v>1500459</v>
      </c>
      <c r="BV83" s="230">
        <v>2826645</v>
      </c>
      <c r="BW83" s="230">
        <v>-1326186</v>
      </c>
      <c r="BX83" s="229">
        <v>-0.46920000000000001</v>
      </c>
      <c r="BY83" s="230">
        <v>1904</v>
      </c>
      <c r="BZ83" s="230">
        <v>1893</v>
      </c>
      <c r="CA83" s="228">
        <v>11</v>
      </c>
      <c r="CB83" s="229">
        <v>5.8999999999999999E-3</v>
      </c>
      <c r="CC83" s="230">
        <v>1289</v>
      </c>
      <c r="CD83" s="230">
        <v>1534</v>
      </c>
      <c r="CE83" s="228">
        <v>-245</v>
      </c>
      <c r="CF83" s="229">
        <v>-0.15959999999999999</v>
      </c>
      <c r="CG83" s="228">
        <v>597</v>
      </c>
      <c r="CH83" s="228">
        <v>344</v>
      </c>
      <c r="CI83" s="228">
        <v>254</v>
      </c>
      <c r="CJ83" s="229">
        <v>0.73760000000000003</v>
      </c>
      <c r="CK83" s="228">
        <v>17</v>
      </c>
      <c r="CL83" s="228">
        <v>15</v>
      </c>
      <c r="CM83" s="228">
        <v>3</v>
      </c>
      <c r="CN83" s="229">
        <v>0.17319999999999999</v>
      </c>
      <c r="CO83" s="230">
        <v>1242</v>
      </c>
      <c r="CP83" s="230">
        <v>1321</v>
      </c>
      <c r="CQ83" s="228">
        <v>-79</v>
      </c>
      <c r="CR83" s="229">
        <v>-5.9900000000000002E-2</v>
      </c>
      <c r="CS83" s="228">
        <v>642</v>
      </c>
      <c r="CT83" s="228">
        <v>650</v>
      </c>
      <c r="CU83" s="228">
        <v>-9</v>
      </c>
      <c r="CV83" s="229">
        <v>-1.3299999999999999E-2</v>
      </c>
      <c r="CW83" s="230">
        <v>3788</v>
      </c>
      <c r="CX83" s="230">
        <v>3865</v>
      </c>
      <c r="CY83" s="228">
        <v>-77</v>
      </c>
      <c r="CZ83" s="229">
        <v>-1.9800000000000002E-2</v>
      </c>
      <c r="DA83" s="228">
        <v>27.81</v>
      </c>
      <c r="DB83" s="228">
        <v>30.32</v>
      </c>
      <c r="DC83" s="228">
        <v>-2.5099999999999998</v>
      </c>
      <c r="DD83" s="228">
        <v>-2.5099999999999998</v>
      </c>
      <c r="DE83" s="228">
        <v>43.24</v>
      </c>
      <c r="DF83" s="228">
        <v>43.32</v>
      </c>
      <c r="DG83" s="228">
        <v>-15.43</v>
      </c>
      <c r="DH83" s="228">
        <v>-0.08</v>
      </c>
      <c r="DI83" s="228">
        <v>28.06</v>
      </c>
      <c r="DJ83" s="228">
        <v>31.39</v>
      </c>
      <c r="DK83" s="228">
        <v>-3.33</v>
      </c>
      <c r="DL83" s="228">
        <v>-3.33</v>
      </c>
      <c r="DM83" s="228">
        <v>26.88</v>
      </c>
      <c r="DN83" s="228">
        <v>27.19</v>
      </c>
      <c r="DO83" s="228">
        <v>-0.31</v>
      </c>
      <c r="DP83" s="228">
        <v>-0.31</v>
      </c>
      <c r="DQ83" s="228">
        <v>0.52</v>
      </c>
      <c r="DR83" s="228">
        <v>0.49</v>
      </c>
      <c r="DS83" s="228">
        <v>0.03</v>
      </c>
      <c r="DT83" s="229">
        <v>6.1199999999999997E-2</v>
      </c>
      <c r="DU83" s="228">
        <v>500</v>
      </c>
      <c r="DV83" s="228">
        <v>460</v>
      </c>
      <c r="DW83" s="228">
        <v>0.23</v>
      </c>
      <c r="DX83" s="228">
        <v>0.34</v>
      </c>
      <c r="DY83" s="228">
        <v>-0.11</v>
      </c>
      <c r="DZ83" s="229">
        <v>-0.32350000000000001</v>
      </c>
      <c r="EA83" s="229">
        <v>0.32279999999999998</v>
      </c>
      <c r="EB83" s="230">
        <v>7595000</v>
      </c>
      <c r="EC83" s="229">
        <v>6.7000000000000002E-3</v>
      </c>
      <c r="ED83" s="229">
        <v>0.32279999999999998</v>
      </c>
      <c r="EE83" s="228">
        <v>3.26</v>
      </c>
      <c r="EF83" s="229">
        <v>6.8999999999999999E-3</v>
      </c>
      <c r="EG83" s="230">
        <v>666760</v>
      </c>
      <c r="EH83" s="230">
        <v>1176184</v>
      </c>
      <c r="EI83" s="229">
        <v>-0.43309999999999998</v>
      </c>
      <c r="EJ83" s="229">
        <v>0.44440000000000002</v>
      </c>
      <c r="EK83" s="231">
        <v>1030.07</v>
      </c>
      <c r="EL83" s="228">
        <v>229.07</v>
      </c>
      <c r="EM83" s="228">
        <v>628.03</v>
      </c>
      <c r="EN83" s="228">
        <v>80.67</v>
      </c>
      <c r="EO83" s="231">
        <v>1887.18</v>
      </c>
      <c r="EP83" s="231">
        <v>1763.95</v>
      </c>
      <c r="EQ83" s="228">
        <v>123.23</v>
      </c>
      <c r="ER83" s="229">
        <v>6.9900000000000004E-2</v>
      </c>
      <c r="ES83" s="231">
        <v>1343.25</v>
      </c>
      <c r="ET83" s="228">
        <v>636.82000000000005</v>
      </c>
      <c r="EU83" s="231">
        <v>1908.32</v>
      </c>
      <c r="EV83" s="231">
        <v>167680340</v>
      </c>
      <c r="EW83" s="231">
        <v>3888.39</v>
      </c>
      <c r="EX83" s="231">
        <v>3994.23</v>
      </c>
      <c r="EY83" s="228">
        <v>-105.84</v>
      </c>
      <c r="EZ83" s="229">
        <v>-2.6499999999999999E-2</v>
      </c>
      <c r="FA83" s="229">
        <v>0.47860000000000003</v>
      </c>
      <c r="FB83" s="227" t="s">
        <v>567</v>
      </c>
      <c r="FC83">
        <f t="shared" si="1"/>
        <v>615</v>
      </c>
    </row>
    <row r="84" spans="1:159" ht="17.25" thickBot="1" x14ac:dyDescent="0.3">
      <c r="A84" s="226">
        <v>45981</v>
      </c>
      <c r="B84" s="227" t="s">
        <v>206</v>
      </c>
      <c r="C84" s="227" t="s">
        <v>608</v>
      </c>
      <c r="D84" s="228">
        <v>2775</v>
      </c>
      <c r="E84" s="228">
        <v>5</v>
      </c>
      <c r="F84" s="228">
        <v>237.78</v>
      </c>
      <c r="G84" s="228">
        <v>237.29</v>
      </c>
      <c r="H84" s="228">
        <v>0.49</v>
      </c>
      <c r="I84" s="229">
        <v>2.0999999999999999E-3</v>
      </c>
      <c r="J84" s="228">
        <v>237.1</v>
      </c>
      <c r="K84" s="228">
        <v>237.28</v>
      </c>
      <c r="L84" s="228">
        <v>-0.18</v>
      </c>
      <c r="M84" s="229">
        <v>-8.0000000000000004E-4</v>
      </c>
      <c r="N84" s="228">
        <v>237.78</v>
      </c>
      <c r="O84" s="228">
        <v>237.29</v>
      </c>
      <c r="P84" s="228">
        <v>0.49</v>
      </c>
      <c r="Q84" s="229">
        <v>2.0999999999999999E-3</v>
      </c>
      <c r="R84" s="228">
        <v>239.06</v>
      </c>
      <c r="S84" s="228">
        <v>238.93</v>
      </c>
      <c r="T84" s="228">
        <v>0.13</v>
      </c>
      <c r="U84" s="229">
        <v>5.0000000000000001E-4</v>
      </c>
      <c r="V84" s="228">
        <v>240.9</v>
      </c>
      <c r="W84" s="228">
        <v>240.54</v>
      </c>
      <c r="X84" s="228">
        <v>0.36</v>
      </c>
      <c r="Y84" s="229">
        <v>1.5E-3</v>
      </c>
      <c r="Z84" s="228">
        <v>0.68</v>
      </c>
      <c r="AA84" s="228">
        <v>0.01</v>
      </c>
      <c r="AB84" s="228">
        <v>0.67</v>
      </c>
      <c r="AC84" s="229">
        <v>2.8999999999999998E-3</v>
      </c>
      <c r="AD84" s="228">
        <v>0.68</v>
      </c>
      <c r="AE84" s="228">
        <v>0.01</v>
      </c>
      <c r="AF84" s="228">
        <v>0.67</v>
      </c>
      <c r="AG84" s="229">
        <v>2.8999999999999998E-3</v>
      </c>
      <c r="AH84" s="228">
        <v>1.96</v>
      </c>
      <c r="AI84" s="228">
        <v>1.65</v>
      </c>
      <c r="AJ84" s="228">
        <v>0.31</v>
      </c>
      <c r="AK84" s="229">
        <v>8.3000000000000001E-3</v>
      </c>
      <c r="AL84" s="228">
        <v>3.8</v>
      </c>
      <c r="AM84" s="228">
        <v>3.26</v>
      </c>
      <c r="AN84" s="228">
        <v>0.54</v>
      </c>
      <c r="AO84" s="229">
        <v>1.6E-2</v>
      </c>
      <c r="AP84" s="228">
        <v>237.93</v>
      </c>
      <c r="AQ84" s="228">
        <v>239.67</v>
      </c>
      <c r="AR84" s="228">
        <v>0</v>
      </c>
      <c r="AS84" s="228">
        <v>465</v>
      </c>
      <c r="AT84" s="228">
        <v>294</v>
      </c>
      <c r="AU84" s="228">
        <v>171</v>
      </c>
      <c r="AV84" s="229">
        <v>0.58309999999999995</v>
      </c>
      <c r="AW84" s="228">
        <v>281</v>
      </c>
      <c r="AX84" s="228">
        <v>203</v>
      </c>
      <c r="AY84" s="228">
        <v>77</v>
      </c>
      <c r="AZ84" s="229">
        <v>0.37909999999999999</v>
      </c>
      <c r="BA84" s="228">
        <v>178</v>
      </c>
      <c r="BB84" s="228">
        <v>87</v>
      </c>
      <c r="BC84" s="228">
        <v>91</v>
      </c>
      <c r="BD84" s="229">
        <v>1.0533999999999999</v>
      </c>
      <c r="BE84" s="228">
        <v>6</v>
      </c>
      <c r="BF84" s="228">
        <v>4</v>
      </c>
      <c r="BG84" s="228">
        <v>3</v>
      </c>
      <c r="BH84" s="229">
        <v>0.81479999999999997</v>
      </c>
      <c r="BI84" s="230">
        <v>1626</v>
      </c>
      <c r="BJ84" s="230">
        <v>1462</v>
      </c>
      <c r="BK84" s="228">
        <v>164</v>
      </c>
      <c r="BL84" s="229">
        <v>0.1123</v>
      </c>
      <c r="BM84" s="228">
        <v>830</v>
      </c>
      <c r="BN84" s="228">
        <v>611</v>
      </c>
      <c r="BO84" s="228">
        <v>218</v>
      </c>
      <c r="BP84" s="229">
        <v>0.3574</v>
      </c>
      <c r="BQ84" s="230">
        <v>2921</v>
      </c>
      <c r="BR84" s="230">
        <v>2367</v>
      </c>
      <c r="BS84" s="228">
        <v>554</v>
      </c>
      <c r="BT84" s="229">
        <v>0.23400000000000001</v>
      </c>
      <c r="BU84" s="230">
        <v>3910555</v>
      </c>
      <c r="BV84" s="230">
        <v>5392672</v>
      </c>
      <c r="BW84" s="230">
        <v>-1482117</v>
      </c>
      <c r="BX84" s="229">
        <v>-0.27479999999999999</v>
      </c>
      <c r="BY84" s="228">
        <v>862</v>
      </c>
      <c r="BZ84" s="228">
        <v>848</v>
      </c>
      <c r="CA84" s="228">
        <v>14</v>
      </c>
      <c r="CB84" s="229">
        <v>1.6299999999999999E-2</v>
      </c>
      <c r="CC84" s="228">
        <v>636</v>
      </c>
      <c r="CD84" s="228">
        <v>702</v>
      </c>
      <c r="CE84" s="228">
        <v>-66</v>
      </c>
      <c r="CF84" s="229">
        <v>-9.3799999999999994E-2</v>
      </c>
      <c r="CG84" s="228">
        <v>216</v>
      </c>
      <c r="CH84" s="228">
        <v>138</v>
      </c>
      <c r="CI84" s="228">
        <v>78</v>
      </c>
      <c r="CJ84" s="229">
        <v>0.56640000000000001</v>
      </c>
      <c r="CK84" s="228">
        <v>11</v>
      </c>
      <c r="CL84" s="228">
        <v>9</v>
      </c>
      <c r="CM84" s="228">
        <v>2</v>
      </c>
      <c r="CN84" s="229">
        <v>0.18709999999999999</v>
      </c>
      <c r="CO84" s="228">
        <v>756</v>
      </c>
      <c r="CP84" s="228">
        <v>804</v>
      </c>
      <c r="CQ84" s="228">
        <v>-48</v>
      </c>
      <c r="CR84" s="229">
        <v>-5.9200000000000003E-2</v>
      </c>
      <c r="CS84" s="228">
        <v>429</v>
      </c>
      <c r="CT84" s="228">
        <v>439</v>
      </c>
      <c r="CU84" s="228">
        <v>-10</v>
      </c>
      <c r="CV84" s="229">
        <v>-2.3E-2</v>
      </c>
      <c r="CW84" s="230">
        <v>2048</v>
      </c>
      <c r="CX84" s="230">
        <v>2091</v>
      </c>
      <c r="CY84" s="228">
        <v>-44</v>
      </c>
      <c r="CZ84" s="229">
        <v>-2.0899999999999998E-2</v>
      </c>
      <c r="DA84" s="228">
        <v>31.67</v>
      </c>
      <c r="DB84" s="228">
        <v>34.340000000000003</v>
      </c>
      <c r="DC84" s="228">
        <v>-2.67</v>
      </c>
      <c r="DD84" s="228">
        <v>-2.67</v>
      </c>
      <c r="DE84" s="228">
        <v>52.1</v>
      </c>
      <c r="DF84" s="228">
        <v>52.23</v>
      </c>
      <c r="DG84" s="228">
        <v>-20.43</v>
      </c>
      <c r="DH84" s="228">
        <v>-0.13</v>
      </c>
      <c r="DI84" s="228">
        <v>31.65</v>
      </c>
      <c r="DJ84" s="228">
        <v>35.44</v>
      </c>
      <c r="DK84" s="228">
        <v>-3.79</v>
      </c>
      <c r="DL84" s="228">
        <v>-3.79</v>
      </c>
      <c r="DM84" s="228">
        <v>31.72</v>
      </c>
      <c r="DN84" s="228">
        <v>31.72</v>
      </c>
      <c r="DO84" s="228">
        <v>0</v>
      </c>
      <c r="DP84" s="228">
        <v>0</v>
      </c>
      <c r="DQ84" s="228">
        <v>0.56999999999999995</v>
      </c>
      <c r="DR84" s="228">
        <v>0.55000000000000004</v>
      </c>
      <c r="DS84" s="228">
        <v>0.02</v>
      </c>
      <c r="DT84" s="229">
        <v>3.6400000000000002E-2</v>
      </c>
      <c r="DU84" s="228">
        <v>250</v>
      </c>
      <c r="DV84" s="228">
        <v>230</v>
      </c>
      <c r="DW84" s="228">
        <v>0.51</v>
      </c>
      <c r="DX84" s="228">
        <v>0.42</v>
      </c>
      <c r="DY84" s="228">
        <v>0.09</v>
      </c>
      <c r="DZ84" s="229">
        <v>0.21429999999999999</v>
      </c>
      <c r="EA84" s="229">
        <v>0.26250000000000001</v>
      </c>
      <c r="EB84" s="230">
        <v>6171600</v>
      </c>
      <c r="EC84" s="229">
        <v>5.4000000000000003E-3</v>
      </c>
      <c r="ED84" s="229">
        <v>0.26250000000000001</v>
      </c>
      <c r="EE84" s="228">
        <v>1.74</v>
      </c>
      <c r="EF84" s="229">
        <v>7.3000000000000001E-3</v>
      </c>
      <c r="EG84" s="230">
        <v>897872</v>
      </c>
      <c r="EH84" s="230">
        <v>1883950</v>
      </c>
      <c r="EI84" s="229">
        <v>-0.52339999999999998</v>
      </c>
      <c r="EJ84" s="229">
        <v>0.2296</v>
      </c>
      <c r="EK84" s="231">
        <v>1688.7</v>
      </c>
      <c r="EL84" s="228">
        <v>822.24</v>
      </c>
      <c r="EM84" s="228">
        <v>466.4</v>
      </c>
      <c r="EN84" s="228">
        <v>55.57</v>
      </c>
      <c r="EO84" s="231">
        <v>2977.35</v>
      </c>
      <c r="EP84" s="231">
        <v>2443.0100000000002</v>
      </c>
      <c r="EQ84" s="228">
        <v>534.34</v>
      </c>
      <c r="ER84" s="229">
        <v>0.21870000000000001</v>
      </c>
      <c r="ES84" s="228">
        <v>785.22</v>
      </c>
      <c r="ET84" s="228">
        <v>415.33</v>
      </c>
      <c r="EU84" s="228">
        <v>863.58</v>
      </c>
      <c r="EV84" s="231">
        <v>75071250</v>
      </c>
      <c r="EW84" s="231">
        <v>2064.13</v>
      </c>
      <c r="EX84" s="231">
        <v>2109.8200000000002</v>
      </c>
      <c r="EY84" s="228">
        <v>-45.69</v>
      </c>
      <c r="EZ84" s="229">
        <v>-2.1700000000000001E-2</v>
      </c>
      <c r="FA84" s="229">
        <v>1.1471</v>
      </c>
      <c r="FB84" s="227" t="s">
        <v>555</v>
      </c>
      <c r="FC84">
        <f t="shared" si="1"/>
        <v>226</v>
      </c>
    </row>
    <row r="85" spans="1:159" ht="17.25" thickBot="1" x14ac:dyDescent="0.3">
      <c r="A85" s="226">
        <v>45981</v>
      </c>
      <c r="B85" s="227" t="s">
        <v>172</v>
      </c>
      <c r="C85" s="227" t="s">
        <v>232</v>
      </c>
      <c r="D85" s="228">
        <v>700</v>
      </c>
      <c r="E85" s="228">
        <v>5</v>
      </c>
      <c r="F85" s="231">
        <v>1384.8</v>
      </c>
      <c r="G85" s="231">
        <v>1382.7</v>
      </c>
      <c r="H85" s="228">
        <v>2.1</v>
      </c>
      <c r="I85" s="229">
        <v>1.5E-3</v>
      </c>
      <c r="J85" s="231">
        <v>1383</v>
      </c>
      <c r="K85" s="231">
        <v>1383.1</v>
      </c>
      <c r="L85" s="228">
        <v>-0.1</v>
      </c>
      <c r="M85" s="229">
        <v>-1E-4</v>
      </c>
      <c r="N85" s="231">
        <v>1384.8</v>
      </c>
      <c r="O85" s="231">
        <v>1382.7</v>
      </c>
      <c r="P85" s="228">
        <v>2.1</v>
      </c>
      <c r="Q85" s="229">
        <v>1.5E-3</v>
      </c>
      <c r="R85" s="231">
        <v>1394.1</v>
      </c>
      <c r="S85" s="231">
        <v>1392</v>
      </c>
      <c r="T85" s="228">
        <v>2.1</v>
      </c>
      <c r="U85" s="229">
        <v>1.5E-3</v>
      </c>
      <c r="V85" s="231">
        <v>1401.8</v>
      </c>
      <c r="W85" s="231">
        <v>1399.7</v>
      </c>
      <c r="X85" s="228">
        <v>2.1</v>
      </c>
      <c r="Y85" s="229">
        <v>1.5E-3</v>
      </c>
      <c r="Z85" s="228">
        <v>1.8</v>
      </c>
      <c r="AA85" s="228">
        <v>-0.4</v>
      </c>
      <c r="AB85" s="228">
        <v>2.2000000000000002</v>
      </c>
      <c r="AC85" s="229">
        <v>1.2999999999999999E-3</v>
      </c>
      <c r="AD85" s="228">
        <v>1.8</v>
      </c>
      <c r="AE85" s="228">
        <v>-0.4</v>
      </c>
      <c r="AF85" s="228">
        <v>2.2000000000000002</v>
      </c>
      <c r="AG85" s="229">
        <v>1.2999999999999999E-3</v>
      </c>
      <c r="AH85" s="228">
        <v>11.1</v>
      </c>
      <c r="AI85" s="228">
        <v>8.9</v>
      </c>
      <c r="AJ85" s="228">
        <v>2.2000000000000002</v>
      </c>
      <c r="AK85" s="229">
        <v>8.0000000000000002E-3</v>
      </c>
      <c r="AL85" s="228">
        <v>18.8</v>
      </c>
      <c r="AM85" s="228">
        <v>16.600000000000001</v>
      </c>
      <c r="AN85" s="228">
        <v>2.2000000000000002</v>
      </c>
      <c r="AO85" s="229">
        <v>1.3599999999999999E-2</v>
      </c>
      <c r="AP85" s="231">
        <v>1382.91</v>
      </c>
      <c r="AQ85" s="231">
        <v>1392.15</v>
      </c>
      <c r="AR85" s="228">
        <v>0</v>
      </c>
      <c r="AS85" s="230">
        <v>6038</v>
      </c>
      <c r="AT85" s="230">
        <v>1900</v>
      </c>
      <c r="AU85" s="230">
        <v>4137</v>
      </c>
      <c r="AV85" s="229">
        <v>2.1774</v>
      </c>
      <c r="AW85" s="230">
        <v>3270</v>
      </c>
      <c r="AX85" s="230">
        <v>1302</v>
      </c>
      <c r="AY85" s="230">
        <v>1967</v>
      </c>
      <c r="AZ85" s="229">
        <v>1.5106999999999999</v>
      </c>
      <c r="BA85" s="230">
        <v>2746</v>
      </c>
      <c r="BB85" s="228">
        <v>587</v>
      </c>
      <c r="BC85" s="230">
        <v>2159</v>
      </c>
      <c r="BD85" s="229">
        <v>3.6758000000000002</v>
      </c>
      <c r="BE85" s="228">
        <v>22</v>
      </c>
      <c r="BF85" s="228">
        <v>11</v>
      </c>
      <c r="BG85" s="228">
        <v>12</v>
      </c>
      <c r="BH85" s="229">
        <v>1.0818000000000001</v>
      </c>
      <c r="BI85" s="230">
        <v>8262</v>
      </c>
      <c r="BJ85" s="230">
        <v>5519</v>
      </c>
      <c r="BK85" s="230">
        <v>2743</v>
      </c>
      <c r="BL85" s="229">
        <v>0.49690000000000001</v>
      </c>
      <c r="BM85" s="230">
        <v>3837</v>
      </c>
      <c r="BN85" s="230">
        <v>3320</v>
      </c>
      <c r="BO85" s="228">
        <v>517</v>
      </c>
      <c r="BP85" s="229">
        <v>0.15570000000000001</v>
      </c>
      <c r="BQ85" s="230">
        <v>18136</v>
      </c>
      <c r="BR85" s="230">
        <v>10739</v>
      </c>
      <c r="BS85" s="230">
        <v>7397</v>
      </c>
      <c r="BT85" s="229">
        <v>0.68879999999999997</v>
      </c>
      <c r="BU85" s="230">
        <v>11156009</v>
      </c>
      <c r="BV85" s="230">
        <v>10575291</v>
      </c>
      <c r="BW85" s="230">
        <v>580718</v>
      </c>
      <c r="BX85" s="229">
        <v>5.4899999999999997E-2</v>
      </c>
      <c r="BY85" s="230">
        <v>15544</v>
      </c>
      <c r="BZ85" s="230">
        <v>15336</v>
      </c>
      <c r="CA85" s="228">
        <v>207</v>
      </c>
      <c r="CB85" s="229">
        <v>1.35E-2</v>
      </c>
      <c r="CC85" s="230">
        <v>10989</v>
      </c>
      <c r="CD85" s="230">
        <v>13097</v>
      </c>
      <c r="CE85" s="230">
        <v>-2108</v>
      </c>
      <c r="CF85" s="229">
        <v>-0.161</v>
      </c>
      <c r="CG85" s="230">
        <v>4452</v>
      </c>
      <c r="CH85" s="230">
        <v>2143</v>
      </c>
      <c r="CI85" s="230">
        <v>2309</v>
      </c>
      <c r="CJ85" s="229">
        <v>1.0772999999999999</v>
      </c>
      <c r="CK85" s="228">
        <v>103</v>
      </c>
      <c r="CL85" s="228">
        <v>96</v>
      </c>
      <c r="CM85" s="228">
        <v>7</v>
      </c>
      <c r="CN85" s="229">
        <v>7.1400000000000005E-2</v>
      </c>
      <c r="CO85" s="230">
        <v>5370</v>
      </c>
      <c r="CP85" s="230">
        <v>5442</v>
      </c>
      <c r="CQ85" s="228">
        <v>-72</v>
      </c>
      <c r="CR85" s="229">
        <v>-1.32E-2</v>
      </c>
      <c r="CS85" s="230">
        <v>3310</v>
      </c>
      <c r="CT85" s="230">
        <v>3388</v>
      </c>
      <c r="CU85" s="228">
        <v>-78</v>
      </c>
      <c r="CV85" s="229">
        <v>-2.3E-2</v>
      </c>
      <c r="CW85" s="230">
        <v>24223</v>
      </c>
      <c r="CX85" s="230">
        <v>24166</v>
      </c>
      <c r="CY85" s="228">
        <v>58</v>
      </c>
      <c r="CZ85" s="229">
        <v>2.3999999999999998E-3</v>
      </c>
      <c r="DA85" s="228">
        <v>15.21</v>
      </c>
      <c r="DB85" s="228">
        <v>15.48</v>
      </c>
      <c r="DC85" s="228">
        <v>-0.27</v>
      </c>
      <c r="DD85" s="228">
        <v>-0.27</v>
      </c>
      <c r="DE85" s="228">
        <v>20.98</v>
      </c>
      <c r="DF85" s="228">
        <v>21.04</v>
      </c>
      <c r="DG85" s="228">
        <v>-5.77</v>
      </c>
      <c r="DH85" s="228">
        <v>-0.06</v>
      </c>
      <c r="DI85" s="228">
        <v>15.19</v>
      </c>
      <c r="DJ85" s="228">
        <v>15.2</v>
      </c>
      <c r="DK85" s="228">
        <v>-0.01</v>
      </c>
      <c r="DL85" s="228">
        <v>-0.01</v>
      </c>
      <c r="DM85" s="228">
        <v>15.24</v>
      </c>
      <c r="DN85" s="228">
        <v>15.93</v>
      </c>
      <c r="DO85" s="228">
        <v>-0.69</v>
      </c>
      <c r="DP85" s="228">
        <v>-0.69</v>
      </c>
      <c r="DQ85" s="228">
        <v>0.62</v>
      </c>
      <c r="DR85" s="228">
        <v>0.62</v>
      </c>
      <c r="DS85" s="228">
        <v>0</v>
      </c>
      <c r="DT85" s="229">
        <v>0</v>
      </c>
      <c r="DU85" s="231">
        <v>1400</v>
      </c>
      <c r="DV85" s="231">
        <v>1380</v>
      </c>
      <c r="DW85" s="228">
        <v>0.46</v>
      </c>
      <c r="DX85" s="228">
        <v>0.6</v>
      </c>
      <c r="DY85" s="228">
        <v>-0.14000000000000001</v>
      </c>
      <c r="DZ85" s="229">
        <v>-0.23330000000000001</v>
      </c>
      <c r="EA85" s="229">
        <v>0.29310000000000003</v>
      </c>
      <c r="EB85" s="230">
        <v>16172100</v>
      </c>
      <c r="EC85" s="229">
        <v>6.7000000000000002E-3</v>
      </c>
      <c r="ED85" s="229">
        <v>0.29310000000000003</v>
      </c>
      <c r="EE85" s="228">
        <v>9.24</v>
      </c>
      <c r="EF85" s="229">
        <v>6.7000000000000002E-3</v>
      </c>
      <c r="EG85" s="230">
        <v>6315757</v>
      </c>
      <c r="EH85" s="230">
        <v>8371026</v>
      </c>
      <c r="EI85" s="229">
        <v>-0.2455</v>
      </c>
      <c r="EJ85" s="229">
        <v>0.56610000000000005</v>
      </c>
      <c r="EK85" s="231">
        <v>8388.94</v>
      </c>
      <c r="EL85" s="231">
        <v>3819.38</v>
      </c>
      <c r="EM85" s="231">
        <v>6047.92</v>
      </c>
      <c r="EN85" s="228">
        <v>222.51</v>
      </c>
      <c r="EO85" s="231">
        <v>18256.240000000002</v>
      </c>
      <c r="EP85" s="231">
        <v>10791.01</v>
      </c>
      <c r="EQ85" s="231">
        <v>7465.23</v>
      </c>
      <c r="ER85" s="229">
        <v>0.69179999999999997</v>
      </c>
      <c r="ES85" s="231">
        <v>5524.77</v>
      </c>
      <c r="ET85" s="231">
        <v>3236.97</v>
      </c>
      <c r="EU85" s="231">
        <v>15574.85</v>
      </c>
      <c r="EV85" s="231">
        <v>579785172</v>
      </c>
      <c r="EW85" s="231">
        <v>24336.6</v>
      </c>
      <c r="EX85" s="231">
        <v>24237.35</v>
      </c>
      <c r="EY85" s="228">
        <v>99.25</v>
      </c>
      <c r="EZ85" s="229">
        <v>4.1000000000000003E-3</v>
      </c>
      <c r="FA85" s="229">
        <v>0.30170000000000002</v>
      </c>
      <c r="FB85" s="227" t="s">
        <v>555</v>
      </c>
      <c r="FC85">
        <f t="shared" si="1"/>
        <v>4555</v>
      </c>
    </row>
    <row r="86" spans="1:159" ht="17.25" thickBot="1" x14ac:dyDescent="0.3">
      <c r="A86" s="226">
        <v>45981</v>
      </c>
      <c r="B86" s="227" t="s">
        <v>175</v>
      </c>
      <c r="C86" s="227" t="s">
        <v>472</v>
      </c>
      <c r="D86" s="228">
        <v>325</v>
      </c>
      <c r="E86" s="228">
        <v>5</v>
      </c>
      <c r="F86" s="231">
        <v>2035.8</v>
      </c>
      <c r="G86" s="231">
        <v>2041.7</v>
      </c>
      <c r="H86" s="228">
        <v>-5.9</v>
      </c>
      <c r="I86" s="229">
        <v>-2.8999999999999998E-3</v>
      </c>
      <c r="J86" s="231">
        <v>2037.6</v>
      </c>
      <c r="K86" s="231">
        <v>2041.7</v>
      </c>
      <c r="L86" s="228">
        <v>-4.0999999999999996</v>
      </c>
      <c r="M86" s="229">
        <v>-2E-3</v>
      </c>
      <c r="N86" s="231">
        <v>2035.8</v>
      </c>
      <c r="O86" s="231">
        <v>2041.7</v>
      </c>
      <c r="P86" s="228">
        <v>-5.9</v>
      </c>
      <c r="Q86" s="229">
        <v>-2.8999999999999998E-3</v>
      </c>
      <c r="R86" s="231">
        <v>2050.5</v>
      </c>
      <c r="S86" s="231">
        <v>2054.6</v>
      </c>
      <c r="T86" s="228">
        <v>-4.0999999999999996</v>
      </c>
      <c r="U86" s="229">
        <v>-2E-3</v>
      </c>
      <c r="V86" s="231">
        <v>2063.1999999999998</v>
      </c>
      <c r="W86" s="231">
        <v>2067.6999999999998</v>
      </c>
      <c r="X86" s="228">
        <v>-4.5</v>
      </c>
      <c r="Y86" s="229">
        <v>-2.2000000000000001E-3</v>
      </c>
      <c r="Z86" s="228">
        <v>-1.8</v>
      </c>
      <c r="AA86" s="228">
        <v>0</v>
      </c>
      <c r="AB86" s="228">
        <v>-1.8</v>
      </c>
      <c r="AC86" s="229">
        <v>-8.9999999999999998E-4</v>
      </c>
      <c r="AD86" s="228">
        <v>-1.8</v>
      </c>
      <c r="AE86" s="228">
        <v>0</v>
      </c>
      <c r="AF86" s="228">
        <v>-1.8</v>
      </c>
      <c r="AG86" s="229">
        <v>-8.9999999999999998E-4</v>
      </c>
      <c r="AH86" s="228">
        <v>12.9</v>
      </c>
      <c r="AI86" s="228">
        <v>12.9</v>
      </c>
      <c r="AJ86" s="228">
        <v>0</v>
      </c>
      <c r="AK86" s="229">
        <v>6.3E-3</v>
      </c>
      <c r="AL86" s="228">
        <v>25.6</v>
      </c>
      <c r="AM86" s="228">
        <v>26</v>
      </c>
      <c r="AN86" s="228">
        <v>-0.4</v>
      </c>
      <c r="AO86" s="229">
        <v>1.26E-2</v>
      </c>
      <c r="AP86" s="231">
        <v>2044.34</v>
      </c>
      <c r="AQ86" s="231">
        <v>2058.4499999999998</v>
      </c>
      <c r="AR86" s="228">
        <v>0</v>
      </c>
      <c r="AS86" s="228">
        <v>564</v>
      </c>
      <c r="AT86" s="228">
        <v>154</v>
      </c>
      <c r="AU86" s="228">
        <v>410</v>
      </c>
      <c r="AV86" s="229">
        <v>2.6555</v>
      </c>
      <c r="AW86" s="228">
        <v>299</v>
      </c>
      <c r="AX86" s="228">
        <v>100</v>
      </c>
      <c r="AY86" s="228">
        <v>200</v>
      </c>
      <c r="AZ86" s="229">
        <v>2.0059999999999998</v>
      </c>
      <c r="BA86" s="228">
        <v>263</v>
      </c>
      <c r="BB86" s="228">
        <v>54</v>
      </c>
      <c r="BC86" s="228">
        <v>209</v>
      </c>
      <c r="BD86" s="229">
        <v>3.8713000000000002</v>
      </c>
      <c r="BE86" s="228">
        <v>1</v>
      </c>
      <c r="BF86" s="228">
        <v>1</v>
      </c>
      <c r="BG86" s="228">
        <v>1</v>
      </c>
      <c r="BH86" s="229">
        <v>1.2</v>
      </c>
      <c r="BI86" s="228">
        <v>380</v>
      </c>
      <c r="BJ86" s="228">
        <v>375</v>
      </c>
      <c r="BK86" s="228">
        <v>5</v>
      </c>
      <c r="BL86" s="229">
        <v>1.32E-2</v>
      </c>
      <c r="BM86" s="228">
        <v>135</v>
      </c>
      <c r="BN86" s="228">
        <v>142</v>
      </c>
      <c r="BO86" s="228">
        <v>-7</v>
      </c>
      <c r="BP86" s="229">
        <v>-4.8000000000000001E-2</v>
      </c>
      <c r="BQ86" s="230">
        <v>1079</v>
      </c>
      <c r="BR86" s="228">
        <v>671</v>
      </c>
      <c r="BS86" s="228">
        <v>408</v>
      </c>
      <c r="BT86" s="229">
        <v>0.60729999999999995</v>
      </c>
      <c r="BU86" s="230">
        <v>464658</v>
      </c>
      <c r="BV86" s="230">
        <v>554719</v>
      </c>
      <c r="BW86" s="230">
        <v>-90061</v>
      </c>
      <c r="BX86" s="229">
        <v>-0.16239999999999999</v>
      </c>
      <c r="BY86" s="230">
        <v>1194</v>
      </c>
      <c r="BZ86" s="230">
        <v>1231</v>
      </c>
      <c r="CA86" s="228">
        <v>-36</v>
      </c>
      <c r="CB86" s="229">
        <v>-2.9499999999999998E-2</v>
      </c>
      <c r="CC86" s="228">
        <v>913</v>
      </c>
      <c r="CD86" s="230">
        <v>1137</v>
      </c>
      <c r="CE86" s="228">
        <v>-224</v>
      </c>
      <c r="CF86" s="229">
        <v>-0.19689999999999999</v>
      </c>
      <c r="CG86" s="228">
        <v>279</v>
      </c>
      <c r="CH86" s="228">
        <v>92</v>
      </c>
      <c r="CI86" s="228">
        <v>187</v>
      </c>
      <c r="CJ86" s="229">
        <v>2.0352999999999999</v>
      </c>
      <c r="CK86" s="228">
        <v>2</v>
      </c>
      <c r="CL86" s="228">
        <v>2</v>
      </c>
      <c r="CM86" s="228">
        <v>1</v>
      </c>
      <c r="CN86" s="229">
        <v>0.3846</v>
      </c>
      <c r="CO86" s="228">
        <v>308</v>
      </c>
      <c r="CP86" s="228">
        <v>316</v>
      </c>
      <c r="CQ86" s="228">
        <v>-8</v>
      </c>
      <c r="CR86" s="229">
        <v>-2.3900000000000001E-2</v>
      </c>
      <c r="CS86" s="228">
        <v>205</v>
      </c>
      <c r="CT86" s="228">
        <v>202</v>
      </c>
      <c r="CU86" s="228">
        <v>3</v>
      </c>
      <c r="CV86" s="229">
        <v>1.44E-2</v>
      </c>
      <c r="CW86" s="230">
        <v>1707</v>
      </c>
      <c r="CX86" s="230">
        <v>1748</v>
      </c>
      <c r="CY86" s="228">
        <v>-41</v>
      </c>
      <c r="CZ86" s="229">
        <v>-2.3400000000000001E-2</v>
      </c>
      <c r="DA86" s="228">
        <v>22.1</v>
      </c>
      <c r="DB86" s="228">
        <v>23.56</v>
      </c>
      <c r="DC86" s="228">
        <v>-1.46</v>
      </c>
      <c r="DD86" s="228">
        <v>-1.46</v>
      </c>
      <c r="DE86" s="228">
        <v>29.37</v>
      </c>
      <c r="DF86" s="228">
        <v>29.44</v>
      </c>
      <c r="DG86" s="228">
        <v>-7.27</v>
      </c>
      <c r="DH86" s="228">
        <v>-7.0000000000000007E-2</v>
      </c>
      <c r="DI86" s="228">
        <v>22.07</v>
      </c>
      <c r="DJ86" s="228">
        <v>23.3</v>
      </c>
      <c r="DK86" s="228">
        <v>-1.23</v>
      </c>
      <c r="DL86" s="228">
        <v>-1.23</v>
      </c>
      <c r="DM86" s="228">
        <v>22.17</v>
      </c>
      <c r="DN86" s="228">
        <v>24.25</v>
      </c>
      <c r="DO86" s="228">
        <v>-2.08</v>
      </c>
      <c r="DP86" s="228">
        <v>-2.08</v>
      </c>
      <c r="DQ86" s="228">
        <v>0.67</v>
      </c>
      <c r="DR86" s="228">
        <v>0.64</v>
      </c>
      <c r="DS86" s="228">
        <v>0.03</v>
      </c>
      <c r="DT86" s="229">
        <v>4.6899999999999997E-2</v>
      </c>
      <c r="DU86" s="231">
        <v>2100</v>
      </c>
      <c r="DV86" s="231">
        <v>2000</v>
      </c>
      <c r="DW86" s="228">
        <v>0.36</v>
      </c>
      <c r="DX86" s="228">
        <v>0.38</v>
      </c>
      <c r="DY86" s="228">
        <v>-0.02</v>
      </c>
      <c r="DZ86" s="229">
        <v>-5.2600000000000001E-2</v>
      </c>
      <c r="EA86" s="229">
        <v>0.2354</v>
      </c>
      <c r="EB86" s="230">
        <v>459550</v>
      </c>
      <c r="EC86" s="229">
        <v>7.1999999999999998E-3</v>
      </c>
      <c r="ED86" s="229">
        <v>0.2354</v>
      </c>
      <c r="EE86" s="228">
        <v>14.11</v>
      </c>
      <c r="EF86" s="229">
        <v>6.8999999999999999E-3</v>
      </c>
      <c r="EG86" s="230">
        <v>313476</v>
      </c>
      <c r="EH86" s="230">
        <v>384948</v>
      </c>
      <c r="EI86" s="229">
        <v>-0.1857</v>
      </c>
      <c r="EJ86" s="229">
        <v>0.67459999999999998</v>
      </c>
      <c r="EK86" s="228">
        <v>393.16</v>
      </c>
      <c r="EL86" s="228">
        <v>133.11000000000001</v>
      </c>
      <c r="EM86" s="228">
        <v>567.98</v>
      </c>
      <c r="EN86" s="228">
        <v>29.28</v>
      </c>
      <c r="EO86" s="231">
        <v>1094.25</v>
      </c>
      <c r="EP86" s="228">
        <v>680.72</v>
      </c>
      <c r="EQ86" s="228">
        <v>413.53</v>
      </c>
      <c r="ER86" s="229">
        <v>0.60750000000000004</v>
      </c>
      <c r="ES86" s="228">
        <v>317.3</v>
      </c>
      <c r="ET86" s="228">
        <v>197.75</v>
      </c>
      <c r="EU86" s="231">
        <v>1196.23</v>
      </c>
      <c r="EV86" s="231">
        <v>26688038</v>
      </c>
      <c r="EW86" s="231">
        <v>1711.28</v>
      </c>
      <c r="EX86" s="231">
        <v>1754.82</v>
      </c>
      <c r="EY86" s="228">
        <v>-43.54</v>
      </c>
      <c r="EZ86" s="229">
        <v>-2.4799999999999999E-2</v>
      </c>
      <c r="FA86" s="229">
        <v>0.31419999999999998</v>
      </c>
      <c r="FB86" s="227" t="s">
        <v>568</v>
      </c>
      <c r="FC86">
        <f t="shared" si="1"/>
        <v>281</v>
      </c>
    </row>
    <row r="87" spans="1:159" ht="17.25" thickBot="1" x14ac:dyDescent="0.3">
      <c r="A87" s="226">
        <v>45981</v>
      </c>
      <c r="B87" s="227" t="s">
        <v>175</v>
      </c>
      <c r="C87" s="227" t="s">
        <v>233</v>
      </c>
      <c r="D87" s="228">
        <v>925</v>
      </c>
      <c r="E87" s="228">
        <v>5</v>
      </c>
      <c r="F87" s="228">
        <v>619.1</v>
      </c>
      <c r="G87" s="228">
        <v>615.25</v>
      </c>
      <c r="H87" s="228">
        <v>3.85</v>
      </c>
      <c r="I87" s="229">
        <v>6.3E-3</v>
      </c>
      <c r="J87" s="228">
        <v>618.4</v>
      </c>
      <c r="K87" s="228">
        <v>613.95000000000005</v>
      </c>
      <c r="L87" s="228">
        <v>4.45</v>
      </c>
      <c r="M87" s="229">
        <v>7.1999999999999998E-3</v>
      </c>
      <c r="N87" s="228">
        <v>619.1</v>
      </c>
      <c r="O87" s="228">
        <v>615.25</v>
      </c>
      <c r="P87" s="228">
        <v>3.85</v>
      </c>
      <c r="Q87" s="229">
        <v>6.3E-3</v>
      </c>
      <c r="R87" s="228">
        <v>623.15</v>
      </c>
      <c r="S87" s="228">
        <v>619</v>
      </c>
      <c r="T87" s="228">
        <v>4.1500000000000004</v>
      </c>
      <c r="U87" s="229">
        <v>6.7000000000000002E-3</v>
      </c>
      <c r="V87" s="228">
        <v>629</v>
      </c>
      <c r="W87" s="228">
        <v>622.6</v>
      </c>
      <c r="X87" s="228">
        <v>6.4</v>
      </c>
      <c r="Y87" s="229">
        <v>1.03E-2</v>
      </c>
      <c r="Z87" s="228">
        <v>0.7</v>
      </c>
      <c r="AA87" s="228">
        <v>1.3</v>
      </c>
      <c r="AB87" s="228">
        <v>-0.6</v>
      </c>
      <c r="AC87" s="229">
        <v>1.1000000000000001E-3</v>
      </c>
      <c r="AD87" s="228">
        <v>0.7</v>
      </c>
      <c r="AE87" s="228">
        <v>1.3</v>
      </c>
      <c r="AF87" s="228">
        <v>-0.6</v>
      </c>
      <c r="AG87" s="229">
        <v>1.1000000000000001E-3</v>
      </c>
      <c r="AH87" s="228">
        <v>4.75</v>
      </c>
      <c r="AI87" s="228">
        <v>5.05</v>
      </c>
      <c r="AJ87" s="228">
        <v>-0.3</v>
      </c>
      <c r="AK87" s="229">
        <v>7.7000000000000002E-3</v>
      </c>
      <c r="AL87" s="228">
        <v>10.6</v>
      </c>
      <c r="AM87" s="228">
        <v>8.65</v>
      </c>
      <c r="AN87" s="228">
        <v>1.95</v>
      </c>
      <c r="AO87" s="229">
        <v>1.7100000000000001E-2</v>
      </c>
      <c r="AP87" s="228">
        <v>617.19000000000005</v>
      </c>
      <c r="AQ87" s="228">
        <v>621.34</v>
      </c>
      <c r="AR87" s="228">
        <v>0</v>
      </c>
      <c r="AS87" s="228">
        <v>496</v>
      </c>
      <c r="AT87" s="228">
        <v>168</v>
      </c>
      <c r="AU87" s="228">
        <v>328</v>
      </c>
      <c r="AV87" s="229">
        <v>1.9582999999999999</v>
      </c>
      <c r="AW87" s="228">
        <v>259</v>
      </c>
      <c r="AX87" s="228">
        <v>112</v>
      </c>
      <c r="AY87" s="228">
        <v>147</v>
      </c>
      <c r="AZ87" s="229">
        <v>1.3129</v>
      </c>
      <c r="BA87" s="228">
        <v>235</v>
      </c>
      <c r="BB87" s="228">
        <v>53</v>
      </c>
      <c r="BC87" s="228">
        <v>182</v>
      </c>
      <c r="BD87" s="229">
        <v>3.4340999999999999</v>
      </c>
      <c r="BE87" s="228">
        <v>1</v>
      </c>
      <c r="BF87" s="228">
        <v>2</v>
      </c>
      <c r="BG87" s="228">
        <v>-1</v>
      </c>
      <c r="BH87" s="229">
        <v>-0.6</v>
      </c>
      <c r="BI87" s="228">
        <v>457</v>
      </c>
      <c r="BJ87" s="228">
        <v>298</v>
      </c>
      <c r="BK87" s="228">
        <v>158</v>
      </c>
      <c r="BL87" s="229">
        <v>0.53069999999999995</v>
      </c>
      <c r="BM87" s="228">
        <v>218</v>
      </c>
      <c r="BN87" s="228">
        <v>179</v>
      </c>
      <c r="BO87" s="228">
        <v>39</v>
      </c>
      <c r="BP87" s="229">
        <v>0.21959999999999999</v>
      </c>
      <c r="BQ87" s="230">
        <v>1170</v>
      </c>
      <c r="BR87" s="228">
        <v>645</v>
      </c>
      <c r="BS87" s="228">
        <v>526</v>
      </c>
      <c r="BT87" s="229">
        <v>0.81530000000000002</v>
      </c>
      <c r="BU87" s="230">
        <v>1037114</v>
      </c>
      <c r="BV87" s="230">
        <v>4250855</v>
      </c>
      <c r="BW87" s="230">
        <v>-3213741</v>
      </c>
      <c r="BX87" s="229">
        <v>-0.75600000000000001</v>
      </c>
      <c r="BY87" s="228">
        <v>844</v>
      </c>
      <c r="BZ87" s="228">
        <v>840</v>
      </c>
      <c r="CA87" s="228">
        <v>4</v>
      </c>
      <c r="CB87" s="229">
        <v>4.7999999999999996E-3</v>
      </c>
      <c r="CC87" s="228">
        <v>645</v>
      </c>
      <c r="CD87" s="228">
        <v>800</v>
      </c>
      <c r="CE87" s="228">
        <v>-155</v>
      </c>
      <c r="CF87" s="229">
        <v>-0.19370000000000001</v>
      </c>
      <c r="CG87" s="228">
        <v>196</v>
      </c>
      <c r="CH87" s="228">
        <v>38</v>
      </c>
      <c r="CI87" s="228">
        <v>158</v>
      </c>
      <c r="CJ87" s="229">
        <v>4.1752000000000002</v>
      </c>
      <c r="CK87" s="228">
        <v>3</v>
      </c>
      <c r="CL87" s="228">
        <v>3</v>
      </c>
      <c r="CM87" s="228">
        <v>1</v>
      </c>
      <c r="CN87" s="229">
        <v>0.2727</v>
      </c>
      <c r="CO87" s="228">
        <v>237</v>
      </c>
      <c r="CP87" s="228">
        <v>233</v>
      </c>
      <c r="CQ87" s="228">
        <v>3</v>
      </c>
      <c r="CR87" s="229">
        <v>1.47E-2</v>
      </c>
      <c r="CS87" s="228">
        <v>179</v>
      </c>
      <c r="CT87" s="228">
        <v>178</v>
      </c>
      <c r="CU87" s="228">
        <v>2</v>
      </c>
      <c r="CV87" s="229">
        <v>9.2999999999999992E-3</v>
      </c>
      <c r="CW87" s="230">
        <v>1260</v>
      </c>
      <c r="CX87" s="230">
        <v>1251</v>
      </c>
      <c r="CY87" s="228">
        <v>9</v>
      </c>
      <c r="CZ87" s="229">
        <v>7.3000000000000001E-3</v>
      </c>
      <c r="DA87" s="228">
        <v>21.77</v>
      </c>
      <c r="DB87" s="228">
        <v>22.52</v>
      </c>
      <c r="DC87" s="228">
        <v>-0.75</v>
      </c>
      <c r="DD87" s="228">
        <v>-0.75</v>
      </c>
      <c r="DE87" s="228">
        <v>27.45</v>
      </c>
      <c r="DF87" s="228">
        <v>27.5</v>
      </c>
      <c r="DG87" s="228">
        <v>-5.68</v>
      </c>
      <c r="DH87" s="228">
        <v>-0.05</v>
      </c>
      <c r="DI87" s="228">
        <v>21.93</v>
      </c>
      <c r="DJ87" s="228">
        <v>22.44</v>
      </c>
      <c r="DK87" s="228">
        <v>-0.51</v>
      </c>
      <c r="DL87" s="228">
        <v>-0.51</v>
      </c>
      <c r="DM87" s="228">
        <v>21.36</v>
      </c>
      <c r="DN87" s="228">
        <v>22.66</v>
      </c>
      <c r="DO87" s="228">
        <v>-1.3</v>
      </c>
      <c r="DP87" s="228">
        <v>-1.3</v>
      </c>
      <c r="DQ87" s="228">
        <v>0.76</v>
      </c>
      <c r="DR87" s="228">
        <v>0.76</v>
      </c>
      <c r="DS87" s="228">
        <v>0</v>
      </c>
      <c r="DT87" s="229">
        <v>0</v>
      </c>
      <c r="DU87" s="228">
        <v>620</v>
      </c>
      <c r="DV87" s="228">
        <v>600</v>
      </c>
      <c r="DW87" s="228">
        <v>0.48</v>
      </c>
      <c r="DX87" s="228">
        <v>0.6</v>
      </c>
      <c r="DY87" s="228">
        <v>-0.12</v>
      </c>
      <c r="DZ87" s="229">
        <v>-0.2</v>
      </c>
      <c r="EA87" s="229">
        <v>0.23619999999999999</v>
      </c>
      <c r="EB87" s="230">
        <v>653050</v>
      </c>
      <c r="EC87" s="229">
        <v>6.4999999999999997E-3</v>
      </c>
      <c r="ED87" s="229">
        <v>0.23619999999999999</v>
      </c>
      <c r="EE87" s="228">
        <v>4.1500000000000004</v>
      </c>
      <c r="EF87" s="229">
        <v>6.7000000000000002E-3</v>
      </c>
      <c r="EG87" s="230">
        <v>264550</v>
      </c>
      <c r="EH87" s="230">
        <v>3119179</v>
      </c>
      <c r="EI87" s="229">
        <v>-0.91520000000000001</v>
      </c>
      <c r="EJ87" s="229">
        <v>0.25509999999999999</v>
      </c>
      <c r="EK87" s="228">
        <v>463.63</v>
      </c>
      <c r="EL87" s="228">
        <v>217.81</v>
      </c>
      <c r="EM87" s="228">
        <v>495.59</v>
      </c>
      <c r="EN87" s="228">
        <v>15.31</v>
      </c>
      <c r="EO87" s="231">
        <v>1177.03</v>
      </c>
      <c r="EP87" s="228">
        <v>651.67999999999995</v>
      </c>
      <c r="EQ87" s="228">
        <v>525.35</v>
      </c>
      <c r="ER87" s="229">
        <v>0.80610000000000004</v>
      </c>
      <c r="ES87" s="228">
        <v>243.84</v>
      </c>
      <c r="ET87" s="228">
        <v>171.8</v>
      </c>
      <c r="EU87" s="228">
        <v>845.56</v>
      </c>
      <c r="EV87" s="231">
        <v>48653643</v>
      </c>
      <c r="EW87" s="231">
        <v>1261.21</v>
      </c>
      <c r="EX87" s="231">
        <v>1245.71</v>
      </c>
      <c r="EY87" s="228">
        <v>15.5</v>
      </c>
      <c r="EZ87" s="229">
        <v>1.24E-2</v>
      </c>
      <c r="FA87" s="229">
        <v>0.41839999999999999</v>
      </c>
      <c r="FB87" s="227" t="s">
        <v>555</v>
      </c>
      <c r="FC87">
        <f t="shared" si="1"/>
        <v>199</v>
      </c>
    </row>
    <row r="88" spans="1:159" ht="17.25" thickBot="1" x14ac:dyDescent="0.3">
      <c r="A88" s="226">
        <v>45981</v>
      </c>
      <c r="B88" s="227" t="s">
        <v>188</v>
      </c>
      <c r="C88" s="227" t="s">
        <v>234</v>
      </c>
      <c r="D88" s="228">
        <v>71475</v>
      </c>
      <c r="E88" s="228">
        <v>5</v>
      </c>
      <c r="F88" s="228">
        <v>10.17</v>
      </c>
      <c r="G88" s="228">
        <v>10.71</v>
      </c>
      <c r="H88" s="228">
        <v>-0.54</v>
      </c>
      <c r="I88" s="229">
        <v>-5.04E-2</v>
      </c>
      <c r="J88" s="228">
        <v>10.17</v>
      </c>
      <c r="K88" s="228">
        <v>10.69</v>
      </c>
      <c r="L88" s="228">
        <v>-0.52</v>
      </c>
      <c r="M88" s="229">
        <v>-4.8599999999999997E-2</v>
      </c>
      <c r="N88" s="228">
        <v>10.17</v>
      </c>
      <c r="O88" s="228">
        <v>10.71</v>
      </c>
      <c r="P88" s="228">
        <v>-0.54</v>
      </c>
      <c r="Q88" s="229">
        <v>-5.04E-2</v>
      </c>
      <c r="R88" s="228">
        <v>10.25</v>
      </c>
      <c r="S88" s="228">
        <v>10.79</v>
      </c>
      <c r="T88" s="228">
        <v>-0.54</v>
      </c>
      <c r="U88" s="229">
        <v>-0.05</v>
      </c>
      <c r="V88" s="228">
        <v>10.32</v>
      </c>
      <c r="W88" s="228">
        <v>10.87</v>
      </c>
      <c r="X88" s="228">
        <v>-0.55000000000000004</v>
      </c>
      <c r="Y88" s="229">
        <v>-5.0599999999999999E-2</v>
      </c>
      <c r="Z88" s="228">
        <v>0</v>
      </c>
      <c r="AA88" s="228">
        <v>0.02</v>
      </c>
      <c r="AB88" s="228">
        <v>-0.02</v>
      </c>
      <c r="AC88" s="229">
        <v>0</v>
      </c>
      <c r="AD88" s="228">
        <v>0</v>
      </c>
      <c r="AE88" s="228">
        <v>0.02</v>
      </c>
      <c r="AF88" s="228">
        <v>-0.02</v>
      </c>
      <c r="AG88" s="229">
        <v>0</v>
      </c>
      <c r="AH88" s="228">
        <v>0.08</v>
      </c>
      <c r="AI88" s="228">
        <v>0.1</v>
      </c>
      <c r="AJ88" s="228">
        <v>-0.02</v>
      </c>
      <c r="AK88" s="229">
        <v>7.9000000000000008E-3</v>
      </c>
      <c r="AL88" s="228">
        <v>0.15</v>
      </c>
      <c r="AM88" s="228">
        <v>0.18</v>
      </c>
      <c r="AN88" s="228">
        <v>-0.03</v>
      </c>
      <c r="AO88" s="229">
        <v>1.47E-2</v>
      </c>
      <c r="AP88" s="228">
        <v>10.45</v>
      </c>
      <c r="AQ88" s="228">
        <v>10.52</v>
      </c>
      <c r="AR88" s="228">
        <v>0</v>
      </c>
      <c r="AS88" s="230">
        <v>3663</v>
      </c>
      <c r="AT88" s="230">
        <v>1454</v>
      </c>
      <c r="AU88" s="230">
        <v>2208</v>
      </c>
      <c r="AV88" s="229">
        <v>1.5184</v>
      </c>
      <c r="AW88" s="230">
        <v>1943</v>
      </c>
      <c r="AX88" s="228">
        <v>895</v>
      </c>
      <c r="AY88" s="230">
        <v>1047</v>
      </c>
      <c r="AZ88" s="229">
        <v>1.1698999999999999</v>
      </c>
      <c r="BA88" s="230">
        <v>1646</v>
      </c>
      <c r="BB88" s="228">
        <v>518</v>
      </c>
      <c r="BC88" s="230">
        <v>1128</v>
      </c>
      <c r="BD88" s="229">
        <v>2.1787000000000001</v>
      </c>
      <c r="BE88" s="228">
        <v>75</v>
      </c>
      <c r="BF88" s="228">
        <v>41</v>
      </c>
      <c r="BG88" s="228">
        <v>33</v>
      </c>
      <c r="BH88" s="229">
        <v>0.79820000000000002</v>
      </c>
      <c r="BI88" s="230">
        <v>2107</v>
      </c>
      <c r="BJ88" s="230">
        <v>2499</v>
      </c>
      <c r="BK88" s="228">
        <v>-392</v>
      </c>
      <c r="BL88" s="229">
        <v>-0.15679999999999999</v>
      </c>
      <c r="BM88" s="230">
        <v>1129</v>
      </c>
      <c r="BN88" s="228">
        <v>806</v>
      </c>
      <c r="BO88" s="228">
        <v>323</v>
      </c>
      <c r="BP88" s="229">
        <v>0.40129999999999999</v>
      </c>
      <c r="BQ88" s="230">
        <v>6899</v>
      </c>
      <c r="BR88" s="230">
        <v>4759</v>
      </c>
      <c r="BS88" s="230">
        <v>2140</v>
      </c>
      <c r="BT88" s="229">
        <v>0.4496</v>
      </c>
      <c r="BU88" s="230">
        <v>942705455</v>
      </c>
      <c r="BV88" s="230">
        <v>686437145</v>
      </c>
      <c r="BW88" s="230">
        <v>256268310</v>
      </c>
      <c r="BX88" s="229">
        <v>0.37330000000000002</v>
      </c>
      <c r="BY88" s="230">
        <v>6425</v>
      </c>
      <c r="BZ88" s="230">
        <v>6591</v>
      </c>
      <c r="CA88" s="228">
        <v>-165</v>
      </c>
      <c r="CB88" s="229">
        <v>-2.5100000000000001E-2</v>
      </c>
      <c r="CC88" s="230">
        <v>3666</v>
      </c>
      <c r="CD88" s="230">
        <v>4931</v>
      </c>
      <c r="CE88" s="230">
        <v>-1266</v>
      </c>
      <c r="CF88" s="229">
        <v>-0.25669999999999998</v>
      </c>
      <c r="CG88" s="230">
        <v>2574</v>
      </c>
      <c r="CH88" s="230">
        <v>1505</v>
      </c>
      <c r="CI88" s="230">
        <v>1069</v>
      </c>
      <c r="CJ88" s="229">
        <v>0.71009999999999995</v>
      </c>
      <c r="CK88" s="228">
        <v>186</v>
      </c>
      <c r="CL88" s="228">
        <v>154</v>
      </c>
      <c r="CM88" s="228">
        <v>32</v>
      </c>
      <c r="CN88" s="229">
        <v>0.2059</v>
      </c>
      <c r="CO88" s="230">
        <v>2591</v>
      </c>
      <c r="CP88" s="230">
        <v>2482</v>
      </c>
      <c r="CQ88" s="228">
        <v>109</v>
      </c>
      <c r="CR88" s="229">
        <v>4.3999999999999997E-2</v>
      </c>
      <c r="CS88" s="230">
        <v>1482</v>
      </c>
      <c r="CT88" s="230">
        <v>1584</v>
      </c>
      <c r="CU88" s="228">
        <v>-101</v>
      </c>
      <c r="CV88" s="229">
        <v>-6.4000000000000001E-2</v>
      </c>
      <c r="CW88" s="230">
        <v>10499</v>
      </c>
      <c r="CX88" s="230">
        <v>10656</v>
      </c>
      <c r="CY88" s="228">
        <v>-157</v>
      </c>
      <c r="CZ88" s="229">
        <v>-1.4800000000000001E-2</v>
      </c>
      <c r="DA88" s="228">
        <v>56.21</v>
      </c>
      <c r="DB88" s="228">
        <v>55.81</v>
      </c>
      <c r="DC88" s="228">
        <v>0.4</v>
      </c>
      <c r="DD88" s="228">
        <v>0.4</v>
      </c>
      <c r="DE88" s="228">
        <v>69.09</v>
      </c>
      <c r="DF88" s="228">
        <v>68.91</v>
      </c>
      <c r="DG88" s="228">
        <v>-12.88</v>
      </c>
      <c r="DH88" s="228">
        <v>0.18</v>
      </c>
      <c r="DI88" s="228">
        <v>57.35</v>
      </c>
      <c r="DJ88" s="228">
        <v>57.3</v>
      </c>
      <c r="DK88" s="228">
        <v>0.05</v>
      </c>
      <c r="DL88" s="228">
        <v>0.05</v>
      </c>
      <c r="DM88" s="228">
        <v>52.49</v>
      </c>
      <c r="DN88" s="228">
        <v>51.2</v>
      </c>
      <c r="DO88" s="228">
        <v>1.29</v>
      </c>
      <c r="DP88" s="228">
        <v>1.29</v>
      </c>
      <c r="DQ88" s="228">
        <v>0.56999999999999995</v>
      </c>
      <c r="DR88" s="228">
        <v>0.64</v>
      </c>
      <c r="DS88" s="228">
        <v>-7.0000000000000007E-2</v>
      </c>
      <c r="DT88" s="229">
        <v>-0.1094</v>
      </c>
      <c r="DU88" s="228">
        <v>12</v>
      </c>
      <c r="DV88" s="228">
        <v>9</v>
      </c>
      <c r="DW88" s="228">
        <v>0.54</v>
      </c>
      <c r="DX88" s="228">
        <v>0.32</v>
      </c>
      <c r="DY88" s="228">
        <v>0.22</v>
      </c>
      <c r="DZ88" s="229">
        <v>0.6875</v>
      </c>
      <c r="EA88" s="229">
        <v>0.42949999999999999</v>
      </c>
      <c r="EB88" s="230">
        <v>1631416875</v>
      </c>
      <c r="EC88" s="229">
        <v>7.9000000000000008E-3</v>
      </c>
      <c r="ED88" s="229">
        <v>0.42949999999999999</v>
      </c>
      <c r="EE88" s="228">
        <v>7.0000000000000007E-2</v>
      </c>
      <c r="EF88" s="229">
        <v>6.7000000000000002E-3</v>
      </c>
      <c r="EG88" s="230">
        <v>218041180</v>
      </c>
      <c r="EH88" s="230">
        <v>123691695</v>
      </c>
      <c r="EI88" s="229">
        <v>0.76280000000000003</v>
      </c>
      <c r="EJ88" s="229">
        <v>0.23130000000000001</v>
      </c>
      <c r="EK88" s="231">
        <v>2415.69</v>
      </c>
      <c r="EL88" s="231">
        <v>1121.45</v>
      </c>
      <c r="EM88" s="231">
        <v>3776.72</v>
      </c>
      <c r="EN88" s="228">
        <v>175.53</v>
      </c>
      <c r="EO88" s="231">
        <v>7313.86</v>
      </c>
      <c r="EP88" s="231">
        <v>5269.18</v>
      </c>
      <c r="EQ88" s="231">
        <v>2044.68</v>
      </c>
      <c r="ER88" s="229">
        <v>0.38800000000000001</v>
      </c>
      <c r="ES88" s="231">
        <v>2974.95</v>
      </c>
      <c r="ET88" s="231">
        <v>1343.06</v>
      </c>
      <c r="EU88" s="231">
        <v>6448.21</v>
      </c>
      <c r="EV88" s="231">
        <v>8713529091</v>
      </c>
      <c r="EW88" s="231">
        <v>10766.21</v>
      </c>
      <c r="EX88" s="231">
        <v>11247.39</v>
      </c>
      <c r="EY88" s="228">
        <v>-481.18</v>
      </c>
      <c r="EZ88" s="229">
        <v>-4.2799999999999998E-2</v>
      </c>
      <c r="FA88" s="229">
        <v>1.1848000000000001</v>
      </c>
      <c r="FB88" s="227" t="s">
        <v>568</v>
      </c>
      <c r="FC88">
        <f t="shared" si="1"/>
        <v>2759</v>
      </c>
    </row>
    <row r="89" spans="1:159" ht="17.25" thickBot="1" x14ac:dyDescent="0.3">
      <c r="A89" s="226">
        <v>45981</v>
      </c>
      <c r="B89" s="227" t="s">
        <v>172</v>
      </c>
      <c r="C89" s="227" t="s">
        <v>235</v>
      </c>
      <c r="D89" s="228">
        <v>9275</v>
      </c>
      <c r="E89" s="228">
        <v>5</v>
      </c>
      <c r="F89" s="228">
        <v>79.02</v>
      </c>
      <c r="G89" s="228">
        <v>79.58</v>
      </c>
      <c r="H89" s="228">
        <v>-0.56000000000000005</v>
      </c>
      <c r="I89" s="229">
        <v>-7.0000000000000001E-3</v>
      </c>
      <c r="J89" s="228">
        <v>78.930000000000007</v>
      </c>
      <c r="K89" s="228">
        <v>79.61</v>
      </c>
      <c r="L89" s="228">
        <v>-0.68</v>
      </c>
      <c r="M89" s="229">
        <v>-8.5000000000000006E-3</v>
      </c>
      <c r="N89" s="228">
        <v>79.02</v>
      </c>
      <c r="O89" s="228">
        <v>79.58</v>
      </c>
      <c r="P89" s="228">
        <v>-0.56000000000000005</v>
      </c>
      <c r="Q89" s="229">
        <v>-7.0000000000000001E-3</v>
      </c>
      <c r="R89" s="228">
        <v>79.56</v>
      </c>
      <c r="S89" s="228">
        <v>80.12</v>
      </c>
      <c r="T89" s="228">
        <v>-0.56000000000000005</v>
      </c>
      <c r="U89" s="229">
        <v>-7.0000000000000001E-3</v>
      </c>
      <c r="V89" s="228">
        <v>80.03</v>
      </c>
      <c r="W89" s="228">
        <v>80.62</v>
      </c>
      <c r="X89" s="228">
        <v>-0.59</v>
      </c>
      <c r="Y89" s="229">
        <v>-7.3000000000000001E-3</v>
      </c>
      <c r="Z89" s="228">
        <v>0.09</v>
      </c>
      <c r="AA89" s="228">
        <v>-0.03</v>
      </c>
      <c r="AB89" s="228">
        <v>0.12</v>
      </c>
      <c r="AC89" s="229">
        <v>1.1000000000000001E-3</v>
      </c>
      <c r="AD89" s="228">
        <v>0.09</v>
      </c>
      <c r="AE89" s="228">
        <v>-0.03</v>
      </c>
      <c r="AF89" s="228">
        <v>0.12</v>
      </c>
      <c r="AG89" s="229">
        <v>1.1000000000000001E-3</v>
      </c>
      <c r="AH89" s="228">
        <v>0.63</v>
      </c>
      <c r="AI89" s="228">
        <v>0.51</v>
      </c>
      <c r="AJ89" s="228">
        <v>0.12</v>
      </c>
      <c r="AK89" s="229">
        <v>8.0000000000000002E-3</v>
      </c>
      <c r="AL89" s="228">
        <v>1.1000000000000001</v>
      </c>
      <c r="AM89" s="228">
        <v>1.01</v>
      </c>
      <c r="AN89" s="228">
        <v>0.09</v>
      </c>
      <c r="AO89" s="229">
        <v>1.3899999999999999E-2</v>
      </c>
      <c r="AP89" s="228">
        <v>79.47</v>
      </c>
      <c r="AQ89" s="228">
        <v>79.98</v>
      </c>
      <c r="AR89" s="228">
        <v>0</v>
      </c>
      <c r="AS89" s="230">
        <v>1391</v>
      </c>
      <c r="AT89" s="228">
        <v>608</v>
      </c>
      <c r="AU89" s="228">
        <v>783</v>
      </c>
      <c r="AV89" s="229">
        <v>1.2884</v>
      </c>
      <c r="AW89" s="228">
        <v>765</v>
      </c>
      <c r="AX89" s="228">
        <v>406</v>
      </c>
      <c r="AY89" s="228">
        <v>359</v>
      </c>
      <c r="AZ89" s="229">
        <v>0.88470000000000004</v>
      </c>
      <c r="BA89" s="228">
        <v>596</v>
      </c>
      <c r="BB89" s="228">
        <v>181</v>
      </c>
      <c r="BC89" s="228">
        <v>415</v>
      </c>
      <c r="BD89" s="229">
        <v>2.2869999999999999</v>
      </c>
      <c r="BE89" s="228">
        <v>30</v>
      </c>
      <c r="BF89" s="228">
        <v>21</v>
      </c>
      <c r="BG89" s="228">
        <v>10</v>
      </c>
      <c r="BH89" s="229">
        <v>0.45960000000000001</v>
      </c>
      <c r="BI89" s="230">
        <v>1301</v>
      </c>
      <c r="BJ89" s="230">
        <v>1542</v>
      </c>
      <c r="BK89" s="228">
        <v>-241</v>
      </c>
      <c r="BL89" s="229">
        <v>-0.15620000000000001</v>
      </c>
      <c r="BM89" s="228">
        <v>577</v>
      </c>
      <c r="BN89" s="228">
        <v>869</v>
      </c>
      <c r="BO89" s="228">
        <v>-292</v>
      </c>
      <c r="BP89" s="229">
        <v>-0.33610000000000001</v>
      </c>
      <c r="BQ89" s="230">
        <v>3269</v>
      </c>
      <c r="BR89" s="230">
        <v>3019</v>
      </c>
      <c r="BS89" s="228">
        <v>250</v>
      </c>
      <c r="BT89" s="229">
        <v>8.3000000000000004E-2</v>
      </c>
      <c r="BU89" s="230">
        <v>17689664</v>
      </c>
      <c r="BV89" s="230">
        <v>24867055</v>
      </c>
      <c r="BW89" s="230">
        <v>-7177391</v>
      </c>
      <c r="BX89" s="229">
        <v>-0.28860000000000002</v>
      </c>
      <c r="BY89" s="230">
        <v>2894</v>
      </c>
      <c r="BZ89" s="230">
        <v>2917</v>
      </c>
      <c r="CA89" s="228">
        <v>-23</v>
      </c>
      <c r="CB89" s="229">
        <v>-7.9000000000000008E-3</v>
      </c>
      <c r="CC89" s="230">
        <v>1846</v>
      </c>
      <c r="CD89" s="230">
        <v>2352</v>
      </c>
      <c r="CE89" s="228">
        <v>-507</v>
      </c>
      <c r="CF89" s="229">
        <v>-0.21540000000000001</v>
      </c>
      <c r="CG89" s="228">
        <v>961</v>
      </c>
      <c r="CH89" s="228">
        <v>494</v>
      </c>
      <c r="CI89" s="228">
        <v>467</v>
      </c>
      <c r="CJ89" s="229">
        <v>0.94569999999999999</v>
      </c>
      <c r="CK89" s="228">
        <v>88</v>
      </c>
      <c r="CL89" s="228">
        <v>71</v>
      </c>
      <c r="CM89" s="228">
        <v>17</v>
      </c>
      <c r="CN89" s="229">
        <v>0.23330000000000001</v>
      </c>
      <c r="CO89" s="230">
        <v>1565</v>
      </c>
      <c r="CP89" s="230">
        <v>1606</v>
      </c>
      <c r="CQ89" s="228">
        <v>-41</v>
      </c>
      <c r="CR89" s="229">
        <v>-2.5600000000000001E-2</v>
      </c>
      <c r="CS89" s="228">
        <v>821</v>
      </c>
      <c r="CT89" s="228">
        <v>859</v>
      </c>
      <c r="CU89" s="228">
        <v>-38</v>
      </c>
      <c r="CV89" s="229">
        <v>-4.3999999999999997E-2</v>
      </c>
      <c r="CW89" s="230">
        <v>5280</v>
      </c>
      <c r="CX89" s="230">
        <v>5382</v>
      </c>
      <c r="CY89" s="228">
        <v>-102</v>
      </c>
      <c r="CZ89" s="229">
        <v>-1.89E-2</v>
      </c>
      <c r="DA89" s="228">
        <v>25.5</v>
      </c>
      <c r="DB89" s="228">
        <v>31.27</v>
      </c>
      <c r="DC89" s="228">
        <v>-5.77</v>
      </c>
      <c r="DD89" s="228">
        <v>-5.77</v>
      </c>
      <c r="DE89" s="228">
        <v>33.880000000000003</v>
      </c>
      <c r="DF89" s="228">
        <v>33.950000000000003</v>
      </c>
      <c r="DG89" s="228">
        <v>-8.3800000000000008</v>
      </c>
      <c r="DH89" s="228">
        <v>-7.0000000000000007E-2</v>
      </c>
      <c r="DI89" s="228">
        <v>25.86</v>
      </c>
      <c r="DJ89" s="228">
        <v>32.19</v>
      </c>
      <c r="DK89" s="228">
        <v>-6.33</v>
      </c>
      <c r="DL89" s="228">
        <v>-6.33</v>
      </c>
      <c r="DM89" s="228">
        <v>24.89</v>
      </c>
      <c r="DN89" s="228">
        <v>29.65</v>
      </c>
      <c r="DO89" s="228">
        <v>-4.76</v>
      </c>
      <c r="DP89" s="228">
        <v>-4.76</v>
      </c>
      <c r="DQ89" s="228">
        <v>0.52</v>
      </c>
      <c r="DR89" s="228">
        <v>0.53</v>
      </c>
      <c r="DS89" s="228">
        <v>-0.01</v>
      </c>
      <c r="DT89" s="229">
        <v>-1.89E-2</v>
      </c>
      <c r="DU89" s="228">
        <v>80</v>
      </c>
      <c r="DV89" s="228">
        <v>80</v>
      </c>
      <c r="DW89" s="228">
        <v>0.44</v>
      </c>
      <c r="DX89" s="228">
        <v>0.56000000000000005</v>
      </c>
      <c r="DY89" s="228">
        <v>-0.12</v>
      </c>
      <c r="DZ89" s="229">
        <v>-0.21429999999999999</v>
      </c>
      <c r="EA89" s="229">
        <v>0.3624</v>
      </c>
      <c r="EB89" s="230">
        <v>71519525</v>
      </c>
      <c r="EC89" s="229">
        <v>6.7999999999999996E-3</v>
      </c>
      <c r="ED89" s="229">
        <v>0.3624</v>
      </c>
      <c r="EE89" s="228">
        <v>0.51</v>
      </c>
      <c r="EF89" s="229">
        <v>6.4000000000000003E-3</v>
      </c>
      <c r="EG89" s="230">
        <v>6946786</v>
      </c>
      <c r="EH89" s="230">
        <v>13244317</v>
      </c>
      <c r="EI89" s="229">
        <v>-0.47549999999999998</v>
      </c>
      <c r="EJ89" s="229">
        <v>0.39269999999999999</v>
      </c>
      <c r="EK89" s="231">
        <v>1368.23</v>
      </c>
      <c r="EL89" s="228">
        <v>575.21</v>
      </c>
      <c r="EM89" s="231">
        <v>1403.14</v>
      </c>
      <c r="EN89" s="228">
        <v>76.459999999999994</v>
      </c>
      <c r="EO89" s="231">
        <v>3346.58</v>
      </c>
      <c r="EP89" s="231">
        <v>3108.97</v>
      </c>
      <c r="EQ89" s="228">
        <v>237.6</v>
      </c>
      <c r="ER89" s="229">
        <v>7.6399999999999996E-2</v>
      </c>
      <c r="ES89" s="231">
        <v>1641.82</v>
      </c>
      <c r="ET89" s="228">
        <v>802.54</v>
      </c>
      <c r="EU89" s="231">
        <v>2902.1</v>
      </c>
      <c r="EV89" s="231">
        <v>761294821</v>
      </c>
      <c r="EW89" s="231">
        <v>5346.46</v>
      </c>
      <c r="EX89" s="231">
        <v>5469.56</v>
      </c>
      <c r="EY89" s="228">
        <v>-123.1</v>
      </c>
      <c r="EZ89" s="229">
        <v>-2.2499999999999999E-2</v>
      </c>
      <c r="FA89" s="229">
        <v>0.87770000000000004</v>
      </c>
      <c r="FB89" s="227" t="s">
        <v>568</v>
      </c>
      <c r="FC89">
        <f t="shared" si="1"/>
        <v>1048</v>
      </c>
    </row>
    <row r="90" spans="1:159" ht="17.25" thickBot="1" x14ac:dyDescent="0.3">
      <c r="A90" s="226">
        <v>45981</v>
      </c>
      <c r="B90" s="227" t="s">
        <v>161</v>
      </c>
      <c r="C90" s="227" t="s">
        <v>514</v>
      </c>
      <c r="D90" s="228">
        <v>3750</v>
      </c>
      <c r="E90" s="228">
        <v>5</v>
      </c>
      <c r="F90" s="228">
        <v>143.04</v>
      </c>
      <c r="G90" s="228">
        <v>137.11000000000001</v>
      </c>
      <c r="H90" s="228">
        <v>5.93</v>
      </c>
      <c r="I90" s="229">
        <v>4.3200000000000002E-2</v>
      </c>
      <c r="J90" s="228">
        <v>143.13</v>
      </c>
      <c r="K90" s="228">
        <v>137.11000000000001</v>
      </c>
      <c r="L90" s="228">
        <v>6.02</v>
      </c>
      <c r="M90" s="229">
        <v>4.3900000000000002E-2</v>
      </c>
      <c r="N90" s="228">
        <v>143.04</v>
      </c>
      <c r="O90" s="228">
        <v>137.11000000000001</v>
      </c>
      <c r="P90" s="228">
        <v>5.93</v>
      </c>
      <c r="Q90" s="229">
        <v>4.3200000000000002E-2</v>
      </c>
      <c r="R90" s="228">
        <v>143.82</v>
      </c>
      <c r="S90" s="228">
        <v>138.05000000000001</v>
      </c>
      <c r="T90" s="228">
        <v>5.77</v>
      </c>
      <c r="U90" s="229">
        <v>4.1799999999999997E-2</v>
      </c>
      <c r="V90" s="228">
        <v>144.6</v>
      </c>
      <c r="W90" s="228">
        <v>138.94999999999999</v>
      </c>
      <c r="X90" s="228">
        <v>5.65</v>
      </c>
      <c r="Y90" s="229">
        <v>4.07E-2</v>
      </c>
      <c r="Z90" s="228">
        <v>-0.09</v>
      </c>
      <c r="AA90" s="228">
        <v>0</v>
      </c>
      <c r="AB90" s="228">
        <v>-0.09</v>
      </c>
      <c r="AC90" s="229">
        <v>-5.9999999999999995E-4</v>
      </c>
      <c r="AD90" s="228">
        <v>-0.09</v>
      </c>
      <c r="AE90" s="228">
        <v>0</v>
      </c>
      <c r="AF90" s="228">
        <v>-0.09</v>
      </c>
      <c r="AG90" s="229">
        <v>-5.9999999999999995E-4</v>
      </c>
      <c r="AH90" s="228">
        <v>0.69</v>
      </c>
      <c r="AI90" s="228">
        <v>0.94</v>
      </c>
      <c r="AJ90" s="228">
        <v>-0.25</v>
      </c>
      <c r="AK90" s="229">
        <v>4.7999999999999996E-3</v>
      </c>
      <c r="AL90" s="228">
        <v>1.47</v>
      </c>
      <c r="AM90" s="228">
        <v>1.84</v>
      </c>
      <c r="AN90" s="228">
        <v>-0.37</v>
      </c>
      <c r="AO90" s="229">
        <v>1.03E-2</v>
      </c>
      <c r="AP90" s="228">
        <v>141.13</v>
      </c>
      <c r="AQ90" s="228">
        <v>141.63999999999999</v>
      </c>
      <c r="AR90" s="228">
        <v>0</v>
      </c>
      <c r="AS90" s="228">
        <v>832</v>
      </c>
      <c r="AT90" s="228">
        <v>164</v>
      </c>
      <c r="AU90" s="228">
        <v>668</v>
      </c>
      <c r="AV90" s="229">
        <v>4.0616000000000003</v>
      </c>
      <c r="AW90" s="228">
        <v>467</v>
      </c>
      <c r="AX90" s="228">
        <v>104</v>
      </c>
      <c r="AY90" s="228">
        <v>363</v>
      </c>
      <c r="AZ90" s="229">
        <v>3.4897</v>
      </c>
      <c r="BA90" s="228">
        <v>355</v>
      </c>
      <c r="BB90" s="228">
        <v>58</v>
      </c>
      <c r="BC90" s="228">
        <v>298</v>
      </c>
      <c r="BD90" s="229">
        <v>5.1637000000000004</v>
      </c>
      <c r="BE90" s="228">
        <v>10</v>
      </c>
      <c r="BF90" s="228">
        <v>3</v>
      </c>
      <c r="BG90" s="228">
        <v>7</v>
      </c>
      <c r="BH90" s="229">
        <v>2.6225999999999998</v>
      </c>
      <c r="BI90" s="230">
        <v>3509</v>
      </c>
      <c r="BJ90" s="228">
        <v>464</v>
      </c>
      <c r="BK90" s="230">
        <v>3045</v>
      </c>
      <c r="BL90" s="229">
        <v>6.5633999999999997</v>
      </c>
      <c r="BM90" s="228">
        <v>815</v>
      </c>
      <c r="BN90" s="228">
        <v>210</v>
      </c>
      <c r="BO90" s="228">
        <v>605</v>
      </c>
      <c r="BP90" s="229">
        <v>2.8834</v>
      </c>
      <c r="BQ90" s="230">
        <v>5157</v>
      </c>
      <c r="BR90" s="228">
        <v>838</v>
      </c>
      <c r="BS90" s="230">
        <v>4318</v>
      </c>
      <c r="BT90" s="229">
        <v>5.1513999999999998</v>
      </c>
      <c r="BU90" s="230">
        <v>25623176</v>
      </c>
      <c r="BV90" s="230">
        <v>3866286</v>
      </c>
      <c r="BW90" s="230">
        <v>21756890</v>
      </c>
      <c r="BX90" s="229">
        <v>5.6273</v>
      </c>
      <c r="BY90" s="228">
        <v>998</v>
      </c>
      <c r="BZ90" s="230">
        <v>1109</v>
      </c>
      <c r="CA90" s="228">
        <v>-111</v>
      </c>
      <c r="CB90" s="229">
        <v>-9.98E-2</v>
      </c>
      <c r="CC90" s="228">
        <v>720</v>
      </c>
      <c r="CD90" s="228">
        <v>954</v>
      </c>
      <c r="CE90" s="228">
        <v>-234</v>
      </c>
      <c r="CF90" s="229">
        <v>-0.24540000000000001</v>
      </c>
      <c r="CG90" s="228">
        <v>267</v>
      </c>
      <c r="CH90" s="228">
        <v>144</v>
      </c>
      <c r="CI90" s="228">
        <v>123</v>
      </c>
      <c r="CJ90" s="229">
        <v>0.85950000000000004</v>
      </c>
      <c r="CK90" s="228">
        <v>12</v>
      </c>
      <c r="CL90" s="228">
        <v>12</v>
      </c>
      <c r="CM90" s="228">
        <v>0</v>
      </c>
      <c r="CN90" s="229">
        <v>-8.9999999999999993E-3</v>
      </c>
      <c r="CO90" s="228">
        <v>798</v>
      </c>
      <c r="CP90" s="228">
        <v>794</v>
      </c>
      <c r="CQ90" s="228">
        <v>4</v>
      </c>
      <c r="CR90" s="229">
        <v>5.3E-3</v>
      </c>
      <c r="CS90" s="228">
        <v>512</v>
      </c>
      <c r="CT90" s="228">
        <v>476</v>
      </c>
      <c r="CU90" s="228">
        <v>36</v>
      </c>
      <c r="CV90" s="229">
        <v>7.5600000000000001E-2</v>
      </c>
      <c r="CW90" s="230">
        <v>2308</v>
      </c>
      <c r="CX90" s="230">
        <v>2378</v>
      </c>
      <c r="CY90" s="228">
        <v>-70</v>
      </c>
      <c r="CZ90" s="229">
        <v>-2.9600000000000001E-2</v>
      </c>
      <c r="DA90" s="228">
        <v>34.67</v>
      </c>
      <c r="DB90" s="228">
        <v>31.75</v>
      </c>
      <c r="DC90" s="228">
        <v>2.92</v>
      </c>
      <c r="DD90" s="228">
        <v>2.92</v>
      </c>
      <c r="DE90" s="228">
        <v>55.12</v>
      </c>
      <c r="DF90" s="228">
        <v>54.94</v>
      </c>
      <c r="DG90" s="228">
        <v>-20.45</v>
      </c>
      <c r="DH90" s="228">
        <v>0.18</v>
      </c>
      <c r="DI90" s="228">
        <v>34.520000000000003</v>
      </c>
      <c r="DJ90" s="228">
        <v>31.99</v>
      </c>
      <c r="DK90" s="228">
        <v>2.5299999999999998</v>
      </c>
      <c r="DL90" s="228">
        <v>2.5299999999999998</v>
      </c>
      <c r="DM90" s="228">
        <v>35.020000000000003</v>
      </c>
      <c r="DN90" s="228">
        <v>31.23</v>
      </c>
      <c r="DO90" s="228">
        <v>3.79</v>
      </c>
      <c r="DP90" s="228">
        <v>3.79</v>
      </c>
      <c r="DQ90" s="228">
        <v>0.64</v>
      </c>
      <c r="DR90" s="228">
        <v>0.6</v>
      </c>
      <c r="DS90" s="228">
        <v>0.04</v>
      </c>
      <c r="DT90" s="229">
        <v>6.6699999999999995E-2</v>
      </c>
      <c r="DU90" s="228">
        <v>150</v>
      </c>
      <c r="DV90" s="228">
        <v>140</v>
      </c>
      <c r="DW90" s="228">
        <v>0.23</v>
      </c>
      <c r="DX90" s="228">
        <v>0.45</v>
      </c>
      <c r="DY90" s="228">
        <v>-0.22</v>
      </c>
      <c r="DZ90" s="229">
        <v>-0.4889</v>
      </c>
      <c r="EA90" s="229">
        <v>0.2792</v>
      </c>
      <c r="EB90" s="230">
        <v>10867500</v>
      </c>
      <c r="EC90" s="229">
        <v>5.4999999999999997E-3</v>
      </c>
      <c r="ED90" s="229">
        <v>0.2792</v>
      </c>
      <c r="EE90" s="228">
        <v>0.51</v>
      </c>
      <c r="EF90" s="229">
        <v>3.5999999999999999E-3</v>
      </c>
      <c r="EG90" s="230">
        <v>9328343</v>
      </c>
      <c r="EH90" s="230">
        <v>1648155</v>
      </c>
      <c r="EI90" s="229">
        <v>4.6599000000000004</v>
      </c>
      <c r="EJ90" s="229">
        <v>0.36409999999999998</v>
      </c>
      <c r="EK90" s="231">
        <v>3600.33</v>
      </c>
      <c r="EL90" s="228">
        <v>801.49</v>
      </c>
      <c r="EM90" s="228">
        <v>822.74</v>
      </c>
      <c r="EN90" s="228">
        <v>19.91</v>
      </c>
      <c r="EO90" s="231">
        <v>5224.57</v>
      </c>
      <c r="EP90" s="228">
        <v>824.68</v>
      </c>
      <c r="EQ90" s="231">
        <v>4399.8900000000003</v>
      </c>
      <c r="ER90" s="229">
        <v>5.3353000000000002</v>
      </c>
      <c r="ES90" s="228">
        <v>839.87</v>
      </c>
      <c r="ET90" s="228">
        <v>497.01</v>
      </c>
      <c r="EU90" s="228">
        <v>999.99</v>
      </c>
      <c r="EV90" s="231">
        <v>133395043</v>
      </c>
      <c r="EW90" s="231">
        <v>2336.87</v>
      </c>
      <c r="EX90" s="231">
        <v>2356.9699999999998</v>
      </c>
      <c r="EY90" s="228">
        <v>-20.100000000000001</v>
      </c>
      <c r="EZ90" s="229">
        <v>-8.5000000000000006E-3</v>
      </c>
      <c r="FA90" s="229">
        <v>1.2095</v>
      </c>
      <c r="FB90" s="227" t="s">
        <v>556</v>
      </c>
      <c r="FC90">
        <f t="shared" si="1"/>
        <v>278</v>
      </c>
    </row>
    <row r="91" spans="1:159" ht="17.25" thickBot="1" x14ac:dyDescent="0.3">
      <c r="A91" s="226">
        <v>45981</v>
      </c>
      <c r="B91" s="227" t="s">
        <v>193</v>
      </c>
      <c r="C91" s="227" t="s">
        <v>236</v>
      </c>
      <c r="D91" s="228">
        <v>2750</v>
      </c>
      <c r="E91" s="228">
        <v>5</v>
      </c>
      <c r="F91" s="228">
        <v>204.61</v>
      </c>
      <c r="G91" s="228">
        <v>206.78</v>
      </c>
      <c r="H91" s="228">
        <v>-2.17</v>
      </c>
      <c r="I91" s="229">
        <v>-1.0500000000000001E-2</v>
      </c>
      <c r="J91" s="228">
        <v>204.06</v>
      </c>
      <c r="K91" s="228">
        <v>206.56</v>
      </c>
      <c r="L91" s="228">
        <v>-2.5</v>
      </c>
      <c r="M91" s="229">
        <v>-1.21E-2</v>
      </c>
      <c r="N91" s="228">
        <v>204.61</v>
      </c>
      <c r="O91" s="228">
        <v>206.78</v>
      </c>
      <c r="P91" s="228">
        <v>-2.17</v>
      </c>
      <c r="Q91" s="229">
        <v>-1.0500000000000001E-2</v>
      </c>
      <c r="R91" s="228">
        <v>0</v>
      </c>
      <c r="S91" s="228">
        <v>0</v>
      </c>
      <c r="T91" s="228">
        <v>0</v>
      </c>
      <c r="U91" s="229">
        <v>0</v>
      </c>
      <c r="V91" s="228">
        <v>0</v>
      </c>
      <c r="W91" s="228">
        <v>0</v>
      </c>
      <c r="X91" s="228">
        <v>0</v>
      </c>
      <c r="Y91" s="229">
        <v>0</v>
      </c>
      <c r="Z91" s="228">
        <v>0.55000000000000004</v>
      </c>
      <c r="AA91" s="228">
        <v>0.22</v>
      </c>
      <c r="AB91" s="228">
        <v>0.33</v>
      </c>
      <c r="AC91" s="229">
        <v>2.7000000000000001E-3</v>
      </c>
      <c r="AD91" s="228">
        <v>0.55000000000000004</v>
      </c>
      <c r="AE91" s="228">
        <v>0.22</v>
      </c>
      <c r="AF91" s="228">
        <v>0.33</v>
      </c>
      <c r="AG91" s="229">
        <v>2.7000000000000001E-3</v>
      </c>
      <c r="AH91" s="228">
        <v>0</v>
      </c>
      <c r="AI91" s="228">
        <v>0</v>
      </c>
      <c r="AJ91" s="228">
        <v>0</v>
      </c>
      <c r="AK91" s="229">
        <v>0</v>
      </c>
      <c r="AL91" s="228">
        <v>0</v>
      </c>
      <c r="AM91" s="228">
        <v>0</v>
      </c>
      <c r="AN91" s="228">
        <v>0</v>
      </c>
      <c r="AO91" s="229">
        <v>0</v>
      </c>
      <c r="AP91" s="228">
        <v>205.28</v>
      </c>
      <c r="AQ91" s="228">
        <v>0</v>
      </c>
      <c r="AR91" s="228">
        <v>0</v>
      </c>
      <c r="AS91" s="228">
        <v>76</v>
      </c>
      <c r="AT91" s="228">
        <v>51</v>
      </c>
      <c r="AU91" s="228">
        <v>26</v>
      </c>
      <c r="AV91" s="229">
        <v>0.50560000000000005</v>
      </c>
      <c r="AW91" s="228">
        <v>76</v>
      </c>
      <c r="AX91" s="228">
        <v>51</v>
      </c>
      <c r="AY91" s="228">
        <v>26</v>
      </c>
      <c r="AZ91" s="229">
        <v>0.50560000000000005</v>
      </c>
      <c r="BA91" s="228">
        <v>0</v>
      </c>
      <c r="BB91" s="228">
        <v>0</v>
      </c>
      <c r="BC91" s="228">
        <v>0</v>
      </c>
      <c r="BD91" s="229">
        <v>0</v>
      </c>
      <c r="BE91" s="228">
        <v>0</v>
      </c>
      <c r="BF91" s="228">
        <v>0</v>
      </c>
      <c r="BG91" s="228">
        <v>0</v>
      </c>
      <c r="BH91" s="229">
        <v>0</v>
      </c>
      <c r="BI91" s="228">
        <v>213</v>
      </c>
      <c r="BJ91" s="228">
        <v>312</v>
      </c>
      <c r="BK91" s="228">
        <v>-99</v>
      </c>
      <c r="BL91" s="229">
        <v>-0.31809999999999999</v>
      </c>
      <c r="BM91" s="228">
        <v>108</v>
      </c>
      <c r="BN91" s="228">
        <v>156</v>
      </c>
      <c r="BO91" s="228">
        <v>-49</v>
      </c>
      <c r="BP91" s="229">
        <v>-0.31069999999999998</v>
      </c>
      <c r="BQ91" s="228">
        <v>397</v>
      </c>
      <c r="BR91" s="228">
        <v>519</v>
      </c>
      <c r="BS91" s="228">
        <v>-122</v>
      </c>
      <c r="BT91" s="229">
        <v>-0.23569999999999999</v>
      </c>
      <c r="BU91" s="230">
        <v>2861426</v>
      </c>
      <c r="BV91" s="230">
        <v>2466657</v>
      </c>
      <c r="BW91" s="230">
        <v>394769</v>
      </c>
      <c r="BX91" s="229">
        <v>0.16</v>
      </c>
      <c r="BY91" s="228">
        <v>259</v>
      </c>
      <c r="BZ91" s="228">
        <v>272</v>
      </c>
      <c r="CA91" s="228">
        <v>-12</v>
      </c>
      <c r="CB91" s="229">
        <v>-4.5199999999999997E-2</v>
      </c>
      <c r="CC91" s="228">
        <v>259</v>
      </c>
      <c r="CD91" s="228">
        <v>272</v>
      </c>
      <c r="CE91" s="228">
        <v>-12</v>
      </c>
      <c r="CF91" s="229">
        <v>-4.5199999999999997E-2</v>
      </c>
      <c r="CG91" s="228">
        <v>0</v>
      </c>
      <c r="CH91" s="228">
        <v>0</v>
      </c>
      <c r="CI91" s="228">
        <v>0</v>
      </c>
      <c r="CJ91" s="229">
        <v>0</v>
      </c>
      <c r="CK91" s="228">
        <v>0</v>
      </c>
      <c r="CL91" s="228">
        <v>0</v>
      </c>
      <c r="CM91" s="228">
        <v>0</v>
      </c>
      <c r="CN91" s="229">
        <v>0</v>
      </c>
      <c r="CO91" s="228">
        <v>287</v>
      </c>
      <c r="CP91" s="228">
        <v>307</v>
      </c>
      <c r="CQ91" s="228">
        <v>-20</v>
      </c>
      <c r="CR91" s="229">
        <v>-6.6100000000000006E-2</v>
      </c>
      <c r="CS91" s="228">
        <v>169</v>
      </c>
      <c r="CT91" s="228">
        <v>175</v>
      </c>
      <c r="CU91" s="228">
        <v>-6</v>
      </c>
      <c r="CV91" s="229">
        <v>-3.4500000000000003E-2</v>
      </c>
      <c r="CW91" s="228">
        <v>715</v>
      </c>
      <c r="CX91" s="228">
        <v>754</v>
      </c>
      <c r="CY91" s="228">
        <v>-39</v>
      </c>
      <c r="CZ91" s="229">
        <v>-5.1200000000000002E-2</v>
      </c>
      <c r="DA91" s="228">
        <v>40.729999999999997</v>
      </c>
      <c r="DB91" s="228">
        <v>27.64</v>
      </c>
      <c r="DC91" s="228">
        <v>13.09</v>
      </c>
      <c r="DD91" s="228">
        <v>13.09</v>
      </c>
      <c r="DE91" s="228">
        <v>40.729999999999997</v>
      </c>
      <c r="DF91" s="228">
        <v>40.81</v>
      </c>
      <c r="DG91" s="228">
        <v>0</v>
      </c>
      <c r="DH91" s="228">
        <v>-0.08</v>
      </c>
      <c r="DI91" s="228">
        <v>40.729999999999997</v>
      </c>
      <c r="DJ91" s="228">
        <v>28.94</v>
      </c>
      <c r="DK91" s="228">
        <v>11.79</v>
      </c>
      <c r="DL91" s="228">
        <v>11.79</v>
      </c>
      <c r="DM91" s="228">
        <v>40.729999999999997</v>
      </c>
      <c r="DN91" s="228">
        <v>25.03</v>
      </c>
      <c r="DO91" s="228">
        <v>15.7</v>
      </c>
      <c r="DP91" s="228">
        <v>15.7</v>
      </c>
      <c r="DQ91" s="228">
        <v>0.59</v>
      </c>
      <c r="DR91" s="228">
        <v>0.56999999999999995</v>
      </c>
      <c r="DS91" s="228">
        <v>0.02</v>
      </c>
      <c r="DT91" s="229">
        <v>3.5099999999999999E-2</v>
      </c>
      <c r="DU91" s="228">
        <v>220</v>
      </c>
      <c r="DV91" s="228">
        <v>200</v>
      </c>
      <c r="DW91" s="228">
        <v>0.51</v>
      </c>
      <c r="DX91" s="228">
        <v>0.5</v>
      </c>
      <c r="DY91" s="228">
        <v>0.01</v>
      </c>
      <c r="DZ91" s="229">
        <v>0.02</v>
      </c>
      <c r="EA91" s="229">
        <v>0</v>
      </c>
      <c r="EB91" s="228">
        <v>0</v>
      </c>
      <c r="EC91" s="229">
        <v>0</v>
      </c>
      <c r="ED91" s="229">
        <v>0</v>
      </c>
      <c r="EE91" s="228">
        <v>0</v>
      </c>
      <c r="EF91" s="229">
        <v>0</v>
      </c>
      <c r="EG91" s="230">
        <v>1213943</v>
      </c>
      <c r="EH91" s="230">
        <v>1095636</v>
      </c>
      <c r="EI91" s="229">
        <v>0.108</v>
      </c>
      <c r="EJ91" s="229">
        <v>0.42420000000000002</v>
      </c>
      <c r="EK91" s="228">
        <v>223.6</v>
      </c>
      <c r="EL91" s="228">
        <v>107.13</v>
      </c>
      <c r="EM91" s="228">
        <v>76.319999999999993</v>
      </c>
      <c r="EN91" s="228">
        <v>23.37</v>
      </c>
      <c r="EO91" s="228">
        <v>407.05</v>
      </c>
      <c r="EP91" s="228">
        <v>539.82000000000005</v>
      </c>
      <c r="EQ91" s="228">
        <v>-132.77000000000001</v>
      </c>
      <c r="ER91" s="229">
        <v>-0.246</v>
      </c>
      <c r="ES91" s="228">
        <v>309.02</v>
      </c>
      <c r="ET91" s="228">
        <v>167.28</v>
      </c>
      <c r="EU91" s="228">
        <v>259.27999999999997</v>
      </c>
      <c r="EV91" s="231">
        <v>94000476</v>
      </c>
      <c r="EW91" s="228">
        <v>735.58</v>
      </c>
      <c r="EX91" s="228">
        <v>779.47</v>
      </c>
      <c r="EY91" s="228">
        <v>-43.89</v>
      </c>
      <c r="EZ91" s="229">
        <v>-5.6300000000000003E-2</v>
      </c>
      <c r="FA91" s="229">
        <v>0.37169999999999997</v>
      </c>
      <c r="FB91" s="227" t="s">
        <v>568</v>
      </c>
      <c r="FC91">
        <f t="shared" si="1"/>
        <v>0</v>
      </c>
    </row>
    <row r="92" spans="1:159" ht="17.25" thickBot="1" x14ac:dyDescent="0.3">
      <c r="A92" s="226">
        <v>45981</v>
      </c>
      <c r="B92" s="227" t="s">
        <v>175</v>
      </c>
      <c r="C92" s="227" t="s">
        <v>667</v>
      </c>
      <c r="D92" s="228">
        <v>1650</v>
      </c>
      <c r="E92" s="228">
        <v>5</v>
      </c>
      <c r="F92" s="228">
        <v>545.4</v>
      </c>
      <c r="G92" s="228">
        <v>558.25</v>
      </c>
      <c r="H92" s="228">
        <v>-12.85</v>
      </c>
      <c r="I92" s="229">
        <v>-2.3E-2</v>
      </c>
      <c r="J92" s="228">
        <v>544.75</v>
      </c>
      <c r="K92" s="228">
        <v>557.54999999999995</v>
      </c>
      <c r="L92" s="228">
        <v>-12.8</v>
      </c>
      <c r="M92" s="229">
        <v>-2.3E-2</v>
      </c>
      <c r="N92" s="228">
        <v>545.4</v>
      </c>
      <c r="O92" s="228">
        <v>558.25</v>
      </c>
      <c r="P92" s="228">
        <v>-12.85</v>
      </c>
      <c r="Q92" s="229">
        <v>-2.3E-2</v>
      </c>
      <c r="R92" s="228">
        <v>549.25</v>
      </c>
      <c r="S92" s="228">
        <v>561.79999999999995</v>
      </c>
      <c r="T92" s="228">
        <v>-12.55</v>
      </c>
      <c r="U92" s="229">
        <v>-2.23E-2</v>
      </c>
      <c r="V92" s="228">
        <v>552.15</v>
      </c>
      <c r="W92" s="228">
        <v>564.5</v>
      </c>
      <c r="X92" s="228">
        <v>-12.35</v>
      </c>
      <c r="Y92" s="229">
        <v>-2.1899999999999999E-2</v>
      </c>
      <c r="Z92" s="228">
        <v>0.65</v>
      </c>
      <c r="AA92" s="228">
        <v>0.7</v>
      </c>
      <c r="AB92" s="228">
        <v>-0.05</v>
      </c>
      <c r="AC92" s="229">
        <v>1.1999999999999999E-3</v>
      </c>
      <c r="AD92" s="228">
        <v>0.65</v>
      </c>
      <c r="AE92" s="228">
        <v>0.7</v>
      </c>
      <c r="AF92" s="228">
        <v>-0.05</v>
      </c>
      <c r="AG92" s="229">
        <v>1.1999999999999999E-3</v>
      </c>
      <c r="AH92" s="228">
        <v>4.5</v>
      </c>
      <c r="AI92" s="228">
        <v>4.25</v>
      </c>
      <c r="AJ92" s="228">
        <v>0.25</v>
      </c>
      <c r="AK92" s="229">
        <v>8.3000000000000001E-3</v>
      </c>
      <c r="AL92" s="228">
        <v>7.4</v>
      </c>
      <c r="AM92" s="228">
        <v>6.95</v>
      </c>
      <c r="AN92" s="228">
        <v>0.45</v>
      </c>
      <c r="AO92" s="229">
        <v>1.3599999999999999E-2</v>
      </c>
      <c r="AP92" s="228">
        <v>550</v>
      </c>
      <c r="AQ92" s="228">
        <v>554.07000000000005</v>
      </c>
      <c r="AR92" s="228">
        <v>0</v>
      </c>
      <c r="AS92" s="228">
        <v>440</v>
      </c>
      <c r="AT92" s="228">
        <v>173</v>
      </c>
      <c r="AU92" s="228">
        <v>268</v>
      </c>
      <c r="AV92" s="229">
        <v>1.5519000000000001</v>
      </c>
      <c r="AW92" s="228">
        <v>238</v>
      </c>
      <c r="AX92" s="228">
        <v>120</v>
      </c>
      <c r="AY92" s="228">
        <v>118</v>
      </c>
      <c r="AZ92" s="229">
        <v>0.98499999999999999</v>
      </c>
      <c r="BA92" s="228">
        <v>200</v>
      </c>
      <c r="BB92" s="228">
        <v>51</v>
      </c>
      <c r="BC92" s="228">
        <v>148</v>
      </c>
      <c r="BD92" s="229">
        <v>2.8811</v>
      </c>
      <c r="BE92" s="228">
        <v>2</v>
      </c>
      <c r="BF92" s="228">
        <v>1</v>
      </c>
      <c r="BG92" s="228">
        <v>1</v>
      </c>
      <c r="BH92" s="229">
        <v>1.1818</v>
      </c>
      <c r="BI92" s="228">
        <v>768</v>
      </c>
      <c r="BJ92" s="228">
        <v>569</v>
      </c>
      <c r="BK92" s="228">
        <v>199</v>
      </c>
      <c r="BL92" s="229">
        <v>0.3498</v>
      </c>
      <c r="BM92" s="228">
        <v>373</v>
      </c>
      <c r="BN92" s="228">
        <v>203</v>
      </c>
      <c r="BO92" s="228">
        <v>170</v>
      </c>
      <c r="BP92" s="229">
        <v>0.83440000000000003</v>
      </c>
      <c r="BQ92" s="230">
        <v>1581</v>
      </c>
      <c r="BR92" s="228">
        <v>945</v>
      </c>
      <c r="BS92" s="228">
        <v>636</v>
      </c>
      <c r="BT92" s="229">
        <v>0.67359999999999998</v>
      </c>
      <c r="BU92" s="230">
        <v>1256479</v>
      </c>
      <c r="BV92" s="230">
        <v>890036</v>
      </c>
      <c r="BW92" s="230">
        <v>366443</v>
      </c>
      <c r="BX92" s="229">
        <v>0.41170000000000001</v>
      </c>
      <c r="BY92" s="228">
        <v>846</v>
      </c>
      <c r="BZ92" s="228">
        <v>887</v>
      </c>
      <c r="CA92" s="228">
        <v>-41</v>
      </c>
      <c r="CB92" s="229">
        <v>-4.65E-2</v>
      </c>
      <c r="CC92" s="228">
        <v>621</v>
      </c>
      <c r="CD92" s="228">
        <v>775</v>
      </c>
      <c r="CE92" s="228">
        <v>-153</v>
      </c>
      <c r="CF92" s="229">
        <v>-0.1981</v>
      </c>
      <c r="CG92" s="228">
        <v>219</v>
      </c>
      <c r="CH92" s="228">
        <v>108</v>
      </c>
      <c r="CI92" s="228">
        <v>111</v>
      </c>
      <c r="CJ92" s="229">
        <v>1.0216000000000001</v>
      </c>
      <c r="CK92" s="228">
        <v>6</v>
      </c>
      <c r="CL92" s="228">
        <v>4</v>
      </c>
      <c r="CM92" s="228">
        <v>2</v>
      </c>
      <c r="CN92" s="229">
        <v>0.39579999999999999</v>
      </c>
      <c r="CO92" s="228">
        <v>450</v>
      </c>
      <c r="CP92" s="228">
        <v>475</v>
      </c>
      <c r="CQ92" s="228">
        <v>-25</v>
      </c>
      <c r="CR92" s="229">
        <v>-5.1700000000000003E-2</v>
      </c>
      <c r="CS92" s="228">
        <v>290</v>
      </c>
      <c r="CT92" s="228">
        <v>295</v>
      </c>
      <c r="CU92" s="228">
        <v>-5</v>
      </c>
      <c r="CV92" s="229">
        <v>-1.77E-2</v>
      </c>
      <c r="CW92" s="230">
        <v>1586</v>
      </c>
      <c r="CX92" s="230">
        <v>1657</v>
      </c>
      <c r="CY92" s="228">
        <v>-71</v>
      </c>
      <c r="CZ92" s="229">
        <v>-4.2900000000000001E-2</v>
      </c>
      <c r="DA92" s="228">
        <v>31.89</v>
      </c>
      <c r="DB92" s="228">
        <v>32.4</v>
      </c>
      <c r="DC92" s="228">
        <v>-0.51</v>
      </c>
      <c r="DD92" s="228">
        <v>-0.51</v>
      </c>
      <c r="DE92" s="228">
        <v>50.8</v>
      </c>
      <c r="DF92" s="228">
        <v>50.83</v>
      </c>
      <c r="DG92" s="228">
        <v>-18.91</v>
      </c>
      <c r="DH92" s="228">
        <v>-0.03</v>
      </c>
      <c r="DI92" s="228">
        <v>31.71</v>
      </c>
      <c r="DJ92" s="228">
        <v>31.28</v>
      </c>
      <c r="DK92" s="228">
        <v>0.43</v>
      </c>
      <c r="DL92" s="228">
        <v>0.43</v>
      </c>
      <c r="DM92" s="228">
        <v>32.299999999999997</v>
      </c>
      <c r="DN92" s="228">
        <v>35.54</v>
      </c>
      <c r="DO92" s="228">
        <v>-3.24</v>
      </c>
      <c r="DP92" s="228">
        <v>-3.24</v>
      </c>
      <c r="DQ92" s="228">
        <v>0.64</v>
      </c>
      <c r="DR92" s="228">
        <v>0.62</v>
      </c>
      <c r="DS92" s="228">
        <v>0.02</v>
      </c>
      <c r="DT92" s="229">
        <v>3.2300000000000002E-2</v>
      </c>
      <c r="DU92" s="228">
        <v>560</v>
      </c>
      <c r="DV92" s="228">
        <v>530</v>
      </c>
      <c r="DW92" s="228">
        <v>0.49</v>
      </c>
      <c r="DX92" s="228">
        <v>0.36</v>
      </c>
      <c r="DY92" s="228">
        <v>0.13</v>
      </c>
      <c r="DZ92" s="229">
        <v>0.36109999999999998</v>
      </c>
      <c r="EA92" s="229">
        <v>0.26569999999999999</v>
      </c>
      <c r="EB92" s="230">
        <v>2062500</v>
      </c>
      <c r="EC92" s="229">
        <v>7.1000000000000004E-3</v>
      </c>
      <c r="ED92" s="229">
        <v>0.26569999999999999</v>
      </c>
      <c r="EE92" s="228">
        <v>4.07</v>
      </c>
      <c r="EF92" s="229">
        <v>7.4000000000000003E-3</v>
      </c>
      <c r="EG92" s="230">
        <v>514265</v>
      </c>
      <c r="EH92" s="230">
        <v>356130</v>
      </c>
      <c r="EI92" s="229">
        <v>0.44400000000000001</v>
      </c>
      <c r="EJ92" s="229">
        <v>0.4093</v>
      </c>
      <c r="EK92" s="228">
        <v>805.23</v>
      </c>
      <c r="EL92" s="228">
        <v>368.54</v>
      </c>
      <c r="EM92" s="228">
        <v>445.47</v>
      </c>
      <c r="EN92" s="228">
        <v>27.38</v>
      </c>
      <c r="EO92" s="231">
        <v>1619.23</v>
      </c>
      <c r="EP92" s="228">
        <v>983.56</v>
      </c>
      <c r="EQ92" s="228">
        <v>635.66999999999996</v>
      </c>
      <c r="ER92" s="229">
        <v>0.64629999999999999</v>
      </c>
      <c r="ES92" s="228">
        <v>467.27</v>
      </c>
      <c r="ET92" s="228">
        <v>277.95</v>
      </c>
      <c r="EU92" s="228">
        <v>847.44</v>
      </c>
      <c r="EV92" s="231">
        <v>47888370</v>
      </c>
      <c r="EW92" s="231">
        <v>1592.66</v>
      </c>
      <c r="EX92" s="231">
        <v>1686.2</v>
      </c>
      <c r="EY92" s="228">
        <v>-93.54</v>
      </c>
      <c r="EZ92" s="229">
        <v>-5.5500000000000001E-2</v>
      </c>
      <c r="FA92" s="229">
        <v>0.60719999999999996</v>
      </c>
      <c r="FB92" s="227" t="s">
        <v>568</v>
      </c>
      <c r="FC92">
        <f t="shared" si="1"/>
        <v>225</v>
      </c>
    </row>
    <row r="93" spans="1:159" ht="17.25" thickBot="1" x14ac:dyDescent="0.3">
      <c r="A93" s="226">
        <v>45981</v>
      </c>
      <c r="B93" s="227" t="s">
        <v>206</v>
      </c>
      <c r="C93" s="227" t="s">
        <v>501</v>
      </c>
      <c r="D93" s="228">
        <v>1000</v>
      </c>
      <c r="E93" s="228">
        <v>5</v>
      </c>
      <c r="F93" s="228">
        <v>734</v>
      </c>
      <c r="G93" s="228">
        <v>719.3</v>
      </c>
      <c r="H93" s="228">
        <v>14.7</v>
      </c>
      <c r="I93" s="229">
        <v>2.0400000000000001E-2</v>
      </c>
      <c r="J93" s="228">
        <v>733.35</v>
      </c>
      <c r="K93" s="228">
        <v>719.55</v>
      </c>
      <c r="L93" s="228">
        <v>13.8</v>
      </c>
      <c r="M93" s="229">
        <v>1.9199999999999998E-2</v>
      </c>
      <c r="N93" s="228">
        <v>734</v>
      </c>
      <c r="O93" s="228">
        <v>719.3</v>
      </c>
      <c r="P93" s="228">
        <v>14.7</v>
      </c>
      <c r="Q93" s="229">
        <v>2.0400000000000001E-2</v>
      </c>
      <c r="R93" s="228">
        <v>739.05</v>
      </c>
      <c r="S93" s="228">
        <v>723.75</v>
      </c>
      <c r="T93" s="228">
        <v>15.3</v>
      </c>
      <c r="U93" s="229">
        <v>2.1100000000000001E-2</v>
      </c>
      <c r="V93" s="228">
        <v>743.25</v>
      </c>
      <c r="W93" s="228">
        <v>727.4</v>
      </c>
      <c r="X93" s="228">
        <v>15.85</v>
      </c>
      <c r="Y93" s="229">
        <v>2.18E-2</v>
      </c>
      <c r="Z93" s="228">
        <v>0.65</v>
      </c>
      <c r="AA93" s="228">
        <v>-0.25</v>
      </c>
      <c r="AB93" s="228">
        <v>0.9</v>
      </c>
      <c r="AC93" s="229">
        <v>8.9999999999999998E-4</v>
      </c>
      <c r="AD93" s="228">
        <v>0.65</v>
      </c>
      <c r="AE93" s="228">
        <v>-0.25</v>
      </c>
      <c r="AF93" s="228">
        <v>0.9</v>
      </c>
      <c r="AG93" s="229">
        <v>8.9999999999999998E-4</v>
      </c>
      <c r="AH93" s="228">
        <v>5.7</v>
      </c>
      <c r="AI93" s="228">
        <v>4.2</v>
      </c>
      <c r="AJ93" s="228">
        <v>1.5</v>
      </c>
      <c r="AK93" s="229">
        <v>7.7999999999999996E-3</v>
      </c>
      <c r="AL93" s="228">
        <v>9.9</v>
      </c>
      <c r="AM93" s="228">
        <v>7.85</v>
      </c>
      <c r="AN93" s="228">
        <v>2.0499999999999998</v>
      </c>
      <c r="AO93" s="229">
        <v>1.35E-2</v>
      </c>
      <c r="AP93" s="228">
        <v>732.59</v>
      </c>
      <c r="AQ93" s="228">
        <v>737.78</v>
      </c>
      <c r="AR93" s="228">
        <v>0</v>
      </c>
      <c r="AS93" s="230">
        <v>1237</v>
      </c>
      <c r="AT93" s="228">
        <v>376</v>
      </c>
      <c r="AU93" s="228">
        <v>861</v>
      </c>
      <c r="AV93" s="229">
        <v>2.2898000000000001</v>
      </c>
      <c r="AW93" s="228">
        <v>731</v>
      </c>
      <c r="AX93" s="228">
        <v>245</v>
      </c>
      <c r="AY93" s="228">
        <v>486</v>
      </c>
      <c r="AZ93" s="229">
        <v>1.9885999999999999</v>
      </c>
      <c r="BA93" s="228">
        <v>463</v>
      </c>
      <c r="BB93" s="228">
        <v>117</v>
      </c>
      <c r="BC93" s="228">
        <v>346</v>
      </c>
      <c r="BD93" s="229">
        <v>2.9598</v>
      </c>
      <c r="BE93" s="228">
        <v>44</v>
      </c>
      <c r="BF93" s="228">
        <v>15</v>
      </c>
      <c r="BG93" s="228">
        <v>29</v>
      </c>
      <c r="BH93" s="229">
        <v>1.9750000000000001</v>
      </c>
      <c r="BI93" s="230">
        <v>3581</v>
      </c>
      <c r="BJ93" s="230">
        <v>1055</v>
      </c>
      <c r="BK93" s="230">
        <v>2526</v>
      </c>
      <c r="BL93" s="229">
        <v>2.3942999999999999</v>
      </c>
      <c r="BM93" s="230">
        <v>1436</v>
      </c>
      <c r="BN93" s="228">
        <v>483</v>
      </c>
      <c r="BO93" s="228">
        <v>953</v>
      </c>
      <c r="BP93" s="229">
        <v>1.9714</v>
      </c>
      <c r="BQ93" s="230">
        <v>6254</v>
      </c>
      <c r="BR93" s="230">
        <v>1914</v>
      </c>
      <c r="BS93" s="230">
        <v>4340</v>
      </c>
      <c r="BT93" s="229">
        <v>2.2671000000000001</v>
      </c>
      <c r="BU93" s="230">
        <v>5051767</v>
      </c>
      <c r="BV93" s="230">
        <v>2827498</v>
      </c>
      <c r="BW93" s="230">
        <v>2224269</v>
      </c>
      <c r="BX93" s="229">
        <v>0.78669999999999995</v>
      </c>
      <c r="BY93" s="230">
        <v>2074</v>
      </c>
      <c r="BZ93" s="230">
        <v>2215</v>
      </c>
      <c r="CA93" s="228">
        <v>-142</v>
      </c>
      <c r="CB93" s="229">
        <v>-6.4000000000000001E-2</v>
      </c>
      <c r="CC93" s="230">
        <v>1495</v>
      </c>
      <c r="CD93" s="230">
        <v>1932</v>
      </c>
      <c r="CE93" s="228">
        <v>-438</v>
      </c>
      <c r="CF93" s="229">
        <v>-0.22650000000000001</v>
      </c>
      <c r="CG93" s="228">
        <v>531</v>
      </c>
      <c r="CH93" s="228">
        <v>242</v>
      </c>
      <c r="CI93" s="228">
        <v>290</v>
      </c>
      <c r="CJ93" s="229">
        <v>1.1990000000000001</v>
      </c>
      <c r="CK93" s="228">
        <v>48</v>
      </c>
      <c r="CL93" s="228">
        <v>41</v>
      </c>
      <c r="CM93" s="228">
        <v>6</v>
      </c>
      <c r="CN93" s="229">
        <v>0.1487</v>
      </c>
      <c r="CO93" s="228">
        <v>969</v>
      </c>
      <c r="CP93" s="228">
        <v>973</v>
      </c>
      <c r="CQ93" s="228">
        <v>-4</v>
      </c>
      <c r="CR93" s="229">
        <v>-4.1000000000000003E-3</v>
      </c>
      <c r="CS93" s="228">
        <v>618</v>
      </c>
      <c r="CT93" s="228">
        <v>594</v>
      </c>
      <c r="CU93" s="228">
        <v>24</v>
      </c>
      <c r="CV93" s="229">
        <v>4.0300000000000002E-2</v>
      </c>
      <c r="CW93" s="230">
        <v>3660</v>
      </c>
      <c r="CX93" s="230">
        <v>3782</v>
      </c>
      <c r="CY93" s="228">
        <v>-122</v>
      </c>
      <c r="CZ93" s="229">
        <v>-3.2199999999999999E-2</v>
      </c>
      <c r="DA93" s="228">
        <v>20.260000000000002</v>
      </c>
      <c r="DB93" s="228">
        <v>21.21</v>
      </c>
      <c r="DC93" s="228">
        <v>-0.95</v>
      </c>
      <c r="DD93" s="228">
        <v>-0.95</v>
      </c>
      <c r="DE93" s="228">
        <v>35.15</v>
      </c>
      <c r="DF93" s="228">
        <v>35.15</v>
      </c>
      <c r="DG93" s="228">
        <v>-14.89</v>
      </c>
      <c r="DH93" s="228">
        <v>0</v>
      </c>
      <c r="DI93" s="228">
        <v>20.420000000000002</v>
      </c>
      <c r="DJ93" s="228">
        <v>21.33</v>
      </c>
      <c r="DK93" s="228">
        <v>-0.91</v>
      </c>
      <c r="DL93" s="228">
        <v>-0.91</v>
      </c>
      <c r="DM93" s="228">
        <v>19.97</v>
      </c>
      <c r="DN93" s="228">
        <v>20.95</v>
      </c>
      <c r="DO93" s="228">
        <v>-0.98</v>
      </c>
      <c r="DP93" s="228">
        <v>-0.98</v>
      </c>
      <c r="DQ93" s="228">
        <v>0.64</v>
      </c>
      <c r="DR93" s="228">
        <v>0.61</v>
      </c>
      <c r="DS93" s="228">
        <v>0.03</v>
      </c>
      <c r="DT93" s="229">
        <v>4.9200000000000001E-2</v>
      </c>
      <c r="DU93" s="228">
        <v>800</v>
      </c>
      <c r="DV93" s="228">
        <v>720</v>
      </c>
      <c r="DW93" s="228">
        <v>0.4</v>
      </c>
      <c r="DX93" s="228">
        <v>0.46</v>
      </c>
      <c r="DY93" s="228">
        <v>-0.06</v>
      </c>
      <c r="DZ93" s="229">
        <v>-0.13039999999999999</v>
      </c>
      <c r="EA93" s="229">
        <v>0.2792</v>
      </c>
      <c r="EB93" s="230">
        <v>3856000</v>
      </c>
      <c r="EC93" s="229">
        <v>6.8999999999999999E-3</v>
      </c>
      <c r="ED93" s="229">
        <v>0.2792</v>
      </c>
      <c r="EE93" s="228">
        <v>5.19</v>
      </c>
      <c r="EF93" s="229">
        <v>7.1000000000000004E-3</v>
      </c>
      <c r="EG93" s="230">
        <v>2930982</v>
      </c>
      <c r="EH93" s="230">
        <v>1875282</v>
      </c>
      <c r="EI93" s="229">
        <v>0.56299999999999994</v>
      </c>
      <c r="EJ93" s="229">
        <v>0.58020000000000005</v>
      </c>
      <c r="EK93" s="231">
        <v>3672.53</v>
      </c>
      <c r="EL93" s="231">
        <v>1421.84</v>
      </c>
      <c r="EM93" s="231">
        <v>1238.92</v>
      </c>
      <c r="EN93" s="228">
        <v>44.36</v>
      </c>
      <c r="EO93" s="231">
        <v>6333.29</v>
      </c>
      <c r="EP93" s="231">
        <v>1906.11</v>
      </c>
      <c r="EQ93" s="231">
        <v>4427.18</v>
      </c>
      <c r="ER93" s="229">
        <v>2.3226</v>
      </c>
      <c r="ES93" s="231">
        <v>1001.4</v>
      </c>
      <c r="ET93" s="228">
        <v>604.55999999999995</v>
      </c>
      <c r="EU93" s="231">
        <v>2077.81</v>
      </c>
      <c r="EV93" s="231">
        <v>111956321</v>
      </c>
      <c r="EW93" s="231">
        <v>3683.76</v>
      </c>
      <c r="EX93" s="231">
        <v>3754.43</v>
      </c>
      <c r="EY93" s="228">
        <v>-70.67</v>
      </c>
      <c r="EZ93" s="229">
        <v>-1.8800000000000001E-2</v>
      </c>
      <c r="FA93" s="229">
        <v>0.44540000000000002</v>
      </c>
      <c r="FB93" s="227" t="s">
        <v>556</v>
      </c>
      <c r="FC93">
        <f t="shared" si="1"/>
        <v>579</v>
      </c>
    </row>
    <row r="94" spans="1:159" ht="17.25" thickBot="1" x14ac:dyDescent="0.3">
      <c r="A94" s="226">
        <v>45981</v>
      </c>
      <c r="B94" s="227" t="s">
        <v>172</v>
      </c>
      <c r="C94" s="227" t="s">
        <v>578</v>
      </c>
      <c r="D94" s="228">
        <v>1000</v>
      </c>
      <c r="E94" s="228">
        <v>5</v>
      </c>
      <c r="F94" s="228">
        <v>880.65</v>
      </c>
      <c r="G94" s="228">
        <v>885.5</v>
      </c>
      <c r="H94" s="228">
        <v>-4.8499999999999996</v>
      </c>
      <c r="I94" s="229">
        <v>-5.4999999999999997E-3</v>
      </c>
      <c r="J94" s="228">
        <v>882.35</v>
      </c>
      <c r="K94" s="228">
        <v>885.55</v>
      </c>
      <c r="L94" s="228">
        <v>-3.2</v>
      </c>
      <c r="M94" s="229">
        <v>-3.5999999999999999E-3</v>
      </c>
      <c r="N94" s="228">
        <v>880.65</v>
      </c>
      <c r="O94" s="228">
        <v>885.5</v>
      </c>
      <c r="P94" s="228">
        <v>-4.8499999999999996</v>
      </c>
      <c r="Q94" s="229">
        <v>-5.4999999999999997E-3</v>
      </c>
      <c r="R94" s="228">
        <v>884.7</v>
      </c>
      <c r="S94" s="228">
        <v>889.25</v>
      </c>
      <c r="T94" s="228">
        <v>-4.55</v>
      </c>
      <c r="U94" s="229">
        <v>-5.1000000000000004E-3</v>
      </c>
      <c r="V94" s="228">
        <v>888.25</v>
      </c>
      <c r="W94" s="228">
        <v>893</v>
      </c>
      <c r="X94" s="228">
        <v>-4.75</v>
      </c>
      <c r="Y94" s="229">
        <v>-5.3E-3</v>
      </c>
      <c r="Z94" s="228">
        <v>-1.7</v>
      </c>
      <c r="AA94" s="228">
        <v>-0.05</v>
      </c>
      <c r="AB94" s="228">
        <v>-1.65</v>
      </c>
      <c r="AC94" s="229">
        <v>-1.9E-3</v>
      </c>
      <c r="AD94" s="228">
        <v>-1.7</v>
      </c>
      <c r="AE94" s="228">
        <v>-0.05</v>
      </c>
      <c r="AF94" s="228">
        <v>-1.65</v>
      </c>
      <c r="AG94" s="229">
        <v>-1.9E-3</v>
      </c>
      <c r="AH94" s="228">
        <v>2.35</v>
      </c>
      <c r="AI94" s="228">
        <v>3.7</v>
      </c>
      <c r="AJ94" s="228">
        <v>-1.35</v>
      </c>
      <c r="AK94" s="229">
        <v>2.7000000000000001E-3</v>
      </c>
      <c r="AL94" s="228">
        <v>5.9</v>
      </c>
      <c r="AM94" s="228">
        <v>7.45</v>
      </c>
      <c r="AN94" s="228">
        <v>-1.55</v>
      </c>
      <c r="AO94" s="229">
        <v>6.7000000000000002E-3</v>
      </c>
      <c r="AP94" s="228">
        <v>887.25</v>
      </c>
      <c r="AQ94" s="228">
        <v>890.89</v>
      </c>
      <c r="AR94" s="228">
        <v>0</v>
      </c>
      <c r="AS94" s="228">
        <v>682</v>
      </c>
      <c r="AT94" s="228">
        <v>281</v>
      </c>
      <c r="AU94" s="228">
        <v>400</v>
      </c>
      <c r="AV94" s="229">
        <v>1.4228000000000001</v>
      </c>
      <c r="AW94" s="228">
        <v>399</v>
      </c>
      <c r="AX94" s="228">
        <v>228</v>
      </c>
      <c r="AY94" s="228">
        <v>171</v>
      </c>
      <c r="AZ94" s="229">
        <v>0.75160000000000005</v>
      </c>
      <c r="BA94" s="228">
        <v>282</v>
      </c>
      <c r="BB94" s="228">
        <v>52</v>
      </c>
      <c r="BC94" s="228">
        <v>229</v>
      </c>
      <c r="BD94" s="229">
        <v>4.3691000000000004</v>
      </c>
      <c r="BE94" s="228">
        <v>1</v>
      </c>
      <c r="BF94" s="228">
        <v>1</v>
      </c>
      <c r="BG94" s="228">
        <v>0</v>
      </c>
      <c r="BH94" s="229">
        <v>-7.1400000000000005E-2</v>
      </c>
      <c r="BI94" s="228">
        <v>492</v>
      </c>
      <c r="BJ94" s="228">
        <v>643</v>
      </c>
      <c r="BK94" s="228">
        <v>-151</v>
      </c>
      <c r="BL94" s="229">
        <v>-0.23519999999999999</v>
      </c>
      <c r="BM94" s="228">
        <v>257</v>
      </c>
      <c r="BN94" s="228">
        <v>303</v>
      </c>
      <c r="BO94" s="228">
        <v>-45</v>
      </c>
      <c r="BP94" s="229">
        <v>-0.15010000000000001</v>
      </c>
      <c r="BQ94" s="230">
        <v>1431</v>
      </c>
      <c r="BR94" s="230">
        <v>1227</v>
      </c>
      <c r="BS94" s="228">
        <v>204</v>
      </c>
      <c r="BT94" s="229">
        <v>0.16589999999999999</v>
      </c>
      <c r="BU94" s="230">
        <v>899998</v>
      </c>
      <c r="BV94" s="230">
        <v>1524800</v>
      </c>
      <c r="BW94" s="230">
        <v>-624802</v>
      </c>
      <c r="BX94" s="229">
        <v>-0.4098</v>
      </c>
      <c r="BY94" s="230">
        <v>1066</v>
      </c>
      <c r="BZ94" s="230">
        <v>1157</v>
      </c>
      <c r="CA94" s="228">
        <v>-91</v>
      </c>
      <c r="CB94" s="229">
        <v>-7.8600000000000003E-2</v>
      </c>
      <c r="CC94" s="228">
        <v>764</v>
      </c>
      <c r="CD94" s="230">
        <v>1026</v>
      </c>
      <c r="CE94" s="228">
        <v>-263</v>
      </c>
      <c r="CF94" s="229">
        <v>-0.25600000000000001</v>
      </c>
      <c r="CG94" s="228">
        <v>289</v>
      </c>
      <c r="CH94" s="228">
        <v>118</v>
      </c>
      <c r="CI94" s="228">
        <v>172</v>
      </c>
      <c r="CJ94" s="229">
        <v>1.4559</v>
      </c>
      <c r="CK94" s="228">
        <v>13</v>
      </c>
      <c r="CL94" s="228">
        <v>13</v>
      </c>
      <c r="CM94" s="228">
        <v>0</v>
      </c>
      <c r="CN94" s="229">
        <v>2.7799999999999998E-2</v>
      </c>
      <c r="CO94" s="228">
        <v>587</v>
      </c>
      <c r="CP94" s="228">
        <v>625</v>
      </c>
      <c r="CQ94" s="228">
        <v>-38</v>
      </c>
      <c r="CR94" s="229">
        <v>-6.0600000000000001E-2</v>
      </c>
      <c r="CS94" s="228">
        <v>370</v>
      </c>
      <c r="CT94" s="228">
        <v>380</v>
      </c>
      <c r="CU94" s="228">
        <v>-10</v>
      </c>
      <c r="CV94" s="229">
        <v>-2.76E-2</v>
      </c>
      <c r="CW94" s="230">
        <v>2023</v>
      </c>
      <c r="CX94" s="230">
        <v>2162</v>
      </c>
      <c r="CY94" s="228">
        <v>-139</v>
      </c>
      <c r="CZ94" s="229">
        <v>-6.4399999999999999E-2</v>
      </c>
      <c r="DA94" s="228">
        <v>27.37</v>
      </c>
      <c r="DB94" s="228">
        <v>26.22</v>
      </c>
      <c r="DC94" s="228">
        <v>1.1499999999999999</v>
      </c>
      <c r="DD94" s="228">
        <v>1.1499999999999999</v>
      </c>
      <c r="DE94" s="228">
        <v>37.19</v>
      </c>
      <c r="DF94" s="228">
        <v>37.28</v>
      </c>
      <c r="DG94" s="228">
        <v>-9.82</v>
      </c>
      <c r="DH94" s="228">
        <v>-0.09</v>
      </c>
      <c r="DI94" s="228">
        <v>27.04</v>
      </c>
      <c r="DJ94" s="228">
        <v>26.18</v>
      </c>
      <c r="DK94" s="228">
        <v>0.86</v>
      </c>
      <c r="DL94" s="228">
        <v>0.86</v>
      </c>
      <c r="DM94" s="228">
        <v>27.79</v>
      </c>
      <c r="DN94" s="228">
        <v>26.32</v>
      </c>
      <c r="DO94" s="228">
        <v>1.47</v>
      </c>
      <c r="DP94" s="228">
        <v>1.47</v>
      </c>
      <c r="DQ94" s="228">
        <v>0.63</v>
      </c>
      <c r="DR94" s="228">
        <v>0.61</v>
      </c>
      <c r="DS94" s="228">
        <v>0.02</v>
      </c>
      <c r="DT94" s="229">
        <v>3.2800000000000003E-2</v>
      </c>
      <c r="DU94" s="228">
        <v>900</v>
      </c>
      <c r="DV94" s="228">
        <v>850</v>
      </c>
      <c r="DW94" s="228">
        <v>0.52</v>
      </c>
      <c r="DX94" s="228">
        <v>0.47</v>
      </c>
      <c r="DY94" s="228">
        <v>0.05</v>
      </c>
      <c r="DZ94" s="229">
        <v>0.10639999999999999</v>
      </c>
      <c r="EA94" s="229">
        <v>0.28370000000000001</v>
      </c>
      <c r="EB94" s="230">
        <v>1482000</v>
      </c>
      <c r="EC94" s="229">
        <v>4.5999999999999999E-3</v>
      </c>
      <c r="ED94" s="229">
        <v>0.28370000000000001</v>
      </c>
      <c r="EE94" s="228">
        <v>3.64</v>
      </c>
      <c r="EF94" s="229">
        <v>4.1000000000000003E-3</v>
      </c>
      <c r="EG94" s="230">
        <v>456304</v>
      </c>
      <c r="EH94" s="230">
        <v>860459</v>
      </c>
      <c r="EI94" s="229">
        <v>-0.46970000000000001</v>
      </c>
      <c r="EJ94" s="229">
        <v>0.50700000000000001</v>
      </c>
      <c r="EK94" s="228">
        <v>509.64</v>
      </c>
      <c r="EL94" s="228">
        <v>254.02</v>
      </c>
      <c r="EM94" s="228">
        <v>688</v>
      </c>
      <c r="EN94" s="228">
        <v>25.66</v>
      </c>
      <c r="EO94" s="231">
        <v>1451.65</v>
      </c>
      <c r="EP94" s="231">
        <v>1248.75</v>
      </c>
      <c r="EQ94" s="228">
        <v>202.9</v>
      </c>
      <c r="ER94" s="229">
        <v>0.16250000000000001</v>
      </c>
      <c r="ES94" s="228">
        <v>596.46</v>
      </c>
      <c r="ET94" s="228">
        <v>348.46</v>
      </c>
      <c r="EU94" s="231">
        <v>1067.3800000000001</v>
      </c>
      <c r="EV94" s="231">
        <v>52862157</v>
      </c>
      <c r="EW94" s="231">
        <v>2012.29</v>
      </c>
      <c r="EX94" s="231">
        <v>2157.17</v>
      </c>
      <c r="EY94" s="228">
        <v>-144.88</v>
      </c>
      <c r="EZ94" s="229">
        <v>-6.7199999999999996E-2</v>
      </c>
      <c r="FA94" s="229">
        <v>0.43459999999999999</v>
      </c>
      <c r="FB94" s="227" t="s">
        <v>568</v>
      </c>
      <c r="FC94">
        <f t="shared" si="1"/>
        <v>302</v>
      </c>
    </row>
    <row r="95" spans="1:159" ht="17.25" thickBot="1" x14ac:dyDescent="0.3">
      <c r="A95" s="226">
        <v>45981</v>
      </c>
      <c r="B95" s="227" t="s">
        <v>181</v>
      </c>
      <c r="C95" s="227" t="s">
        <v>689</v>
      </c>
      <c r="D95" s="228">
        <v>1</v>
      </c>
      <c r="E95" s="228">
        <v>5</v>
      </c>
      <c r="F95" s="228">
        <v>12.13</v>
      </c>
      <c r="G95" s="228">
        <v>11.97</v>
      </c>
      <c r="H95" s="228">
        <v>0.16</v>
      </c>
      <c r="I95" s="229">
        <v>1.38E-2</v>
      </c>
      <c r="J95" s="228">
        <v>12.13</v>
      </c>
      <c r="K95" s="228">
        <v>11.97</v>
      </c>
      <c r="L95" s="228">
        <v>0.16</v>
      </c>
      <c r="M95" s="229">
        <v>1.38E-2</v>
      </c>
      <c r="N95" s="228">
        <v>0</v>
      </c>
      <c r="O95" s="228">
        <v>0</v>
      </c>
      <c r="P95" s="228">
        <v>0</v>
      </c>
      <c r="Q95" s="229">
        <v>0</v>
      </c>
      <c r="R95" s="228">
        <v>0</v>
      </c>
      <c r="S95" s="228">
        <v>0</v>
      </c>
      <c r="T95" s="228">
        <v>0</v>
      </c>
      <c r="U95" s="229">
        <v>0</v>
      </c>
      <c r="V95" s="228">
        <v>0</v>
      </c>
      <c r="W95" s="228">
        <v>0</v>
      </c>
      <c r="X95" s="228">
        <v>0</v>
      </c>
      <c r="Y95" s="229">
        <v>0</v>
      </c>
      <c r="Z95" s="228">
        <v>0</v>
      </c>
      <c r="AA95" s="228">
        <v>0</v>
      </c>
      <c r="AB95" s="228">
        <v>0</v>
      </c>
      <c r="AC95" s="229">
        <v>0</v>
      </c>
      <c r="AD95" s="228">
        <v>0</v>
      </c>
      <c r="AE95" s="228">
        <v>0</v>
      </c>
      <c r="AF95" s="228">
        <v>0</v>
      </c>
      <c r="AG95" s="229">
        <v>0</v>
      </c>
      <c r="AH95" s="228">
        <v>0</v>
      </c>
      <c r="AI95" s="228">
        <v>0</v>
      </c>
      <c r="AJ95" s="228">
        <v>0</v>
      </c>
      <c r="AK95" s="229">
        <v>0</v>
      </c>
      <c r="AL95" s="228">
        <v>0</v>
      </c>
      <c r="AM95" s="228">
        <v>0</v>
      </c>
      <c r="AN95" s="228">
        <v>0</v>
      </c>
      <c r="AO95" s="229">
        <v>0</v>
      </c>
      <c r="AP95" s="228">
        <v>0</v>
      </c>
      <c r="AQ95" s="228">
        <v>0</v>
      </c>
      <c r="AR95" s="228">
        <v>0</v>
      </c>
      <c r="AS95" s="228">
        <v>0</v>
      </c>
      <c r="AT95" s="228">
        <v>0</v>
      </c>
      <c r="AU95" s="228">
        <v>0</v>
      </c>
      <c r="AV95" s="229">
        <v>0</v>
      </c>
      <c r="AW95" s="228">
        <v>0</v>
      </c>
      <c r="AX95" s="228">
        <v>0</v>
      </c>
      <c r="AY95" s="228">
        <v>0</v>
      </c>
      <c r="AZ95" s="229">
        <v>0</v>
      </c>
      <c r="BA95" s="228">
        <v>0</v>
      </c>
      <c r="BB95" s="228">
        <v>0</v>
      </c>
      <c r="BC95" s="228">
        <v>0</v>
      </c>
      <c r="BD95" s="229">
        <v>0</v>
      </c>
      <c r="BE95" s="228">
        <v>0</v>
      </c>
      <c r="BF95" s="228">
        <v>0</v>
      </c>
      <c r="BG95" s="228">
        <v>0</v>
      </c>
      <c r="BH95" s="229">
        <v>0</v>
      </c>
      <c r="BI95" s="228">
        <v>0</v>
      </c>
      <c r="BJ95" s="228">
        <v>0</v>
      </c>
      <c r="BK95" s="228">
        <v>0</v>
      </c>
      <c r="BL95" s="229">
        <v>0</v>
      </c>
      <c r="BM95" s="228">
        <v>0</v>
      </c>
      <c r="BN95" s="228">
        <v>0</v>
      </c>
      <c r="BO95" s="228">
        <v>0</v>
      </c>
      <c r="BP95" s="229">
        <v>0</v>
      </c>
      <c r="BQ95" s="228">
        <v>0</v>
      </c>
      <c r="BR95" s="228">
        <v>0</v>
      </c>
      <c r="BS95" s="228">
        <v>0</v>
      </c>
      <c r="BT95" s="229">
        <v>0</v>
      </c>
      <c r="BU95" s="228">
        <v>0</v>
      </c>
      <c r="BV95" s="228">
        <v>0</v>
      </c>
      <c r="BW95" s="228">
        <v>0</v>
      </c>
      <c r="BX95" s="229">
        <v>0</v>
      </c>
      <c r="BY95" s="228">
        <v>0</v>
      </c>
      <c r="BZ95" s="228">
        <v>0</v>
      </c>
      <c r="CA95" s="228">
        <v>0</v>
      </c>
      <c r="CB95" s="229">
        <v>0</v>
      </c>
      <c r="CC95" s="228">
        <v>0</v>
      </c>
      <c r="CD95" s="228">
        <v>0</v>
      </c>
      <c r="CE95" s="228">
        <v>0</v>
      </c>
      <c r="CF95" s="229">
        <v>0</v>
      </c>
      <c r="CG95" s="228">
        <v>0</v>
      </c>
      <c r="CH95" s="228">
        <v>0</v>
      </c>
      <c r="CI95" s="228">
        <v>0</v>
      </c>
      <c r="CJ95" s="229">
        <v>0</v>
      </c>
      <c r="CK95" s="228">
        <v>0</v>
      </c>
      <c r="CL95" s="228">
        <v>0</v>
      </c>
      <c r="CM95" s="228">
        <v>0</v>
      </c>
      <c r="CN95" s="229">
        <v>0</v>
      </c>
      <c r="CO95" s="228">
        <v>0</v>
      </c>
      <c r="CP95" s="228">
        <v>0</v>
      </c>
      <c r="CQ95" s="228">
        <v>0</v>
      </c>
      <c r="CR95" s="229">
        <v>0</v>
      </c>
      <c r="CS95" s="228">
        <v>0</v>
      </c>
      <c r="CT95" s="228">
        <v>0</v>
      </c>
      <c r="CU95" s="228">
        <v>0</v>
      </c>
      <c r="CV95" s="229">
        <v>0</v>
      </c>
      <c r="CW95" s="228">
        <v>0</v>
      </c>
      <c r="CX95" s="228">
        <v>0</v>
      </c>
      <c r="CY95" s="228">
        <v>0</v>
      </c>
      <c r="CZ95" s="229">
        <v>0</v>
      </c>
      <c r="DA95" s="228">
        <v>0</v>
      </c>
      <c r="DB95" s="228">
        <v>0</v>
      </c>
      <c r="DC95" s="228">
        <v>0</v>
      </c>
      <c r="DD95" s="228">
        <v>0</v>
      </c>
      <c r="DE95" s="228">
        <v>0</v>
      </c>
      <c r="DF95" s="228">
        <v>0</v>
      </c>
      <c r="DG95" s="228">
        <v>0</v>
      </c>
      <c r="DH95" s="228">
        <v>0</v>
      </c>
      <c r="DI95" s="228">
        <v>0</v>
      </c>
      <c r="DJ95" s="228">
        <v>0</v>
      </c>
      <c r="DK95" s="228">
        <v>0</v>
      </c>
      <c r="DL95" s="228">
        <v>0</v>
      </c>
      <c r="DM95" s="228">
        <v>0</v>
      </c>
      <c r="DN95" s="228">
        <v>0</v>
      </c>
      <c r="DO95" s="228">
        <v>0</v>
      </c>
      <c r="DP95" s="228">
        <v>0</v>
      </c>
      <c r="DQ95" s="228">
        <v>0</v>
      </c>
      <c r="DR95" s="228">
        <v>0</v>
      </c>
      <c r="DS95" s="228">
        <v>0</v>
      </c>
      <c r="DT95" s="229">
        <v>0</v>
      </c>
      <c r="DU95" s="228">
        <v>0</v>
      </c>
      <c r="DV95" s="228">
        <v>0</v>
      </c>
      <c r="DW95" s="228">
        <v>0</v>
      </c>
      <c r="DX95" s="228">
        <v>0</v>
      </c>
      <c r="DY95" s="228">
        <v>0</v>
      </c>
      <c r="DZ95" s="229">
        <v>0</v>
      </c>
      <c r="EA95" s="229">
        <v>0</v>
      </c>
      <c r="EB95" s="228">
        <v>0</v>
      </c>
      <c r="EC95" s="229">
        <v>0</v>
      </c>
      <c r="ED95" s="229">
        <v>0</v>
      </c>
      <c r="EE95" s="228">
        <v>0</v>
      </c>
      <c r="EF95" s="229">
        <v>0</v>
      </c>
      <c r="EG95" s="228">
        <v>0</v>
      </c>
      <c r="EH95" s="228">
        <v>0</v>
      </c>
      <c r="EI95" s="229">
        <v>0</v>
      </c>
      <c r="EJ95" s="229">
        <v>0</v>
      </c>
      <c r="EK95" s="228">
        <v>0</v>
      </c>
      <c r="EL95" s="228">
        <v>0</v>
      </c>
      <c r="EM95" s="228">
        <v>0</v>
      </c>
      <c r="EN95" s="228">
        <v>0</v>
      </c>
      <c r="EO95" s="228">
        <v>0</v>
      </c>
      <c r="EP95" s="228">
        <v>0</v>
      </c>
      <c r="EQ95" s="228">
        <v>0</v>
      </c>
      <c r="ER95" s="229">
        <v>0</v>
      </c>
      <c r="ES95" s="228">
        <v>0</v>
      </c>
      <c r="ET95" s="228">
        <v>0</v>
      </c>
      <c r="EU95" s="228">
        <v>0</v>
      </c>
      <c r="EV95" s="228">
        <v>0</v>
      </c>
      <c r="EW95" s="228">
        <v>0</v>
      </c>
      <c r="EX95" s="228">
        <v>0</v>
      </c>
      <c r="EY95" s="228">
        <v>0</v>
      </c>
      <c r="EZ95" s="229">
        <v>0</v>
      </c>
      <c r="FA95" s="229">
        <v>0</v>
      </c>
      <c r="FB95" s="227" t="s">
        <v>237</v>
      </c>
      <c r="FC95">
        <f t="shared" si="1"/>
        <v>0</v>
      </c>
    </row>
    <row r="96" spans="1:159" ht="17.25" thickBot="1" x14ac:dyDescent="0.3">
      <c r="A96" s="226">
        <v>45981</v>
      </c>
      <c r="B96" s="227" t="s">
        <v>215</v>
      </c>
      <c r="C96" s="227" t="s">
        <v>238</v>
      </c>
      <c r="D96" s="228">
        <v>150</v>
      </c>
      <c r="E96" s="228">
        <v>5</v>
      </c>
      <c r="F96" s="231">
        <v>5788</v>
      </c>
      <c r="G96" s="231">
        <v>5768</v>
      </c>
      <c r="H96" s="228">
        <v>20</v>
      </c>
      <c r="I96" s="229">
        <v>3.5000000000000001E-3</v>
      </c>
      <c r="J96" s="231">
        <v>5785.5</v>
      </c>
      <c r="K96" s="231">
        <v>5758.5</v>
      </c>
      <c r="L96" s="228">
        <v>27</v>
      </c>
      <c r="M96" s="229">
        <v>4.7000000000000002E-3</v>
      </c>
      <c r="N96" s="231">
        <v>5788</v>
      </c>
      <c r="O96" s="231">
        <v>5768</v>
      </c>
      <c r="P96" s="228">
        <v>20</v>
      </c>
      <c r="Q96" s="229">
        <v>3.5000000000000001E-3</v>
      </c>
      <c r="R96" s="231">
        <v>5822.5</v>
      </c>
      <c r="S96" s="231">
        <v>5802.5</v>
      </c>
      <c r="T96" s="228">
        <v>20</v>
      </c>
      <c r="U96" s="229">
        <v>3.3999999999999998E-3</v>
      </c>
      <c r="V96" s="231">
        <v>5858</v>
      </c>
      <c r="W96" s="231">
        <v>5841.5</v>
      </c>
      <c r="X96" s="228">
        <v>16.5</v>
      </c>
      <c r="Y96" s="229">
        <v>2.8E-3</v>
      </c>
      <c r="Z96" s="228">
        <v>2.5</v>
      </c>
      <c r="AA96" s="228">
        <v>9.5</v>
      </c>
      <c r="AB96" s="228">
        <v>-7</v>
      </c>
      <c r="AC96" s="229">
        <v>4.0000000000000002E-4</v>
      </c>
      <c r="AD96" s="228">
        <v>2.5</v>
      </c>
      <c r="AE96" s="228">
        <v>9.5</v>
      </c>
      <c r="AF96" s="228">
        <v>-7</v>
      </c>
      <c r="AG96" s="229">
        <v>4.0000000000000002E-4</v>
      </c>
      <c r="AH96" s="228">
        <v>37</v>
      </c>
      <c r="AI96" s="228">
        <v>44</v>
      </c>
      <c r="AJ96" s="228">
        <v>-7</v>
      </c>
      <c r="AK96" s="229">
        <v>6.4000000000000003E-3</v>
      </c>
      <c r="AL96" s="228">
        <v>72.5</v>
      </c>
      <c r="AM96" s="228">
        <v>83</v>
      </c>
      <c r="AN96" s="228">
        <v>-10.5</v>
      </c>
      <c r="AO96" s="229">
        <v>1.2500000000000001E-2</v>
      </c>
      <c r="AP96" s="231">
        <v>5803.06</v>
      </c>
      <c r="AQ96" s="231">
        <v>5835.23</v>
      </c>
      <c r="AR96" s="228">
        <v>0</v>
      </c>
      <c r="AS96" s="230">
        <v>2952</v>
      </c>
      <c r="AT96" s="228">
        <v>978</v>
      </c>
      <c r="AU96" s="230">
        <v>1974</v>
      </c>
      <c r="AV96" s="229">
        <v>2.0185</v>
      </c>
      <c r="AW96" s="230">
        <v>1515</v>
      </c>
      <c r="AX96" s="228">
        <v>608</v>
      </c>
      <c r="AY96" s="228">
        <v>908</v>
      </c>
      <c r="AZ96" s="229">
        <v>1.4935</v>
      </c>
      <c r="BA96" s="230">
        <v>1423</v>
      </c>
      <c r="BB96" s="228">
        <v>363</v>
      </c>
      <c r="BC96" s="230">
        <v>1059</v>
      </c>
      <c r="BD96" s="229">
        <v>2.9169999999999998</v>
      </c>
      <c r="BE96" s="228">
        <v>14</v>
      </c>
      <c r="BF96" s="228">
        <v>7</v>
      </c>
      <c r="BG96" s="228">
        <v>7</v>
      </c>
      <c r="BH96" s="229">
        <v>0.97529999999999994</v>
      </c>
      <c r="BI96" s="230">
        <v>3975</v>
      </c>
      <c r="BJ96" s="230">
        <v>3898</v>
      </c>
      <c r="BK96" s="228">
        <v>77</v>
      </c>
      <c r="BL96" s="229">
        <v>1.9599999999999999E-2</v>
      </c>
      <c r="BM96" s="230">
        <v>1828</v>
      </c>
      <c r="BN96" s="230">
        <v>2250</v>
      </c>
      <c r="BO96" s="228">
        <v>-422</v>
      </c>
      <c r="BP96" s="229">
        <v>-0.18770000000000001</v>
      </c>
      <c r="BQ96" s="230">
        <v>8754</v>
      </c>
      <c r="BR96" s="230">
        <v>7127</v>
      </c>
      <c r="BS96" s="230">
        <v>1628</v>
      </c>
      <c r="BT96" s="229">
        <v>0.22839999999999999</v>
      </c>
      <c r="BU96" s="230">
        <v>442522</v>
      </c>
      <c r="BV96" s="230">
        <v>797534</v>
      </c>
      <c r="BW96" s="230">
        <v>-355012</v>
      </c>
      <c r="BX96" s="229">
        <v>-0.4451</v>
      </c>
      <c r="BY96" s="230">
        <v>4605</v>
      </c>
      <c r="BZ96" s="230">
        <v>4520</v>
      </c>
      <c r="CA96" s="228">
        <v>85</v>
      </c>
      <c r="CB96" s="229">
        <v>1.8800000000000001E-2</v>
      </c>
      <c r="CC96" s="230">
        <v>2934</v>
      </c>
      <c r="CD96" s="230">
        <v>3946</v>
      </c>
      <c r="CE96" s="230">
        <v>-1012</v>
      </c>
      <c r="CF96" s="229">
        <v>-0.25640000000000002</v>
      </c>
      <c r="CG96" s="230">
        <v>1644</v>
      </c>
      <c r="CH96" s="228">
        <v>549</v>
      </c>
      <c r="CI96" s="230">
        <v>1095</v>
      </c>
      <c r="CJ96" s="229">
        <v>1.9926999999999999</v>
      </c>
      <c r="CK96" s="228">
        <v>26</v>
      </c>
      <c r="CL96" s="228">
        <v>24</v>
      </c>
      <c r="CM96" s="228">
        <v>2</v>
      </c>
      <c r="CN96" s="229">
        <v>7.8600000000000003E-2</v>
      </c>
      <c r="CO96" s="230">
        <v>2111</v>
      </c>
      <c r="CP96" s="230">
        <v>2260</v>
      </c>
      <c r="CQ96" s="228">
        <v>-149</v>
      </c>
      <c r="CR96" s="229">
        <v>-6.5799999999999997E-2</v>
      </c>
      <c r="CS96" s="230">
        <v>1258</v>
      </c>
      <c r="CT96" s="230">
        <v>1301</v>
      </c>
      <c r="CU96" s="228">
        <v>-44</v>
      </c>
      <c r="CV96" s="229">
        <v>-3.3599999999999998E-2</v>
      </c>
      <c r="CW96" s="230">
        <v>7974</v>
      </c>
      <c r="CX96" s="230">
        <v>8081</v>
      </c>
      <c r="CY96" s="228">
        <v>-107</v>
      </c>
      <c r="CZ96" s="229">
        <v>-1.3299999999999999E-2</v>
      </c>
      <c r="DA96" s="228">
        <v>20.3</v>
      </c>
      <c r="DB96" s="228">
        <v>22.3</v>
      </c>
      <c r="DC96" s="228">
        <v>-2</v>
      </c>
      <c r="DD96" s="228">
        <v>-2</v>
      </c>
      <c r="DE96" s="228">
        <v>32.03</v>
      </c>
      <c r="DF96" s="228">
        <v>32.11</v>
      </c>
      <c r="DG96" s="228">
        <v>-11.73</v>
      </c>
      <c r="DH96" s="228">
        <v>-0.08</v>
      </c>
      <c r="DI96" s="228">
        <v>20.16</v>
      </c>
      <c r="DJ96" s="228">
        <v>22.43</v>
      </c>
      <c r="DK96" s="228">
        <v>-2.27</v>
      </c>
      <c r="DL96" s="228">
        <v>-2.27</v>
      </c>
      <c r="DM96" s="228">
        <v>20.52</v>
      </c>
      <c r="DN96" s="228">
        <v>22.08</v>
      </c>
      <c r="DO96" s="228">
        <v>-1.56</v>
      </c>
      <c r="DP96" s="228">
        <v>-1.56</v>
      </c>
      <c r="DQ96" s="228">
        <v>0.6</v>
      </c>
      <c r="DR96" s="228">
        <v>0.57999999999999996</v>
      </c>
      <c r="DS96" s="228">
        <v>0.02</v>
      </c>
      <c r="DT96" s="229">
        <v>3.4500000000000003E-2</v>
      </c>
      <c r="DU96" s="231">
        <v>5900</v>
      </c>
      <c r="DV96" s="231">
        <v>6000</v>
      </c>
      <c r="DW96" s="228">
        <v>0.46</v>
      </c>
      <c r="DX96" s="228">
        <v>0.57999999999999996</v>
      </c>
      <c r="DY96" s="228">
        <v>-0.12</v>
      </c>
      <c r="DZ96" s="229">
        <v>-0.2069</v>
      </c>
      <c r="EA96" s="229">
        <v>0.36280000000000001</v>
      </c>
      <c r="EB96" s="230">
        <v>991350</v>
      </c>
      <c r="EC96" s="229">
        <v>6.0000000000000001E-3</v>
      </c>
      <c r="ED96" s="229">
        <v>0.36280000000000001</v>
      </c>
      <c r="EE96" s="228">
        <v>32.17</v>
      </c>
      <c r="EF96" s="229">
        <v>5.4999999999999997E-3</v>
      </c>
      <c r="EG96" s="230">
        <v>269848</v>
      </c>
      <c r="EH96" s="230">
        <v>547648</v>
      </c>
      <c r="EI96" s="229">
        <v>-0.50729999999999997</v>
      </c>
      <c r="EJ96" s="229">
        <v>0.60980000000000001</v>
      </c>
      <c r="EK96" s="231">
        <v>4087.18</v>
      </c>
      <c r="EL96" s="231">
        <v>1807.88</v>
      </c>
      <c r="EM96" s="231">
        <v>2967.34</v>
      </c>
      <c r="EN96" s="228">
        <v>79.91</v>
      </c>
      <c r="EO96" s="231">
        <v>8862.4</v>
      </c>
      <c r="EP96" s="231">
        <v>7172.28</v>
      </c>
      <c r="EQ96" s="231">
        <v>1690.12</v>
      </c>
      <c r="ER96" s="229">
        <v>0.2356</v>
      </c>
      <c r="ES96" s="231">
        <v>2180.52</v>
      </c>
      <c r="ET96" s="231">
        <v>1226.1300000000001</v>
      </c>
      <c r="EU96" s="231">
        <v>4615.05</v>
      </c>
      <c r="EV96" s="231">
        <v>32732860</v>
      </c>
      <c r="EW96" s="231">
        <v>8021.7</v>
      </c>
      <c r="EX96" s="231">
        <v>8104.85</v>
      </c>
      <c r="EY96" s="228">
        <v>-83.15</v>
      </c>
      <c r="EZ96" s="229">
        <v>-1.03E-2</v>
      </c>
      <c r="FA96" s="229">
        <v>0.4209</v>
      </c>
      <c r="FB96" s="227" t="s">
        <v>555</v>
      </c>
      <c r="FC96">
        <f t="shared" si="1"/>
        <v>1671</v>
      </c>
    </row>
    <row r="97" spans="1:159" ht="17.25" thickBot="1" x14ac:dyDescent="0.3">
      <c r="A97" s="226">
        <v>45981</v>
      </c>
      <c r="B97" s="227" t="s">
        <v>172</v>
      </c>
      <c r="C97" s="227" t="s">
        <v>239</v>
      </c>
      <c r="D97" s="228">
        <v>700</v>
      </c>
      <c r="E97" s="228">
        <v>5</v>
      </c>
      <c r="F97" s="228">
        <v>830.05</v>
      </c>
      <c r="G97" s="228">
        <v>840.7</v>
      </c>
      <c r="H97" s="228">
        <v>-10.65</v>
      </c>
      <c r="I97" s="229">
        <v>-1.2699999999999999E-2</v>
      </c>
      <c r="J97" s="228">
        <v>829.4</v>
      </c>
      <c r="K97" s="228">
        <v>839.6</v>
      </c>
      <c r="L97" s="228">
        <v>-10.199999999999999</v>
      </c>
      <c r="M97" s="229">
        <v>-1.21E-2</v>
      </c>
      <c r="N97" s="228">
        <v>830.05</v>
      </c>
      <c r="O97" s="228">
        <v>840.7</v>
      </c>
      <c r="P97" s="228">
        <v>-10.65</v>
      </c>
      <c r="Q97" s="229">
        <v>-1.2699999999999999E-2</v>
      </c>
      <c r="R97" s="228">
        <v>835.6</v>
      </c>
      <c r="S97" s="228">
        <v>846.45</v>
      </c>
      <c r="T97" s="228">
        <v>-10.85</v>
      </c>
      <c r="U97" s="229">
        <v>-1.2800000000000001E-2</v>
      </c>
      <c r="V97" s="228">
        <v>841.1</v>
      </c>
      <c r="W97" s="228">
        <v>851.2</v>
      </c>
      <c r="X97" s="228">
        <v>-10.1</v>
      </c>
      <c r="Y97" s="229">
        <v>-1.1900000000000001E-2</v>
      </c>
      <c r="Z97" s="228">
        <v>0.65</v>
      </c>
      <c r="AA97" s="228">
        <v>1.1000000000000001</v>
      </c>
      <c r="AB97" s="228">
        <v>-0.45</v>
      </c>
      <c r="AC97" s="229">
        <v>8.0000000000000004E-4</v>
      </c>
      <c r="AD97" s="228">
        <v>0.65</v>
      </c>
      <c r="AE97" s="228">
        <v>1.1000000000000001</v>
      </c>
      <c r="AF97" s="228">
        <v>-0.45</v>
      </c>
      <c r="AG97" s="229">
        <v>8.0000000000000004E-4</v>
      </c>
      <c r="AH97" s="228">
        <v>6.2</v>
      </c>
      <c r="AI97" s="228">
        <v>6.85</v>
      </c>
      <c r="AJ97" s="228">
        <v>-0.65</v>
      </c>
      <c r="AK97" s="229">
        <v>7.4999999999999997E-3</v>
      </c>
      <c r="AL97" s="228">
        <v>11.7</v>
      </c>
      <c r="AM97" s="228">
        <v>11.6</v>
      </c>
      <c r="AN97" s="228">
        <v>0.1</v>
      </c>
      <c r="AO97" s="229">
        <v>1.41E-2</v>
      </c>
      <c r="AP97" s="228">
        <v>833.14</v>
      </c>
      <c r="AQ97" s="228">
        <v>838.49</v>
      </c>
      <c r="AR97" s="228">
        <v>0</v>
      </c>
      <c r="AS97" s="230">
        <v>2085</v>
      </c>
      <c r="AT97" s="230">
        <v>1206</v>
      </c>
      <c r="AU97" s="228">
        <v>879</v>
      </c>
      <c r="AV97" s="229">
        <v>0.72840000000000005</v>
      </c>
      <c r="AW97" s="230">
        <v>1108</v>
      </c>
      <c r="AX97" s="228">
        <v>726</v>
      </c>
      <c r="AY97" s="228">
        <v>382</v>
      </c>
      <c r="AZ97" s="229">
        <v>0.52529999999999999</v>
      </c>
      <c r="BA97" s="228">
        <v>964</v>
      </c>
      <c r="BB97" s="228">
        <v>467</v>
      </c>
      <c r="BC97" s="228">
        <v>496</v>
      </c>
      <c r="BD97" s="229">
        <v>1.0624</v>
      </c>
      <c r="BE97" s="228">
        <v>13</v>
      </c>
      <c r="BF97" s="228">
        <v>13</v>
      </c>
      <c r="BG97" s="228">
        <v>1</v>
      </c>
      <c r="BH97" s="229">
        <v>5.96E-2</v>
      </c>
      <c r="BI97" s="230">
        <v>2280</v>
      </c>
      <c r="BJ97" s="230">
        <v>1955</v>
      </c>
      <c r="BK97" s="228">
        <v>325</v>
      </c>
      <c r="BL97" s="229">
        <v>0.1663</v>
      </c>
      <c r="BM97" s="230">
        <v>1107</v>
      </c>
      <c r="BN97" s="230">
        <v>1269</v>
      </c>
      <c r="BO97" s="228">
        <v>-162</v>
      </c>
      <c r="BP97" s="229">
        <v>-0.128</v>
      </c>
      <c r="BQ97" s="230">
        <v>5472</v>
      </c>
      <c r="BR97" s="230">
        <v>4431</v>
      </c>
      <c r="BS97" s="230">
        <v>1041</v>
      </c>
      <c r="BT97" s="229">
        <v>0.23499999999999999</v>
      </c>
      <c r="BU97" s="230">
        <v>5217700</v>
      </c>
      <c r="BV97" s="230">
        <v>2418050</v>
      </c>
      <c r="BW97" s="230">
        <v>2799650</v>
      </c>
      <c r="BX97" s="229">
        <v>1.1577999999999999</v>
      </c>
      <c r="BY97" s="230">
        <v>3974</v>
      </c>
      <c r="BZ97" s="230">
        <v>3920</v>
      </c>
      <c r="CA97" s="228">
        <v>54</v>
      </c>
      <c r="CB97" s="229">
        <v>1.38E-2</v>
      </c>
      <c r="CC97" s="230">
        <v>2448</v>
      </c>
      <c r="CD97" s="230">
        <v>3174</v>
      </c>
      <c r="CE97" s="228">
        <v>-726</v>
      </c>
      <c r="CF97" s="229">
        <v>-0.2288</v>
      </c>
      <c r="CG97" s="230">
        <v>1432</v>
      </c>
      <c r="CH97" s="228">
        <v>658</v>
      </c>
      <c r="CI97" s="228">
        <v>774</v>
      </c>
      <c r="CJ97" s="229">
        <v>1.1765000000000001</v>
      </c>
      <c r="CK97" s="228">
        <v>94</v>
      </c>
      <c r="CL97" s="228">
        <v>88</v>
      </c>
      <c r="CM97" s="228">
        <v>6</v>
      </c>
      <c r="CN97" s="229">
        <v>6.7400000000000002E-2</v>
      </c>
      <c r="CO97" s="230">
        <v>1563</v>
      </c>
      <c r="CP97" s="230">
        <v>1540</v>
      </c>
      <c r="CQ97" s="228">
        <v>22</v>
      </c>
      <c r="CR97" s="229">
        <v>1.46E-2</v>
      </c>
      <c r="CS97" s="230">
        <v>1137</v>
      </c>
      <c r="CT97" s="230">
        <v>1126</v>
      </c>
      <c r="CU97" s="228">
        <v>11</v>
      </c>
      <c r="CV97" s="229">
        <v>9.7999999999999997E-3</v>
      </c>
      <c r="CW97" s="230">
        <v>6673</v>
      </c>
      <c r="CX97" s="230">
        <v>6586</v>
      </c>
      <c r="CY97" s="228">
        <v>87</v>
      </c>
      <c r="CZ97" s="229">
        <v>1.3299999999999999E-2</v>
      </c>
      <c r="DA97" s="228">
        <v>27.4</v>
      </c>
      <c r="DB97" s="228">
        <v>28.52</v>
      </c>
      <c r="DC97" s="228">
        <v>-1.1200000000000001</v>
      </c>
      <c r="DD97" s="228">
        <v>-1.1200000000000001</v>
      </c>
      <c r="DE97" s="228">
        <v>45.82</v>
      </c>
      <c r="DF97" s="228">
        <v>45.9</v>
      </c>
      <c r="DG97" s="228">
        <v>-18.420000000000002</v>
      </c>
      <c r="DH97" s="228">
        <v>-0.08</v>
      </c>
      <c r="DI97" s="228">
        <v>27.71</v>
      </c>
      <c r="DJ97" s="228">
        <v>28.06</v>
      </c>
      <c r="DK97" s="228">
        <v>-0.35</v>
      </c>
      <c r="DL97" s="228">
        <v>-0.35</v>
      </c>
      <c r="DM97" s="228">
        <v>26.68</v>
      </c>
      <c r="DN97" s="228">
        <v>29.22</v>
      </c>
      <c r="DO97" s="228">
        <v>-2.54</v>
      </c>
      <c r="DP97" s="228">
        <v>-2.54</v>
      </c>
      <c r="DQ97" s="228">
        <v>0.73</v>
      </c>
      <c r="DR97" s="228">
        <v>0.73</v>
      </c>
      <c r="DS97" s="228">
        <v>0</v>
      </c>
      <c r="DT97" s="229">
        <v>0</v>
      </c>
      <c r="DU97" s="228">
        <v>900</v>
      </c>
      <c r="DV97" s="228">
        <v>800</v>
      </c>
      <c r="DW97" s="228">
        <v>0.49</v>
      </c>
      <c r="DX97" s="228">
        <v>0.65</v>
      </c>
      <c r="DY97" s="228">
        <v>-0.16</v>
      </c>
      <c r="DZ97" s="229">
        <v>-0.2462</v>
      </c>
      <c r="EA97" s="229">
        <v>0.3841</v>
      </c>
      <c r="EB97" s="230">
        <v>8987300</v>
      </c>
      <c r="EC97" s="229">
        <v>6.7000000000000002E-3</v>
      </c>
      <c r="ED97" s="229">
        <v>0.3841</v>
      </c>
      <c r="EE97" s="228">
        <v>5.35</v>
      </c>
      <c r="EF97" s="229">
        <v>6.4000000000000003E-3</v>
      </c>
      <c r="EG97" s="230">
        <v>3326975</v>
      </c>
      <c r="EH97" s="230">
        <v>1209744</v>
      </c>
      <c r="EI97" s="229">
        <v>1.7501</v>
      </c>
      <c r="EJ97" s="229">
        <v>0.63759999999999994</v>
      </c>
      <c r="EK97" s="231">
        <v>2387.37</v>
      </c>
      <c r="EL97" s="231">
        <v>1099.71</v>
      </c>
      <c r="EM97" s="231">
        <v>2099.25</v>
      </c>
      <c r="EN97" s="228">
        <v>176.33</v>
      </c>
      <c r="EO97" s="231">
        <v>5586.33</v>
      </c>
      <c r="EP97" s="231">
        <v>4552.16</v>
      </c>
      <c r="EQ97" s="231">
        <v>1034.17</v>
      </c>
      <c r="ER97" s="229">
        <v>0.22720000000000001</v>
      </c>
      <c r="ES97" s="231">
        <v>1607.11</v>
      </c>
      <c r="ET97" s="231">
        <v>1097.1600000000001</v>
      </c>
      <c r="EU97" s="231">
        <v>3984.64</v>
      </c>
      <c r="EV97" s="231">
        <v>93805784</v>
      </c>
      <c r="EW97" s="231">
        <v>6688.91</v>
      </c>
      <c r="EX97" s="231">
        <v>6644.67</v>
      </c>
      <c r="EY97" s="228">
        <v>44.24</v>
      </c>
      <c r="EZ97" s="229">
        <v>6.7000000000000002E-3</v>
      </c>
      <c r="FA97" s="229">
        <v>0.85699999999999998</v>
      </c>
      <c r="FB97" s="227" t="s">
        <v>567</v>
      </c>
      <c r="FC97">
        <f t="shared" si="1"/>
        <v>1526</v>
      </c>
    </row>
    <row r="98" spans="1:159" ht="17.25" thickBot="1" x14ac:dyDescent="0.3">
      <c r="A98" s="226">
        <v>45981</v>
      </c>
      <c r="B98" s="227" t="s">
        <v>188</v>
      </c>
      <c r="C98" s="227" t="s">
        <v>473</v>
      </c>
      <c r="D98" s="228">
        <v>1700</v>
      </c>
      <c r="E98" s="228">
        <v>5</v>
      </c>
      <c r="F98" s="228">
        <v>400.7</v>
      </c>
      <c r="G98" s="228">
        <v>404.15</v>
      </c>
      <c r="H98" s="228">
        <v>-3.45</v>
      </c>
      <c r="I98" s="229">
        <v>-8.5000000000000006E-3</v>
      </c>
      <c r="J98" s="228">
        <v>400.5</v>
      </c>
      <c r="K98" s="228">
        <v>403.25</v>
      </c>
      <c r="L98" s="228">
        <v>-2.75</v>
      </c>
      <c r="M98" s="229">
        <v>-6.7999999999999996E-3</v>
      </c>
      <c r="N98" s="228">
        <v>400.7</v>
      </c>
      <c r="O98" s="228">
        <v>404.15</v>
      </c>
      <c r="P98" s="228">
        <v>-3.45</v>
      </c>
      <c r="Q98" s="229">
        <v>-8.5000000000000006E-3</v>
      </c>
      <c r="R98" s="228">
        <v>403.45</v>
      </c>
      <c r="S98" s="228">
        <v>406.8</v>
      </c>
      <c r="T98" s="228">
        <v>-3.35</v>
      </c>
      <c r="U98" s="229">
        <v>-8.2000000000000007E-3</v>
      </c>
      <c r="V98" s="228">
        <v>406.25</v>
      </c>
      <c r="W98" s="228">
        <v>409.45</v>
      </c>
      <c r="X98" s="228">
        <v>-3.2</v>
      </c>
      <c r="Y98" s="229">
        <v>-7.7999999999999996E-3</v>
      </c>
      <c r="Z98" s="228">
        <v>0.2</v>
      </c>
      <c r="AA98" s="228">
        <v>0.9</v>
      </c>
      <c r="AB98" s="228">
        <v>-0.7</v>
      </c>
      <c r="AC98" s="229">
        <v>5.0000000000000001E-4</v>
      </c>
      <c r="AD98" s="228">
        <v>0.2</v>
      </c>
      <c r="AE98" s="228">
        <v>0.9</v>
      </c>
      <c r="AF98" s="228">
        <v>-0.7</v>
      </c>
      <c r="AG98" s="229">
        <v>5.0000000000000001E-4</v>
      </c>
      <c r="AH98" s="228">
        <v>2.95</v>
      </c>
      <c r="AI98" s="228">
        <v>3.55</v>
      </c>
      <c r="AJ98" s="228">
        <v>-0.6</v>
      </c>
      <c r="AK98" s="229">
        <v>7.4000000000000003E-3</v>
      </c>
      <c r="AL98" s="228">
        <v>5.75</v>
      </c>
      <c r="AM98" s="228">
        <v>6.2</v>
      </c>
      <c r="AN98" s="228">
        <v>-0.45</v>
      </c>
      <c r="AO98" s="229">
        <v>1.44E-2</v>
      </c>
      <c r="AP98" s="228">
        <v>402.79</v>
      </c>
      <c r="AQ98" s="228">
        <v>405.61</v>
      </c>
      <c r="AR98" s="228">
        <v>0</v>
      </c>
      <c r="AS98" s="230">
        <v>1265</v>
      </c>
      <c r="AT98" s="228">
        <v>814</v>
      </c>
      <c r="AU98" s="228">
        <v>450</v>
      </c>
      <c r="AV98" s="229">
        <v>0.55279999999999996</v>
      </c>
      <c r="AW98" s="228">
        <v>659</v>
      </c>
      <c r="AX98" s="228">
        <v>456</v>
      </c>
      <c r="AY98" s="228">
        <v>202</v>
      </c>
      <c r="AZ98" s="229">
        <v>0.44350000000000001</v>
      </c>
      <c r="BA98" s="228">
        <v>603</v>
      </c>
      <c r="BB98" s="228">
        <v>355</v>
      </c>
      <c r="BC98" s="228">
        <v>248</v>
      </c>
      <c r="BD98" s="229">
        <v>0.69769999999999999</v>
      </c>
      <c r="BE98" s="228">
        <v>3</v>
      </c>
      <c r="BF98" s="228">
        <v>3</v>
      </c>
      <c r="BG98" s="228">
        <v>0</v>
      </c>
      <c r="BH98" s="229">
        <v>-2.4400000000000002E-2</v>
      </c>
      <c r="BI98" s="228">
        <v>941</v>
      </c>
      <c r="BJ98" s="228">
        <v>794</v>
      </c>
      <c r="BK98" s="228">
        <v>147</v>
      </c>
      <c r="BL98" s="229">
        <v>0.18509999999999999</v>
      </c>
      <c r="BM98" s="228">
        <v>595</v>
      </c>
      <c r="BN98" s="228">
        <v>510</v>
      </c>
      <c r="BO98" s="228">
        <v>85</v>
      </c>
      <c r="BP98" s="229">
        <v>0.1661</v>
      </c>
      <c r="BQ98" s="230">
        <v>2801</v>
      </c>
      <c r="BR98" s="230">
        <v>2119</v>
      </c>
      <c r="BS98" s="228">
        <v>682</v>
      </c>
      <c r="BT98" s="229">
        <v>0.32190000000000002</v>
      </c>
      <c r="BU98" s="230">
        <v>3882978</v>
      </c>
      <c r="BV98" s="230">
        <v>4700906</v>
      </c>
      <c r="BW98" s="230">
        <v>-817928</v>
      </c>
      <c r="BX98" s="229">
        <v>-0.17399999999999999</v>
      </c>
      <c r="BY98" s="230">
        <v>3768</v>
      </c>
      <c r="BZ98" s="230">
        <v>3767</v>
      </c>
      <c r="CA98" s="228">
        <v>1</v>
      </c>
      <c r="CB98" s="229">
        <v>2.9999999999999997E-4</v>
      </c>
      <c r="CC98" s="230">
        <v>2566</v>
      </c>
      <c r="CD98" s="230">
        <v>3051</v>
      </c>
      <c r="CE98" s="228">
        <v>-485</v>
      </c>
      <c r="CF98" s="229">
        <v>-0.15890000000000001</v>
      </c>
      <c r="CG98" s="230">
        <v>1192</v>
      </c>
      <c r="CH98" s="228">
        <v>707</v>
      </c>
      <c r="CI98" s="228">
        <v>485</v>
      </c>
      <c r="CJ98" s="229">
        <v>0.68640000000000001</v>
      </c>
      <c r="CK98" s="228">
        <v>10</v>
      </c>
      <c r="CL98" s="228">
        <v>9</v>
      </c>
      <c r="CM98" s="228">
        <v>1</v>
      </c>
      <c r="CN98" s="229">
        <v>8.8200000000000001E-2</v>
      </c>
      <c r="CO98" s="230">
        <v>1083</v>
      </c>
      <c r="CP98" s="230">
        <v>1124</v>
      </c>
      <c r="CQ98" s="228">
        <v>-40</v>
      </c>
      <c r="CR98" s="229">
        <v>-3.5700000000000003E-2</v>
      </c>
      <c r="CS98" s="228">
        <v>801</v>
      </c>
      <c r="CT98" s="228">
        <v>833</v>
      </c>
      <c r="CU98" s="228">
        <v>-32</v>
      </c>
      <c r="CV98" s="229">
        <v>-3.8600000000000002E-2</v>
      </c>
      <c r="CW98" s="230">
        <v>5653</v>
      </c>
      <c r="CX98" s="230">
        <v>5724</v>
      </c>
      <c r="CY98" s="228">
        <v>-71</v>
      </c>
      <c r="CZ98" s="229">
        <v>-1.24E-2</v>
      </c>
      <c r="DA98" s="228">
        <v>25.13</v>
      </c>
      <c r="DB98" s="228">
        <v>28.79</v>
      </c>
      <c r="DC98" s="228">
        <v>-3.66</v>
      </c>
      <c r="DD98" s="228">
        <v>-3.66</v>
      </c>
      <c r="DE98" s="228">
        <v>39.68</v>
      </c>
      <c r="DF98" s="228">
        <v>39.770000000000003</v>
      </c>
      <c r="DG98" s="228">
        <v>-14.55</v>
      </c>
      <c r="DH98" s="228">
        <v>-0.09</v>
      </c>
      <c r="DI98" s="228">
        <v>25.17</v>
      </c>
      <c r="DJ98" s="228">
        <v>27.38</v>
      </c>
      <c r="DK98" s="228">
        <v>-2.21</v>
      </c>
      <c r="DL98" s="228">
        <v>-2.21</v>
      </c>
      <c r="DM98" s="228">
        <v>25.06</v>
      </c>
      <c r="DN98" s="228">
        <v>30.99</v>
      </c>
      <c r="DO98" s="228">
        <v>-5.93</v>
      </c>
      <c r="DP98" s="228">
        <v>-5.93</v>
      </c>
      <c r="DQ98" s="228">
        <v>0.74</v>
      </c>
      <c r="DR98" s="228">
        <v>0.74</v>
      </c>
      <c r="DS98" s="228">
        <v>0</v>
      </c>
      <c r="DT98" s="229">
        <v>0</v>
      </c>
      <c r="DU98" s="228">
        <v>410</v>
      </c>
      <c r="DV98" s="228">
        <v>400</v>
      </c>
      <c r="DW98" s="228">
        <v>0.63</v>
      </c>
      <c r="DX98" s="228">
        <v>0.64</v>
      </c>
      <c r="DY98" s="228">
        <v>-0.01</v>
      </c>
      <c r="DZ98" s="229">
        <v>-1.5599999999999999E-2</v>
      </c>
      <c r="EA98" s="229">
        <v>0.31900000000000001</v>
      </c>
      <c r="EB98" s="230">
        <v>17872100</v>
      </c>
      <c r="EC98" s="229">
        <v>6.8999999999999999E-3</v>
      </c>
      <c r="ED98" s="229">
        <v>0.31900000000000001</v>
      </c>
      <c r="EE98" s="228">
        <v>2.82</v>
      </c>
      <c r="EF98" s="229">
        <v>7.0000000000000001E-3</v>
      </c>
      <c r="EG98" s="230">
        <v>2154654</v>
      </c>
      <c r="EH98" s="230">
        <v>3193497</v>
      </c>
      <c r="EI98" s="229">
        <v>-0.32529999999999998</v>
      </c>
      <c r="EJ98" s="229">
        <v>0.55489999999999995</v>
      </c>
      <c r="EK98" s="228">
        <v>975.86</v>
      </c>
      <c r="EL98" s="228">
        <v>586.66</v>
      </c>
      <c r="EM98" s="231">
        <v>1275.51</v>
      </c>
      <c r="EN98" s="228">
        <v>88.07</v>
      </c>
      <c r="EO98" s="231">
        <v>2838.02</v>
      </c>
      <c r="EP98" s="231">
        <v>2153.29</v>
      </c>
      <c r="EQ98" s="228">
        <v>684.73</v>
      </c>
      <c r="ER98" s="229">
        <v>0.318</v>
      </c>
      <c r="ES98" s="231">
        <v>1090.27</v>
      </c>
      <c r="ET98" s="228">
        <v>760.12</v>
      </c>
      <c r="EU98" s="231">
        <v>3776.66</v>
      </c>
      <c r="EV98" s="231">
        <v>197705578</v>
      </c>
      <c r="EW98" s="231">
        <v>5627.06</v>
      </c>
      <c r="EX98" s="231">
        <v>5726.5</v>
      </c>
      <c r="EY98" s="228">
        <v>-99.44</v>
      </c>
      <c r="EZ98" s="229">
        <v>-1.7399999999999999E-2</v>
      </c>
      <c r="FA98" s="229">
        <v>0.71350000000000002</v>
      </c>
      <c r="FB98" s="227" t="s">
        <v>567</v>
      </c>
      <c r="FC98">
        <f t="shared" si="1"/>
        <v>1202</v>
      </c>
    </row>
    <row r="99" spans="1:159" ht="17.25" thickBot="1" x14ac:dyDescent="0.3">
      <c r="A99" s="226">
        <v>45981</v>
      </c>
      <c r="B99" s="227" t="s">
        <v>221</v>
      </c>
      <c r="C99" s="227" t="s">
        <v>240</v>
      </c>
      <c r="D99" s="228">
        <v>400</v>
      </c>
      <c r="E99" s="228">
        <v>5</v>
      </c>
      <c r="F99" s="231">
        <v>1539.2</v>
      </c>
      <c r="G99" s="231">
        <v>1542.1</v>
      </c>
      <c r="H99" s="228">
        <v>-2.9</v>
      </c>
      <c r="I99" s="229">
        <v>-1.9E-3</v>
      </c>
      <c r="J99" s="231">
        <v>1536.5</v>
      </c>
      <c r="K99" s="231">
        <v>1541.1</v>
      </c>
      <c r="L99" s="228">
        <v>-4.5999999999999996</v>
      </c>
      <c r="M99" s="229">
        <v>-3.0000000000000001E-3</v>
      </c>
      <c r="N99" s="231">
        <v>1539.2</v>
      </c>
      <c r="O99" s="231">
        <v>1542.1</v>
      </c>
      <c r="P99" s="228">
        <v>-2.9</v>
      </c>
      <c r="Q99" s="229">
        <v>-1.9E-3</v>
      </c>
      <c r="R99" s="231">
        <v>1539.2</v>
      </c>
      <c r="S99" s="231">
        <v>1544</v>
      </c>
      <c r="T99" s="228">
        <v>-4.8</v>
      </c>
      <c r="U99" s="229">
        <v>-3.0999999999999999E-3</v>
      </c>
      <c r="V99" s="231">
        <v>1546.9</v>
      </c>
      <c r="W99" s="231">
        <v>1549.3</v>
      </c>
      <c r="X99" s="228">
        <v>-2.4</v>
      </c>
      <c r="Y99" s="229">
        <v>-1.5E-3</v>
      </c>
      <c r="Z99" s="228">
        <v>2.7</v>
      </c>
      <c r="AA99" s="228">
        <v>1</v>
      </c>
      <c r="AB99" s="228">
        <v>1.7</v>
      </c>
      <c r="AC99" s="229">
        <v>1.8E-3</v>
      </c>
      <c r="AD99" s="228">
        <v>2.7</v>
      </c>
      <c r="AE99" s="228">
        <v>1</v>
      </c>
      <c r="AF99" s="228">
        <v>1.7</v>
      </c>
      <c r="AG99" s="229">
        <v>1.8E-3</v>
      </c>
      <c r="AH99" s="228">
        <v>2.7</v>
      </c>
      <c r="AI99" s="228">
        <v>2.9</v>
      </c>
      <c r="AJ99" s="228">
        <v>-0.2</v>
      </c>
      <c r="AK99" s="229">
        <v>1.8E-3</v>
      </c>
      <c r="AL99" s="228">
        <v>10.4</v>
      </c>
      <c r="AM99" s="228">
        <v>8.1999999999999993</v>
      </c>
      <c r="AN99" s="228">
        <v>2.2000000000000002</v>
      </c>
      <c r="AO99" s="229">
        <v>6.7999999999999996E-3</v>
      </c>
      <c r="AP99" s="231">
        <v>1540.62</v>
      </c>
      <c r="AQ99" s="231">
        <v>1540.42</v>
      </c>
      <c r="AR99" s="228">
        <v>0</v>
      </c>
      <c r="AS99" s="230">
        <v>6542</v>
      </c>
      <c r="AT99" s="230">
        <v>3094</v>
      </c>
      <c r="AU99" s="230">
        <v>3448</v>
      </c>
      <c r="AV99" s="229">
        <v>1.1147</v>
      </c>
      <c r="AW99" s="230">
        <v>3363</v>
      </c>
      <c r="AX99" s="230">
        <v>2350</v>
      </c>
      <c r="AY99" s="230">
        <v>1014</v>
      </c>
      <c r="AZ99" s="229">
        <v>0.43140000000000001</v>
      </c>
      <c r="BA99" s="230">
        <v>3163</v>
      </c>
      <c r="BB99" s="228">
        <v>689</v>
      </c>
      <c r="BC99" s="230">
        <v>2473</v>
      </c>
      <c r="BD99" s="229">
        <v>3.5880999999999998</v>
      </c>
      <c r="BE99" s="228">
        <v>16</v>
      </c>
      <c r="BF99" s="228">
        <v>55</v>
      </c>
      <c r="BG99" s="228">
        <v>-39</v>
      </c>
      <c r="BH99" s="229">
        <v>-0.70650000000000002</v>
      </c>
      <c r="BI99" s="230">
        <v>7608</v>
      </c>
      <c r="BJ99" s="230">
        <v>21189</v>
      </c>
      <c r="BK99" s="230">
        <v>-13582</v>
      </c>
      <c r="BL99" s="229">
        <v>-0.64100000000000001</v>
      </c>
      <c r="BM99" s="230">
        <v>4606</v>
      </c>
      <c r="BN99" s="230">
        <v>8641</v>
      </c>
      <c r="BO99" s="230">
        <v>-4035</v>
      </c>
      <c r="BP99" s="229">
        <v>-0.46689999999999998</v>
      </c>
      <c r="BQ99" s="230">
        <v>18756</v>
      </c>
      <c r="BR99" s="230">
        <v>32924</v>
      </c>
      <c r="BS99" s="230">
        <v>-14168</v>
      </c>
      <c r="BT99" s="229">
        <v>-0.43030000000000002</v>
      </c>
      <c r="BU99" s="230">
        <v>8319817</v>
      </c>
      <c r="BV99" s="230">
        <v>11396251</v>
      </c>
      <c r="BW99" s="230">
        <v>-3076434</v>
      </c>
      <c r="BX99" s="229">
        <v>-0.27</v>
      </c>
      <c r="BY99" s="230">
        <v>11676</v>
      </c>
      <c r="BZ99" s="230">
        <v>11320</v>
      </c>
      <c r="CA99" s="228">
        <v>355</v>
      </c>
      <c r="CB99" s="229">
        <v>3.1399999999999997E-2</v>
      </c>
      <c r="CC99" s="230">
        <v>5985</v>
      </c>
      <c r="CD99" s="230">
        <v>8287</v>
      </c>
      <c r="CE99" s="230">
        <v>-2302</v>
      </c>
      <c r="CF99" s="229">
        <v>-0.27779999999999999</v>
      </c>
      <c r="CG99" s="230">
        <v>5616</v>
      </c>
      <c r="CH99" s="230">
        <v>2961</v>
      </c>
      <c r="CI99" s="230">
        <v>2655</v>
      </c>
      <c r="CJ99" s="229">
        <v>0.89680000000000004</v>
      </c>
      <c r="CK99" s="228">
        <v>74</v>
      </c>
      <c r="CL99" s="228">
        <v>72</v>
      </c>
      <c r="CM99" s="228">
        <v>2</v>
      </c>
      <c r="CN99" s="229">
        <v>2.7300000000000001E-2</v>
      </c>
      <c r="CO99" s="230">
        <v>3897</v>
      </c>
      <c r="CP99" s="230">
        <v>3956</v>
      </c>
      <c r="CQ99" s="228">
        <v>-59</v>
      </c>
      <c r="CR99" s="229">
        <v>-1.4999999999999999E-2</v>
      </c>
      <c r="CS99" s="230">
        <v>2897</v>
      </c>
      <c r="CT99" s="230">
        <v>3037</v>
      </c>
      <c r="CU99" s="228">
        <v>-140</v>
      </c>
      <c r="CV99" s="229">
        <v>-4.6100000000000002E-2</v>
      </c>
      <c r="CW99" s="230">
        <v>18470</v>
      </c>
      <c r="CX99" s="230">
        <v>18314</v>
      </c>
      <c r="CY99" s="228">
        <v>156</v>
      </c>
      <c r="CZ99" s="229">
        <v>8.5000000000000006E-3</v>
      </c>
      <c r="DA99" s="228">
        <v>22.81</v>
      </c>
      <c r="DB99" s="228">
        <v>25.99</v>
      </c>
      <c r="DC99" s="228">
        <v>-3.18</v>
      </c>
      <c r="DD99" s="228">
        <v>-3.18</v>
      </c>
      <c r="DE99" s="228">
        <v>29.37</v>
      </c>
      <c r="DF99" s="228">
        <v>29.44</v>
      </c>
      <c r="DG99" s="228">
        <v>-6.56</v>
      </c>
      <c r="DH99" s="228">
        <v>-7.0000000000000007E-2</v>
      </c>
      <c r="DI99" s="228">
        <v>22.7</v>
      </c>
      <c r="DJ99" s="228">
        <v>25.63</v>
      </c>
      <c r="DK99" s="228">
        <v>-2.93</v>
      </c>
      <c r="DL99" s="228">
        <v>-2.93</v>
      </c>
      <c r="DM99" s="228">
        <v>23</v>
      </c>
      <c r="DN99" s="228">
        <v>26.88</v>
      </c>
      <c r="DO99" s="228">
        <v>-3.88</v>
      </c>
      <c r="DP99" s="228">
        <v>-3.88</v>
      </c>
      <c r="DQ99" s="228">
        <v>0.74</v>
      </c>
      <c r="DR99" s="228">
        <v>0.77</v>
      </c>
      <c r="DS99" s="228">
        <v>-0.03</v>
      </c>
      <c r="DT99" s="229">
        <v>-3.9E-2</v>
      </c>
      <c r="DU99" s="231">
        <v>1600</v>
      </c>
      <c r="DV99" s="231">
        <v>1500</v>
      </c>
      <c r="DW99" s="228">
        <v>0.61</v>
      </c>
      <c r="DX99" s="228">
        <v>0.41</v>
      </c>
      <c r="DY99" s="228">
        <v>0.2</v>
      </c>
      <c r="DZ99" s="229">
        <v>0.48780000000000001</v>
      </c>
      <c r="EA99" s="229">
        <v>0.4874</v>
      </c>
      <c r="EB99" s="230">
        <v>19706800</v>
      </c>
      <c r="EC99" s="229">
        <v>0</v>
      </c>
      <c r="ED99" s="229">
        <v>0.4874</v>
      </c>
      <c r="EE99" s="228">
        <v>-0.2</v>
      </c>
      <c r="EF99" s="229">
        <v>-1E-4</v>
      </c>
      <c r="EG99" s="230">
        <v>3876897</v>
      </c>
      <c r="EH99" s="230">
        <v>5603118</v>
      </c>
      <c r="EI99" s="229">
        <v>-0.30809999999999998</v>
      </c>
      <c r="EJ99" s="229">
        <v>0.46600000000000003</v>
      </c>
      <c r="EK99" s="231">
        <v>7871.62</v>
      </c>
      <c r="EL99" s="231">
        <v>4531.5200000000004</v>
      </c>
      <c r="EM99" s="231">
        <v>6547.63</v>
      </c>
      <c r="EN99" s="228">
        <v>381.11</v>
      </c>
      <c r="EO99" s="231">
        <v>18950.77</v>
      </c>
      <c r="EP99" s="231">
        <v>33231.99</v>
      </c>
      <c r="EQ99" s="231">
        <v>-14281.22</v>
      </c>
      <c r="ER99" s="229">
        <v>-0.42970000000000003</v>
      </c>
      <c r="ES99" s="231">
        <v>3995.85</v>
      </c>
      <c r="ET99" s="231">
        <v>2769.12</v>
      </c>
      <c r="EU99" s="231">
        <v>11676.07</v>
      </c>
      <c r="EV99" s="231">
        <v>341789333</v>
      </c>
      <c r="EW99" s="231">
        <v>18441.04</v>
      </c>
      <c r="EX99" s="231">
        <v>18296.439999999999</v>
      </c>
      <c r="EY99" s="228">
        <v>144.6</v>
      </c>
      <c r="EZ99" s="229">
        <v>7.9000000000000008E-3</v>
      </c>
      <c r="FA99" s="229">
        <v>0.35110000000000002</v>
      </c>
      <c r="FB99" s="227" t="s">
        <v>567</v>
      </c>
      <c r="FC99">
        <f t="shared" si="1"/>
        <v>5691</v>
      </c>
    </row>
    <row r="100" spans="1:159" ht="17.25" thickBot="1" x14ac:dyDescent="0.3">
      <c r="A100" s="226">
        <v>45981</v>
      </c>
      <c r="B100" s="227" t="s">
        <v>161</v>
      </c>
      <c r="C100" s="227" t="s">
        <v>670</v>
      </c>
      <c r="D100" s="228">
        <v>3272</v>
      </c>
      <c r="E100" s="228">
        <v>5</v>
      </c>
      <c r="F100" s="228">
        <v>138.38999999999999</v>
      </c>
      <c r="G100" s="228">
        <v>139.79</v>
      </c>
      <c r="H100" s="228">
        <v>-1.4</v>
      </c>
      <c r="I100" s="229">
        <v>-0.01</v>
      </c>
      <c r="J100" s="228">
        <v>138.08000000000001</v>
      </c>
      <c r="K100" s="228">
        <v>139.68</v>
      </c>
      <c r="L100" s="228">
        <v>-1.6</v>
      </c>
      <c r="M100" s="229">
        <v>-1.15E-2</v>
      </c>
      <c r="N100" s="228">
        <v>138.38999999999999</v>
      </c>
      <c r="O100" s="228">
        <v>139.79</v>
      </c>
      <c r="P100" s="228">
        <v>-1.4</v>
      </c>
      <c r="Q100" s="229">
        <v>-0.01</v>
      </c>
      <c r="R100" s="228">
        <v>139.11000000000001</v>
      </c>
      <c r="S100" s="228">
        <v>140.84</v>
      </c>
      <c r="T100" s="228">
        <v>-1.73</v>
      </c>
      <c r="U100" s="229">
        <v>-1.23E-2</v>
      </c>
      <c r="V100" s="228">
        <v>139.99</v>
      </c>
      <c r="W100" s="228">
        <v>142.51</v>
      </c>
      <c r="X100" s="228">
        <v>-2.52</v>
      </c>
      <c r="Y100" s="229">
        <v>-1.77E-2</v>
      </c>
      <c r="Z100" s="228">
        <v>0.31</v>
      </c>
      <c r="AA100" s="228">
        <v>0.11</v>
      </c>
      <c r="AB100" s="228">
        <v>0.2</v>
      </c>
      <c r="AC100" s="229">
        <v>2.2000000000000001E-3</v>
      </c>
      <c r="AD100" s="228">
        <v>0.31</v>
      </c>
      <c r="AE100" s="228">
        <v>0.11</v>
      </c>
      <c r="AF100" s="228">
        <v>0.2</v>
      </c>
      <c r="AG100" s="229">
        <v>2.2000000000000001E-3</v>
      </c>
      <c r="AH100" s="228">
        <v>1.03</v>
      </c>
      <c r="AI100" s="228">
        <v>1.1599999999999999</v>
      </c>
      <c r="AJ100" s="228">
        <v>-0.13</v>
      </c>
      <c r="AK100" s="229">
        <v>7.4999999999999997E-3</v>
      </c>
      <c r="AL100" s="228">
        <v>1.91</v>
      </c>
      <c r="AM100" s="228">
        <v>2.83</v>
      </c>
      <c r="AN100" s="228">
        <v>-0.92</v>
      </c>
      <c r="AO100" s="229">
        <v>1.38E-2</v>
      </c>
      <c r="AP100" s="228">
        <v>139.28</v>
      </c>
      <c r="AQ100" s="228">
        <v>140.07</v>
      </c>
      <c r="AR100" s="228">
        <v>0</v>
      </c>
      <c r="AS100" s="228">
        <v>656</v>
      </c>
      <c r="AT100" s="228">
        <v>334</v>
      </c>
      <c r="AU100" s="228">
        <v>322</v>
      </c>
      <c r="AV100" s="229">
        <v>0.96279999999999999</v>
      </c>
      <c r="AW100" s="228">
        <v>343</v>
      </c>
      <c r="AX100" s="228">
        <v>196</v>
      </c>
      <c r="AY100" s="228">
        <v>148</v>
      </c>
      <c r="AZ100" s="229">
        <v>0.754</v>
      </c>
      <c r="BA100" s="228">
        <v>308</v>
      </c>
      <c r="BB100" s="228">
        <v>133</v>
      </c>
      <c r="BC100" s="228">
        <v>176</v>
      </c>
      <c r="BD100" s="229">
        <v>1.3233999999999999</v>
      </c>
      <c r="BE100" s="228">
        <v>5</v>
      </c>
      <c r="BF100" s="228">
        <v>6</v>
      </c>
      <c r="BG100" s="228">
        <v>-1</v>
      </c>
      <c r="BH100" s="229">
        <v>-0.22140000000000001</v>
      </c>
      <c r="BI100" s="228">
        <v>663</v>
      </c>
      <c r="BJ100" s="228">
        <v>794</v>
      </c>
      <c r="BK100" s="228">
        <v>-131</v>
      </c>
      <c r="BL100" s="229">
        <v>-0.16489999999999999</v>
      </c>
      <c r="BM100" s="228">
        <v>165</v>
      </c>
      <c r="BN100" s="228">
        <v>201</v>
      </c>
      <c r="BO100" s="228">
        <v>-36</v>
      </c>
      <c r="BP100" s="229">
        <v>-0.17979999999999999</v>
      </c>
      <c r="BQ100" s="230">
        <v>1485</v>
      </c>
      <c r="BR100" s="230">
        <v>1330</v>
      </c>
      <c r="BS100" s="228">
        <v>155</v>
      </c>
      <c r="BT100" s="229">
        <v>0.1163</v>
      </c>
      <c r="BU100" s="230">
        <v>12433216</v>
      </c>
      <c r="BV100" s="230">
        <v>11311132</v>
      </c>
      <c r="BW100" s="230">
        <v>1122084</v>
      </c>
      <c r="BX100" s="229">
        <v>9.9199999999999997E-2</v>
      </c>
      <c r="BY100" s="230">
        <v>1137</v>
      </c>
      <c r="BZ100" s="230">
        <v>1191</v>
      </c>
      <c r="CA100" s="228">
        <v>-54</v>
      </c>
      <c r="CB100" s="229">
        <v>-4.4999999999999998E-2</v>
      </c>
      <c r="CC100" s="228">
        <v>646</v>
      </c>
      <c r="CD100" s="228">
        <v>869</v>
      </c>
      <c r="CE100" s="228">
        <v>-223</v>
      </c>
      <c r="CF100" s="229">
        <v>-0.25650000000000001</v>
      </c>
      <c r="CG100" s="228">
        <v>470</v>
      </c>
      <c r="CH100" s="228">
        <v>303</v>
      </c>
      <c r="CI100" s="228">
        <v>167</v>
      </c>
      <c r="CJ100" s="229">
        <v>0.54879999999999995</v>
      </c>
      <c r="CK100" s="228">
        <v>21</v>
      </c>
      <c r="CL100" s="228">
        <v>18</v>
      </c>
      <c r="CM100" s="228">
        <v>3</v>
      </c>
      <c r="CN100" s="229">
        <v>0.15529999999999999</v>
      </c>
      <c r="CO100" s="228">
        <v>663</v>
      </c>
      <c r="CP100" s="228">
        <v>691</v>
      </c>
      <c r="CQ100" s="228">
        <v>-28</v>
      </c>
      <c r="CR100" s="229">
        <v>-4.0099999999999997E-2</v>
      </c>
      <c r="CS100" s="228">
        <v>269</v>
      </c>
      <c r="CT100" s="228">
        <v>262</v>
      </c>
      <c r="CU100" s="228">
        <v>7</v>
      </c>
      <c r="CV100" s="229">
        <v>2.8199999999999999E-2</v>
      </c>
      <c r="CW100" s="230">
        <v>2070</v>
      </c>
      <c r="CX100" s="230">
        <v>2144</v>
      </c>
      <c r="CY100" s="228">
        <v>-74</v>
      </c>
      <c r="CZ100" s="229">
        <v>-3.4500000000000003E-2</v>
      </c>
      <c r="DA100" s="228">
        <v>35.119999999999997</v>
      </c>
      <c r="DB100" s="228">
        <v>40.520000000000003</v>
      </c>
      <c r="DC100" s="228">
        <v>-5.4</v>
      </c>
      <c r="DD100" s="228">
        <v>-5.4</v>
      </c>
      <c r="DE100" s="228">
        <v>54.48</v>
      </c>
      <c r="DF100" s="228">
        <v>54.6</v>
      </c>
      <c r="DG100" s="228">
        <v>-19.36</v>
      </c>
      <c r="DH100" s="228">
        <v>-0.12</v>
      </c>
      <c r="DI100" s="228">
        <v>35.28</v>
      </c>
      <c r="DJ100" s="228">
        <v>41.63</v>
      </c>
      <c r="DK100" s="228">
        <v>-6.35</v>
      </c>
      <c r="DL100" s="228">
        <v>-6.35</v>
      </c>
      <c r="DM100" s="228">
        <v>34.82</v>
      </c>
      <c r="DN100" s="228">
        <v>36.15</v>
      </c>
      <c r="DO100" s="228">
        <v>-1.33</v>
      </c>
      <c r="DP100" s="228">
        <v>-1.33</v>
      </c>
      <c r="DQ100" s="228">
        <v>0.41</v>
      </c>
      <c r="DR100" s="228">
        <v>0.38</v>
      </c>
      <c r="DS100" s="228">
        <v>0.03</v>
      </c>
      <c r="DT100" s="229">
        <v>7.8899999999999998E-2</v>
      </c>
      <c r="DU100" s="228">
        <v>150</v>
      </c>
      <c r="DV100" s="228">
        <v>150</v>
      </c>
      <c r="DW100" s="228">
        <v>0.25</v>
      </c>
      <c r="DX100" s="228">
        <v>0.25</v>
      </c>
      <c r="DY100" s="228">
        <v>0</v>
      </c>
      <c r="DZ100" s="229">
        <v>0</v>
      </c>
      <c r="EA100" s="229">
        <v>0.43169999999999997</v>
      </c>
      <c r="EB100" s="230">
        <v>23240969</v>
      </c>
      <c r="EC100" s="229">
        <v>5.1999999999999998E-3</v>
      </c>
      <c r="ED100" s="229">
        <v>0.43169999999999997</v>
      </c>
      <c r="EE100" s="228">
        <v>0.79</v>
      </c>
      <c r="EF100" s="229">
        <v>5.7000000000000002E-3</v>
      </c>
      <c r="EG100" s="230">
        <v>6466207</v>
      </c>
      <c r="EH100" s="230">
        <v>5121965</v>
      </c>
      <c r="EI100" s="229">
        <v>0.26240000000000002</v>
      </c>
      <c r="EJ100" s="229">
        <v>0.52010000000000001</v>
      </c>
      <c r="EK100" s="228">
        <v>714.85</v>
      </c>
      <c r="EL100" s="228">
        <v>168.16</v>
      </c>
      <c r="EM100" s="228">
        <v>662.65</v>
      </c>
      <c r="EN100" s="228">
        <v>77.11</v>
      </c>
      <c r="EO100" s="231">
        <v>1545.66</v>
      </c>
      <c r="EP100" s="231">
        <v>1410.01</v>
      </c>
      <c r="EQ100" s="228">
        <v>135.66</v>
      </c>
      <c r="ER100" s="229">
        <v>9.6199999999999994E-2</v>
      </c>
      <c r="ES100" s="228">
        <v>737.15</v>
      </c>
      <c r="ET100" s="228">
        <v>278.06</v>
      </c>
      <c r="EU100" s="231">
        <v>1140.03</v>
      </c>
      <c r="EV100" s="231">
        <v>144708707</v>
      </c>
      <c r="EW100" s="231">
        <v>2155.2399999999998</v>
      </c>
      <c r="EX100" s="231">
        <v>2247</v>
      </c>
      <c r="EY100" s="228">
        <v>-91.76</v>
      </c>
      <c r="EZ100" s="229">
        <v>-4.0800000000000003E-2</v>
      </c>
      <c r="FA100" s="229">
        <v>1.0337000000000001</v>
      </c>
      <c r="FB100" s="227" t="s">
        <v>568</v>
      </c>
      <c r="FC100">
        <f t="shared" si="1"/>
        <v>491</v>
      </c>
    </row>
    <row r="101" spans="1:159" ht="17.25" thickBot="1" x14ac:dyDescent="0.3">
      <c r="A101" s="226">
        <v>45981</v>
      </c>
      <c r="B101" s="227" t="s">
        <v>193</v>
      </c>
      <c r="C101" s="227" t="s">
        <v>241</v>
      </c>
      <c r="D101" s="228">
        <v>4875</v>
      </c>
      <c r="E101" s="228">
        <v>5</v>
      </c>
      <c r="F101" s="228">
        <v>168.58</v>
      </c>
      <c r="G101" s="228">
        <v>169.55</v>
      </c>
      <c r="H101" s="228">
        <v>-0.97</v>
      </c>
      <c r="I101" s="229">
        <v>-5.7000000000000002E-3</v>
      </c>
      <c r="J101" s="228">
        <v>168.7</v>
      </c>
      <c r="K101" s="228">
        <v>169.33</v>
      </c>
      <c r="L101" s="228">
        <v>-0.63</v>
      </c>
      <c r="M101" s="229">
        <v>-3.7000000000000002E-3</v>
      </c>
      <c r="N101" s="228">
        <v>168.58</v>
      </c>
      <c r="O101" s="228">
        <v>169.55</v>
      </c>
      <c r="P101" s="228">
        <v>-0.97</v>
      </c>
      <c r="Q101" s="229">
        <v>-5.7000000000000002E-3</v>
      </c>
      <c r="R101" s="228">
        <v>169.63</v>
      </c>
      <c r="S101" s="228">
        <v>170.16</v>
      </c>
      <c r="T101" s="228">
        <v>-0.53</v>
      </c>
      <c r="U101" s="229">
        <v>-3.0999999999999999E-3</v>
      </c>
      <c r="V101" s="228">
        <v>170.19</v>
      </c>
      <c r="W101" s="228">
        <v>171.04</v>
      </c>
      <c r="X101" s="228">
        <v>-0.85</v>
      </c>
      <c r="Y101" s="229">
        <v>-5.0000000000000001E-3</v>
      </c>
      <c r="Z101" s="228">
        <v>-0.12</v>
      </c>
      <c r="AA101" s="228">
        <v>0.22</v>
      </c>
      <c r="AB101" s="228">
        <v>-0.34</v>
      </c>
      <c r="AC101" s="229">
        <v>-6.9999999999999999E-4</v>
      </c>
      <c r="AD101" s="228">
        <v>-0.12</v>
      </c>
      <c r="AE101" s="228">
        <v>0.22</v>
      </c>
      <c r="AF101" s="228">
        <v>-0.34</v>
      </c>
      <c r="AG101" s="229">
        <v>-6.9999999999999999E-4</v>
      </c>
      <c r="AH101" s="228">
        <v>0.93</v>
      </c>
      <c r="AI101" s="228">
        <v>0.83</v>
      </c>
      <c r="AJ101" s="228">
        <v>0.1</v>
      </c>
      <c r="AK101" s="229">
        <v>5.4999999999999997E-3</v>
      </c>
      <c r="AL101" s="228">
        <v>1.49</v>
      </c>
      <c r="AM101" s="228">
        <v>1.71</v>
      </c>
      <c r="AN101" s="228">
        <v>-0.22</v>
      </c>
      <c r="AO101" s="229">
        <v>8.8000000000000005E-3</v>
      </c>
      <c r="AP101" s="228">
        <v>169.15</v>
      </c>
      <c r="AQ101" s="228">
        <v>169.94</v>
      </c>
      <c r="AR101" s="228">
        <v>0</v>
      </c>
      <c r="AS101" s="228">
        <v>926</v>
      </c>
      <c r="AT101" s="228">
        <v>269</v>
      </c>
      <c r="AU101" s="228">
        <v>657</v>
      </c>
      <c r="AV101" s="229">
        <v>2.4405000000000001</v>
      </c>
      <c r="AW101" s="228">
        <v>466</v>
      </c>
      <c r="AX101" s="228">
        <v>191</v>
      </c>
      <c r="AY101" s="228">
        <v>274</v>
      </c>
      <c r="AZ101" s="229">
        <v>1.4359</v>
      </c>
      <c r="BA101" s="228">
        <v>456</v>
      </c>
      <c r="BB101" s="228">
        <v>71</v>
      </c>
      <c r="BC101" s="228">
        <v>385</v>
      </c>
      <c r="BD101" s="229">
        <v>5.4127000000000001</v>
      </c>
      <c r="BE101" s="228">
        <v>5</v>
      </c>
      <c r="BF101" s="228">
        <v>7</v>
      </c>
      <c r="BG101" s="228">
        <v>-2</v>
      </c>
      <c r="BH101" s="229">
        <v>-0.31759999999999999</v>
      </c>
      <c r="BI101" s="230">
        <v>1003</v>
      </c>
      <c r="BJ101" s="228">
        <v>993</v>
      </c>
      <c r="BK101" s="228">
        <v>10</v>
      </c>
      <c r="BL101" s="229">
        <v>9.7999999999999997E-3</v>
      </c>
      <c r="BM101" s="228">
        <v>597</v>
      </c>
      <c r="BN101" s="228">
        <v>632</v>
      </c>
      <c r="BO101" s="228">
        <v>-35</v>
      </c>
      <c r="BP101" s="229">
        <v>-5.57E-2</v>
      </c>
      <c r="BQ101" s="230">
        <v>2526</v>
      </c>
      <c r="BR101" s="230">
        <v>1894</v>
      </c>
      <c r="BS101" s="228">
        <v>632</v>
      </c>
      <c r="BT101" s="229">
        <v>0.33339999999999997</v>
      </c>
      <c r="BU101" s="230">
        <v>10039087</v>
      </c>
      <c r="BV101" s="230">
        <v>10807168</v>
      </c>
      <c r="BW101" s="230">
        <v>-768081</v>
      </c>
      <c r="BX101" s="229">
        <v>-7.1099999999999997E-2</v>
      </c>
      <c r="BY101" s="230">
        <v>1683</v>
      </c>
      <c r="BZ101" s="230">
        <v>1634</v>
      </c>
      <c r="CA101" s="228">
        <v>49</v>
      </c>
      <c r="CB101" s="229">
        <v>3.0200000000000001E-2</v>
      </c>
      <c r="CC101" s="230">
        <v>1225</v>
      </c>
      <c r="CD101" s="230">
        <v>1491</v>
      </c>
      <c r="CE101" s="228">
        <v>-266</v>
      </c>
      <c r="CF101" s="229">
        <v>-0.17829999999999999</v>
      </c>
      <c r="CG101" s="228">
        <v>446</v>
      </c>
      <c r="CH101" s="228">
        <v>132</v>
      </c>
      <c r="CI101" s="228">
        <v>314</v>
      </c>
      <c r="CJ101" s="229">
        <v>2.3797999999999999</v>
      </c>
      <c r="CK101" s="228">
        <v>12</v>
      </c>
      <c r="CL101" s="228">
        <v>11</v>
      </c>
      <c r="CM101" s="228">
        <v>1</v>
      </c>
      <c r="CN101" s="229">
        <v>0.1061</v>
      </c>
      <c r="CO101" s="228">
        <v>987</v>
      </c>
      <c r="CP101" s="230">
        <v>1048</v>
      </c>
      <c r="CQ101" s="228">
        <v>-62</v>
      </c>
      <c r="CR101" s="229">
        <v>-5.8799999999999998E-2</v>
      </c>
      <c r="CS101" s="228">
        <v>867</v>
      </c>
      <c r="CT101" s="228">
        <v>919</v>
      </c>
      <c r="CU101" s="228">
        <v>-52</v>
      </c>
      <c r="CV101" s="229">
        <v>-5.6300000000000003E-2</v>
      </c>
      <c r="CW101" s="230">
        <v>3537</v>
      </c>
      <c r="CX101" s="230">
        <v>3601</v>
      </c>
      <c r="CY101" s="228">
        <v>-64</v>
      </c>
      <c r="CZ101" s="229">
        <v>-1.78E-2</v>
      </c>
      <c r="DA101" s="228">
        <v>21.37</v>
      </c>
      <c r="DB101" s="228">
        <v>24.37</v>
      </c>
      <c r="DC101" s="228">
        <v>-3</v>
      </c>
      <c r="DD101" s="228">
        <v>-3</v>
      </c>
      <c r="DE101" s="228">
        <v>31.81</v>
      </c>
      <c r="DF101" s="228">
        <v>31.88</v>
      </c>
      <c r="DG101" s="228">
        <v>-10.44</v>
      </c>
      <c r="DH101" s="228">
        <v>-7.0000000000000007E-2</v>
      </c>
      <c r="DI101" s="228">
        <v>21.03</v>
      </c>
      <c r="DJ101" s="228">
        <v>23.89</v>
      </c>
      <c r="DK101" s="228">
        <v>-2.86</v>
      </c>
      <c r="DL101" s="228">
        <v>-2.86</v>
      </c>
      <c r="DM101" s="228">
        <v>21.92</v>
      </c>
      <c r="DN101" s="228">
        <v>25.11</v>
      </c>
      <c r="DO101" s="228">
        <v>-3.19</v>
      </c>
      <c r="DP101" s="228">
        <v>-3.19</v>
      </c>
      <c r="DQ101" s="228">
        <v>0.88</v>
      </c>
      <c r="DR101" s="228">
        <v>0.88</v>
      </c>
      <c r="DS101" s="228">
        <v>0</v>
      </c>
      <c r="DT101" s="229">
        <v>0</v>
      </c>
      <c r="DU101" s="228">
        <v>175</v>
      </c>
      <c r="DV101" s="228">
        <v>160</v>
      </c>
      <c r="DW101" s="228">
        <v>0.6</v>
      </c>
      <c r="DX101" s="228">
        <v>0.64</v>
      </c>
      <c r="DY101" s="228">
        <v>-0.04</v>
      </c>
      <c r="DZ101" s="229">
        <v>-6.25E-2</v>
      </c>
      <c r="EA101" s="229">
        <v>0.2722</v>
      </c>
      <c r="EB101" s="230">
        <v>8472750</v>
      </c>
      <c r="EC101" s="229">
        <v>6.1999999999999998E-3</v>
      </c>
      <c r="ED101" s="229">
        <v>0.2722</v>
      </c>
      <c r="EE101" s="228">
        <v>0.79</v>
      </c>
      <c r="EF101" s="229">
        <v>4.7000000000000002E-3</v>
      </c>
      <c r="EG101" s="230">
        <v>5380866</v>
      </c>
      <c r="EH101" s="230">
        <v>6522074</v>
      </c>
      <c r="EI101" s="229">
        <v>-0.17499999999999999</v>
      </c>
      <c r="EJ101" s="229">
        <v>0.53600000000000003</v>
      </c>
      <c r="EK101" s="231">
        <v>1042.44</v>
      </c>
      <c r="EL101" s="228">
        <v>585.61</v>
      </c>
      <c r="EM101" s="228">
        <v>931.6</v>
      </c>
      <c r="EN101" s="228">
        <v>30.55</v>
      </c>
      <c r="EO101" s="231">
        <v>2559.65</v>
      </c>
      <c r="EP101" s="231">
        <v>1934.54</v>
      </c>
      <c r="EQ101" s="228">
        <v>625.11</v>
      </c>
      <c r="ER101" s="229">
        <v>0.3231</v>
      </c>
      <c r="ES101" s="228">
        <v>999.7</v>
      </c>
      <c r="ET101" s="228">
        <v>823.91</v>
      </c>
      <c r="EU101" s="231">
        <v>1686.08</v>
      </c>
      <c r="EV101" s="231">
        <v>684903861</v>
      </c>
      <c r="EW101" s="231">
        <v>3509.69</v>
      </c>
      <c r="EX101" s="231">
        <v>3580.29</v>
      </c>
      <c r="EY101" s="228">
        <v>-70.599999999999994</v>
      </c>
      <c r="EZ101" s="229">
        <v>-1.9699999999999999E-2</v>
      </c>
      <c r="FA101" s="229">
        <v>0.30630000000000002</v>
      </c>
      <c r="FB101" s="227" t="s">
        <v>567</v>
      </c>
      <c r="FC101">
        <f t="shared" si="1"/>
        <v>458</v>
      </c>
    </row>
    <row r="102" spans="1:159" ht="17.25" thickBot="1" x14ac:dyDescent="0.3">
      <c r="A102" s="226">
        <v>45981</v>
      </c>
      <c r="B102" s="227" t="s">
        <v>215</v>
      </c>
      <c r="C102" s="227" t="s">
        <v>490</v>
      </c>
      <c r="D102" s="228">
        <v>875</v>
      </c>
      <c r="E102" s="228">
        <v>5</v>
      </c>
      <c r="F102" s="228">
        <v>698.95</v>
      </c>
      <c r="G102" s="228">
        <v>699.35</v>
      </c>
      <c r="H102" s="228">
        <v>-0.4</v>
      </c>
      <c r="I102" s="229">
        <v>-5.9999999999999995E-4</v>
      </c>
      <c r="J102" s="228">
        <v>703</v>
      </c>
      <c r="K102" s="228">
        <v>705</v>
      </c>
      <c r="L102" s="228">
        <v>-2</v>
      </c>
      <c r="M102" s="229">
        <v>-2.8E-3</v>
      </c>
      <c r="N102" s="228">
        <v>698.95</v>
      </c>
      <c r="O102" s="228">
        <v>699.35</v>
      </c>
      <c r="P102" s="228">
        <v>-0.4</v>
      </c>
      <c r="Q102" s="229">
        <v>-5.9999999999999995E-4</v>
      </c>
      <c r="R102" s="228">
        <v>700.85</v>
      </c>
      <c r="S102" s="228">
        <v>703.95</v>
      </c>
      <c r="T102" s="228">
        <v>-3.1</v>
      </c>
      <c r="U102" s="229">
        <v>-4.4000000000000003E-3</v>
      </c>
      <c r="V102" s="228">
        <v>705.65</v>
      </c>
      <c r="W102" s="228">
        <v>708.55</v>
      </c>
      <c r="X102" s="228">
        <v>-2.9</v>
      </c>
      <c r="Y102" s="229">
        <v>-4.1000000000000003E-3</v>
      </c>
      <c r="Z102" s="228">
        <v>-4.05</v>
      </c>
      <c r="AA102" s="228">
        <v>-5.65</v>
      </c>
      <c r="AB102" s="228">
        <v>1.6</v>
      </c>
      <c r="AC102" s="229">
        <v>-5.7999999999999996E-3</v>
      </c>
      <c r="AD102" s="228">
        <v>-4.05</v>
      </c>
      <c r="AE102" s="228">
        <v>-5.65</v>
      </c>
      <c r="AF102" s="228">
        <v>1.6</v>
      </c>
      <c r="AG102" s="229">
        <v>-5.7999999999999996E-3</v>
      </c>
      <c r="AH102" s="228">
        <v>-2.15</v>
      </c>
      <c r="AI102" s="228">
        <v>-1.05</v>
      </c>
      <c r="AJ102" s="228">
        <v>-1.1000000000000001</v>
      </c>
      <c r="AK102" s="229">
        <v>-3.0999999999999999E-3</v>
      </c>
      <c r="AL102" s="228">
        <v>2.65</v>
      </c>
      <c r="AM102" s="228">
        <v>3.55</v>
      </c>
      <c r="AN102" s="228">
        <v>-0.9</v>
      </c>
      <c r="AO102" s="229">
        <v>3.8E-3</v>
      </c>
      <c r="AP102" s="228">
        <v>702.15</v>
      </c>
      <c r="AQ102" s="228">
        <v>704.58</v>
      </c>
      <c r="AR102" s="228">
        <v>0</v>
      </c>
      <c r="AS102" s="230">
        <v>1102</v>
      </c>
      <c r="AT102" s="228">
        <v>269</v>
      </c>
      <c r="AU102" s="228">
        <v>832</v>
      </c>
      <c r="AV102" s="229">
        <v>3.0893999999999999</v>
      </c>
      <c r="AW102" s="228">
        <v>551</v>
      </c>
      <c r="AX102" s="228">
        <v>148</v>
      </c>
      <c r="AY102" s="228">
        <v>403</v>
      </c>
      <c r="AZ102" s="229">
        <v>2.7208999999999999</v>
      </c>
      <c r="BA102" s="228">
        <v>543</v>
      </c>
      <c r="BB102" s="228">
        <v>106</v>
      </c>
      <c r="BC102" s="228">
        <v>437</v>
      </c>
      <c r="BD102" s="229">
        <v>4.1128</v>
      </c>
      <c r="BE102" s="228">
        <v>7</v>
      </c>
      <c r="BF102" s="228">
        <v>15</v>
      </c>
      <c r="BG102" s="228">
        <v>-8</v>
      </c>
      <c r="BH102" s="229">
        <v>-0.51219999999999999</v>
      </c>
      <c r="BI102" s="228">
        <v>838</v>
      </c>
      <c r="BJ102" s="228">
        <v>987</v>
      </c>
      <c r="BK102" s="228">
        <v>-148</v>
      </c>
      <c r="BL102" s="229">
        <v>-0.15040000000000001</v>
      </c>
      <c r="BM102" s="228">
        <v>336</v>
      </c>
      <c r="BN102" s="228">
        <v>314</v>
      </c>
      <c r="BO102" s="228">
        <v>22</v>
      </c>
      <c r="BP102" s="229">
        <v>7.0699999999999999E-2</v>
      </c>
      <c r="BQ102" s="230">
        <v>2276</v>
      </c>
      <c r="BR102" s="230">
        <v>1570</v>
      </c>
      <c r="BS102" s="228">
        <v>706</v>
      </c>
      <c r="BT102" s="229">
        <v>0.44990000000000002</v>
      </c>
      <c r="BU102" s="230">
        <v>888576</v>
      </c>
      <c r="BV102" s="230">
        <v>715223</v>
      </c>
      <c r="BW102" s="230">
        <v>173353</v>
      </c>
      <c r="BX102" s="229">
        <v>0.2424</v>
      </c>
      <c r="BY102" s="230">
        <v>1330</v>
      </c>
      <c r="BZ102" s="230">
        <v>1360</v>
      </c>
      <c r="CA102" s="228">
        <v>-30</v>
      </c>
      <c r="CB102" s="229">
        <v>-2.1899999999999999E-2</v>
      </c>
      <c r="CC102" s="228">
        <v>760</v>
      </c>
      <c r="CD102" s="230">
        <v>1089</v>
      </c>
      <c r="CE102" s="228">
        <v>-329</v>
      </c>
      <c r="CF102" s="229">
        <v>-0.30180000000000001</v>
      </c>
      <c r="CG102" s="228">
        <v>538</v>
      </c>
      <c r="CH102" s="228">
        <v>243</v>
      </c>
      <c r="CI102" s="228">
        <v>295</v>
      </c>
      <c r="CJ102" s="229">
        <v>1.2121</v>
      </c>
      <c r="CK102" s="228">
        <v>32</v>
      </c>
      <c r="CL102" s="228">
        <v>28</v>
      </c>
      <c r="CM102" s="228">
        <v>4</v>
      </c>
      <c r="CN102" s="229">
        <v>0.13320000000000001</v>
      </c>
      <c r="CO102" s="228">
        <v>865</v>
      </c>
      <c r="CP102" s="228">
        <v>906</v>
      </c>
      <c r="CQ102" s="228">
        <v>-41</v>
      </c>
      <c r="CR102" s="229">
        <v>-4.53E-2</v>
      </c>
      <c r="CS102" s="228">
        <v>551</v>
      </c>
      <c r="CT102" s="228">
        <v>561</v>
      </c>
      <c r="CU102" s="228">
        <v>-10</v>
      </c>
      <c r="CV102" s="229">
        <v>-1.7899999999999999E-2</v>
      </c>
      <c r="CW102" s="230">
        <v>2746</v>
      </c>
      <c r="CX102" s="230">
        <v>2827</v>
      </c>
      <c r="CY102" s="228">
        <v>-81</v>
      </c>
      <c r="CZ102" s="229">
        <v>-2.86E-2</v>
      </c>
      <c r="DA102" s="228">
        <v>20.010000000000002</v>
      </c>
      <c r="DB102" s="228">
        <v>21.99</v>
      </c>
      <c r="DC102" s="228">
        <v>-1.98</v>
      </c>
      <c r="DD102" s="228">
        <v>-1.98</v>
      </c>
      <c r="DE102" s="228">
        <v>30.02</v>
      </c>
      <c r="DF102" s="228">
        <v>30.1</v>
      </c>
      <c r="DG102" s="228">
        <v>-10.01</v>
      </c>
      <c r="DH102" s="228">
        <v>-0.08</v>
      </c>
      <c r="DI102" s="228">
        <v>20.100000000000001</v>
      </c>
      <c r="DJ102" s="228">
        <v>22.43</v>
      </c>
      <c r="DK102" s="228">
        <v>-2.33</v>
      </c>
      <c r="DL102" s="228">
        <v>-2.33</v>
      </c>
      <c r="DM102" s="228">
        <v>19.87</v>
      </c>
      <c r="DN102" s="228">
        <v>20.61</v>
      </c>
      <c r="DO102" s="228">
        <v>-0.74</v>
      </c>
      <c r="DP102" s="228">
        <v>-0.74</v>
      </c>
      <c r="DQ102" s="228">
        <v>0.64</v>
      </c>
      <c r="DR102" s="228">
        <v>0.62</v>
      </c>
      <c r="DS102" s="228">
        <v>0.02</v>
      </c>
      <c r="DT102" s="229">
        <v>3.2300000000000002E-2</v>
      </c>
      <c r="DU102" s="228">
        <v>730</v>
      </c>
      <c r="DV102" s="228">
        <v>700</v>
      </c>
      <c r="DW102" s="228">
        <v>0.4</v>
      </c>
      <c r="DX102" s="228">
        <v>0.32</v>
      </c>
      <c r="DY102" s="228">
        <v>0.08</v>
      </c>
      <c r="DZ102" s="229">
        <v>0.25</v>
      </c>
      <c r="EA102" s="229">
        <v>0.42859999999999998</v>
      </c>
      <c r="EB102" s="230">
        <v>3882375</v>
      </c>
      <c r="EC102" s="229">
        <v>2.7000000000000001E-3</v>
      </c>
      <c r="ED102" s="229">
        <v>0.42859999999999998</v>
      </c>
      <c r="EE102" s="228">
        <v>2.4300000000000002</v>
      </c>
      <c r="EF102" s="229">
        <v>3.5000000000000001E-3</v>
      </c>
      <c r="EG102" s="230">
        <v>510860</v>
      </c>
      <c r="EH102" s="230">
        <v>349452</v>
      </c>
      <c r="EI102" s="229">
        <v>0.46189999999999998</v>
      </c>
      <c r="EJ102" s="229">
        <v>0.57489999999999997</v>
      </c>
      <c r="EK102" s="228">
        <v>868.67</v>
      </c>
      <c r="EL102" s="228">
        <v>344.77</v>
      </c>
      <c r="EM102" s="231">
        <v>1108.96</v>
      </c>
      <c r="EN102" s="228">
        <v>41.82</v>
      </c>
      <c r="EO102" s="231">
        <v>2322.4</v>
      </c>
      <c r="EP102" s="231">
        <v>1611.01</v>
      </c>
      <c r="EQ102" s="228">
        <v>711.4</v>
      </c>
      <c r="ER102" s="229">
        <v>0.44159999999999999</v>
      </c>
      <c r="ES102" s="228">
        <v>918.23</v>
      </c>
      <c r="ET102" s="228">
        <v>556.6</v>
      </c>
      <c r="EU102" s="231">
        <v>1331.96</v>
      </c>
      <c r="EV102" s="231">
        <v>30082783</v>
      </c>
      <c r="EW102" s="231">
        <v>2806.78</v>
      </c>
      <c r="EX102" s="231">
        <v>2890.72</v>
      </c>
      <c r="EY102" s="228">
        <v>-83.94</v>
      </c>
      <c r="EZ102" s="229">
        <v>-2.9000000000000001E-2</v>
      </c>
      <c r="FA102" s="229">
        <v>1.306</v>
      </c>
      <c r="FB102" s="227" t="s">
        <v>568</v>
      </c>
      <c r="FC102">
        <f t="shared" si="1"/>
        <v>570</v>
      </c>
    </row>
    <row r="103" spans="1:159" ht="17.25" thickBot="1" x14ac:dyDescent="0.3">
      <c r="A103" s="226">
        <v>45981</v>
      </c>
      <c r="B103" s="227" t="s">
        <v>175</v>
      </c>
      <c r="C103" s="227" t="s">
        <v>665</v>
      </c>
      <c r="D103" s="228">
        <v>3450</v>
      </c>
      <c r="E103" s="228">
        <v>5</v>
      </c>
      <c r="F103" s="228">
        <v>146.76</v>
      </c>
      <c r="G103" s="228">
        <v>147.36000000000001</v>
      </c>
      <c r="H103" s="228">
        <v>-0.6</v>
      </c>
      <c r="I103" s="229">
        <v>-4.1000000000000003E-3</v>
      </c>
      <c r="J103" s="228">
        <v>146.63999999999999</v>
      </c>
      <c r="K103" s="228">
        <v>147.1</v>
      </c>
      <c r="L103" s="228">
        <v>-0.46</v>
      </c>
      <c r="M103" s="229">
        <v>-3.0999999999999999E-3</v>
      </c>
      <c r="N103" s="228">
        <v>146.76</v>
      </c>
      <c r="O103" s="228">
        <v>147.36000000000001</v>
      </c>
      <c r="P103" s="228">
        <v>-0.6</v>
      </c>
      <c r="Q103" s="229">
        <v>-4.1000000000000003E-3</v>
      </c>
      <c r="R103" s="228">
        <v>147.38</v>
      </c>
      <c r="S103" s="228">
        <v>147.97999999999999</v>
      </c>
      <c r="T103" s="228">
        <v>-0.6</v>
      </c>
      <c r="U103" s="229">
        <v>-4.1000000000000003E-3</v>
      </c>
      <c r="V103" s="228">
        <v>148.19999999999999</v>
      </c>
      <c r="W103" s="228">
        <v>148.82</v>
      </c>
      <c r="X103" s="228">
        <v>-0.62</v>
      </c>
      <c r="Y103" s="229">
        <v>-4.1999999999999997E-3</v>
      </c>
      <c r="Z103" s="228">
        <v>0.12</v>
      </c>
      <c r="AA103" s="228">
        <v>0.26</v>
      </c>
      <c r="AB103" s="228">
        <v>-0.14000000000000001</v>
      </c>
      <c r="AC103" s="229">
        <v>8.0000000000000004E-4</v>
      </c>
      <c r="AD103" s="228">
        <v>0.12</v>
      </c>
      <c r="AE103" s="228">
        <v>0.26</v>
      </c>
      <c r="AF103" s="228">
        <v>-0.14000000000000001</v>
      </c>
      <c r="AG103" s="229">
        <v>8.0000000000000004E-4</v>
      </c>
      <c r="AH103" s="228">
        <v>0.74</v>
      </c>
      <c r="AI103" s="228">
        <v>0.88</v>
      </c>
      <c r="AJ103" s="228">
        <v>-0.14000000000000001</v>
      </c>
      <c r="AK103" s="229">
        <v>5.0000000000000001E-3</v>
      </c>
      <c r="AL103" s="228">
        <v>1.56</v>
      </c>
      <c r="AM103" s="228">
        <v>1.72</v>
      </c>
      <c r="AN103" s="228">
        <v>-0.16</v>
      </c>
      <c r="AO103" s="229">
        <v>1.06E-2</v>
      </c>
      <c r="AP103" s="228">
        <v>147.34</v>
      </c>
      <c r="AQ103" s="228">
        <v>147.88</v>
      </c>
      <c r="AR103" s="228">
        <v>0</v>
      </c>
      <c r="AS103" s="228">
        <v>323</v>
      </c>
      <c r="AT103" s="228">
        <v>159</v>
      </c>
      <c r="AU103" s="228">
        <v>164</v>
      </c>
      <c r="AV103" s="229">
        <v>1.0330999999999999</v>
      </c>
      <c r="AW103" s="228">
        <v>148</v>
      </c>
      <c r="AX103" s="228">
        <v>84</v>
      </c>
      <c r="AY103" s="228">
        <v>64</v>
      </c>
      <c r="AZ103" s="229">
        <v>0.7651</v>
      </c>
      <c r="BA103" s="228">
        <v>169</v>
      </c>
      <c r="BB103" s="228">
        <v>65</v>
      </c>
      <c r="BC103" s="228">
        <v>104</v>
      </c>
      <c r="BD103" s="229">
        <v>1.6047</v>
      </c>
      <c r="BE103" s="228">
        <v>6</v>
      </c>
      <c r="BF103" s="228">
        <v>10</v>
      </c>
      <c r="BG103" s="228">
        <v>-4</v>
      </c>
      <c r="BH103" s="229">
        <v>-0.39710000000000001</v>
      </c>
      <c r="BI103" s="228">
        <v>280</v>
      </c>
      <c r="BJ103" s="228">
        <v>427</v>
      </c>
      <c r="BK103" s="228">
        <v>-147</v>
      </c>
      <c r="BL103" s="229">
        <v>-0.34389999999999998</v>
      </c>
      <c r="BM103" s="228">
        <v>64</v>
      </c>
      <c r="BN103" s="228">
        <v>135</v>
      </c>
      <c r="BO103" s="228">
        <v>-72</v>
      </c>
      <c r="BP103" s="229">
        <v>-0.52839999999999998</v>
      </c>
      <c r="BQ103" s="228">
        <v>667</v>
      </c>
      <c r="BR103" s="228">
        <v>721</v>
      </c>
      <c r="BS103" s="228">
        <v>-54</v>
      </c>
      <c r="BT103" s="229">
        <v>-7.4800000000000005E-2</v>
      </c>
      <c r="BU103" s="230">
        <v>3324546</v>
      </c>
      <c r="BV103" s="230">
        <v>3851533</v>
      </c>
      <c r="BW103" s="230">
        <v>-526987</v>
      </c>
      <c r="BX103" s="229">
        <v>-0.1368</v>
      </c>
      <c r="BY103" s="228">
        <v>692</v>
      </c>
      <c r="BZ103" s="228">
        <v>725</v>
      </c>
      <c r="CA103" s="228">
        <v>-33</v>
      </c>
      <c r="CB103" s="229">
        <v>-4.5900000000000003E-2</v>
      </c>
      <c r="CC103" s="228">
        <v>443</v>
      </c>
      <c r="CD103" s="228">
        <v>540</v>
      </c>
      <c r="CE103" s="228">
        <v>-97</v>
      </c>
      <c r="CF103" s="229">
        <v>-0.18029999999999999</v>
      </c>
      <c r="CG103" s="228">
        <v>209</v>
      </c>
      <c r="CH103" s="228">
        <v>148</v>
      </c>
      <c r="CI103" s="228">
        <v>61</v>
      </c>
      <c r="CJ103" s="229">
        <v>0.41049999999999998</v>
      </c>
      <c r="CK103" s="228">
        <v>40</v>
      </c>
      <c r="CL103" s="228">
        <v>37</v>
      </c>
      <c r="CM103" s="228">
        <v>3</v>
      </c>
      <c r="CN103" s="229">
        <v>8.7999999999999995E-2</v>
      </c>
      <c r="CO103" s="228">
        <v>394</v>
      </c>
      <c r="CP103" s="228">
        <v>430</v>
      </c>
      <c r="CQ103" s="228">
        <v>-36</v>
      </c>
      <c r="CR103" s="229">
        <v>-8.48E-2</v>
      </c>
      <c r="CS103" s="228">
        <v>221</v>
      </c>
      <c r="CT103" s="228">
        <v>218</v>
      </c>
      <c r="CU103" s="228">
        <v>3</v>
      </c>
      <c r="CV103" s="229">
        <v>1.2800000000000001E-2</v>
      </c>
      <c r="CW103" s="230">
        <v>1306</v>
      </c>
      <c r="CX103" s="230">
        <v>1373</v>
      </c>
      <c r="CY103" s="228">
        <v>-67</v>
      </c>
      <c r="CZ103" s="229">
        <v>-4.8800000000000003E-2</v>
      </c>
      <c r="DA103" s="228">
        <v>29.59</v>
      </c>
      <c r="DB103" s="228">
        <v>34.06</v>
      </c>
      <c r="DC103" s="228">
        <v>-4.47</v>
      </c>
      <c r="DD103" s="228">
        <v>-4.47</v>
      </c>
      <c r="DE103" s="228">
        <v>50.12</v>
      </c>
      <c r="DF103" s="228">
        <v>50.24</v>
      </c>
      <c r="DG103" s="228">
        <v>-20.53</v>
      </c>
      <c r="DH103" s="228">
        <v>-0.12</v>
      </c>
      <c r="DI103" s="228">
        <v>29.75</v>
      </c>
      <c r="DJ103" s="228">
        <v>34.61</v>
      </c>
      <c r="DK103" s="228">
        <v>-4.8600000000000003</v>
      </c>
      <c r="DL103" s="228">
        <v>-4.8600000000000003</v>
      </c>
      <c r="DM103" s="228">
        <v>29.19</v>
      </c>
      <c r="DN103" s="228">
        <v>32.299999999999997</v>
      </c>
      <c r="DO103" s="228">
        <v>-3.11</v>
      </c>
      <c r="DP103" s="228">
        <v>-3.11</v>
      </c>
      <c r="DQ103" s="228">
        <v>0.56000000000000005</v>
      </c>
      <c r="DR103" s="228">
        <v>0.51</v>
      </c>
      <c r="DS103" s="228">
        <v>0.05</v>
      </c>
      <c r="DT103" s="229">
        <v>9.8000000000000004E-2</v>
      </c>
      <c r="DU103" s="228">
        <v>160</v>
      </c>
      <c r="DV103" s="228">
        <v>150</v>
      </c>
      <c r="DW103" s="228">
        <v>0.23</v>
      </c>
      <c r="DX103" s="228">
        <v>0.32</v>
      </c>
      <c r="DY103" s="228">
        <v>-0.09</v>
      </c>
      <c r="DZ103" s="229">
        <v>-0.28129999999999999</v>
      </c>
      <c r="EA103" s="229">
        <v>0.36</v>
      </c>
      <c r="EB103" s="230">
        <v>12602850</v>
      </c>
      <c r="EC103" s="229">
        <v>4.1999999999999997E-3</v>
      </c>
      <c r="ED103" s="229">
        <v>0.36</v>
      </c>
      <c r="EE103" s="228">
        <v>0.54</v>
      </c>
      <c r="EF103" s="229">
        <v>3.7000000000000002E-3</v>
      </c>
      <c r="EG103" s="230">
        <v>1256926</v>
      </c>
      <c r="EH103" s="230">
        <v>1526025</v>
      </c>
      <c r="EI103" s="229">
        <v>-0.17630000000000001</v>
      </c>
      <c r="EJ103" s="229">
        <v>0.37809999999999999</v>
      </c>
      <c r="EK103" s="228">
        <v>295.55</v>
      </c>
      <c r="EL103" s="228">
        <v>64.819999999999993</v>
      </c>
      <c r="EM103" s="228">
        <v>325.29000000000002</v>
      </c>
      <c r="EN103" s="228">
        <v>32.35</v>
      </c>
      <c r="EO103" s="228">
        <v>685.66</v>
      </c>
      <c r="EP103" s="228">
        <v>748.39</v>
      </c>
      <c r="EQ103" s="228">
        <v>-62.72</v>
      </c>
      <c r="ER103" s="229">
        <v>-8.3799999999999999E-2</v>
      </c>
      <c r="ES103" s="228">
        <v>421.77</v>
      </c>
      <c r="ET103" s="228">
        <v>220.58</v>
      </c>
      <c r="EU103" s="228">
        <v>693.06</v>
      </c>
      <c r="EV103" s="231">
        <v>119011160</v>
      </c>
      <c r="EW103" s="231">
        <v>1335.41</v>
      </c>
      <c r="EX103" s="231">
        <v>1408.11</v>
      </c>
      <c r="EY103" s="228">
        <v>-72.7</v>
      </c>
      <c r="EZ103" s="229">
        <v>-5.16E-2</v>
      </c>
      <c r="FA103" s="229">
        <v>0.74780000000000002</v>
      </c>
      <c r="FB103" s="227" t="s">
        <v>568</v>
      </c>
      <c r="FC103">
        <f t="shared" si="1"/>
        <v>249</v>
      </c>
    </row>
    <row r="104" spans="1:159" ht="17.25" thickBot="1" x14ac:dyDescent="0.3">
      <c r="A104" s="226">
        <v>45981</v>
      </c>
      <c r="B104" s="227" t="s">
        <v>215</v>
      </c>
      <c r="C104" s="227" t="s">
        <v>592</v>
      </c>
      <c r="D104" s="228">
        <v>4250</v>
      </c>
      <c r="E104" s="228">
        <v>5</v>
      </c>
      <c r="F104" s="228">
        <v>120.02</v>
      </c>
      <c r="G104" s="228">
        <v>121.08</v>
      </c>
      <c r="H104" s="228">
        <v>-1.06</v>
      </c>
      <c r="I104" s="229">
        <v>-8.8000000000000005E-3</v>
      </c>
      <c r="J104" s="228">
        <v>120.08</v>
      </c>
      <c r="K104" s="228">
        <v>120.85</v>
      </c>
      <c r="L104" s="228">
        <v>-0.77</v>
      </c>
      <c r="M104" s="229">
        <v>-6.4000000000000003E-3</v>
      </c>
      <c r="N104" s="228">
        <v>120.02</v>
      </c>
      <c r="O104" s="228">
        <v>121.08</v>
      </c>
      <c r="P104" s="228">
        <v>-1.06</v>
      </c>
      <c r="Q104" s="229">
        <v>-8.8000000000000005E-3</v>
      </c>
      <c r="R104" s="228">
        <v>120.79</v>
      </c>
      <c r="S104" s="228">
        <v>121.84</v>
      </c>
      <c r="T104" s="228">
        <v>-1.05</v>
      </c>
      <c r="U104" s="229">
        <v>-8.6E-3</v>
      </c>
      <c r="V104" s="228">
        <v>121.62</v>
      </c>
      <c r="W104" s="228">
        <v>122.55</v>
      </c>
      <c r="X104" s="228">
        <v>-0.93</v>
      </c>
      <c r="Y104" s="229">
        <v>-7.6E-3</v>
      </c>
      <c r="Z104" s="228">
        <v>-0.06</v>
      </c>
      <c r="AA104" s="228">
        <v>0.23</v>
      </c>
      <c r="AB104" s="228">
        <v>-0.28999999999999998</v>
      </c>
      <c r="AC104" s="229">
        <v>-5.0000000000000001E-4</v>
      </c>
      <c r="AD104" s="228">
        <v>-0.06</v>
      </c>
      <c r="AE104" s="228">
        <v>0.23</v>
      </c>
      <c r="AF104" s="228">
        <v>-0.28999999999999998</v>
      </c>
      <c r="AG104" s="229">
        <v>-5.0000000000000001E-4</v>
      </c>
      <c r="AH104" s="228">
        <v>0.71</v>
      </c>
      <c r="AI104" s="228">
        <v>0.99</v>
      </c>
      <c r="AJ104" s="228">
        <v>-0.28000000000000003</v>
      </c>
      <c r="AK104" s="229">
        <v>5.8999999999999999E-3</v>
      </c>
      <c r="AL104" s="228">
        <v>1.54</v>
      </c>
      <c r="AM104" s="228">
        <v>1.7</v>
      </c>
      <c r="AN104" s="228">
        <v>-0.16</v>
      </c>
      <c r="AO104" s="229">
        <v>1.2800000000000001E-2</v>
      </c>
      <c r="AP104" s="228">
        <v>120.72</v>
      </c>
      <c r="AQ104" s="228">
        <v>121.49</v>
      </c>
      <c r="AR104" s="228">
        <v>0</v>
      </c>
      <c r="AS104" s="228">
        <v>249</v>
      </c>
      <c r="AT104" s="228">
        <v>87</v>
      </c>
      <c r="AU104" s="228">
        <v>161</v>
      </c>
      <c r="AV104" s="229">
        <v>1.8513999999999999</v>
      </c>
      <c r="AW104" s="228">
        <v>129</v>
      </c>
      <c r="AX104" s="228">
        <v>55</v>
      </c>
      <c r="AY104" s="228">
        <v>74</v>
      </c>
      <c r="AZ104" s="229">
        <v>1.3438000000000001</v>
      </c>
      <c r="BA104" s="228">
        <v>117</v>
      </c>
      <c r="BB104" s="228">
        <v>30</v>
      </c>
      <c r="BC104" s="228">
        <v>87</v>
      </c>
      <c r="BD104" s="229">
        <v>2.8835999999999999</v>
      </c>
      <c r="BE104" s="228">
        <v>2</v>
      </c>
      <c r="BF104" s="228">
        <v>2</v>
      </c>
      <c r="BG104" s="228">
        <v>0</v>
      </c>
      <c r="BH104" s="229">
        <v>0.1081</v>
      </c>
      <c r="BI104" s="228">
        <v>250</v>
      </c>
      <c r="BJ104" s="228">
        <v>320</v>
      </c>
      <c r="BK104" s="228">
        <v>-70</v>
      </c>
      <c r="BL104" s="229">
        <v>-0.21940000000000001</v>
      </c>
      <c r="BM104" s="228">
        <v>85</v>
      </c>
      <c r="BN104" s="228">
        <v>81</v>
      </c>
      <c r="BO104" s="228">
        <v>4</v>
      </c>
      <c r="BP104" s="229">
        <v>4.3200000000000002E-2</v>
      </c>
      <c r="BQ104" s="228">
        <v>583</v>
      </c>
      <c r="BR104" s="228">
        <v>488</v>
      </c>
      <c r="BS104" s="228">
        <v>95</v>
      </c>
      <c r="BT104" s="229">
        <v>0.19409999999999999</v>
      </c>
      <c r="BU104" s="230">
        <v>5426281</v>
      </c>
      <c r="BV104" s="230">
        <v>5050126</v>
      </c>
      <c r="BW104" s="230">
        <v>376155</v>
      </c>
      <c r="BX104" s="229">
        <v>7.4499999999999997E-2</v>
      </c>
      <c r="BY104" s="228">
        <v>555</v>
      </c>
      <c r="BZ104" s="228">
        <v>578</v>
      </c>
      <c r="CA104" s="228">
        <v>-22</v>
      </c>
      <c r="CB104" s="229">
        <v>-3.8899999999999997E-2</v>
      </c>
      <c r="CC104" s="228">
        <v>385</v>
      </c>
      <c r="CD104" s="228">
        <v>470</v>
      </c>
      <c r="CE104" s="228">
        <v>-85</v>
      </c>
      <c r="CF104" s="229">
        <v>-0.1802</v>
      </c>
      <c r="CG104" s="228">
        <v>159</v>
      </c>
      <c r="CH104" s="228">
        <v>98</v>
      </c>
      <c r="CI104" s="228">
        <v>61</v>
      </c>
      <c r="CJ104" s="229">
        <v>0.62529999999999997</v>
      </c>
      <c r="CK104" s="228">
        <v>12</v>
      </c>
      <c r="CL104" s="228">
        <v>11</v>
      </c>
      <c r="CM104" s="228">
        <v>1</v>
      </c>
      <c r="CN104" s="229">
        <v>9.5699999999999993E-2</v>
      </c>
      <c r="CO104" s="228">
        <v>444</v>
      </c>
      <c r="CP104" s="228">
        <v>458</v>
      </c>
      <c r="CQ104" s="228">
        <v>-14</v>
      </c>
      <c r="CR104" s="229">
        <v>-3.0200000000000001E-2</v>
      </c>
      <c r="CS104" s="228">
        <v>219</v>
      </c>
      <c r="CT104" s="228">
        <v>218</v>
      </c>
      <c r="CU104" s="228">
        <v>1</v>
      </c>
      <c r="CV104" s="229">
        <v>6.3E-3</v>
      </c>
      <c r="CW104" s="230">
        <v>1219</v>
      </c>
      <c r="CX104" s="230">
        <v>1254</v>
      </c>
      <c r="CY104" s="228">
        <v>-35</v>
      </c>
      <c r="CZ104" s="229">
        <v>-2.7900000000000001E-2</v>
      </c>
      <c r="DA104" s="228">
        <v>25.93</v>
      </c>
      <c r="DB104" s="228">
        <v>27.91</v>
      </c>
      <c r="DC104" s="228">
        <v>-1.98</v>
      </c>
      <c r="DD104" s="228">
        <v>-1.98</v>
      </c>
      <c r="DE104" s="228">
        <v>45.41</v>
      </c>
      <c r="DF104" s="228">
        <v>45.5</v>
      </c>
      <c r="DG104" s="228">
        <v>-19.48</v>
      </c>
      <c r="DH104" s="228">
        <v>-0.09</v>
      </c>
      <c r="DI104" s="228">
        <v>26.2</v>
      </c>
      <c r="DJ104" s="228">
        <v>28.23</v>
      </c>
      <c r="DK104" s="228">
        <v>-2.0299999999999998</v>
      </c>
      <c r="DL104" s="228">
        <v>-2.0299999999999998</v>
      </c>
      <c r="DM104" s="228">
        <v>25.4</v>
      </c>
      <c r="DN104" s="228">
        <v>26.65</v>
      </c>
      <c r="DO104" s="228">
        <v>-1.25</v>
      </c>
      <c r="DP104" s="228">
        <v>-1.25</v>
      </c>
      <c r="DQ104" s="228">
        <v>0.49</v>
      </c>
      <c r="DR104" s="228">
        <v>0.48</v>
      </c>
      <c r="DS104" s="228">
        <v>0.01</v>
      </c>
      <c r="DT104" s="229">
        <v>2.0799999999999999E-2</v>
      </c>
      <c r="DU104" s="228">
        <v>125</v>
      </c>
      <c r="DV104" s="228">
        <v>125</v>
      </c>
      <c r="DW104" s="228">
        <v>0.34</v>
      </c>
      <c r="DX104" s="228">
        <v>0.25</v>
      </c>
      <c r="DY104" s="228">
        <v>0.09</v>
      </c>
      <c r="DZ104" s="229">
        <v>0.36</v>
      </c>
      <c r="EA104" s="229">
        <v>0.307</v>
      </c>
      <c r="EB104" s="230">
        <v>9031250</v>
      </c>
      <c r="EC104" s="229">
        <v>6.4000000000000003E-3</v>
      </c>
      <c r="ED104" s="229">
        <v>0.307</v>
      </c>
      <c r="EE104" s="228">
        <v>0.77</v>
      </c>
      <c r="EF104" s="229">
        <v>6.4000000000000003E-3</v>
      </c>
      <c r="EG104" s="230">
        <v>2484463</v>
      </c>
      <c r="EH104" s="230">
        <v>1947664</v>
      </c>
      <c r="EI104" s="229">
        <v>0.27560000000000001</v>
      </c>
      <c r="EJ104" s="229">
        <v>0.45789999999999997</v>
      </c>
      <c r="EK104" s="228">
        <v>262.67</v>
      </c>
      <c r="EL104" s="228">
        <v>85.39</v>
      </c>
      <c r="EM104" s="228">
        <v>250.8</v>
      </c>
      <c r="EN104" s="228">
        <v>16.61</v>
      </c>
      <c r="EO104" s="228">
        <v>598.86</v>
      </c>
      <c r="EP104" s="228">
        <v>505.58</v>
      </c>
      <c r="EQ104" s="228">
        <v>93.28</v>
      </c>
      <c r="ER104" s="229">
        <v>0.1845</v>
      </c>
      <c r="ES104" s="228">
        <v>472.87</v>
      </c>
      <c r="ET104" s="228">
        <v>221.22</v>
      </c>
      <c r="EU104" s="228">
        <v>556.66</v>
      </c>
      <c r="EV104" s="231">
        <v>226853356</v>
      </c>
      <c r="EW104" s="231">
        <v>1250.75</v>
      </c>
      <c r="EX104" s="231">
        <v>1292.6199999999999</v>
      </c>
      <c r="EY104" s="228">
        <v>-41.87</v>
      </c>
      <c r="EZ104" s="229">
        <v>-3.2399999999999998E-2</v>
      </c>
      <c r="FA104" s="229">
        <v>0.44769999999999999</v>
      </c>
      <c r="FB104" s="227" t="s">
        <v>568</v>
      </c>
      <c r="FC104">
        <f t="shared" si="1"/>
        <v>170</v>
      </c>
    </row>
    <row r="105" spans="1:159" ht="17.25" thickBot="1" x14ac:dyDescent="0.3">
      <c r="A105" s="226">
        <v>45981</v>
      </c>
      <c r="B105" s="227" t="s">
        <v>168</v>
      </c>
      <c r="C105" s="227" t="s">
        <v>242</v>
      </c>
      <c r="D105" s="228">
        <v>1600</v>
      </c>
      <c r="E105" s="228">
        <v>5</v>
      </c>
      <c r="F105" s="228">
        <v>405.85</v>
      </c>
      <c r="G105" s="228">
        <v>404.25</v>
      </c>
      <c r="H105" s="228">
        <v>1.6</v>
      </c>
      <c r="I105" s="229">
        <v>4.0000000000000001E-3</v>
      </c>
      <c r="J105" s="228">
        <v>405.45</v>
      </c>
      <c r="K105" s="228">
        <v>403.55</v>
      </c>
      <c r="L105" s="228">
        <v>1.9</v>
      </c>
      <c r="M105" s="229">
        <v>4.7000000000000002E-3</v>
      </c>
      <c r="N105" s="228">
        <v>405.85</v>
      </c>
      <c r="O105" s="228">
        <v>404.25</v>
      </c>
      <c r="P105" s="228">
        <v>1.6</v>
      </c>
      <c r="Q105" s="229">
        <v>4.0000000000000001E-3</v>
      </c>
      <c r="R105" s="228">
        <v>408.6</v>
      </c>
      <c r="S105" s="228">
        <v>406.95</v>
      </c>
      <c r="T105" s="228">
        <v>1.65</v>
      </c>
      <c r="U105" s="229">
        <v>4.1000000000000003E-3</v>
      </c>
      <c r="V105" s="228">
        <v>411.05</v>
      </c>
      <c r="W105" s="228">
        <v>409.4</v>
      </c>
      <c r="X105" s="228">
        <v>1.65</v>
      </c>
      <c r="Y105" s="229">
        <v>4.0000000000000001E-3</v>
      </c>
      <c r="Z105" s="228">
        <v>0.4</v>
      </c>
      <c r="AA105" s="228">
        <v>0.7</v>
      </c>
      <c r="AB105" s="228">
        <v>-0.3</v>
      </c>
      <c r="AC105" s="229">
        <v>1E-3</v>
      </c>
      <c r="AD105" s="228">
        <v>0.4</v>
      </c>
      <c r="AE105" s="228">
        <v>0.7</v>
      </c>
      <c r="AF105" s="228">
        <v>-0.3</v>
      </c>
      <c r="AG105" s="229">
        <v>1E-3</v>
      </c>
      <c r="AH105" s="228">
        <v>3.15</v>
      </c>
      <c r="AI105" s="228">
        <v>3.4</v>
      </c>
      <c r="AJ105" s="228">
        <v>-0.25</v>
      </c>
      <c r="AK105" s="229">
        <v>7.7999999999999996E-3</v>
      </c>
      <c r="AL105" s="228">
        <v>5.6</v>
      </c>
      <c r="AM105" s="228">
        <v>5.85</v>
      </c>
      <c r="AN105" s="228">
        <v>-0.25</v>
      </c>
      <c r="AO105" s="229">
        <v>1.38E-2</v>
      </c>
      <c r="AP105" s="228">
        <v>405.94</v>
      </c>
      <c r="AQ105" s="228">
        <v>408.67</v>
      </c>
      <c r="AR105" s="228">
        <v>0</v>
      </c>
      <c r="AS105" s="230">
        <v>3120</v>
      </c>
      <c r="AT105" s="228">
        <v>653</v>
      </c>
      <c r="AU105" s="230">
        <v>2467</v>
      </c>
      <c r="AV105" s="229">
        <v>3.7766999999999999</v>
      </c>
      <c r="AW105" s="230">
        <v>1592</v>
      </c>
      <c r="AX105" s="228">
        <v>358</v>
      </c>
      <c r="AY105" s="230">
        <v>1235</v>
      </c>
      <c r="AZ105" s="229">
        <v>3.4539</v>
      </c>
      <c r="BA105" s="230">
        <v>1514</v>
      </c>
      <c r="BB105" s="228">
        <v>267</v>
      </c>
      <c r="BC105" s="230">
        <v>1246</v>
      </c>
      <c r="BD105" s="229">
        <v>4.6586999999999996</v>
      </c>
      <c r="BE105" s="228">
        <v>14</v>
      </c>
      <c r="BF105" s="228">
        <v>28</v>
      </c>
      <c r="BG105" s="228">
        <v>-14</v>
      </c>
      <c r="BH105" s="229">
        <v>-0.4874</v>
      </c>
      <c r="BI105" s="230">
        <v>2082</v>
      </c>
      <c r="BJ105" s="230">
        <v>2094</v>
      </c>
      <c r="BK105" s="228">
        <v>-12</v>
      </c>
      <c r="BL105" s="229">
        <v>-5.7000000000000002E-3</v>
      </c>
      <c r="BM105" s="228">
        <v>938</v>
      </c>
      <c r="BN105" s="228">
        <v>831</v>
      </c>
      <c r="BO105" s="228">
        <v>107</v>
      </c>
      <c r="BP105" s="229">
        <v>0.1293</v>
      </c>
      <c r="BQ105" s="230">
        <v>6140</v>
      </c>
      <c r="BR105" s="230">
        <v>3578</v>
      </c>
      <c r="BS105" s="230">
        <v>2563</v>
      </c>
      <c r="BT105" s="229">
        <v>0.71619999999999995</v>
      </c>
      <c r="BU105" s="230">
        <v>7872851</v>
      </c>
      <c r="BV105" s="230">
        <v>8049048</v>
      </c>
      <c r="BW105" s="230">
        <v>-176197</v>
      </c>
      <c r="BX105" s="229">
        <v>-2.1899999999999999E-2</v>
      </c>
      <c r="BY105" s="230">
        <v>7093</v>
      </c>
      <c r="BZ105" s="230">
        <v>7115</v>
      </c>
      <c r="CA105" s="228">
        <v>-22</v>
      </c>
      <c r="CB105" s="229">
        <v>-3.0999999999999999E-3</v>
      </c>
      <c r="CC105" s="230">
        <v>4727</v>
      </c>
      <c r="CD105" s="230">
        <v>6157</v>
      </c>
      <c r="CE105" s="230">
        <v>-1430</v>
      </c>
      <c r="CF105" s="229">
        <v>-0.23230000000000001</v>
      </c>
      <c r="CG105" s="230">
        <v>2276</v>
      </c>
      <c r="CH105" s="228">
        <v>875</v>
      </c>
      <c r="CI105" s="230">
        <v>1401</v>
      </c>
      <c r="CJ105" s="229">
        <v>1.6013999999999999</v>
      </c>
      <c r="CK105" s="228">
        <v>89</v>
      </c>
      <c r="CL105" s="228">
        <v>83</v>
      </c>
      <c r="CM105" s="228">
        <v>7</v>
      </c>
      <c r="CN105" s="229">
        <v>7.9899999999999999E-2</v>
      </c>
      <c r="CO105" s="230">
        <v>2816</v>
      </c>
      <c r="CP105" s="230">
        <v>3001</v>
      </c>
      <c r="CQ105" s="228">
        <v>-185</v>
      </c>
      <c r="CR105" s="229">
        <v>-6.1600000000000002E-2</v>
      </c>
      <c r="CS105" s="230">
        <v>1295</v>
      </c>
      <c r="CT105" s="230">
        <v>1366</v>
      </c>
      <c r="CU105" s="228">
        <v>-72</v>
      </c>
      <c r="CV105" s="229">
        <v>-5.2400000000000002E-2</v>
      </c>
      <c r="CW105" s="230">
        <v>11204</v>
      </c>
      <c r="CX105" s="230">
        <v>11482</v>
      </c>
      <c r="CY105" s="228">
        <v>-279</v>
      </c>
      <c r="CZ105" s="229">
        <v>-2.4299999999999999E-2</v>
      </c>
      <c r="DA105" s="228">
        <v>13.88</v>
      </c>
      <c r="DB105" s="228">
        <v>15.37</v>
      </c>
      <c r="DC105" s="228">
        <v>-1.49</v>
      </c>
      <c r="DD105" s="228">
        <v>-1.49</v>
      </c>
      <c r="DE105" s="228">
        <v>19.11</v>
      </c>
      <c r="DF105" s="228">
        <v>19.14</v>
      </c>
      <c r="DG105" s="228">
        <v>-5.23</v>
      </c>
      <c r="DH105" s="228">
        <v>-0.03</v>
      </c>
      <c r="DI105" s="228">
        <v>14.18</v>
      </c>
      <c r="DJ105" s="228">
        <v>15.9</v>
      </c>
      <c r="DK105" s="228">
        <v>-1.72</v>
      </c>
      <c r="DL105" s="228">
        <v>-1.72</v>
      </c>
      <c r="DM105" s="228">
        <v>13.21</v>
      </c>
      <c r="DN105" s="228">
        <v>14.04</v>
      </c>
      <c r="DO105" s="228">
        <v>-0.83</v>
      </c>
      <c r="DP105" s="228">
        <v>-0.83</v>
      </c>
      <c r="DQ105" s="228">
        <v>0.46</v>
      </c>
      <c r="DR105" s="228">
        <v>0.46</v>
      </c>
      <c r="DS105" s="228">
        <v>0</v>
      </c>
      <c r="DT105" s="229">
        <v>0</v>
      </c>
      <c r="DU105" s="228">
        <v>420</v>
      </c>
      <c r="DV105" s="228">
        <v>420</v>
      </c>
      <c r="DW105" s="228">
        <v>0.45</v>
      </c>
      <c r="DX105" s="228">
        <v>0.4</v>
      </c>
      <c r="DY105" s="228">
        <v>0.05</v>
      </c>
      <c r="DZ105" s="229">
        <v>0.125</v>
      </c>
      <c r="EA105" s="229">
        <v>0.33350000000000002</v>
      </c>
      <c r="EB105" s="230">
        <v>23600000</v>
      </c>
      <c r="EC105" s="229">
        <v>6.7999999999999996E-3</v>
      </c>
      <c r="ED105" s="229">
        <v>0.33350000000000002</v>
      </c>
      <c r="EE105" s="228">
        <v>2.73</v>
      </c>
      <c r="EF105" s="229">
        <v>6.7000000000000002E-3</v>
      </c>
      <c r="EG105" s="230">
        <v>4154359</v>
      </c>
      <c r="EH105" s="230">
        <v>5151356</v>
      </c>
      <c r="EI105" s="229">
        <v>-0.19350000000000001</v>
      </c>
      <c r="EJ105" s="229">
        <v>0.52769999999999995</v>
      </c>
      <c r="EK105" s="231">
        <v>2127.2399999999998</v>
      </c>
      <c r="EL105" s="228">
        <v>943.22</v>
      </c>
      <c r="EM105" s="231">
        <v>3131.5</v>
      </c>
      <c r="EN105" s="228">
        <v>80.290000000000006</v>
      </c>
      <c r="EO105" s="231">
        <v>6201.95</v>
      </c>
      <c r="EP105" s="231">
        <v>3629.56</v>
      </c>
      <c r="EQ105" s="231">
        <v>2572.39</v>
      </c>
      <c r="ER105" s="229">
        <v>0.7087</v>
      </c>
      <c r="ES105" s="231">
        <v>2945.76</v>
      </c>
      <c r="ET105" s="231">
        <v>1298.3800000000001</v>
      </c>
      <c r="EU105" s="231">
        <v>7109.14</v>
      </c>
      <c r="EV105" s="231">
        <v>1251412841</v>
      </c>
      <c r="EW105" s="231">
        <v>11353.28</v>
      </c>
      <c r="EX105" s="231">
        <v>11596.87</v>
      </c>
      <c r="EY105" s="228">
        <v>-243.59</v>
      </c>
      <c r="EZ105" s="229">
        <v>-2.1000000000000001E-2</v>
      </c>
      <c r="FA105" s="229">
        <v>0.22059999999999999</v>
      </c>
      <c r="FB105" s="227" t="s">
        <v>556</v>
      </c>
      <c r="FC105">
        <f t="shared" si="1"/>
        <v>2366</v>
      </c>
    </row>
    <row r="106" spans="1:159" ht="17.25" thickBot="1" x14ac:dyDescent="0.3">
      <c r="A106" s="226">
        <v>45981</v>
      </c>
      <c r="B106" s="227" t="s">
        <v>227</v>
      </c>
      <c r="C106" s="227" t="s">
        <v>243</v>
      </c>
      <c r="D106" s="228">
        <v>625</v>
      </c>
      <c r="E106" s="228">
        <v>5</v>
      </c>
      <c r="F106" s="231">
        <v>1070.4000000000001</v>
      </c>
      <c r="G106" s="231">
        <v>1069.9000000000001</v>
      </c>
      <c r="H106" s="228">
        <v>0.5</v>
      </c>
      <c r="I106" s="229">
        <v>5.0000000000000001E-4</v>
      </c>
      <c r="J106" s="231">
        <v>1069.4000000000001</v>
      </c>
      <c r="K106" s="231">
        <v>1071</v>
      </c>
      <c r="L106" s="228">
        <v>-1.6</v>
      </c>
      <c r="M106" s="229">
        <v>-1.5E-3</v>
      </c>
      <c r="N106" s="231">
        <v>1070.4000000000001</v>
      </c>
      <c r="O106" s="231">
        <v>1069.9000000000001</v>
      </c>
      <c r="P106" s="228">
        <v>0.5</v>
      </c>
      <c r="Q106" s="229">
        <v>5.0000000000000001E-4</v>
      </c>
      <c r="R106" s="231">
        <v>1077.5</v>
      </c>
      <c r="S106" s="231">
        <v>1076.5</v>
      </c>
      <c r="T106" s="228">
        <v>1</v>
      </c>
      <c r="U106" s="229">
        <v>8.9999999999999998E-4</v>
      </c>
      <c r="V106" s="231">
        <v>1083.5</v>
      </c>
      <c r="W106" s="231">
        <v>1082.4000000000001</v>
      </c>
      <c r="X106" s="228">
        <v>1.1000000000000001</v>
      </c>
      <c r="Y106" s="229">
        <v>1E-3</v>
      </c>
      <c r="Z106" s="228">
        <v>1</v>
      </c>
      <c r="AA106" s="228">
        <v>-1.1000000000000001</v>
      </c>
      <c r="AB106" s="228">
        <v>2.1</v>
      </c>
      <c r="AC106" s="229">
        <v>8.9999999999999998E-4</v>
      </c>
      <c r="AD106" s="228">
        <v>1</v>
      </c>
      <c r="AE106" s="228">
        <v>-1.1000000000000001</v>
      </c>
      <c r="AF106" s="228">
        <v>2.1</v>
      </c>
      <c r="AG106" s="229">
        <v>8.9999999999999998E-4</v>
      </c>
      <c r="AH106" s="228">
        <v>8.1</v>
      </c>
      <c r="AI106" s="228">
        <v>5.5</v>
      </c>
      <c r="AJ106" s="228">
        <v>2.6</v>
      </c>
      <c r="AK106" s="229">
        <v>7.6E-3</v>
      </c>
      <c r="AL106" s="228">
        <v>14.1</v>
      </c>
      <c r="AM106" s="228">
        <v>11.4</v>
      </c>
      <c r="AN106" s="228">
        <v>2.7</v>
      </c>
      <c r="AO106" s="229">
        <v>1.32E-2</v>
      </c>
      <c r="AP106" s="231">
        <v>1072.17</v>
      </c>
      <c r="AQ106" s="231">
        <v>1079.1500000000001</v>
      </c>
      <c r="AR106" s="228">
        <v>0</v>
      </c>
      <c r="AS106" s="228">
        <v>692</v>
      </c>
      <c r="AT106" s="228">
        <v>268</v>
      </c>
      <c r="AU106" s="228">
        <v>424</v>
      </c>
      <c r="AV106" s="229">
        <v>1.5839000000000001</v>
      </c>
      <c r="AW106" s="228">
        <v>385</v>
      </c>
      <c r="AX106" s="228">
        <v>200</v>
      </c>
      <c r="AY106" s="228">
        <v>185</v>
      </c>
      <c r="AZ106" s="229">
        <v>0.92379999999999995</v>
      </c>
      <c r="BA106" s="228">
        <v>305</v>
      </c>
      <c r="BB106" s="228">
        <v>65</v>
      </c>
      <c r="BC106" s="228">
        <v>240</v>
      </c>
      <c r="BD106" s="229">
        <v>3.6684000000000001</v>
      </c>
      <c r="BE106" s="228">
        <v>2</v>
      </c>
      <c r="BF106" s="228">
        <v>2</v>
      </c>
      <c r="BG106" s="228">
        <v>0</v>
      </c>
      <c r="BH106" s="229">
        <v>-0.2059</v>
      </c>
      <c r="BI106" s="228">
        <v>608</v>
      </c>
      <c r="BJ106" s="228">
        <v>792</v>
      </c>
      <c r="BK106" s="228">
        <v>-184</v>
      </c>
      <c r="BL106" s="229">
        <v>-0.2326</v>
      </c>
      <c r="BM106" s="228">
        <v>339</v>
      </c>
      <c r="BN106" s="228">
        <v>434</v>
      </c>
      <c r="BO106" s="228">
        <v>-95</v>
      </c>
      <c r="BP106" s="229">
        <v>-0.21929999999999999</v>
      </c>
      <c r="BQ106" s="230">
        <v>1638</v>
      </c>
      <c r="BR106" s="230">
        <v>1493</v>
      </c>
      <c r="BS106" s="228">
        <v>145</v>
      </c>
      <c r="BT106" s="229">
        <v>9.7100000000000006E-2</v>
      </c>
      <c r="BU106" s="230">
        <v>850436</v>
      </c>
      <c r="BV106" s="230">
        <v>954199</v>
      </c>
      <c r="BW106" s="230">
        <v>-103763</v>
      </c>
      <c r="BX106" s="229">
        <v>-0.1087</v>
      </c>
      <c r="BY106" s="230">
        <v>1414</v>
      </c>
      <c r="BZ106" s="230">
        <v>1441</v>
      </c>
      <c r="CA106" s="228">
        <v>-27</v>
      </c>
      <c r="CB106" s="229">
        <v>-1.8700000000000001E-2</v>
      </c>
      <c r="CC106" s="228">
        <v>891</v>
      </c>
      <c r="CD106" s="230">
        <v>1156</v>
      </c>
      <c r="CE106" s="228">
        <v>-265</v>
      </c>
      <c r="CF106" s="229">
        <v>-0.22950000000000001</v>
      </c>
      <c r="CG106" s="228">
        <v>518</v>
      </c>
      <c r="CH106" s="228">
        <v>280</v>
      </c>
      <c r="CI106" s="228">
        <v>238</v>
      </c>
      <c r="CJ106" s="229">
        <v>0.84840000000000004</v>
      </c>
      <c r="CK106" s="228">
        <v>5</v>
      </c>
      <c r="CL106" s="228">
        <v>4</v>
      </c>
      <c r="CM106" s="228">
        <v>1</v>
      </c>
      <c r="CN106" s="229">
        <v>0.2069</v>
      </c>
      <c r="CO106" s="228">
        <v>626</v>
      </c>
      <c r="CP106" s="228">
        <v>666</v>
      </c>
      <c r="CQ106" s="228">
        <v>-40</v>
      </c>
      <c r="CR106" s="229">
        <v>-5.9499999999999997E-2</v>
      </c>
      <c r="CS106" s="228">
        <v>539</v>
      </c>
      <c r="CT106" s="228">
        <v>573</v>
      </c>
      <c r="CU106" s="228">
        <v>-35</v>
      </c>
      <c r="CV106" s="229">
        <v>-6.0600000000000001E-2</v>
      </c>
      <c r="CW106" s="230">
        <v>2578</v>
      </c>
      <c r="CX106" s="230">
        <v>2680</v>
      </c>
      <c r="CY106" s="228">
        <v>-101</v>
      </c>
      <c r="CZ106" s="229">
        <v>-3.78E-2</v>
      </c>
      <c r="DA106" s="228">
        <v>25.78</v>
      </c>
      <c r="DB106" s="228">
        <v>28.18</v>
      </c>
      <c r="DC106" s="228">
        <v>-2.4</v>
      </c>
      <c r="DD106" s="228">
        <v>-2.4</v>
      </c>
      <c r="DE106" s="228">
        <v>35.24</v>
      </c>
      <c r="DF106" s="228">
        <v>35.33</v>
      </c>
      <c r="DG106" s="228">
        <v>-9.4600000000000009</v>
      </c>
      <c r="DH106" s="228">
        <v>-0.09</v>
      </c>
      <c r="DI106" s="228">
        <v>25.64</v>
      </c>
      <c r="DJ106" s="228">
        <v>28.84</v>
      </c>
      <c r="DK106" s="228">
        <v>-3.2</v>
      </c>
      <c r="DL106" s="228">
        <v>-3.2</v>
      </c>
      <c r="DM106" s="228">
        <v>26.11</v>
      </c>
      <c r="DN106" s="228">
        <v>26.97</v>
      </c>
      <c r="DO106" s="228">
        <v>-0.86</v>
      </c>
      <c r="DP106" s="228">
        <v>-0.86</v>
      </c>
      <c r="DQ106" s="228">
        <v>0.86</v>
      </c>
      <c r="DR106" s="228">
        <v>0.86</v>
      </c>
      <c r="DS106" s="228">
        <v>0</v>
      </c>
      <c r="DT106" s="229">
        <v>0</v>
      </c>
      <c r="DU106" s="231">
        <v>1100</v>
      </c>
      <c r="DV106" s="231">
        <v>1060</v>
      </c>
      <c r="DW106" s="228">
        <v>0.56000000000000005</v>
      </c>
      <c r="DX106" s="228">
        <v>0.55000000000000004</v>
      </c>
      <c r="DY106" s="228">
        <v>0.01</v>
      </c>
      <c r="DZ106" s="229">
        <v>1.8200000000000001E-2</v>
      </c>
      <c r="EA106" s="229">
        <v>0.36969999999999997</v>
      </c>
      <c r="EB106" s="230">
        <v>2654375</v>
      </c>
      <c r="EC106" s="229">
        <v>6.6E-3</v>
      </c>
      <c r="ED106" s="229">
        <v>0.36969999999999997</v>
      </c>
      <c r="EE106" s="228">
        <v>6.98</v>
      </c>
      <c r="EF106" s="229">
        <v>6.4999999999999997E-3</v>
      </c>
      <c r="EG106" s="230">
        <v>333554</v>
      </c>
      <c r="EH106" s="230">
        <v>420649</v>
      </c>
      <c r="EI106" s="229">
        <v>-0.20699999999999999</v>
      </c>
      <c r="EJ106" s="229">
        <v>0.39219999999999999</v>
      </c>
      <c r="EK106" s="228">
        <v>630.41</v>
      </c>
      <c r="EL106" s="228">
        <v>334.64</v>
      </c>
      <c r="EM106" s="228">
        <v>695.31</v>
      </c>
      <c r="EN106" s="228">
        <v>61.55</v>
      </c>
      <c r="EO106" s="231">
        <v>1660.36</v>
      </c>
      <c r="EP106" s="231">
        <v>1513.5</v>
      </c>
      <c r="EQ106" s="228">
        <v>146.86000000000001</v>
      </c>
      <c r="ER106" s="229">
        <v>9.7000000000000003E-2</v>
      </c>
      <c r="ES106" s="228">
        <v>654.41999999999996</v>
      </c>
      <c r="ET106" s="228">
        <v>519.51</v>
      </c>
      <c r="EU106" s="231">
        <v>1417.16</v>
      </c>
      <c r="EV106" s="231">
        <v>54776702</v>
      </c>
      <c r="EW106" s="231">
        <v>2591.09</v>
      </c>
      <c r="EX106" s="231">
        <v>2689.3</v>
      </c>
      <c r="EY106" s="228">
        <v>-98.21</v>
      </c>
      <c r="EZ106" s="229">
        <v>-3.6499999999999998E-2</v>
      </c>
      <c r="FA106" s="229">
        <v>0.43980000000000002</v>
      </c>
      <c r="FB106" s="227" t="s">
        <v>556</v>
      </c>
      <c r="FC106">
        <f t="shared" si="1"/>
        <v>523</v>
      </c>
    </row>
    <row r="107" spans="1:159" ht="17.25" thickBot="1" x14ac:dyDescent="0.3">
      <c r="A107" s="226">
        <v>45981</v>
      </c>
      <c r="B107" s="227" t="s">
        <v>175</v>
      </c>
      <c r="C107" s="227" t="s">
        <v>570</v>
      </c>
      <c r="D107" s="228">
        <v>2350</v>
      </c>
      <c r="E107" s="228">
        <v>5</v>
      </c>
      <c r="F107" s="228">
        <v>308.8</v>
      </c>
      <c r="G107" s="228">
        <v>304.7</v>
      </c>
      <c r="H107" s="228">
        <v>4.0999999999999996</v>
      </c>
      <c r="I107" s="229">
        <v>1.35E-2</v>
      </c>
      <c r="J107" s="228">
        <v>308.35000000000002</v>
      </c>
      <c r="K107" s="228">
        <v>304.45</v>
      </c>
      <c r="L107" s="228">
        <v>3.9</v>
      </c>
      <c r="M107" s="229">
        <v>1.2800000000000001E-2</v>
      </c>
      <c r="N107" s="228">
        <v>308.8</v>
      </c>
      <c r="O107" s="228">
        <v>304.7</v>
      </c>
      <c r="P107" s="228">
        <v>4.0999999999999996</v>
      </c>
      <c r="Q107" s="229">
        <v>1.35E-2</v>
      </c>
      <c r="R107" s="228">
        <v>310.85000000000002</v>
      </c>
      <c r="S107" s="228">
        <v>306.8</v>
      </c>
      <c r="T107" s="228">
        <v>4.05</v>
      </c>
      <c r="U107" s="229">
        <v>1.32E-2</v>
      </c>
      <c r="V107" s="228">
        <v>312.75</v>
      </c>
      <c r="W107" s="228">
        <v>308.8</v>
      </c>
      <c r="X107" s="228">
        <v>3.95</v>
      </c>
      <c r="Y107" s="229">
        <v>1.2800000000000001E-2</v>
      </c>
      <c r="Z107" s="228">
        <v>0.45</v>
      </c>
      <c r="AA107" s="228">
        <v>0.25</v>
      </c>
      <c r="AB107" s="228">
        <v>0.2</v>
      </c>
      <c r="AC107" s="229">
        <v>1.5E-3</v>
      </c>
      <c r="AD107" s="228">
        <v>0.45</v>
      </c>
      <c r="AE107" s="228">
        <v>0.25</v>
      </c>
      <c r="AF107" s="228">
        <v>0.2</v>
      </c>
      <c r="AG107" s="229">
        <v>1.5E-3</v>
      </c>
      <c r="AH107" s="228">
        <v>2.5</v>
      </c>
      <c r="AI107" s="228">
        <v>2.35</v>
      </c>
      <c r="AJ107" s="228">
        <v>0.15</v>
      </c>
      <c r="AK107" s="229">
        <v>8.0999999999999996E-3</v>
      </c>
      <c r="AL107" s="228">
        <v>4.4000000000000004</v>
      </c>
      <c r="AM107" s="228">
        <v>4.3499999999999996</v>
      </c>
      <c r="AN107" s="228">
        <v>0.05</v>
      </c>
      <c r="AO107" s="229">
        <v>1.43E-2</v>
      </c>
      <c r="AP107" s="228">
        <v>308.02</v>
      </c>
      <c r="AQ107" s="228">
        <v>310.08999999999997</v>
      </c>
      <c r="AR107" s="228">
        <v>0</v>
      </c>
      <c r="AS107" s="230">
        <v>1682</v>
      </c>
      <c r="AT107" s="228">
        <v>617</v>
      </c>
      <c r="AU107" s="230">
        <v>1065</v>
      </c>
      <c r="AV107" s="229">
        <v>1.7246999999999999</v>
      </c>
      <c r="AW107" s="228">
        <v>859</v>
      </c>
      <c r="AX107" s="228">
        <v>358</v>
      </c>
      <c r="AY107" s="228">
        <v>501</v>
      </c>
      <c r="AZ107" s="229">
        <v>1.3962000000000001</v>
      </c>
      <c r="BA107" s="228">
        <v>808</v>
      </c>
      <c r="BB107" s="228">
        <v>239</v>
      </c>
      <c r="BC107" s="228">
        <v>568</v>
      </c>
      <c r="BD107" s="229">
        <v>2.3761999999999999</v>
      </c>
      <c r="BE107" s="228">
        <v>16</v>
      </c>
      <c r="BF107" s="228">
        <v>20</v>
      </c>
      <c r="BG107" s="228">
        <v>-4</v>
      </c>
      <c r="BH107" s="229">
        <v>-0.21029999999999999</v>
      </c>
      <c r="BI107" s="230">
        <v>2523</v>
      </c>
      <c r="BJ107" s="230">
        <v>2128</v>
      </c>
      <c r="BK107" s="228">
        <v>395</v>
      </c>
      <c r="BL107" s="229">
        <v>0.18540000000000001</v>
      </c>
      <c r="BM107" s="228">
        <v>879</v>
      </c>
      <c r="BN107" s="228">
        <v>856</v>
      </c>
      <c r="BO107" s="228">
        <v>24</v>
      </c>
      <c r="BP107" s="229">
        <v>2.76E-2</v>
      </c>
      <c r="BQ107" s="230">
        <v>5085</v>
      </c>
      <c r="BR107" s="230">
        <v>3602</v>
      </c>
      <c r="BS107" s="230">
        <v>1483</v>
      </c>
      <c r="BT107" s="229">
        <v>0.4118</v>
      </c>
      <c r="BU107" s="230">
        <v>8876604</v>
      </c>
      <c r="BV107" s="230">
        <v>6489103</v>
      </c>
      <c r="BW107" s="230">
        <v>2387501</v>
      </c>
      <c r="BX107" s="229">
        <v>0.3679</v>
      </c>
      <c r="BY107" s="230">
        <v>4698</v>
      </c>
      <c r="BZ107" s="230">
        <v>4715</v>
      </c>
      <c r="CA107" s="228">
        <v>-17</v>
      </c>
      <c r="CB107" s="229">
        <v>-3.7000000000000002E-3</v>
      </c>
      <c r="CC107" s="230">
        <v>2947</v>
      </c>
      <c r="CD107" s="230">
        <v>3591</v>
      </c>
      <c r="CE107" s="228">
        <v>-643</v>
      </c>
      <c r="CF107" s="229">
        <v>-0.1792</v>
      </c>
      <c r="CG107" s="230">
        <v>1653</v>
      </c>
      <c r="CH107" s="230">
        <v>1027</v>
      </c>
      <c r="CI107" s="228">
        <v>626</v>
      </c>
      <c r="CJ107" s="229">
        <v>0.60929999999999995</v>
      </c>
      <c r="CK107" s="228">
        <v>98</v>
      </c>
      <c r="CL107" s="228">
        <v>97</v>
      </c>
      <c r="CM107" s="228">
        <v>0</v>
      </c>
      <c r="CN107" s="229">
        <v>3.7000000000000002E-3</v>
      </c>
      <c r="CO107" s="230">
        <v>2237</v>
      </c>
      <c r="CP107" s="230">
        <v>2345</v>
      </c>
      <c r="CQ107" s="228">
        <v>-108</v>
      </c>
      <c r="CR107" s="229">
        <v>-4.5999999999999999E-2</v>
      </c>
      <c r="CS107" s="230">
        <v>1357</v>
      </c>
      <c r="CT107" s="230">
        <v>1364</v>
      </c>
      <c r="CU107" s="228">
        <v>-7</v>
      </c>
      <c r="CV107" s="229">
        <v>-5.4000000000000003E-3</v>
      </c>
      <c r="CW107" s="230">
        <v>8292</v>
      </c>
      <c r="CX107" s="230">
        <v>8424</v>
      </c>
      <c r="CY107" s="228">
        <v>-132</v>
      </c>
      <c r="CZ107" s="229">
        <v>-1.5699999999999999E-2</v>
      </c>
      <c r="DA107" s="228">
        <v>23.52</v>
      </c>
      <c r="DB107" s="228">
        <v>26.16</v>
      </c>
      <c r="DC107" s="228">
        <v>-2.64</v>
      </c>
      <c r="DD107" s="228">
        <v>-2.64</v>
      </c>
      <c r="DE107" s="228">
        <v>34.770000000000003</v>
      </c>
      <c r="DF107" s="228">
        <v>34.81</v>
      </c>
      <c r="DG107" s="228">
        <v>-11.25</v>
      </c>
      <c r="DH107" s="228">
        <v>-0.04</v>
      </c>
      <c r="DI107" s="228">
        <v>23.56</v>
      </c>
      <c r="DJ107" s="228">
        <v>27.19</v>
      </c>
      <c r="DK107" s="228">
        <v>-3.63</v>
      </c>
      <c r="DL107" s="228">
        <v>-3.63</v>
      </c>
      <c r="DM107" s="228">
        <v>23.45</v>
      </c>
      <c r="DN107" s="228">
        <v>23.59</v>
      </c>
      <c r="DO107" s="228">
        <v>-0.14000000000000001</v>
      </c>
      <c r="DP107" s="228">
        <v>-0.14000000000000001</v>
      </c>
      <c r="DQ107" s="228">
        <v>0.61</v>
      </c>
      <c r="DR107" s="228">
        <v>0.57999999999999996</v>
      </c>
      <c r="DS107" s="228">
        <v>0.03</v>
      </c>
      <c r="DT107" s="229">
        <v>5.1700000000000003E-2</v>
      </c>
      <c r="DU107" s="228">
        <v>310</v>
      </c>
      <c r="DV107" s="228">
        <v>310</v>
      </c>
      <c r="DW107" s="228">
        <v>0.35</v>
      </c>
      <c r="DX107" s="228">
        <v>0.4</v>
      </c>
      <c r="DY107" s="228">
        <v>-0.05</v>
      </c>
      <c r="DZ107" s="229">
        <v>-0.125</v>
      </c>
      <c r="EA107" s="229">
        <v>0.37259999999999999</v>
      </c>
      <c r="EB107" s="230">
        <v>36403850</v>
      </c>
      <c r="EC107" s="229">
        <v>6.6E-3</v>
      </c>
      <c r="ED107" s="229">
        <v>0.37259999999999999</v>
      </c>
      <c r="EE107" s="228">
        <v>2.0699999999999998</v>
      </c>
      <c r="EF107" s="229">
        <v>6.7000000000000002E-3</v>
      </c>
      <c r="EG107" s="230">
        <v>4448090</v>
      </c>
      <c r="EH107" s="230">
        <v>2850306</v>
      </c>
      <c r="EI107" s="229">
        <v>0.56059999999999999</v>
      </c>
      <c r="EJ107" s="229">
        <v>0.50109999999999999</v>
      </c>
      <c r="EK107" s="231">
        <v>2621.94</v>
      </c>
      <c r="EL107" s="228">
        <v>879.96</v>
      </c>
      <c r="EM107" s="231">
        <v>1683.41</v>
      </c>
      <c r="EN107" s="228">
        <v>107.05</v>
      </c>
      <c r="EO107" s="231">
        <v>5185.32</v>
      </c>
      <c r="EP107" s="231">
        <v>3666.66</v>
      </c>
      <c r="EQ107" s="231">
        <v>1518.66</v>
      </c>
      <c r="ER107" s="229">
        <v>0.41420000000000001</v>
      </c>
      <c r="ES107" s="231">
        <v>2345.44</v>
      </c>
      <c r="ET107" s="231">
        <v>1347.32</v>
      </c>
      <c r="EU107" s="231">
        <v>4709.76</v>
      </c>
      <c r="EV107" s="231">
        <v>446457456</v>
      </c>
      <c r="EW107" s="231">
        <v>8402.52</v>
      </c>
      <c r="EX107" s="231">
        <v>8470.15</v>
      </c>
      <c r="EY107" s="228">
        <v>-67.63</v>
      </c>
      <c r="EZ107" s="229">
        <v>-8.0000000000000002E-3</v>
      </c>
      <c r="FA107" s="229">
        <v>0.60140000000000005</v>
      </c>
      <c r="FB107" s="227" t="s">
        <v>556</v>
      </c>
      <c r="FC107">
        <f t="shared" si="1"/>
        <v>1751</v>
      </c>
    </row>
    <row r="108" spans="1:159" ht="17.25" thickBot="1" x14ac:dyDescent="0.3">
      <c r="A108" s="226">
        <v>45981</v>
      </c>
      <c r="B108" s="227" t="s">
        <v>161</v>
      </c>
      <c r="C108" s="227" t="s">
        <v>580</v>
      </c>
      <c r="D108" s="228">
        <v>1000</v>
      </c>
      <c r="E108" s="228">
        <v>5</v>
      </c>
      <c r="F108" s="228">
        <v>504.8</v>
      </c>
      <c r="G108" s="228">
        <v>513.5</v>
      </c>
      <c r="H108" s="228">
        <v>-8.6999999999999993</v>
      </c>
      <c r="I108" s="229">
        <v>-1.6899999999999998E-2</v>
      </c>
      <c r="J108" s="228">
        <v>504.85</v>
      </c>
      <c r="K108" s="228">
        <v>513.65</v>
      </c>
      <c r="L108" s="228">
        <v>-8.8000000000000007</v>
      </c>
      <c r="M108" s="229">
        <v>-1.7100000000000001E-2</v>
      </c>
      <c r="N108" s="228">
        <v>504.8</v>
      </c>
      <c r="O108" s="228">
        <v>513.5</v>
      </c>
      <c r="P108" s="228">
        <v>-8.6999999999999993</v>
      </c>
      <c r="Q108" s="229">
        <v>-1.6899999999999998E-2</v>
      </c>
      <c r="R108" s="228">
        <v>508.15</v>
      </c>
      <c r="S108" s="228">
        <v>516.95000000000005</v>
      </c>
      <c r="T108" s="228">
        <v>-8.8000000000000007</v>
      </c>
      <c r="U108" s="229">
        <v>-1.7000000000000001E-2</v>
      </c>
      <c r="V108" s="228">
        <v>511.55</v>
      </c>
      <c r="W108" s="228">
        <v>522.1</v>
      </c>
      <c r="X108" s="228">
        <v>-10.55</v>
      </c>
      <c r="Y108" s="229">
        <v>-2.0199999999999999E-2</v>
      </c>
      <c r="Z108" s="228">
        <v>-0.05</v>
      </c>
      <c r="AA108" s="228">
        <v>-0.15</v>
      </c>
      <c r="AB108" s="228">
        <v>0.1</v>
      </c>
      <c r="AC108" s="229">
        <v>-1E-4</v>
      </c>
      <c r="AD108" s="228">
        <v>-0.05</v>
      </c>
      <c r="AE108" s="228">
        <v>-0.15</v>
      </c>
      <c r="AF108" s="228">
        <v>0.1</v>
      </c>
      <c r="AG108" s="229">
        <v>-1E-4</v>
      </c>
      <c r="AH108" s="228">
        <v>3.3</v>
      </c>
      <c r="AI108" s="228">
        <v>3.3</v>
      </c>
      <c r="AJ108" s="228">
        <v>0</v>
      </c>
      <c r="AK108" s="229">
        <v>6.4999999999999997E-3</v>
      </c>
      <c r="AL108" s="228">
        <v>6.7</v>
      </c>
      <c r="AM108" s="228">
        <v>8.4499999999999993</v>
      </c>
      <c r="AN108" s="228">
        <v>-1.75</v>
      </c>
      <c r="AO108" s="229">
        <v>1.3299999999999999E-2</v>
      </c>
      <c r="AP108" s="228">
        <v>509.92</v>
      </c>
      <c r="AQ108" s="228">
        <v>513.29999999999995</v>
      </c>
      <c r="AR108" s="228">
        <v>0</v>
      </c>
      <c r="AS108" s="228">
        <v>947</v>
      </c>
      <c r="AT108" s="228">
        <v>376</v>
      </c>
      <c r="AU108" s="228">
        <v>571</v>
      </c>
      <c r="AV108" s="229">
        <v>1.5185999999999999</v>
      </c>
      <c r="AW108" s="228">
        <v>510</v>
      </c>
      <c r="AX108" s="228">
        <v>240</v>
      </c>
      <c r="AY108" s="228">
        <v>270</v>
      </c>
      <c r="AZ108" s="229">
        <v>1.1274999999999999</v>
      </c>
      <c r="BA108" s="228">
        <v>431</v>
      </c>
      <c r="BB108" s="228">
        <v>134</v>
      </c>
      <c r="BC108" s="228">
        <v>297</v>
      </c>
      <c r="BD108" s="229">
        <v>2.2212999999999998</v>
      </c>
      <c r="BE108" s="228">
        <v>5</v>
      </c>
      <c r="BF108" s="228">
        <v>2</v>
      </c>
      <c r="BG108" s="228">
        <v>3</v>
      </c>
      <c r="BH108" s="229">
        <v>1.3953</v>
      </c>
      <c r="BI108" s="228">
        <v>907</v>
      </c>
      <c r="BJ108" s="228">
        <v>766</v>
      </c>
      <c r="BK108" s="228">
        <v>142</v>
      </c>
      <c r="BL108" s="229">
        <v>0.185</v>
      </c>
      <c r="BM108" s="228">
        <v>412</v>
      </c>
      <c r="BN108" s="228">
        <v>341</v>
      </c>
      <c r="BO108" s="228">
        <v>71</v>
      </c>
      <c r="BP108" s="229">
        <v>0.2074</v>
      </c>
      <c r="BQ108" s="230">
        <v>2266</v>
      </c>
      <c r="BR108" s="230">
        <v>1483</v>
      </c>
      <c r="BS108" s="228">
        <v>783</v>
      </c>
      <c r="BT108" s="229">
        <v>0.5282</v>
      </c>
      <c r="BU108" s="230">
        <v>3590708</v>
      </c>
      <c r="BV108" s="230">
        <v>2981520</v>
      </c>
      <c r="BW108" s="230">
        <v>609188</v>
      </c>
      <c r="BX108" s="229">
        <v>0.20430000000000001</v>
      </c>
      <c r="BY108" s="230">
        <v>2128</v>
      </c>
      <c r="BZ108" s="230">
        <v>2110</v>
      </c>
      <c r="CA108" s="228">
        <v>18</v>
      </c>
      <c r="CB108" s="229">
        <v>8.8000000000000005E-3</v>
      </c>
      <c r="CC108" s="230">
        <v>1608</v>
      </c>
      <c r="CD108" s="230">
        <v>1939</v>
      </c>
      <c r="CE108" s="228">
        <v>-332</v>
      </c>
      <c r="CF108" s="229">
        <v>-0.17100000000000001</v>
      </c>
      <c r="CG108" s="228">
        <v>512</v>
      </c>
      <c r="CH108" s="228">
        <v>165</v>
      </c>
      <c r="CI108" s="228">
        <v>347</v>
      </c>
      <c r="CJ108" s="229">
        <v>2.1004999999999998</v>
      </c>
      <c r="CK108" s="228">
        <v>8</v>
      </c>
      <c r="CL108" s="228">
        <v>5</v>
      </c>
      <c r="CM108" s="228">
        <v>3</v>
      </c>
      <c r="CN108" s="229">
        <v>0.54810000000000003</v>
      </c>
      <c r="CO108" s="228">
        <v>718</v>
      </c>
      <c r="CP108" s="228">
        <v>668</v>
      </c>
      <c r="CQ108" s="228">
        <v>50</v>
      </c>
      <c r="CR108" s="229">
        <v>7.4700000000000003E-2</v>
      </c>
      <c r="CS108" s="228">
        <v>317</v>
      </c>
      <c r="CT108" s="228">
        <v>277</v>
      </c>
      <c r="CU108" s="228">
        <v>40</v>
      </c>
      <c r="CV108" s="229">
        <v>0.14599999999999999</v>
      </c>
      <c r="CW108" s="230">
        <v>3164</v>
      </c>
      <c r="CX108" s="230">
        <v>3055</v>
      </c>
      <c r="CY108" s="228">
        <v>109</v>
      </c>
      <c r="CZ108" s="229">
        <v>3.56E-2</v>
      </c>
      <c r="DA108" s="228">
        <v>26.13</v>
      </c>
      <c r="DB108" s="228">
        <v>28.73</v>
      </c>
      <c r="DC108" s="228">
        <v>-2.6</v>
      </c>
      <c r="DD108" s="228">
        <v>-2.6</v>
      </c>
      <c r="DE108" s="228">
        <v>43.49</v>
      </c>
      <c r="DF108" s="228">
        <v>43.54</v>
      </c>
      <c r="DG108" s="228">
        <v>-17.36</v>
      </c>
      <c r="DH108" s="228">
        <v>-0.05</v>
      </c>
      <c r="DI108" s="228">
        <v>26.39</v>
      </c>
      <c r="DJ108" s="228">
        <v>29.95</v>
      </c>
      <c r="DK108" s="228">
        <v>-3.56</v>
      </c>
      <c r="DL108" s="228">
        <v>-3.56</v>
      </c>
      <c r="DM108" s="228">
        <v>25.62</v>
      </c>
      <c r="DN108" s="228">
        <v>25.98</v>
      </c>
      <c r="DO108" s="228">
        <v>-0.36</v>
      </c>
      <c r="DP108" s="228">
        <v>-0.36</v>
      </c>
      <c r="DQ108" s="228">
        <v>0.44</v>
      </c>
      <c r="DR108" s="228">
        <v>0.41</v>
      </c>
      <c r="DS108" s="228">
        <v>0.03</v>
      </c>
      <c r="DT108" s="229">
        <v>7.3200000000000001E-2</v>
      </c>
      <c r="DU108" s="228">
        <v>600</v>
      </c>
      <c r="DV108" s="228">
        <v>530</v>
      </c>
      <c r="DW108" s="228">
        <v>0.45</v>
      </c>
      <c r="DX108" s="228">
        <v>0.45</v>
      </c>
      <c r="DY108" s="228">
        <v>0</v>
      </c>
      <c r="DZ108" s="229">
        <v>0</v>
      </c>
      <c r="EA108" s="229">
        <v>0.24460000000000001</v>
      </c>
      <c r="EB108" s="230">
        <v>3378000</v>
      </c>
      <c r="EC108" s="229">
        <v>6.6E-3</v>
      </c>
      <c r="ED108" s="229">
        <v>0.24460000000000001</v>
      </c>
      <c r="EE108" s="228">
        <v>3.38</v>
      </c>
      <c r="EF108" s="229">
        <v>6.6E-3</v>
      </c>
      <c r="EG108" s="230">
        <v>1971380</v>
      </c>
      <c r="EH108" s="230">
        <v>1703337</v>
      </c>
      <c r="EI108" s="229">
        <v>0.15740000000000001</v>
      </c>
      <c r="EJ108" s="229">
        <v>0.54900000000000004</v>
      </c>
      <c r="EK108" s="228">
        <v>961.25</v>
      </c>
      <c r="EL108" s="228">
        <v>417.12</v>
      </c>
      <c r="EM108" s="228">
        <v>959.35</v>
      </c>
      <c r="EN108" s="228">
        <v>44.27</v>
      </c>
      <c r="EO108" s="231">
        <v>2337.7199999999998</v>
      </c>
      <c r="EP108" s="231">
        <v>1559.9</v>
      </c>
      <c r="EQ108" s="228">
        <v>777.83</v>
      </c>
      <c r="ER108" s="229">
        <v>0.49859999999999999</v>
      </c>
      <c r="ES108" s="228">
        <v>784.73</v>
      </c>
      <c r="ET108" s="228">
        <v>324.76</v>
      </c>
      <c r="EU108" s="231">
        <v>2131.9499999999998</v>
      </c>
      <c r="EV108" s="231">
        <v>80203755</v>
      </c>
      <c r="EW108" s="231">
        <v>3241.44</v>
      </c>
      <c r="EX108" s="231">
        <v>3171.93</v>
      </c>
      <c r="EY108" s="228">
        <v>69.510000000000005</v>
      </c>
      <c r="EZ108" s="229">
        <v>2.1899999999999999E-2</v>
      </c>
      <c r="FA108" s="229">
        <v>0.78139999999999998</v>
      </c>
      <c r="FB108" s="227" t="s">
        <v>567</v>
      </c>
      <c r="FC108">
        <f t="shared" si="1"/>
        <v>520</v>
      </c>
    </row>
    <row r="109" spans="1:159" ht="17.25" thickBot="1" x14ac:dyDescent="0.3">
      <c r="A109" s="226">
        <v>45981</v>
      </c>
      <c r="B109" s="227" t="s">
        <v>227</v>
      </c>
      <c r="C109" s="227" t="s">
        <v>244</v>
      </c>
      <c r="D109" s="228">
        <v>675</v>
      </c>
      <c r="E109" s="228">
        <v>5</v>
      </c>
      <c r="F109" s="231">
        <v>1172</v>
      </c>
      <c r="G109" s="231">
        <v>1165.0999999999999</v>
      </c>
      <c r="H109" s="228">
        <v>6.9</v>
      </c>
      <c r="I109" s="229">
        <v>5.8999999999999999E-3</v>
      </c>
      <c r="J109" s="231">
        <v>1170</v>
      </c>
      <c r="K109" s="231">
        <v>1164.9000000000001</v>
      </c>
      <c r="L109" s="228">
        <v>5.0999999999999996</v>
      </c>
      <c r="M109" s="229">
        <v>4.4000000000000003E-3</v>
      </c>
      <c r="N109" s="231">
        <v>1172</v>
      </c>
      <c r="O109" s="231">
        <v>1165.0999999999999</v>
      </c>
      <c r="P109" s="228">
        <v>6.9</v>
      </c>
      <c r="Q109" s="229">
        <v>5.8999999999999999E-3</v>
      </c>
      <c r="R109" s="231">
        <v>1180</v>
      </c>
      <c r="S109" s="231">
        <v>1172.5999999999999</v>
      </c>
      <c r="T109" s="228">
        <v>7.4</v>
      </c>
      <c r="U109" s="229">
        <v>6.3E-3</v>
      </c>
      <c r="V109" s="231">
        <v>1186.7</v>
      </c>
      <c r="W109" s="231">
        <v>1179.2</v>
      </c>
      <c r="X109" s="228">
        <v>7.5</v>
      </c>
      <c r="Y109" s="229">
        <v>6.4000000000000003E-3</v>
      </c>
      <c r="Z109" s="228">
        <v>2</v>
      </c>
      <c r="AA109" s="228">
        <v>0.2</v>
      </c>
      <c r="AB109" s="228">
        <v>1.8</v>
      </c>
      <c r="AC109" s="229">
        <v>1.6999999999999999E-3</v>
      </c>
      <c r="AD109" s="228">
        <v>2</v>
      </c>
      <c r="AE109" s="228">
        <v>0.2</v>
      </c>
      <c r="AF109" s="228">
        <v>1.8</v>
      </c>
      <c r="AG109" s="229">
        <v>1.6999999999999999E-3</v>
      </c>
      <c r="AH109" s="228">
        <v>10</v>
      </c>
      <c r="AI109" s="228">
        <v>7.7</v>
      </c>
      <c r="AJ109" s="228">
        <v>2.2999999999999998</v>
      </c>
      <c r="AK109" s="229">
        <v>8.5000000000000006E-3</v>
      </c>
      <c r="AL109" s="228">
        <v>16.7</v>
      </c>
      <c r="AM109" s="228">
        <v>14.3</v>
      </c>
      <c r="AN109" s="228">
        <v>2.4</v>
      </c>
      <c r="AO109" s="229">
        <v>1.43E-2</v>
      </c>
      <c r="AP109" s="231">
        <v>1170.81</v>
      </c>
      <c r="AQ109" s="231">
        <v>1178.77</v>
      </c>
      <c r="AR109" s="228">
        <v>0</v>
      </c>
      <c r="AS109" s="230">
        <v>2982</v>
      </c>
      <c r="AT109" s="228">
        <v>899</v>
      </c>
      <c r="AU109" s="230">
        <v>2082</v>
      </c>
      <c r="AV109" s="229">
        <v>2.3153999999999999</v>
      </c>
      <c r="AW109" s="230">
        <v>1527</v>
      </c>
      <c r="AX109" s="228">
        <v>517</v>
      </c>
      <c r="AY109" s="230">
        <v>1010</v>
      </c>
      <c r="AZ109" s="229">
        <v>1.952</v>
      </c>
      <c r="BA109" s="230">
        <v>1451</v>
      </c>
      <c r="BB109" s="228">
        <v>380</v>
      </c>
      <c r="BC109" s="230">
        <v>1071</v>
      </c>
      <c r="BD109" s="229">
        <v>2.8228</v>
      </c>
      <c r="BE109" s="228">
        <v>4</v>
      </c>
      <c r="BF109" s="228">
        <v>3</v>
      </c>
      <c r="BG109" s="228">
        <v>1</v>
      </c>
      <c r="BH109" s="229">
        <v>0.46879999999999999</v>
      </c>
      <c r="BI109" s="228">
        <v>897</v>
      </c>
      <c r="BJ109" s="228">
        <v>861</v>
      </c>
      <c r="BK109" s="228">
        <v>35</v>
      </c>
      <c r="BL109" s="229">
        <v>4.1099999999999998E-2</v>
      </c>
      <c r="BM109" s="228">
        <v>447</v>
      </c>
      <c r="BN109" s="228">
        <v>341</v>
      </c>
      <c r="BO109" s="228">
        <v>105</v>
      </c>
      <c r="BP109" s="229">
        <v>0.30909999999999999</v>
      </c>
      <c r="BQ109" s="230">
        <v>4325</v>
      </c>
      <c r="BR109" s="230">
        <v>2102</v>
      </c>
      <c r="BS109" s="230">
        <v>2223</v>
      </c>
      <c r="BT109" s="229">
        <v>1.0577000000000001</v>
      </c>
      <c r="BU109" s="230">
        <v>919209</v>
      </c>
      <c r="BV109" s="230">
        <v>531830</v>
      </c>
      <c r="BW109" s="230">
        <v>387379</v>
      </c>
      <c r="BX109" s="229">
        <v>0.72840000000000005</v>
      </c>
      <c r="BY109" s="230">
        <v>5303</v>
      </c>
      <c r="BZ109" s="230">
        <v>5280</v>
      </c>
      <c r="CA109" s="228">
        <v>23</v>
      </c>
      <c r="CB109" s="229">
        <v>4.3E-3</v>
      </c>
      <c r="CC109" s="230">
        <v>3355</v>
      </c>
      <c r="CD109" s="230">
        <v>4682</v>
      </c>
      <c r="CE109" s="230">
        <v>-1327</v>
      </c>
      <c r="CF109" s="229">
        <v>-0.28339999999999999</v>
      </c>
      <c r="CG109" s="230">
        <v>1939</v>
      </c>
      <c r="CH109" s="228">
        <v>590</v>
      </c>
      <c r="CI109" s="230">
        <v>1349</v>
      </c>
      <c r="CJ109" s="229">
        <v>2.2846000000000002</v>
      </c>
      <c r="CK109" s="228">
        <v>9</v>
      </c>
      <c r="CL109" s="228">
        <v>8</v>
      </c>
      <c r="CM109" s="228">
        <v>1</v>
      </c>
      <c r="CN109" s="229">
        <v>0.1</v>
      </c>
      <c r="CO109" s="230">
        <v>1015</v>
      </c>
      <c r="CP109" s="230">
        <v>1081</v>
      </c>
      <c r="CQ109" s="228">
        <v>-66</v>
      </c>
      <c r="CR109" s="229">
        <v>-6.0999999999999999E-2</v>
      </c>
      <c r="CS109" s="228">
        <v>588</v>
      </c>
      <c r="CT109" s="228">
        <v>597</v>
      </c>
      <c r="CU109" s="228">
        <v>-9</v>
      </c>
      <c r="CV109" s="229">
        <v>-1.5100000000000001E-2</v>
      </c>
      <c r="CW109" s="230">
        <v>6906</v>
      </c>
      <c r="CX109" s="230">
        <v>6958</v>
      </c>
      <c r="CY109" s="228">
        <v>-52</v>
      </c>
      <c r="CZ109" s="229">
        <v>-7.4999999999999997E-3</v>
      </c>
      <c r="DA109" s="228">
        <v>21.52</v>
      </c>
      <c r="DB109" s="228">
        <v>24.13</v>
      </c>
      <c r="DC109" s="228">
        <v>-2.61</v>
      </c>
      <c r="DD109" s="228">
        <v>-2.61</v>
      </c>
      <c r="DE109" s="228">
        <v>28.68</v>
      </c>
      <c r="DF109" s="228">
        <v>28.74</v>
      </c>
      <c r="DG109" s="228">
        <v>-7.16</v>
      </c>
      <c r="DH109" s="228">
        <v>-0.06</v>
      </c>
      <c r="DI109" s="228">
        <v>21.35</v>
      </c>
      <c r="DJ109" s="228">
        <v>24.76</v>
      </c>
      <c r="DK109" s="228">
        <v>-3.41</v>
      </c>
      <c r="DL109" s="228">
        <v>-3.41</v>
      </c>
      <c r="DM109" s="228">
        <v>21.84</v>
      </c>
      <c r="DN109" s="228">
        <v>22.53</v>
      </c>
      <c r="DO109" s="228">
        <v>-0.69</v>
      </c>
      <c r="DP109" s="228">
        <v>-0.69</v>
      </c>
      <c r="DQ109" s="228">
        <v>0.57999999999999996</v>
      </c>
      <c r="DR109" s="228">
        <v>0.55000000000000004</v>
      </c>
      <c r="DS109" s="228">
        <v>0.03</v>
      </c>
      <c r="DT109" s="229">
        <v>5.45E-2</v>
      </c>
      <c r="DU109" s="231">
        <v>1220</v>
      </c>
      <c r="DV109" s="231">
        <v>1150</v>
      </c>
      <c r="DW109" s="228">
        <v>0.5</v>
      </c>
      <c r="DX109" s="228">
        <v>0.4</v>
      </c>
      <c r="DY109" s="228">
        <v>0.1</v>
      </c>
      <c r="DZ109" s="229">
        <v>0.25</v>
      </c>
      <c r="EA109" s="229">
        <v>0.36730000000000002</v>
      </c>
      <c r="EB109" s="230">
        <v>5105025</v>
      </c>
      <c r="EC109" s="229">
        <v>6.7999999999999996E-3</v>
      </c>
      <c r="ED109" s="229">
        <v>0.36730000000000002</v>
      </c>
      <c r="EE109" s="228">
        <v>7.96</v>
      </c>
      <c r="EF109" s="229">
        <v>6.7999999999999996E-3</v>
      </c>
      <c r="EG109" s="230">
        <v>509217</v>
      </c>
      <c r="EH109" s="230">
        <v>228971</v>
      </c>
      <c r="EI109" s="229">
        <v>1.2239</v>
      </c>
      <c r="EJ109" s="229">
        <v>0.55400000000000005</v>
      </c>
      <c r="EK109" s="228">
        <v>922.29</v>
      </c>
      <c r="EL109" s="228">
        <v>442.5</v>
      </c>
      <c r="EM109" s="231">
        <v>2988.47</v>
      </c>
      <c r="EN109" s="228">
        <v>77.87</v>
      </c>
      <c r="EO109" s="231">
        <v>4353.25</v>
      </c>
      <c r="EP109" s="231">
        <v>2122.21</v>
      </c>
      <c r="EQ109" s="231">
        <v>2231.0500000000002</v>
      </c>
      <c r="ER109" s="229">
        <v>1.0512999999999999</v>
      </c>
      <c r="ES109" s="231">
        <v>1065.6300000000001</v>
      </c>
      <c r="ET109" s="228">
        <v>572.37</v>
      </c>
      <c r="EU109" s="231">
        <v>5316.09</v>
      </c>
      <c r="EV109" s="231">
        <v>133166619</v>
      </c>
      <c r="EW109" s="231">
        <v>6954.09</v>
      </c>
      <c r="EX109" s="231">
        <v>6967.13</v>
      </c>
      <c r="EY109" s="228">
        <v>-13.04</v>
      </c>
      <c r="EZ109" s="229">
        <v>-1.9E-3</v>
      </c>
      <c r="FA109" s="229">
        <v>0.4425</v>
      </c>
      <c r="FB109" s="227" t="s">
        <v>555</v>
      </c>
      <c r="FC109">
        <f t="shared" si="1"/>
        <v>1948</v>
      </c>
    </row>
    <row r="110" spans="1:159" ht="17.25" thickBot="1" x14ac:dyDescent="0.3">
      <c r="A110" s="226">
        <v>45981</v>
      </c>
      <c r="B110" s="227" t="s">
        <v>168</v>
      </c>
      <c r="C110" s="227" t="s">
        <v>245</v>
      </c>
      <c r="D110" s="228">
        <v>1250</v>
      </c>
      <c r="E110" s="228">
        <v>5</v>
      </c>
      <c r="F110" s="228">
        <v>592.1</v>
      </c>
      <c r="G110" s="228">
        <v>595.45000000000005</v>
      </c>
      <c r="H110" s="228">
        <v>-3.35</v>
      </c>
      <c r="I110" s="229">
        <v>-5.5999999999999999E-3</v>
      </c>
      <c r="J110" s="228">
        <v>591.15</v>
      </c>
      <c r="K110" s="228">
        <v>595.15</v>
      </c>
      <c r="L110" s="228">
        <v>-4</v>
      </c>
      <c r="M110" s="229">
        <v>-6.7000000000000002E-3</v>
      </c>
      <c r="N110" s="228">
        <v>592.1</v>
      </c>
      <c r="O110" s="228">
        <v>595.45000000000005</v>
      </c>
      <c r="P110" s="228">
        <v>-3.35</v>
      </c>
      <c r="Q110" s="229">
        <v>-5.5999999999999999E-3</v>
      </c>
      <c r="R110" s="228">
        <v>595.29999999999995</v>
      </c>
      <c r="S110" s="228">
        <v>599.04999999999995</v>
      </c>
      <c r="T110" s="228">
        <v>-3.75</v>
      </c>
      <c r="U110" s="229">
        <v>-6.3E-3</v>
      </c>
      <c r="V110" s="228">
        <v>599</v>
      </c>
      <c r="W110" s="228">
        <v>603</v>
      </c>
      <c r="X110" s="228">
        <v>-4</v>
      </c>
      <c r="Y110" s="229">
        <v>-6.6E-3</v>
      </c>
      <c r="Z110" s="228">
        <v>0.95</v>
      </c>
      <c r="AA110" s="228">
        <v>0.3</v>
      </c>
      <c r="AB110" s="228">
        <v>0.65</v>
      </c>
      <c r="AC110" s="229">
        <v>1.6000000000000001E-3</v>
      </c>
      <c r="AD110" s="228">
        <v>0.95</v>
      </c>
      <c r="AE110" s="228">
        <v>0.3</v>
      </c>
      <c r="AF110" s="228">
        <v>0.65</v>
      </c>
      <c r="AG110" s="229">
        <v>1.6000000000000001E-3</v>
      </c>
      <c r="AH110" s="228">
        <v>4.1500000000000004</v>
      </c>
      <c r="AI110" s="228">
        <v>3.9</v>
      </c>
      <c r="AJ110" s="228">
        <v>0.25</v>
      </c>
      <c r="AK110" s="229">
        <v>7.0000000000000001E-3</v>
      </c>
      <c r="AL110" s="228">
        <v>7.85</v>
      </c>
      <c r="AM110" s="228">
        <v>7.85</v>
      </c>
      <c r="AN110" s="228">
        <v>0</v>
      </c>
      <c r="AO110" s="229">
        <v>1.3299999999999999E-2</v>
      </c>
      <c r="AP110" s="228">
        <v>592.27</v>
      </c>
      <c r="AQ110" s="228">
        <v>595.83000000000004</v>
      </c>
      <c r="AR110" s="228">
        <v>0</v>
      </c>
      <c r="AS110" s="230">
        <v>1087</v>
      </c>
      <c r="AT110" s="228">
        <v>249</v>
      </c>
      <c r="AU110" s="228">
        <v>839</v>
      </c>
      <c r="AV110" s="229">
        <v>3.37</v>
      </c>
      <c r="AW110" s="228">
        <v>561</v>
      </c>
      <c r="AX110" s="228">
        <v>155</v>
      </c>
      <c r="AY110" s="228">
        <v>407</v>
      </c>
      <c r="AZ110" s="229">
        <v>2.6244999999999998</v>
      </c>
      <c r="BA110" s="228">
        <v>523</v>
      </c>
      <c r="BB110" s="228">
        <v>92</v>
      </c>
      <c r="BC110" s="228">
        <v>431</v>
      </c>
      <c r="BD110" s="229">
        <v>4.7089999999999996</v>
      </c>
      <c r="BE110" s="228">
        <v>3</v>
      </c>
      <c r="BF110" s="228">
        <v>2</v>
      </c>
      <c r="BG110" s="228">
        <v>1</v>
      </c>
      <c r="BH110" s="229">
        <v>0.375</v>
      </c>
      <c r="BI110" s="230">
        <v>1047</v>
      </c>
      <c r="BJ110" s="230">
        <v>1026</v>
      </c>
      <c r="BK110" s="228">
        <v>21</v>
      </c>
      <c r="BL110" s="229">
        <v>2.06E-2</v>
      </c>
      <c r="BM110" s="228">
        <v>413</v>
      </c>
      <c r="BN110" s="228">
        <v>506</v>
      </c>
      <c r="BO110" s="228">
        <v>-93</v>
      </c>
      <c r="BP110" s="229">
        <v>-0.18429999999999999</v>
      </c>
      <c r="BQ110" s="230">
        <v>2547</v>
      </c>
      <c r="BR110" s="230">
        <v>1781</v>
      </c>
      <c r="BS110" s="228">
        <v>766</v>
      </c>
      <c r="BT110" s="229">
        <v>0.43030000000000002</v>
      </c>
      <c r="BU110" s="230">
        <v>2708903</v>
      </c>
      <c r="BV110" s="230">
        <v>1234427</v>
      </c>
      <c r="BW110" s="230">
        <v>1474476</v>
      </c>
      <c r="BX110" s="229">
        <v>1.1944999999999999</v>
      </c>
      <c r="BY110" s="230">
        <v>1356</v>
      </c>
      <c r="BZ110" s="230">
        <v>1369</v>
      </c>
      <c r="CA110" s="228">
        <v>-14</v>
      </c>
      <c r="CB110" s="229">
        <v>-9.9000000000000008E-3</v>
      </c>
      <c r="CC110" s="228">
        <v>900</v>
      </c>
      <c r="CD110" s="230">
        <v>1206</v>
      </c>
      <c r="CE110" s="228">
        <v>-306</v>
      </c>
      <c r="CF110" s="229">
        <v>-0.25409999999999999</v>
      </c>
      <c r="CG110" s="228">
        <v>440</v>
      </c>
      <c r="CH110" s="228">
        <v>149</v>
      </c>
      <c r="CI110" s="228">
        <v>291</v>
      </c>
      <c r="CJ110" s="229">
        <v>1.9562999999999999</v>
      </c>
      <c r="CK110" s="228">
        <v>16</v>
      </c>
      <c r="CL110" s="228">
        <v>14</v>
      </c>
      <c r="CM110" s="228">
        <v>2</v>
      </c>
      <c r="CN110" s="229">
        <v>0.1082</v>
      </c>
      <c r="CO110" s="228">
        <v>713</v>
      </c>
      <c r="CP110" s="228">
        <v>748</v>
      </c>
      <c r="CQ110" s="228">
        <v>-35</v>
      </c>
      <c r="CR110" s="229">
        <v>-4.6600000000000003E-2</v>
      </c>
      <c r="CS110" s="228">
        <v>464</v>
      </c>
      <c r="CT110" s="228">
        <v>483</v>
      </c>
      <c r="CU110" s="228">
        <v>-19</v>
      </c>
      <c r="CV110" s="229">
        <v>-4.0099999999999997E-2</v>
      </c>
      <c r="CW110" s="230">
        <v>2532</v>
      </c>
      <c r="CX110" s="230">
        <v>2600</v>
      </c>
      <c r="CY110" s="228">
        <v>-68</v>
      </c>
      <c r="CZ110" s="229">
        <v>-2.6100000000000002E-2</v>
      </c>
      <c r="DA110" s="228">
        <v>24.36</v>
      </c>
      <c r="DB110" s="228">
        <v>27.74</v>
      </c>
      <c r="DC110" s="228">
        <v>-3.38</v>
      </c>
      <c r="DD110" s="228">
        <v>-3.38</v>
      </c>
      <c r="DE110" s="228">
        <v>34.36</v>
      </c>
      <c r="DF110" s="228">
        <v>34.43</v>
      </c>
      <c r="DG110" s="228">
        <v>-10</v>
      </c>
      <c r="DH110" s="228">
        <v>-7.0000000000000007E-2</v>
      </c>
      <c r="DI110" s="228">
        <v>24.77</v>
      </c>
      <c r="DJ110" s="228">
        <v>28.88</v>
      </c>
      <c r="DK110" s="228">
        <v>-4.1100000000000003</v>
      </c>
      <c r="DL110" s="228">
        <v>-4.1100000000000003</v>
      </c>
      <c r="DM110" s="228">
        <v>23.45</v>
      </c>
      <c r="DN110" s="228">
        <v>25.42</v>
      </c>
      <c r="DO110" s="228">
        <v>-1.97</v>
      </c>
      <c r="DP110" s="228">
        <v>-1.97</v>
      </c>
      <c r="DQ110" s="228">
        <v>0.65</v>
      </c>
      <c r="DR110" s="228">
        <v>0.65</v>
      </c>
      <c r="DS110" s="228">
        <v>0</v>
      </c>
      <c r="DT110" s="229">
        <v>0</v>
      </c>
      <c r="DU110" s="228">
        <v>600</v>
      </c>
      <c r="DV110" s="228">
        <v>580</v>
      </c>
      <c r="DW110" s="228">
        <v>0.39</v>
      </c>
      <c r="DX110" s="228">
        <v>0.49</v>
      </c>
      <c r="DY110" s="228">
        <v>-0.1</v>
      </c>
      <c r="DZ110" s="229">
        <v>-0.2041</v>
      </c>
      <c r="EA110" s="229">
        <v>0.33639999999999998</v>
      </c>
      <c r="EB110" s="230">
        <v>2757500</v>
      </c>
      <c r="EC110" s="229">
        <v>5.4000000000000003E-3</v>
      </c>
      <c r="ED110" s="229">
        <v>0.33639999999999998</v>
      </c>
      <c r="EE110" s="228">
        <v>3.56</v>
      </c>
      <c r="EF110" s="229">
        <v>6.0000000000000001E-3</v>
      </c>
      <c r="EG110" s="230">
        <v>1647803</v>
      </c>
      <c r="EH110" s="230">
        <v>766671</v>
      </c>
      <c r="EI110" s="229">
        <v>1.1493</v>
      </c>
      <c r="EJ110" s="229">
        <v>0.60829999999999995</v>
      </c>
      <c r="EK110" s="231">
        <v>1097.9100000000001</v>
      </c>
      <c r="EL110" s="228">
        <v>413.66</v>
      </c>
      <c r="EM110" s="231">
        <v>1090.8900000000001</v>
      </c>
      <c r="EN110" s="228">
        <v>66.39</v>
      </c>
      <c r="EO110" s="231">
        <v>2602.4499999999998</v>
      </c>
      <c r="EP110" s="231">
        <v>1843.64</v>
      </c>
      <c r="EQ110" s="228">
        <v>758.81</v>
      </c>
      <c r="ER110" s="229">
        <v>0.41160000000000002</v>
      </c>
      <c r="ES110" s="228">
        <v>755.75</v>
      </c>
      <c r="ET110" s="228">
        <v>457.55</v>
      </c>
      <c r="EU110" s="231">
        <v>1358.33</v>
      </c>
      <c r="EV110" s="231">
        <v>48884739</v>
      </c>
      <c r="EW110" s="231">
        <v>2571.63</v>
      </c>
      <c r="EX110" s="231">
        <v>2649.31</v>
      </c>
      <c r="EY110" s="228">
        <v>-77.680000000000007</v>
      </c>
      <c r="EZ110" s="229">
        <v>-2.93E-2</v>
      </c>
      <c r="FA110" s="229">
        <v>0.87490000000000001</v>
      </c>
      <c r="FB110" s="227" t="s">
        <v>568</v>
      </c>
      <c r="FC110">
        <f t="shared" si="1"/>
        <v>456</v>
      </c>
    </row>
    <row r="111" spans="1:159" ht="17.25" thickBot="1" x14ac:dyDescent="0.3">
      <c r="A111" s="226">
        <v>45981</v>
      </c>
      <c r="B111" s="227" t="s">
        <v>168</v>
      </c>
      <c r="C111" s="227" t="s">
        <v>582</v>
      </c>
      <c r="D111" s="228">
        <v>1175</v>
      </c>
      <c r="E111" s="228">
        <v>5</v>
      </c>
      <c r="F111" s="228">
        <v>504.85</v>
      </c>
      <c r="G111" s="228">
        <v>500.8</v>
      </c>
      <c r="H111" s="228">
        <v>4.05</v>
      </c>
      <c r="I111" s="229">
        <v>8.0999999999999996E-3</v>
      </c>
      <c r="J111" s="228">
        <v>504.1</v>
      </c>
      <c r="K111" s="228">
        <v>499.6</v>
      </c>
      <c r="L111" s="228">
        <v>4.5</v>
      </c>
      <c r="M111" s="229">
        <v>8.9999999999999993E-3</v>
      </c>
      <c r="N111" s="228">
        <v>504.85</v>
      </c>
      <c r="O111" s="228">
        <v>500.8</v>
      </c>
      <c r="P111" s="228">
        <v>4.05</v>
      </c>
      <c r="Q111" s="229">
        <v>8.0999999999999996E-3</v>
      </c>
      <c r="R111" s="228">
        <v>508.3</v>
      </c>
      <c r="S111" s="228">
        <v>504.15</v>
      </c>
      <c r="T111" s="228">
        <v>4.1500000000000004</v>
      </c>
      <c r="U111" s="229">
        <v>8.2000000000000007E-3</v>
      </c>
      <c r="V111" s="228">
        <v>511.45</v>
      </c>
      <c r="W111" s="228">
        <v>507.5</v>
      </c>
      <c r="X111" s="228">
        <v>3.95</v>
      </c>
      <c r="Y111" s="229">
        <v>7.7999999999999996E-3</v>
      </c>
      <c r="Z111" s="228">
        <v>0.75</v>
      </c>
      <c r="AA111" s="228">
        <v>1.2</v>
      </c>
      <c r="AB111" s="228">
        <v>-0.45</v>
      </c>
      <c r="AC111" s="229">
        <v>1.5E-3</v>
      </c>
      <c r="AD111" s="228">
        <v>0.75</v>
      </c>
      <c r="AE111" s="228">
        <v>1.2</v>
      </c>
      <c r="AF111" s="228">
        <v>-0.45</v>
      </c>
      <c r="AG111" s="229">
        <v>1.5E-3</v>
      </c>
      <c r="AH111" s="228">
        <v>4.2</v>
      </c>
      <c r="AI111" s="228">
        <v>4.55</v>
      </c>
      <c r="AJ111" s="228">
        <v>-0.35</v>
      </c>
      <c r="AK111" s="229">
        <v>8.3000000000000001E-3</v>
      </c>
      <c r="AL111" s="228">
        <v>7.35</v>
      </c>
      <c r="AM111" s="228">
        <v>7.9</v>
      </c>
      <c r="AN111" s="228">
        <v>-0.55000000000000004</v>
      </c>
      <c r="AO111" s="229">
        <v>1.46E-2</v>
      </c>
      <c r="AP111" s="228">
        <v>507.95</v>
      </c>
      <c r="AQ111" s="228">
        <v>511.38</v>
      </c>
      <c r="AR111" s="228">
        <v>0</v>
      </c>
      <c r="AS111" s="230">
        <v>1076</v>
      </c>
      <c r="AT111" s="228">
        <v>244</v>
      </c>
      <c r="AU111" s="228">
        <v>831</v>
      </c>
      <c r="AV111" s="229">
        <v>3.403</v>
      </c>
      <c r="AW111" s="228">
        <v>563</v>
      </c>
      <c r="AX111" s="228">
        <v>191</v>
      </c>
      <c r="AY111" s="228">
        <v>372</v>
      </c>
      <c r="AZ111" s="229">
        <v>1.9515</v>
      </c>
      <c r="BA111" s="228">
        <v>506</v>
      </c>
      <c r="BB111" s="228">
        <v>50</v>
      </c>
      <c r="BC111" s="228">
        <v>456</v>
      </c>
      <c r="BD111" s="229">
        <v>9.1282999999999994</v>
      </c>
      <c r="BE111" s="228">
        <v>7</v>
      </c>
      <c r="BF111" s="228">
        <v>4</v>
      </c>
      <c r="BG111" s="228">
        <v>3</v>
      </c>
      <c r="BH111" s="229">
        <v>0.88329999999999997</v>
      </c>
      <c r="BI111" s="230">
        <v>1875</v>
      </c>
      <c r="BJ111" s="230">
        <v>1295</v>
      </c>
      <c r="BK111" s="228">
        <v>579</v>
      </c>
      <c r="BL111" s="229">
        <v>0.44700000000000001</v>
      </c>
      <c r="BM111" s="228">
        <v>697</v>
      </c>
      <c r="BN111" s="228">
        <v>457</v>
      </c>
      <c r="BO111" s="228">
        <v>240</v>
      </c>
      <c r="BP111" s="229">
        <v>0.52610000000000001</v>
      </c>
      <c r="BQ111" s="230">
        <v>3648</v>
      </c>
      <c r="BR111" s="230">
        <v>1997</v>
      </c>
      <c r="BS111" s="230">
        <v>1651</v>
      </c>
      <c r="BT111" s="229">
        <v>0.82689999999999997</v>
      </c>
      <c r="BU111" s="230">
        <v>3495416</v>
      </c>
      <c r="BV111" s="230">
        <v>2533127</v>
      </c>
      <c r="BW111" s="230">
        <v>962289</v>
      </c>
      <c r="BX111" s="229">
        <v>0.37990000000000002</v>
      </c>
      <c r="BY111" s="230">
        <v>1587</v>
      </c>
      <c r="BZ111" s="230">
        <v>1627</v>
      </c>
      <c r="CA111" s="228">
        <v>-40</v>
      </c>
      <c r="CB111" s="229">
        <v>-2.47E-2</v>
      </c>
      <c r="CC111" s="230">
        <v>1120</v>
      </c>
      <c r="CD111" s="230">
        <v>1540</v>
      </c>
      <c r="CE111" s="228">
        <v>-420</v>
      </c>
      <c r="CF111" s="229">
        <v>-0.27279999999999999</v>
      </c>
      <c r="CG111" s="228">
        <v>456</v>
      </c>
      <c r="CH111" s="228">
        <v>77</v>
      </c>
      <c r="CI111" s="228">
        <v>379</v>
      </c>
      <c r="CJ111" s="229">
        <v>4.9010999999999996</v>
      </c>
      <c r="CK111" s="228">
        <v>11</v>
      </c>
      <c r="CL111" s="228">
        <v>10</v>
      </c>
      <c r="CM111" s="228">
        <v>1</v>
      </c>
      <c r="CN111" s="229">
        <v>8.2799999999999999E-2</v>
      </c>
      <c r="CO111" s="228">
        <v>572</v>
      </c>
      <c r="CP111" s="228">
        <v>652</v>
      </c>
      <c r="CQ111" s="228">
        <v>-79</v>
      </c>
      <c r="CR111" s="229">
        <v>-0.122</v>
      </c>
      <c r="CS111" s="228">
        <v>299</v>
      </c>
      <c r="CT111" s="228">
        <v>312</v>
      </c>
      <c r="CU111" s="228">
        <v>-13</v>
      </c>
      <c r="CV111" s="229">
        <v>-4.07E-2</v>
      </c>
      <c r="CW111" s="230">
        <v>2459</v>
      </c>
      <c r="CX111" s="230">
        <v>2591</v>
      </c>
      <c r="CY111" s="228">
        <v>-132</v>
      </c>
      <c r="CZ111" s="229">
        <v>-5.11E-2</v>
      </c>
      <c r="DA111" s="228">
        <v>31.53</v>
      </c>
      <c r="DB111" s="228">
        <v>31.27</v>
      </c>
      <c r="DC111" s="228">
        <v>0.26</v>
      </c>
      <c r="DD111" s="228">
        <v>0.26</v>
      </c>
      <c r="DE111" s="228">
        <v>49.34</v>
      </c>
      <c r="DF111" s="228">
        <v>49.44</v>
      </c>
      <c r="DG111" s="228">
        <v>-17.809999999999999</v>
      </c>
      <c r="DH111" s="228">
        <v>-0.1</v>
      </c>
      <c r="DI111" s="228">
        <v>31.36</v>
      </c>
      <c r="DJ111" s="228">
        <v>31.55</v>
      </c>
      <c r="DK111" s="228">
        <v>-0.19</v>
      </c>
      <c r="DL111" s="228">
        <v>-0.19</v>
      </c>
      <c r="DM111" s="228">
        <v>31.92</v>
      </c>
      <c r="DN111" s="228">
        <v>30.48</v>
      </c>
      <c r="DO111" s="228">
        <v>1.44</v>
      </c>
      <c r="DP111" s="228">
        <v>1.44</v>
      </c>
      <c r="DQ111" s="228">
        <v>0.52</v>
      </c>
      <c r="DR111" s="228">
        <v>0.48</v>
      </c>
      <c r="DS111" s="228">
        <v>0.04</v>
      </c>
      <c r="DT111" s="229">
        <v>8.3299999999999999E-2</v>
      </c>
      <c r="DU111" s="228">
        <v>520</v>
      </c>
      <c r="DV111" s="228">
        <v>500</v>
      </c>
      <c r="DW111" s="228">
        <v>0.37</v>
      </c>
      <c r="DX111" s="228">
        <v>0.35</v>
      </c>
      <c r="DY111" s="228">
        <v>0.02</v>
      </c>
      <c r="DZ111" s="229">
        <v>5.7099999999999998E-2</v>
      </c>
      <c r="EA111" s="229">
        <v>0.2944</v>
      </c>
      <c r="EB111" s="230">
        <v>1730775</v>
      </c>
      <c r="EC111" s="229">
        <v>6.7999999999999996E-3</v>
      </c>
      <c r="ED111" s="229">
        <v>0.2944</v>
      </c>
      <c r="EE111" s="228">
        <v>3.43</v>
      </c>
      <c r="EF111" s="229">
        <v>6.7999999999999996E-3</v>
      </c>
      <c r="EG111" s="230">
        <v>1146165</v>
      </c>
      <c r="EH111" s="230">
        <v>661869</v>
      </c>
      <c r="EI111" s="229">
        <v>0.73170000000000002</v>
      </c>
      <c r="EJ111" s="229">
        <v>0.32790000000000002</v>
      </c>
      <c r="EK111" s="231">
        <v>1956.39</v>
      </c>
      <c r="EL111" s="228">
        <v>689.46</v>
      </c>
      <c r="EM111" s="231">
        <v>1085.95</v>
      </c>
      <c r="EN111" s="228">
        <v>30.45</v>
      </c>
      <c r="EO111" s="231">
        <v>3731.79</v>
      </c>
      <c r="EP111" s="231">
        <v>2014.37</v>
      </c>
      <c r="EQ111" s="231">
        <v>1717.42</v>
      </c>
      <c r="ER111" s="229">
        <v>0.85260000000000002</v>
      </c>
      <c r="ES111" s="228">
        <v>601.79</v>
      </c>
      <c r="ET111" s="228">
        <v>292.27999999999997</v>
      </c>
      <c r="EU111" s="231">
        <v>1590.42</v>
      </c>
      <c r="EV111" s="231">
        <v>57552009</v>
      </c>
      <c r="EW111" s="231">
        <v>2484.4899999999998</v>
      </c>
      <c r="EX111" s="231">
        <v>2602.77</v>
      </c>
      <c r="EY111" s="228">
        <v>-118.28</v>
      </c>
      <c r="EZ111" s="229">
        <v>-4.5400000000000003E-2</v>
      </c>
      <c r="FA111" s="229">
        <v>0.84619999999999995</v>
      </c>
      <c r="FB111" s="227" t="s">
        <v>556</v>
      </c>
      <c r="FC111">
        <f t="shared" si="1"/>
        <v>467</v>
      </c>
    </row>
    <row r="112" spans="1:159" ht="17.25" thickBot="1" x14ac:dyDescent="0.3">
      <c r="A112" s="226">
        <v>45981</v>
      </c>
      <c r="B112" s="227" t="s">
        <v>184</v>
      </c>
      <c r="C112" s="227" t="s">
        <v>677</v>
      </c>
      <c r="D112" s="228">
        <v>100</v>
      </c>
      <c r="E112" s="228">
        <v>5</v>
      </c>
      <c r="F112" s="231">
        <v>5978.5</v>
      </c>
      <c r="G112" s="231">
        <v>5982.5</v>
      </c>
      <c r="H112" s="228">
        <v>-4</v>
      </c>
      <c r="I112" s="229">
        <v>-6.9999999999999999E-4</v>
      </c>
      <c r="J112" s="231">
        <v>5967.5</v>
      </c>
      <c r="K112" s="231">
        <v>5974</v>
      </c>
      <c r="L112" s="228">
        <v>-6.5</v>
      </c>
      <c r="M112" s="229">
        <v>-1.1000000000000001E-3</v>
      </c>
      <c r="N112" s="231">
        <v>5978.5</v>
      </c>
      <c r="O112" s="231">
        <v>5982.5</v>
      </c>
      <c r="P112" s="228">
        <v>-4</v>
      </c>
      <c r="Q112" s="229">
        <v>-6.9999999999999999E-4</v>
      </c>
      <c r="R112" s="231">
        <v>5985</v>
      </c>
      <c r="S112" s="231">
        <v>5973</v>
      </c>
      <c r="T112" s="228">
        <v>12</v>
      </c>
      <c r="U112" s="229">
        <v>2E-3</v>
      </c>
      <c r="V112" s="231">
        <v>5999.5</v>
      </c>
      <c r="W112" s="231">
        <v>5985.5</v>
      </c>
      <c r="X112" s="228">
        <v>14</v>
      </c>
      <c r="Y112" s="229">
        <v>2.3E-3</v>
      </c>
      <c r="Z112" s="228">
        <v>11</v>
      </c>
      <c r="AA112" s="228">
        <v>8.5</v>
      </c>
      <c r="AB112" s="228">
        <v>2.5</v>
      </c>
      <c r="AC112" s="229">
        <v>1.8E-3</v>
      </c>
      <c r="AD112" s="228">
        <v>11</v>
      </c>
      <c r="AE112" s="228">
        <v>8.5</v>
      </c>
      <c r="AF112" s="228">
        <v>2.5</v>
      </c>
      <c r="AG112" s="229">
        <v>1.8E-3</v>
      </c>
      <c r="AH112" s="228">
        <v>17.5</v>
      </c>
      <c r="AI112" s="228">
        <v>-1</v>
      </c>
      <c r="AJ112" s="228">
        <v>18.5</v>
      </c>
      <c r="AK112" s="229">
        <v>2.8999999999999998E-3</v>
      </c>
      <c r="AL112" s="228">
        <v>32</v>
      </c>
      <c r="AM112" s="228">
        <v>11.5</v>
      </c>
      <c r="AN112" s="228">
        <v>20.5</v>
      </c>
      <c r="AO112" s="229">
        <v>5.4000000000000003E-3</v>
      </c>
      <c r="AP112" s="231">
        <v>5986.29</v>
      </c>
      <c r="AQ112" s="231">
        <v>5980.43</v>
      </c>
      <c r="AR112" s="228">
        <v>0</v>
      </c>
      <c r="AS112" s="228">
        <v>607</v>
      </c>
      <c r="AT112" s="228">
        <v>581</v>
      </c>
      <c r="AU112" s="228">
        <v>26</v>
      </c>
      <c r="AV112" s="229">
        <v>4.4200000000000003E-2</v>
      </c>
      <c r="AW112" s="228">
        <v>348</v>
      </c>
      <c r="AX112" s="228">
        <v>398</v>
      </c>
      <c r="AY112" s="228">
        <v>-49</v>
      </c>
      <c r="AZ112" s="229">
        <v>-0.12429999999999999</v>
      </c>
      <c r="BA112" s="228">
        <v>254</v>
      </c>
      <c r="BB112" s="228">
        <v>177</v>
      </c>
      <c r="BC112" s="228">
        <v>76</v>
      </c>
      <c r="BD112" s="229">
        <v>0.43090000000000001</v>
      </c>
      <c r="BE112" s="228">
        <v>5</v>
      </c>
      <c r="BF112" s="228">
        <v>6</v>
      </c>
      <c r="BG112" s="228">
        <v>-1</v>
      </c>
      <c r="BH112" s="229">
        <v>-0.20949999999999999</v>
      </c>
      <c r="BI112" s="230">
        <v>3392</v>
      </c>
      <c r="BJ112" s="230">
        <v>6892</v>
      </c>
      <c r="BK112" s="230">
        <v>-3500</v>
      </c>
      <c r="BL112" s="229">
        <v>-0.50780000000000003</v>
      </c>
      <c r="BM112" s="230">
        <v>1080</v>
      </c>
      <c r="BN112" s="230">
        <v>2097</v>
      </c>
      <c r="BO112" s="230">
        <v>-1017</v>
      </c>
      <c r="BP112" s="229">
        <v>-0.48520000000000002</v>
      </c>
      <c r="BQ112" s="230">
        <v>5079</v>
      </c>
      <c r="BR112" s="230">
        <v>9570</v>
      </c>
      <c r="BS112" s="230">
        <v>-4491</v>
      </c>
      <c r="BT112" s="229">
        <v>-0.46929999999999999</v>
      </c>
      <c r="BU112" s="230">
        <v>364429</v>
      </c>
      <c r="BV112" s="230">
        <v>758082</v>
      </c>
      <c r="BW112" s="230">
        <v>-393653</v>
      </c>
      <c r="BX112" s="229">
        <v>-0.51929999999999998</v>
      </c>
      <c r="BY112" s="230">
        <v>1335</v>
      </c>
      <c r="BZ112" s="230">
        <v>1458</v>
      </c>
      <c r="CA112" s="228">
        <v>-123</v>
      </c>
      <c r="CB112" s="229">
        <v>-8.43E-2</v>
      </c>
      <c r="CC112" s="228">
        <v>862</v>
      </c>
      <c r="CD112" s="230">
        <v>1046</v>
      </c>
      <c r="CE112" s="228">
        <v>-184</v>
      </c>
      <c r="CF112" s="229">
        <v>-0.17610000000000001</v>
      </c>
      <c r="CG112" s="228">
        <v>441</v>
      </c>
      <c r="CH112" s="228">
        <v>381</v>
      </c>
      <c r="CI112" s="228">
        <v>60</v>
      </c>
      <c r="CJ112" s="229">
        <v>0.15690000000000001</v>
      </c>
      <c r="CK112" s="228">
        <v>32</v>
      </c>
      <c r="CL112" s="228">
        <v>31</v>
      </c>
      <c r="CM112" s="228">
        <v>1</v>
      </c>
      <c r="CN112" s="229">
        <v>4.4900000000000002E-2</v>
      </c>
      <c r="CO112" s="230">
        <v>2090</v>
      </c>
      <c r="CP112" s="230">
        <v>2318</v>
      </c>
      <c r="CQ112" s="228">
        <v>-228</v>
      </c>
      <c r="CR112" s="229">
        <v>-9.8199999999999996E-2</v>
      </c>
      <c r="CS112" s="228">
        <v>685</v>
      </c>
      <c r="CT112" s="228">
        <v>727</v>
      </c>
      <c r="CU112" s="228">
        <v>-43</v>
      </c>
      <c r="CV112" s="229">
        <v>-5.8400000000000001E-2</v>
      </c>
      <c r="CW112" s="230">
        <v>4110</v>
      </c>
      <c r="CX112" s="230">
        <v>4503</v>
      </c>
      <c r="CY112" s="228">
        <v>-393</v>
      </c>
      <c r="CZ112" s="229">
        <v>-8.7300000000000003E-2</v>
      </c>
      <c r="DA112" s="228">
        <v>31.91</v>
      </c>
      <c r="DB112" s="228">
        <v>37.18</v>
      </c>
      <c r="DC112" s="228">
        <v>-5.27</v>
      </c>
      <c r="DD112" s="228">
        <v>-5.27</v>
      </c>
      <c r="DE112" s="228">
        <v>54.26</v>
      </c>
      <c r="DF112" s="228">
        <v>54.4</v>
      </c>
      <c r="DG112" s="228">
        <v>-22.35</v>
      </c>
      <c r="DH112" s="228">
        <v>-0.14000000000000001</v>
      </c>
      <c r="DI112" s="228">
        <v>32.03</v>
      </c>
      <c r="DJ112" s="228">
        <v>37.380000000000003</v>
      </c>
      <c r="DK112" s="228">
        <v>-5.35</v>
      </c>
      <c r="DL112" s="228">
        <v>-5.35</v>
      </c>
      <c r="DM112" s="228">
        <v>31.5</v>
      </c>
      <c r="DN112" s="228">
        <v>36.51</v>
      </c>
      <c r="DO112" s="228">
        <v>-5.01</v>
      </c>
      <c r="DP112" s="228">
        <v>-5.01</v>
      </c>
      <c r="DQ112" s="228">
        <v>0.33</v>
      </c>
      <c r="DR112" s="228">
        <v>0.31</v>
      </c>
      <c r="DS112" s="228">
        <v>0.02</v>
      </c>
      <c r="DT112" s="229">
        <v>6.4500000000000002E-2</v>
      </c>
      <c r="DU112" s="231">
        <v>7000</v>
      </c>
      <c r="DV112" s="231">
        <v>5900</v>
      </c>
      <c r="DW112" s="228">
        <v>0.32</v>
      </c>
      <c r="DX112" s="228">
        <v>0.3</v>
      </c>
      <c r="DY112" s="228">
        <v>0.02</v>
      </c>
      <c r="DZ112" s="229">
        <v>6.6699999999999995E-2</v>
      </c>
      <c r="EA112" s="229">
        <v>0.35449999999999998</v>
      </c>
      <c r="EB112" s="230">
        <v>689200</v>
      </c>
      <c r="EC112" s="229">
        <v>1.1000000000000001E-3</v>
      </c>
      <c r="ED112" s="229">
        <v>0.35449999999999998</v>
      </c>
      <c r="EE112" s="228">
        <v>-5.86</v>
      </c>
      <c r="EF112" s="229">
        <v>-1E-3</v>
      </c>
      <c r="EG112" s="230">
        <v>151865</v>
      </c>
      <c r="EH112" s="230">
        <v>210997</v>
      </c>
      <c r="EI112" s="229">
        <v>-0.28029999999999999</v>
      </c>
      <c r="EJ112" s="229">
        <v>0.41670000000000001</v>
      </c>
      <c r="EK112" s="231">
        <v>3642.73</v>
      </c>
      <c r="EL112" s="231">
        <v>1050</v>
      </c>
      <c r="EM112" s="228">
        <v>607.66999999999996</v>
      </c>
      <c r="EN112" s="228">
        <v>102.99</v>
      </c>
      <c r="EO112" s="231">
        <v>5300.4</v>
      </c>
      <c r="EP112" s="231">
        <v>9915.66</v>
      </c>
      <c r="EQ112" s="231">
        <v>-4615.26</v>
      </c>
      <c r="ER112" s="229">
        <v>-0.46550000000000002</v>
      </c>
      <c r="ES112" s="231">
        <v>2308.64</v>
      </c>
      <c r="ET112" s="228">
        <v>697.65</v>
      </c>
      <c r="EU112" s="231">
        <v>1335.65</v>
      </c>
      <c r="EV112" s="231">
        <v>4667784</v>
      </c>
      <c r="EW112" s="231">
        <v>4341.9399999999996</v>
      </c>
      <c r="EX112" s="231">
        <v>4758.88</v>
      </c>
      <c r="EY112" s="228">
        <v>-416.94</v>
      </c>
      <c r="EZ112" s="229">
        <v>-8.7599999999999997E-2</v>
      </c>
      <c r="FA112" s="229">
        <v>1.4728000000000001</v>
      </c>
      <c r="FB112" s="227" t="s">
        <v>568</v>
      </c>
      <c r="FC112">
        <f t="shared" si="1"/>
        <v>473</v>
      </c>
    </row>
    <row r="113" spans="1:159" ht="17.25" thickBot="1" x14ac:dyDescent="0.3">
      <c r="A113" s="226">
        <v>45981</v>
      </c>
      <c r="B113" s="227" t="s">
        <v>161</v>
      </c>
      <c r="C113" s="227" t="s">
        <v>610</v>
      </c>
      <c r="D113" s="228">
        <v>175</v>
      </c>
      <c r="E113" s="228">
        <v>5</v>
      </c>
      <c r="F113" s="231">
        <v>4165.8999999999996</v>
      </c>
      <c r="G113" s="231">
        <v>4122.7</v>
      </c>
      <c r="H113" s="228">
        <v>43.2</v>
      </c>
      <c r="I113" s="229">
        <v>1.0500000000000001E-2</v>
      </c>
      <c r="J113" s="231">
        <v>4167.3</v>
      </c>
      <c r="K113" s="231">
        <v>4119.1000000000004</v>
      </c>
      <c r="L113" s="228">
        <v>48.2</v>
      </c>
      <c r="M113" s="229">
        <v>1.17E-2</v>
      </c>
      <c r="N113" s="231">
        <v>4165.8999999999996</v>
      </c>
      <c r="O113" s="231">
        <v>4122.7</v>
      </c>
      <c r="P113" s="228">
        <v>43.2</v>
      </c>
      <c r="Q113" s="229">
        <v>1.0500000000000001E-2</v>
      </c>
      <c r="R113" s="231">
        <v>4170.5</v>
      </c>
      <c r="S113" s="231">
        <v>4117.1000000000004</v>
      </c>
      <c r="T113" s="228">
        <v>53.4</v>
      </c>
      <c r="U113" s="229">
        <v>1.2999999999999999E-2</v>
      </c>
      <c r="V113" s="231">
        <v>4174</v>
      </c>
      <c r="W113" s="231">
        <v>4128.7</v>
      </c>
      <c r="X113" s="228">
        <v>45.3</v>
      </c>
      <c r="Y113" s="229">
        <v>1.0999999999999999E-2</v>
      </c>
      <c r="Z113" s="228">
        <v>-1.4</v>
      </c>
      <c r="AA113" s="228">
        <v>3.6</v>
      </c>
      <c r="AB113" s="228">
        <v>-5</v>
      </c>
      <c r="AC113" s="229">
        <v>-2.9999999999999997E-4</v>
      </c>
      <c r="AD113" s="228">
        <v>-1.4</v>
      </c>
      <c r="AE113" s="228">
        <v>3.6</v>
      </c>
      <c r="AF113" s="228">
        <v>-5</v>
      </c>
      <c r="AG113" s="229">
        <v>-2.9999999999999997E-4</v>
      </c>
      <c r="AH113" s="228">
        <v>3.2</v>
      </c>
      <c r="AI113" s="228">
        <v>-2</v>
      </c>
      <c r="AJ113" s="228">
        <v>5.2</v>
      </c>
      <c r="AK113" s="229">
        <v>8.0000000000000004E-4</v>
      </c>
      <c r="AL113" s="228">
        <v>6.7</v>
      </c>
      <c r="AM113" s="228">
        <v>9.6</v>
      </c>
      <c r="AN113" s="228">
        <v>-2.9</v>
      </c>
      <c r="AO113" s="229">
        <v>1.6000000000000001E-3</v>
      </c>
      <c r="AP113" s="231">
        <v>4154.57</v>
      </c>
      <c r="AQ113" s="231">
        <v>4150.3900000000003</v>
      </c>
      <c r="AR113" s="228">
        <v>0</v>
      </c>
      <c r="AS113" s="228">
        <v>379</v>
      </c>
      <c r="AT113" s="228">
        <v>68</v>
      </c>
      <c r="AU113" s="228">
        <v>311</v>
      </c>
      <c r="AV113" s="229">
        <v>4.5826000000000002</v>
      </c>
      <c r="AW113" s="228">
        <v>194</v>
      </c>
      <c r="AX113" s="228">
        <v>53</v>
      </c>
      <c r="AY113" s="228">
        <v>141</v>
      </c>
      <c r="AZ113" s="229">
        <v>2.6661999999999999</v>
      </c>
      <c r="BA113" s="228">
        <v>185</v>
      </c>
      <c r="BB113" s="228">
        <v>14</v>
      </c>
      <c r="BC113" s="228">
        <v>171</v>
      </c>
      <c r="BD113" s="229">
        <v>11.8985</v>
      </c>
      <c r="BE113" s="228">
        <v>0</v>
      </c>
      <c r="BF113" s="228">
        <v>1</v>
      </c>
      <c r="BG113" s="228">
        <v>0</v>
      </c>
      <c r="BH113" s="229">
        <v>-0.6</v>
      </c>
      <c r="BI113" s="228">
        <v>353</v>
      </c>
      <c r="BJ113" s="228">
        <v>157</v>
      </c>
      <c r="BK113" s="228">
        <v>196</v>
      </c>
      <c r="BL113" s="229">
        <v>1.2437</v>
      </c>
      <c r="BM113" s="228">
        <v>101</v>
      </c>
      <c r="BN113" s="228">
        <v>81</v>
      </c>
      <c r="BO113" s="228">
        <v>20</v>
      </c>
      <c r="BP113" s="229">
        <v>0.24010000000000001</v>
      </c>
      <c r="BQ113" s="228">
        <v>833</v>
      </c>
      <c r="BR113" s="228">
        <v>307</v>
      </c>
      <c r="BS113" s="228">
        <v>527</v>
      </c>
      <c r="BT113" s="229">
        <v>1.7173</v>
      </c>
      <c r="BU113" s="230">
        <v>146949</v>
      </c>
      <c r="BV113" s="230">
        <v>61774</v>
      </c>
      <c r="BW113" s="230">
        <v>85175</v>
      </c>
      <c r="BX113" s="229">
        <v>1.3788</v>
      </c>
      <c r="BY113" s="228">
        <v>442</v>
      </c>
      <c r="BZ113" s="228">
        <v>452</v>
      </c>
      <c r="CA113" s="228">
        <v>-10</v>
      </c>
      <c r="CB113" s="229">
        <v>-2.23E-2</v>
      </c>
      <c r="CC113" s="228">
        <v>311</v>
      </c>
      <c r="CD113" s="228">
        <v>415</v>
      </c>
      <c r="CE113" s="228">
        <v>-104</v>
      </c>
      <c r="CF113" s="229">
        <v>-0.25</v>
      </c>
      <c r="CG113" s="228">
        <v>129</v>
      </c>
      <c r="CH113" s="228">
        <v>35</v>
      </c>
      <c r="CI113" s="228">
        <v>94</v>
      </c>
      <c r="CJ113" s="229">
        <v>2.6882999999999999</v>
      </c>
      <c r="CK113" s="228">
        <v>2</v>
      </c>
      <c r="CL113" s="228">
        <v>2</v>
      </c>
      <c r="CM113" s="228">
        <v>0</v>
      </c>
      <c r="CN113" s="229">
        <v>4.1700000000000001E-2</v>
      </c>
      <c r="CO113" s="228">
        <v>246</v>
      </c>
      <c r="CP113" s="228">
        <v>279</v>
      </c>
      <c r="CQ113" s="228">
        <v>-33</v>
      </c>
      <c r="CR113" s="229">
        <v>-0.1167</v>
      </c>
      <c r="CS113" s="228">
        <v>147</v>
      </c>
      <c r="CT113" s="228">
        <v>147</v>
      </c>
      <c r="CU113" s="228">
        <v>0</v>
      </c>
      <c r="CV113" s="229">
        <v>3.0000000000000001E-3</v>
      </c>
      <c r="CW113" s="228">
        <v>835</v>
      </c>
      <c r="CX113" s="228">
        <v>877</v>
      </c>
      <c r="CY113" s="228">
        <v>-42</v>
      </c>
      <c r="CZ113" s="229">
        <v>-4.8099999999999997E-2</v>
      </c>
      <c r="DA113" s="228">
        <v>27.49</v>
      </c>
      <c r="DB113" s="228">
        <v>24.51</v>
      </c>
      <c r="DC113" s="228">
        <v>2.98</v>
      </c>
      <c r="DD113" s="228">
        <v>2.98</v>
      </c>
      <c r="DE113" s="228">
        <v>46.63</v>
      </c>
      <c r="DF113" s="228">
        <v>46.73</v>
      </c>
      <c r="DG113" s="228">
        <v>-19.14</v>
      </c>
      <c r="DH113" s="228">
        <v>-0.1</v>
      </c>
      <c r="DI113" s="228">
        <v>28.02</v>
      </c>
      <c r="DJ113" s="228">
        <v>23.97</v>
      </c>
      <c r="DK113" s="228">
        <v>4.05</v>
      </c>
      <c r="DL113" s="228">
        <v>4.05</v>
      </c>
      <c r="DM113" s="228">
        <v>26.76</v>
      </c>
      <c r="DN113" s="228">
        <v>25.56</v>
      </c>
      <c r="DO113" s="228">
        <v>1.2</v>
      </c>
      <c r="DP113" s="228">
        <v>1.2</v>
      </c>
      <c r="DQ113" s="228">
        <v>0.6</v>
      </c>
      <c r="DR113" s="228">
        <v>0.53</v>
      </c>
      <c r="DS113" s="228">
        <v>7.0000000000000007E-2</v>
      </c>
      <c r="DT113" s="229">
        <v>0.1321</v>
      </c>
      <c r="DU113" s="231">
        <v>4300</v>
      </c>
      <c r="DV113" s="231">
        <v>4300</v>
      </c>
      <c r="DW113" s="228">
        <v>0.28999999999999998</v>
      </c>
      <c r="DX113" s="228">
        <v>0.52</v>
      </c>
      <c r="DY113" s="228">
        <v>-0.23</v>
      </c>
      <c r="DZ113" s="229">
        <v>-0.44230000000000003</v>
      </c>
      <c r="EA113" s="229">
        <v>0.29509999999999997</v>
      </c>
      <c r="EB113" s="230">
        <v>87850</v>
      </c>
      <c r="EC113" s="229">
        <v>1.1000000000000001E-3</v>
      </c>
      <c r="ED113" s="229">
        <v>0.29509999999999997</v>
      </c>
      <c r="EE113" s="228">
        <v>-4.18</v>
      </c>
      <c r="EF113" s="229">
        <v>-1E-3</v>
      </c>
      <c r="EG113" s="230">
        <v>94335</v>
      </c>
      <c r="EH113" s="230">
        <v>24514</v>
      </c>
      <c r="EI113" s="229">
        <v>2.8481999999999998</v>
      </c>
      <c r="EJ113" s="229">
        <v>0.64200000000000002</v>
      </c>
      <c r="EK113" s="228">
        <v>362.47</v>
      </c>
      <c r="EL113" s="228">
        <v>98.27</v>
      </c>
      <c r="EM113" s="228">
        <v>378.1</v>
      </c>
      <c r="EN113" s="228">
        <v>12.03</v>
      </c>
      <c r="EO113" s="228">
        <v>838.84</v>
      </c>
      <c r="EP113" s="228">
        <v>305.18</v>
      </c>
      <c r="EQ113" s="228">
        <v>533.66</v>
      </c>
      <c r="ER113" s="229">
        <v>1.7486999999999999</v>
      </c>
      <c r="ES113" s="228">
        <v>251.2</v>
      </c>
      <c r="ET113" s="228">
        <v>142.41999999999999</v>
      </c>
      <c r="EU113" s="228">
        <v>441.87</v>
      </c>
      <c r="EV113" s="231">
        <v>9313740</v>
      </c>
      <c r="EW113" s="228">
        <v>835.48</v>
      </c>
      <c r="EX113" s="228">
        <v>872.36</v>
      </c>
      <c r="EY113" s="228">
        <v>-36.880000000000003</v>
      </c>
      <c r="EZ113" s="229">
        <v>-4.2299999999999997E-2</v>
      </c>
      <c r="FA113" s="229">
        <v>0.2152</v>
      </c>
      <c r="FB113" s="227" t="s">
        <v>556</v>
      </c>
      <c r="FC113">
        <f t="shared" si="1"/>
        <v>131</v>
      </c>
    </row>
    <row r="114" spans="1:159" ht="17.25" thickBot="1" x14ac:dyDescent="0.3">
      <c r="A114" s="226">
        <v>45981</v>
      </c>
      <c r="B114" s="227" t="s">
        <v>175</v>
      </c>
      <c r="C114" s="227" t="s">
        <v>684</v>
      </c>
      <c r="D114" s="228">
        <v>450</v>
      </c>
      <c r="E114" s="228">
        <v>5</v>
      </c>
      <c r="F114" s="231">
        <v>1081.8</v>
      </c>
      <c r="G114" s="231">
        <v>1085.8</v>
      </c>
      <c r="H114" s="228">
        <v>-4</v>
      </c>
      <c r="I114" s="229">
        <v>-3.7000000000000002E-3</v>
      </c>
      <c r="J114" s="231">
        <v>1080.4000000000001</v>
      </c>
      <c r="K114" s="231">
        <v>1081.9000000000001</v>
      </c>
      <c r="L114" s="228">
        <v>-1.5</v>
      </c>
      <c r="M114" s="229">
        <v>-1.4E-3</v>
      </c>
      <c r="N114" s="231">
        <v>1081.8</v>
      </c>
      <c r="O114" s="231">
        <v>1085.8</v>
      </c>
      <c r="P114" s="228">
        <v>-4</v>
      </c>
      <c r="Q114" s="229">
        <v>-3.7000000000000002E-3</v>
      </c>
      <c r="R114" s="231">
        <v>1075.3</v>
      </c>
      <c r="S114" s="231">
        <v>1073.5</v>
      </c>
      <c r="T114" s="228">
        <v>1.8</v>
      </c>
      <c r="U114" s="229">
        <v>1.6999999999999999E-3</v>
      </c>
      <c r="V114" s="231">
        <v>1073.9000000000001</v>
      </c>
      <c r="W114" s="231">
        <v>1072.8</v>
      </c>
      <c r="X114" s="228">
        <v>1.1000000000000001</v>
      </c>
      <c r="Y114" s="229">
        <v>1E-3</v>
      </c>
      <c r="Z114" s="228">
        <v>1.4</v>
      </c>
      <c r="AA114" s="228">
        <v>3.9</v>
      </c>
      <c r="AB114" s="228">
        <v>-2.5</v>
      </c>
      <c r="AC114" s="229">
        <v>1.2999999999999999E-3</v>
      </c>
      <c r="AD114" s="228">
        <v>1.4</v>
      </c>
      <c r="AE114" s="228">
        <v>3.9</v>
      </c>
      <c r="AF114" s="228">
        <v>-2.5</v>
      </c>
      <c r="AG114" s="229">
        <v>1.2999999999999999E-3</v>
      </c>
      <c r="AH114" s="228">
        <v>-5.0999999999999996</v>
      </c>
      <c r="AI114" s="228">
        <v>-8.4</v>
      </c>
      <c r="AJ114" s="228">
        <v>3.3</v>
      </c>
      <c r="AK114" s="229">
        <v>-4.7000000000000002E-3</v>
      </c>
      <c r="AL114" s="228">
        <v>-6.5</v>
      </c>
      <c r="AM114" s="228">
        <v>-9.1</v>
      </c>
      <c r="AN114" s="228">
        <v>2.6</v>
      </c>
      <c r="AO114" s="229">
        <v>-6.0000000000000001E-3</v>
      </c>
      <c r="AP114" s="231">
        <v>1090.3</v>
      </c>
      <c r="AQ114" s="231">
        <v>1081.7</v>
      </c>
      <c r="AR114" s="228">
        <v>0</v>
      </c>
      <c r="AS114" s="228">
        <v>380</v>
      </c>
      <c r="AT114" s="228">
        <v>165</v>
      </c>
      <c r="AU114" s="228">
        <v>215</v>
      </c>
      <c r="AV114" s="229">
        <v>1.3011999999999999</v>
      </c>
      <c r="AW114" s="228">
        <v>194</v>
      </c>
      <c r="AX114" s="228">
        <v>96</v>
      </c>
      <c r="AY114" s="228">
        <v>98</v>
      </c>
      <c r="AZ114" s="229">
        <v>1.0182</v>
      </c>
      <c r="BA114" s="228">
        <v>185</v>
      </c>
      <c r="BB114" s="228">
        <v>68</v>
      </c>
      <c r="BC114" s="228">
        <v>117</v>
      </c>
      <c r="BD114" s="229">
        <v>1.7112000000000001</v>
      </c>
      <c r="BE114" s="228">
        <v>1</v>
      </c>
      <c r="BF114" s="228">
        <v>1</v>
      </c>
      <c r="BG114" s="228">
        <v>0</v>
      </c>
      <c r="BH114" s="229">
        <v>0.44440000000000002</v>
      </c>
      <c r="BI114" s="228">
        <v>319</v>
      </c>
      <c r="BJ114" s="228">
        <v>312</v>
      </c>
      <c r="BK114" s="228">
        <v>7</v>
      </c>
      <c r="BL114" s="229">
        <v>2.2499999999999999E-2</v>
      </c>
      <c r="BM114" s="228">
        <v>112</v>
      </c>
      <c r="BN114" s="228">
        <v>112</v>
      </c>
      <c r="BO114" s="228">
        <v>0</v>
      </c>
      <c r="BP114" s="229">
        <v>1.6999999999999999E-3</v>
      </c>
      <c r="BQ114" s="228">
        <v>811</v>
      </c>
      <c r="BR114" s="228">
        <v>589</v>
      </c>
      <c r="BS114" s="228">
        <v>222</v>
      </c>
      <c r="BT114" s="229">
        <v>0.37669999999999998</v>
      </c>
      <c r="BU114" s="230">
        <v>739542</v>
      </c>
      <c r="BV114" s="230">
        <v>484239</v>
      </c>
      <c r="BW114" s="230">
        <v>255303</v>
      </c>
      <c r="BX114" s="229">
        <v>0.5272</v>
      </c>
      <c r="BY114" s="228">
        <v>465</v>
      </c>
      <c r="BZ114" s="228">
        <v>500</v>
      </c>
      <c r="CA114" s="228">
        <v>-35</v>
      </c>
      <c r="CB114" s="229">
        <v>-7.0900000000000005E-2</v>
      </c>
      <c r="CC114" s="228">
        <v>277</v>
      </c>
      <c r="CD114" s="228">
        <v>365</v>
      </c>
      <c r="CE114" s="228">
        <v>-87</v>
      </c>
      <c r="CF114" s="229">
        <v>-0.23910000000000001</v>
      </c>
      <c r="CG114" s="228">
        <v>178</v>
      </c>
      <c r="CH114" s="228">
        <v>127</v>
      </c>
      <c r="CI114" s="228">
        <v>51</v>
      </c>
      <c r="CJ114" s="229">
        <v>0.40229999999999999</v>
      </c>
      <c r="CK114" s="228">
        <v>10</v>
      </c>
      <c r="CL114" s="228">
        <v>9</v>
      </c>
      <c r="CM114" s="228">
        <v>1</v>
      </c>
      <c r="CN114" s="229">
        <v>7.8299999999999995E-2</v>
      </c>
      <c r="CO114" s="228">
        <v>424</v>
      </c>
      <c r="CP114" s="228">
        <v>467</v>
      </c>
      <c r="CQ114" s="228">
        <v>-43</v>
      </c>
      <c r="CR114" s="229">
        <v>-9.1899999999999996E-2</v>
      </c>
      <c r="CS114" s="228">
        <v>199</v>
      </c>
      <c r="CT114" s="228">
        <v>204</v>
      </c>
      <c r="CU114" s="228">
        <v>-5</v>
      </c>
      <c r="CV114" s="229">
        <v>-2.41E-2</v>
      </c>
      <c r="CW114" s="230">
        <v>1088</v>
      </c>
      <c r="CX114" s="230">
        <v>1172</v>
      </c>
      <c r="CY114" s="228">
        <v>-83</v>
      </c>
      <c r="CZ114" s="229">
        <v>-7.1099999999999997E-2</v>
      </c>
      <c r="DA114" s="228">
        <v>31.02</v>
      </c>
      <c r="DB114" s="228">
        <v>33.36</v>
      </c>
      <c r="DC114" s="228">
        <v>-2.34</v>
      </c>
      <c r="DD114" s="228">
        <v>-2.34</v>
      </c>
      <c r="DE114" s="228">
        <v>54.15</v>
      </c>
      <c r="DF114" s="228">
        <v>54.29</v>
      </c>
      <c r="DG114" s="228">
        <v>-23.13</v>
      </c>
      <c r="DH114" s="228">
        <v>-0.14000000000000001</v>
      </c>
      <c r="DI114" s="228">
        <v>31.37</v>
      </c>
      <c r="DJ114" s="228">
        <v>34.799999999999997</v>
      </c>
      <c r="DK114" s="228">
        <v>-3.43</v>
      </c>
      <c r="DL114" s="228">
        <v>-3.43</v>
      </c>
      <c r="DM114" s="228">
        <v>30.39</v>
      </c>
      <c r="DN114" s="228">
        <v>29.38</v>
      </c>
      <c r="DO114" s="228">
        <v>1.01</v>
      </c>
      <c r="DP114" s="228">
        <v>1.01</v>
      </c>
      <c r="DQ114" s="228">
        <v>0.47</v>
      </c>
      <c r="DR114" s="228">
        <v>0.44</v>
      </c>
      <c r="DS114" s="228">
        <v>0.03</v>
      </c>
      <c r="DT114" s="229">
        <v>6.8199999999999997E-2</v>
      </c>
      <c r="DU114" s="231">
        <v>1200</v>
      </c>
      <c r="DV114" s="231">
        <v>1040</v>
      </c>
      <c r="DW114" s="228">
        <v>0.35</v>
      </c>
      <c r="DX114" s="228">
        <v>0.36</v>
      </c>
      <c r="DY114" s="228">
        <v>-0.01</v>
      </c>
      <c r="DZ114" s="229">
        <v>-2.7799999999999998E-2</v>
      </c>
      <c r="EA114" s="229">
        <v>0.40329999999999999</v>
      </c>
      <c r="EB114" s="230">
        <v>1255250</v>
      </c>
      <c r="EC114" s="229">
        <v>-6.0000000000000001E-3</v>
      </c>
      <c r="ED114" s="229">
        <v>0.40329999999999999</v>
      </c>
      <c r="EE114" s="228">
        <v>-8.6</v>
      </c>
      <c r="EF114" s="229">
        <v>-7.9000000000000008E-3</v>
      </c>
      <c r="EG114" s="230">
        <v>369089</v>
      </c>
      <c r="EH114" s="230">
        <v>199673</v>
      </c>
      <c r="EI114" s="229">
        <v>0.84850000000000003</v>
      </c>
      <c r="EJ114" s="229">
        <v>0.49909999999999999</v>
      </c>
      <c r="EK114" s="228">
        <v>340.95</v>
      </c>
      <c r="EL114" s="228">
        <v>111.13</v>
      </c>
      <c r="EM114" s="228">
        <v>381.41</v>
      </c>
      <c r="EN114" s="228">
        <v>23.76</v>
      </c>
      <c r="EO114" s="228">
        <v>833.49</v>
      </c>
      <c r="EP114" s="228">
        <v>606.9</v>
      </c>
      <c r="EQ114" s="228">
        <v>226.59</v>
      </c>
      <c r="ER114" s="229">
        <v>0.37330000000000002</v>
      </c>
      <c r="ES114" s="228">
        <v>459.76</v>
      </c>
      <c r="ET114" s="228">
        <v>197.56</v>
      </c>
      <c r="EU114" s="228">
        <v>463.86</v>
      </c>
      <c r="EV114" s="231">
        <v>19911179</v>
      </c>
      <c r="EW114" s="231">
        <v>1121.18</v>
      </c>
      <c r="EX114" s="231">
        <v>1210.98</v>
      </c>
      <c r="EY114" s="228">
        <v>-89.8</v>
      </c>
      <c r="EZ114" s="229">
        <v>-7.4200000000000002E-2</v>
      </c>
      <c r="FA114" s="229">
        <v>0.50529999999999997</v>
      </c>
      <c r="FB114" s="227" t="s">
        <v>568</v>
      </c>
      <c r="FC114">
        <f t="shared" si="1"/>
        <v>188</v>
      </c>
    </row>
    <row r="115" spans="1:159" ht="17.25" thickBot="1" x14ac:dyDescent="0.3">
      <c r="A115" s="226">
        <v>45981</v>
      </c>
      <c r="B115" s="227" t="s">
        <v>172</v>
      </c>
      <c r="C115" s="227" t="s">
        <v>246</v>
      </c>
      <c r="D115" s="228">
        <v>400</v>
      </c>
      <c r="E115" s="228">
        <v>5</v>
      </c>
      <c r="F115" s="231">
        <v>2097.1</v>
      </c>
      <c r="G115" s="231">
        <v>2105.1</v>
      </c>
      <c r="H115" s="228">
        <v>-8</v>
      </c>
      <c r="I115" s="229">
        <v>-3.8E-3</v>
      </c>
      <c r="J115" s="231">
        <v>2098.6999999999998</v>
      </c>
      <c r="K115" s="231">
        <v>2105.9</v>
      </c>
      <c r="L115" s="228">
        <v>-7.2</v>
      </c>
      <c r="M115" s="229">
        <v>-3.3999999999999998E-3</v>
      </c>
      <c r="N115" s="231">
        <v>2097.1</v>
      </c>
      <c r="O115" s="231">
        <v>2105.1</v>
      </c>
      <c r="P115" s="228">
        <v>-8</v>
      </c>
      <c r="Q115" s="229">
        <v>-3.8E-3</v>
      </c>
      <c r="R115" s="231">
        <v>2111.3000000000002</v>
      </c>
      <c r="S115" s="231">
        <v>2119.3000000000002</v>
      </c>
      <c r="T115" s="228">
        <v>-8</v>
      </c>
      <c r="U115" s="229">
        <v>-3.8E-3</v>
      </c>
      <c r="V115" s="231">
        <v>2123.9</v>
      </c>
      <c r="W115" s="231">
        <v>2133.9</v>
      </c>
      <c r="X115" s="228">
        <v>-10</v>
      </c>
      <c r="Y115" s="229">
        <v>-4.7000000000000002E-3</v>
      </c>
      <c r="Z115" s="228">
        <v>-1.6</v>
      </c>
      <c r="AA115" s="228">
        <v>-0.8</v>
      </c>
      <c r="AB115" s="228">
        <v>-0.8</v>
      </c>
      <c r="AC115" s="229">
        <v>-8.0000000000000004E-4</v>
      </c>
      <c r="AD115" s="228">
        <v>-1.6</v>
      </c>
      <c r="AE115" s="228">
        <v>-0.8</v>
      </c>
      <c r="AF115" s="228">
        <v>-0.8</v>
      </c>
      <c r="AG115" s="229">
        <v>-8.0000000000000004E-4</v>
      </c>
      <c r="AH115" s="228">
        <v>12.6</v>
      </c>
      <c r="AI115" s="228">
        <v>13.4</v>
      </c>
      <c r="AJ115" s="228">
        <v>-0.8</v>
      </c>
      <c r="AK115" s="229">
        <v>6.0000000000000001E-3</v>
      </c>
      <c r="AL115" s="228">
        <v>25.2</v>
      </c>
      <c r="AM115" s="228">
        <v>28</v>
      </c>
      <c r="AN115" s="228">
        <v>-2.8</v>
      </c>
      <c r="AO115" s="229">
        <v>1.2E-2</v>
      </c>
      <c r="AP115" s="231">
        <v>2101.9899999999998</v>
      </c>
      <c r="AQ115" s="231">
        <v>2115.88</v>
      </c>
      <c r="AR115" s="228">
        <v>0</v>
      </c>
      <c r="AS115" s="230">
        <v>4137</v>
      </c>
      <c r="AT115" s="230">
        <v>1635</v>
      </c>
      <c r="AU115" s="230">
        <v>2502</v>
      </c>
      <c r="AV115" s="229">
        <v>1.5296000000000001</v>
      </c>
      <c r="AW115" s="230">
        <v>2251</v>
      </c>
      <c r="AX115" s="230">
        <v>1007</v>
      </c>
      <c r="AY115" s="230">
        <v>1245</v>
      </c>
      <c r="AZ115" s="229">
        <v>1.2367999999999999</v>
      </c>
      <c r="BA115" s="230">
        <v>1875</v>
      </c>
      <c r="BB115" s="228">
        <v>626</v>
      </c>
      <c r="BC115" s="230">
        <v>1249</v>
      </c>
      <c r="BD115" s="229">
        <v>1.9971000000000001</v>
      </c>
      <c r="BE115" s="228">
        <v>11</v>
      </c>
      <c r="BF115" s="228">
        <v>3</v>
      </c>
      <c r="BG115" s="228">
        <v>7</v>
      </c>
      <c r="BH115" s="229">
        <v>2.2250000000000001</v>
      </c>
      <c r="BI115" s="230">
        <v>5183</v>
      </c>
      <c r="BJ115" s="230">
        <v>3902</v>
      </c>
      <c r="BK115" s="230">
        <v>1281</v>
      </c>
      <c r="BL115" s="229">
        <v>0.32819999999999999</v>
      </c>
      <c r="BM115" s="230">
        <v>2273</v>
      </c>
      <c r="BN115" s="230">
        <v>1597</v>
      </c>
      <c r="BO115" s="228">
        <v>676</v>
      </c>
      <c r="BP115" s="229">
        <v>0.42320000000000002</v>
      </c>
      <c r="BQ115" s="230">
        <v>11593</v>
      </c>
      <c r="BR115" s="230">
        <v>7135</v>
      </c>
      <c r="BS115" s="230">
        <v>4458</v>
      </c>
      <c r="BT115" s="229">
        <v>0.62490000000000001</v>
      </c>
      <c r="BU115" s="230">
        <v>7637132</v>
      </c>
      <c r="BV115" s="230">
        <v>2526129</v>
      </c>
      <c r="BW115" s="230">
        <v>5111003</v>
      </c>
      <c r="BX115" s="229">
        <v>2.0232999999999999</v>
      </c>
      <c r="BY115" s="230">
        <v>7669</v>
      </c>
      <c r="BZ115" s="230">
        <v>7682</v>
      </c>
      <c r="CA115" s="228">
        <v>-13</v>
      </c>
      <c r="CB115" s="229">
        <v>-1.6000000000000001E-3</v>
      </c>
      <c r="CC115" s="230">
        <v>4829</v>
      </c>
      <c r="CD115" s="230">
        <v>6470</v>
      </c>
      <c r="CE115" s="230">
        <v>-1642</v>
      </c>
      <c r="CF115" s="229">
        <v>-0.25369999999999998</v>
      </c>
      <c r="CG115" s="230">
        <v>2806</v>
      </c>
      <c r="CH115" s="230">
        <v>1184</v>
      </c>
      <c r="CI115" s="230">
        <v>1622</v>
      </c>
      <c r="CJ115" s="229">
        <v>1.3697999999999999</v>
      </c>
      <c r="CK115" s="228">
        <v>34</v>
      </c>
      <c r="CL115" s="228">
        <v>27</v>
      </c>
      <c r="CM115" s="228">
        <v>7</v>
      </c>
      <c r="CN115" s="229">
        <v>0.25690000000000002</v>
      </c>
      <c r="CO115" s="230">
        <v>2944</v>
      </c>
      <c r="CP115" s="230">
        <v>3139</v>
      </c>
      <c r="CQ115" s="228">
        <v>-195</v>
      </c>
      <c r="CR115" s="229">
        <v>-6.2E-2</v>
      </c>
      <c r="CS115" s="230">
        <v>1518</v>
      </c>
      <c r="CT115" s="230">
        <v>1559</v>
      </c>
      <c r="CU115" s="228">
        <v>-41</v>
      </c>
      <c r="CV115" s="229">
        <v>-2.64E-2</v>
      </c>
      <c r="CW115" s="230">
        <v>12132</v>
      </c>
      <c r="CX115" s="230">
        <v>12380</v>
      </c>
      <c r="CY115" s="228">
        <v>-248</v>
      </c>
      <c r="CZ115" s="229">
        <v>-2.01E-2</v>
      </c>
      <c r="DA115" s="228">
        <v>17.72</v>
      </c>
      <c r="DB115" s="228">
        <v>18.3</v>
      </c>
      <c r="DC115" s="228">
        <v>-0.57999999999999996</v>
      </c>
      <c r="DD115" s="228">
        <v>-0.57999999999999996</v>
      </c>
      <c r="DE115" s="228">
        <v>26.59</v>
      </c>
      <c r="DF115" s="228">
        <v>26.65</v>
      </c>
      <c r="DG115" s="228">
        <v>-8.8699999999999992</v>
      </c>
      <c r="DH115" s="228">
        <v>-0.06</v>
      </c>
      <c r="DI115" s="228">
        <v>17.920000000000002</v>
      </c>
      <c r="DJ115" s="228">
        <v>18.7</v>
      </c>
      <c r="DK115" s="228">
        <v>-0.78</v>
      </c>
      <c r="DL115" s="228">
        <v>-0.78</v>
      </c>
      <c r="DM115" s="228">
        <v>17.420000000000002</v>
      </c>
      <c r="DN115" s="228">
        <v>17.329999999999998</v>
      </c>
      <c r="DO115" s="228">
        <v>0.09</v>
      </c>
      <c r="DP115" s="228">
        <v>0.09</v>
      </c>
      <c r="DQ115" s="228">
        <v>0.52</v>
      </c>
      <c r="DR115" s="228">
        <v>0.5</v>
      </c>
      <c r="DS115" s="228">
        <v>0.02</v>
      </c>
      <c r="DT115" s="229">
        <v>0.04</v>
      </c>
      <c r="DU115" s="231">
        <v>2200</v>
      </c>
      <c r="DV115" s="231">
        <v>2100</v>
      </c>
      <c r="DW115" s="228">
        <v>0.44</v>
      </c>
      <c r="DX115" s="228">
        <v>0.41</v>
      </c>
      <c r="DY115" s="228">
        <v>0.03</v>
      </c>
      <c r="DZ115" s="229">
        <v>7.3200000000000001E-2</v>
      </c>
      <c r="EA115" s="229">
        <v>0.37040000000000001</v>
      </c>
      <c r="EB115" s="230">
        <v>5777600</v>
      </c>
      <c r="EC115" s="229">
        <v>6.7999999999999996E-3</v>
      </c>
      <c r="ED115" s="229">
        <v>0.37040000000000001</v>
      </c>
      <c r="EE115" s="228">
        <v>13.89</v>
      </c>
      <c r="EF115" s="229">
        <v>6.6E-3</v>
      </c>
      <c r="EG115" s="230">
        <v>6034531</v>
      </c>
      <c r="EH115" s="230">
        <v>2027008</v>
      </c>
      <c r="EI115" s="229">
        <v>1.9771000000000001</v>
      </c>
      <c r="EJ115" s="229">
        <v>0.79020000000000001</v>
      </c>
      <c r="EK115" s="231">
        <v>5345.18</v>
      </c>
      <c r="EL115" s="231">
        <v>2275.56</v>
      </c>
      <c r="EM115" s="231">
        <v>4159.3599999999997</v>
      </c>
      <c r="EN115" s="228">
        <v>126.02</v>
      </c>
      <c r="EO115" s="231">
        <v>11780.09</v>
      </c>
      <c r="EP115" s="231">
        <v>7261.64</v>
      </c>
      <c r="EQ115" s="231">
        <v>4518.45</v>
      </c>
      <c r="ER115" s="229">
        <v>0.62219999999999998</v>
      </c>
      <c r="ES115" s="231">
        <v>3081.49</v>
      </c>
      <c r="ET115" s="231">
        <v>1502.16</v>
      </c>
      <c r="EU115" s="231">
        <v>7688.7</v>
      </c>
      <c r="EV115" s="231">
        <v>215751979</v>
      </c>
      <c r="EW115" s="231">
        <v>12272.35</v>
      </c>
      <c r="EX115" s="231">
        <v>12557.86</v>
      </c>
      <c r="EY115" s="228">
        <v>-285.51</v>
      </c>
      <c r="EZ115" s="229">
        <v>-2.2700000000000001E-2</v>
      </c>
      <c r="FA115" s="229">
        <v>0.2681</v>
      </c>
      <c r="FB115" s="227" t="s">
        <v>568</v>
      </c>
      <c r="FC115">
        <f t="shared" si="1"/>
        <v>2840</v>
      </c>
    </row>
    <row r="116" spans="1:159" ht="17.25" thickBot="1" x14ac:dyDescent="0.3">
      <c r="A116" s="226">
        <v>45981</v>
      </c>
      <c r="B116" s="227" t="s">
        <v>221</v>
      </c>
      <c r="C116" s="227" t="s">
        <v>577</v>
      </c>
      <c r="D116" s="228">
        <v>400</v>
      </c>
      <c r="E116" s="228">
        <v>5</v>
      </c>
      <c r="F116" s="231">
        <v>1200.5</v>
      </c>
      <c r="G116" s="231">
        <v>1207.3</v>
      </c>
      <c r="H116" s="228">
        <v>-6.8</v>
      </c>
      <c r="I116" s="229">
        <v>-5.5999999999999999E-3</v>
      </c>
      <c r="J116" s="231">
        <v>1196.5999999999999</v>
      </c>
      <c r="K116" s="231">
        <v>1203.0999999999999</v>
      </c>
      <c r="L116" s="228">
        <v>-6.5</v>
      </c>
      <c r="M116" s="229">
        <v>-5.4000000000000003E-3</v>
      </c>
      <c r="N116" s="231">
        <v>1200.5</v>
      </c>
      <c r="O116" s="231">
        <v>1207.3</v>
      </c>
      <c r="P116" s="228">
        <v>-6.8</v>
      </c>
      <c r="Q116" s="229">
        <v>-5.5999999999999999E-3</v>
      </c>
      <c r="R116" s="231">
        <v>1204.5999999999999</v>
      </c>
      <c r="S116" s="231">
        <v>1211.5999999999999</v>
      </c>
      <c r="T116" s="228">
        <v>-7</v>
      </c>
      <c r="U116" s="229">
        <v>-5.7999999999999996E-3</v>
      </c>
      <c r="V116" s="231">
        <v>1210</v>
      </c>
      <c r="W116" s="231">
        <v>1216.5999999999999</v>
      </c>
      <c r="X116" s="228">
        <v>-6.6</v>
      </c>
      <c r="Y116" s="229">
        <v>-5.4000000000000003E-3</v>
      </c>
      <c r="Z116" s="228">
        <v>3.9</v>
      </c>
      <c r="AA116" s="228">
        <v>4.2</v>
      </c>
      <c r="AB116" s="228">
        <v>-0.3</v>
      </c>
      <c r="AC116" s="229">
        <v>3.3E-3</v>
      </c>
      <c r="AD116" s="228">
        <v>3.9</v>
      </c>
      <c r="AE116" s="228">
        <v>4.2</v>
      </c>
      <c r="AF116" s="228">
        <v>-0.3</v>
      </c>
      <c r="AG116" s="229">
        <v>3.3E-3</v>
      </c>
      <c r="AH116" s="228">
        <v>8</v>
      </c>
      <c r="AI116" s="228">
        <v>8.5</v>
      </c>
      <c r="AJ116" s="228">
        <v>-0.5</v>
      </c>
      <c r="AK116" s="229">
        <v>6.7000000000000002E-3</v>
      </c>
      <c r="AL116" s="228">
        <v>13.4</v>
      </c>
      <c r="AM116" s="228">
        <v>13.5</v>
      </c>
      <c r="AN116" s="228">
        <v>-0.1</v>
      </c>
      <c r="AO116" s="229">
        <v>1.12E-2</v>
      </c>
      <c r="AP116" s="231">
        <v>1212.67</v>
      </c>
      <c r="AQ116" s="231">
        <v>1215.3399999999999</v>
      </c>
      <c r="AR116" s="228">
        <v>0</v>
      </c>
      <c r="AS116" s="228">
        <v>241</v>
      </c>
      <c r="AT116" s="228">
        <v>150</v>
      </c>
      <c r="AU116" s="228">
        <v>91</v>
      </c>
      <c r="AV116" s="229">
        <v>0.60289999999999999</v>
      </c>
      <c r="AW116" s="228">
        <v>131</v>
      </c>
      <c r="AX116" s="228">
        <v>99</v>
      </c>
      <c r="AY116" s="228">
        <v>32</v>
      </c>
      <c r="AZ116" s="229">
        <v>0.32719999999999999</v>
      </c>
      <c r="BA116" s="228">
        <v>109</v>
      </c>
      <c r="BB116" s="228">
        <v>48</v>
      </c>
      <c r="BC116" s="228">
        <v>61</v>
      </c>
      <c r="BD116" s="229">
        <v>1.2746</v>
      </c>
      <c r="BE116" s="228">
        <v>1</v>
      </c>
      <c r="BF116" s="228">
        <v>4</v>
      </c>
      <c r="BG116" s="228">
        <v>-3</v>
      </c>
      <c r="BH116" s="229">
        <v>-0.71050000000000002</v>
      </c>
      <c r="BI116" s="228">
        <v>582</v>
      </c>
      <c r="BJ116" s="228">
        <v>533</v>
      </c>
      <c r="BK116" s="228">
        <v>50</v>
      </c>
      <c r="BL116" s="229">
        <v>9.3100000000000002E-2</v>
      </c>
      <c r="BM116" s="228">
        <v>120</v>
      </c>
      <c r="BN116" s="228">
        <v>173</v>
      </c>
      <c r="BO116" s="228">
        <v>-53</v>
      </c>
      <c r="BP116" s="229">
        <v>-0.30719999999999997</v>
      </c>
      <c r="BQ116" s="228">
        <v>943</v>
      </c>
      <c r="BR116" s="228">
        <v>856</v>
      </c>
      <c r="BS116" s="228">
        <v>87</v>
      </c>
      <c r="BT116" s="229">
        <v>0.1016</v>
      </c>
      <c r="BU116" s="230">
        <v>1007743</v>
      </c>
      <c r="BV116" s="230">
        <v>900531</v>
      </c>
      <c r="BW116" s="230">
        <v>107212</v>
      </c>
      <c r="BX116" s="229">
        <v>0.1191</v>
      </c>
      <c r="BY116" s="228">
        <v>395</v>
      </c>
      <c r="BZ116" s="228">
        <v>425</v>
      </c>
      <c r="CA116" s="228">
        <v>-30</v>
      </c>
      <c r="CB116" s="229">
        <v>-7.0599999999999996E-2</v>
      </c>
      <c r="CC116" s="228">
        <v>272</v>
      </c>
      <c r="CD116" s="228">
        <v>338</v>
      </c>
      <c r="CE116" s="228">
        <v>-66</v>
      </c>
      <c r="CF116" s="229">
        <v>-0.19470000000000001</v>
      </c>
      <c r="CG116" s="228">
        <v>115</v>
      </c>
      <c r="CH116" s="228">
        <v>80</v>
      </c>
      <c r="CI116" s="228">
        <v>35</v>
      </c>
      <c r="CJ116" s="229">
        <v>0.43730000000000002</v>
      </c>
      <c r="CK116" s="228">
        <v>8</v>
      </c>
      <c r="CL116" s="228">
        <v>7</v>
      </c>
      <c r="CM116" s="228">
        <v>1</v>
      </c>
      <c r="CN116" s="229">
        <v>0.1079</v>
      </c>
      <c r="CO116" s="228">
        <v>247</v>
      </c>
      <c r="CP116" s="228">
        <v>240</v>
      </c>
      <c r="CQ116" s="228">
        <v>7</v>
      </c>
      <c r="CR116" s="229">
        <v>2.9000000000000001E-2</v>
      </c>
      <c r="CS116" s="228">
        <v>195</v>
      </c>
      <c r="CT116" s="228">
        <v>197</v>
      </c>
      <c r="CU116" s="228">
        <v>-2</v>
      </c>
      <c r="CV116" s="229">
        <v>-1.26E-2</v>
      </c>
      <c r="CW116" s="228">
        <v>837</v>
      </c>
      <c r="CX116" s="228">
        <v>863</v>
      </c>
      <c r="CY116" s="228">
        <v>-26</v>
      </c>
      <c r="CZ116" s="229">
        <v>-2.9600000000000001E-2</v>
      </c>
      <c r="DA116" s="228">
        <v>29.42</v>
      </c>
      <c r="DB116" s="228">
        <v>28.39</v>
      </c>
      <c r="DC116" s="228">
        <v>1.03</v>
      </c>
      <c r="DD116" s="228">
        <v>1.03</v>
      </c>
      <c r="DE116" s="228">
        <v>43.27</v>
      </c>
      <c r="DF116" s="228">
        <v>43.38</v>
      </c>
      <c r="DG116" s="228">
        <v>-13.85</v>
      </c>
      <c r="DH116" s="228">
        <v>-0.11</v>
      </c>
      <c r="DI116" s="228">
        <v>29.47</v>
      </c>
      <c r="DJ116" s="228">
        <v>28.21</v>
      </c>
      <c r="DK116" s="228">
        <v>1.26</v>
      </c>
      <c r="DL116" s="228">
        <v>1.26</v>
      </c>
      <c r="DM116" s="228">
        <v>29.28</v>
      </c>
      <c r="DN116" s="228">
        <v>28.95</v>
      </c>
      <c r="DO116" s="228">
        <v>0.33</v>
      </c>
      <c r="DP116" s="228">
        <v>0.33</v>
      </c>
      <c r="DQ116" s="228">
        <v>0.79</v>
      </c>
      <c r="DR116" s="228">
        <v>0.82</v>
      </c>
      <c r="DS116" s="228">
        <v>-0.03</v>
      </c>
      <c r="DT116" s="229">
        <v>-3.6600000000000001E-2</v>
      </c>
      <c r="DU116" s="231">
        <v>1240</v>
      </c>
      <c r="DV116" s="231">
        <v>1160</v>
      </c>
      <c r="DW116" s="228">
        <v>0.21</v>
      </c>
      <c r="DX116" s="228">
        <v>0.33</v>
      </c>
      <c r="DY116" s="228">
        <v>-0.12</v>
      </c>
      <c r="DZ116" s="229">
        <v>-0.36359999999999998</v>
      </c>
      <c r="EA116" s="229">
        <v>0.31109999999999999</v>
      </c>
      <c r="EB116" s="230">
        <v>725875</v>
      </c>
      <c r="EC116" s="229">
        <v>3.3999999999999998E-3</v>
      </c>
      <c r="ED116" s="229">
        <v>0.31109999999999999</v>
      </c>
      <c r="EE116" s="228">
        <v>2.67</v>
      </c>
      <c r="EF116" s="229">
        <v>2.2000000000000001E-3</v>
      </c>
      <c r="EG116" s="230">
        <v>492103</v>
      </c>
      <c r="EH116" s="230">
        <v>478227</v>
      </c>
      <c r="EI116" s="229">
        <v>2.9000000000000001E-2</v>
      </c>
      <c r="EJ116" s="229">
        <v>0.48830000000000001</v>
      </c>
      <c r="EK116" s="228">
        <v>605.20000000000005</v>
      </c>
      <c r="EL116" s="228">
        <v>118.61</v>
      </c>
      <c r="EM116" s="228">
        <v>243.67</v>
      </c>
      <c r="EN116" s="228">
        <v>19.87</v>
      </c>
      <c r="EO116" s="228">
        <v>967.48</v>
      </c>
      <c r="EP116" s="228">
        <v>877.18</v>
      </c>
      <c r="EQ116" s="228">
        <v>90.31</v>
      </c>
      <c r="ER116" s="229">
        <v>0.10290000000000001</v>
      </c>
      <c r="ES116" s="228">
        <v>256.76</v>
      </c>
      <c r="ET116" s="228">
        <v>186.93</v>
      </c>
      <c r="EU116" s="228">
        <v>395.5</v>
      </c>
      <c r="EV116" s="231">
        <v>24568295</v>
      </c>
      <c r="EW116" s="228">
        <v>839.19</v>
      </c>
      <c r="EX116" s="228">
        <v>867.17</v>
      </c>
      <c r="EY116" s="228">
        <v>-27.98</v>
      </c>
      <c r="EZ116" s="229">
        <v>-3.2300000000000002E-2</v>
      </c>
      <c r="FA116" s="229">
        <v>0.2838</v>
      </c>
      <c r="FB116" s="227" t="s">
        <v>568</v>
      </c>
      <c r="FC116">
        <f t="shared" si="1"/>
        <v>123</v>
      </c>
    </row>
    <row r="117" spans="1:159" ht="17.25" thickBot="1" x14ac:dyDescent="0.3">
      <c r="A117" s="226">
        <v>45981</v>
      </c>
      <c r="B117" s="227" t="s">
        <v>170</v>
      </c>
      <c r="C117" s="227" t="s">
        <v>535</v>
      </c>
      <c r="D117" s="228">
        <v>850</v>
      </c>
      <c r="E117" s="228">
        <v>5</v>
      </c>
      <c r="F117" s="228">
        <v>987.2</v>
      </c>
      <c r="G117" s="228">
        <v>986.65</v>
      </c>
      <c r="H117" s="228">
        <v>0.55000000000000004</v>
      </c>
      <c r="I117" s="229">
        <v>5.9999999999999995E-4</v>
      </c>
      <c r="J117" s="228">
        <v>987.1</v>
      </c>
      <c r="K117" s="228">
        <v>987.5</v>
      </c>
      <c r="L117" s="228">
        <v>-0.4</v>
      </c>
      <c r="M117" s="229">
        <v>-4.0000000000000002E-4</v>
      </c>
      <c r="N117" s="228">
        <v>987.2</v>
      </c>
      <c r="O117" s="228">
        <v>986.65</v>
      </c>
      <c r="P117" s="228">
        <v>0.55000000000000004</v>
      </c>
      <c r="Q117" s="229">
        <v>5.9999999999999995E-4</v>
      </c>
      <c r="R117" s="228">
        <v>992.7</v>
      </c>
      <c r="S117" s="228">
        <v>993.9</v>
      </c>
      <c r="T117" s="228">
        <v>-1.2</v>
      </c>
      <c r="U117" s="229">
        <v>-1.1999999999999999E-3</v>
      </c>
      <c r="V117" s="231">
        <v>1001.1</v>
      </c>
      <c r="W117" s="231">
        <v>1000.2</v>
      </c>
      <c r="X117" s="228">
        <v>0.9</v>
      </c>
      <c r="Y117" s="229">
        <v>8.9999999999999998E-4</v>
      </c>
      <c r="Z117" s="228">
        <v>0.1</v>
      </c>
      <c r="AA117" s="228">
        <v>-0.85</v>
      </c>
      <c r="AB117" s="228">
        <v>0.95</v>
      </c>
      <c r="AC117" s="229">
        <v>1E-4</v>
      </c>
      <c r="AD117" s="228">
        <v>0.1</v>
      </c>
      <c r="AE117" s="228">
        <v>-0.85</v>
      </c>
      <c r="AF117" s="228">
        <v>0.95</v>
      </c>
      <c r="AG117" s="229">
        <v>1E-4</v>
      </c>
      <c r="AH117" s="228">
        <v>5.6</v>
      </c>
      <c r="AI117" s="228">
        <v>6.4</v>
      </c>
      <c r="AJ117" s="228">
        <v>-0.8</v>
      </c>
      <c r="AK117" s="229">
        <v>5.7000000000000002E-3</v>
      </c>
      <c r="AL117" s="228">
        <v>14</v>
      </c>
      <c r="AM117" s="228">
        <v>12.7</v>
      </c>
      <c r="AN117" s="228">
        <v>1.3</v>
      </c>
      <c r="AO117" s="229">
        <v>1.4200000000000001E-2</v>
      </c>
      <c r="AP117" s="228">
        <v>983.87</v>
      </c>
      <c r="AQ117" s="228">
        <v>991.05</v>
      </c>
      <c r="AR117" s="228">
        <v>0</v>
      </c>
      <c r="AS117" s="228">
        <v>953</v>
      </c>
      <c r="AT117" s="228">
        <v>567</v>
      </c>
      <c r="AU117" s="228">
        <v>385</v>
      </c>
      <c r="AV117" s="229">
        <v>0.67900000000000005</v>
      </c>
      <c r="AW117" s="228">
        <v>548</v>
      </c>
      <c r="AX117" s="228">
        <v>414</v>
      </c>
      <c r="AY117" s="228">
        <v>134</v>
      </c>
      <c r="AZ117" s="229">
        <v>0.32490000000000002</v>
      </c>
      <c r="BA117" s="228">
        <v>400</v>
      </c>
      <c r="BB117" s="228">
        <v>139</v>
      </c>
      <c r="BC117" s="228">
        <v>261</v>
      </c>
      <c r="BD117" s="229">
        <v>1.8682000000000001</v>
      </c>
      <c r="BE117" s="228">
        <v>5</v>
      </c>
      <c r="BF117" s="228">
        <v>14</v>
      </c>
      <c r="BG117" s="228">
        <v>-10</v>
      </c>
      <c r="BH117" s="229">
        <v>-0.67649999999999999</v>
      </c>
      <c r="BI117" s="230">
        <v>2041</v>
      </c>
      <c r="BJ117" s="230">
        <v>2802</v>
      </c>
      <c r="BK117" s="228">
        <v>-761</v>
      </c>
      <c r="BL117" s="229">
        <v>-0.27160000000000001</v>
      </c>
      <c r="BM117" s="230">
        <v>1344</v>
      </c>
      <c r="BN117" s="230">
        <v>1846</v>
      </c>
      <c r="BO117" s="228">
        <v>-501</v>
      </c>
      <c r="BP117" s="229">
        <v>-0.2717</v>
      </c>
      <c r="BQ117" s="230">
        <v>4338</v>
      </c>
      <c r="BR117" s="230">
        <v>5215</v>
      </c>
      <c r="BS117" s="228">
        <v>-877</v>
      </c>
      <c r="BT117" s="229">
        <v>-0.16819999999999999</v>
      </c>
      <c r="BU117" s="230">
        <v>1393536</v>
      </c>
      <c r="BV117" s="230">
        <v>1342373</v>
      </c>
      <c r="BW117" s="230">
        <v>51163</v>
      </c>
      <c r="BX117" s="229">
        <v>3.8100000000000002E-2</v>
      </c>
      <c r="BY117" s="230">
        <v>1668</v>
      </c>
      <c r="BZ117" s="230">
        <v>1726</v>
      </c>
      <c r="CA117" s="228">
        <v>-59</v>
      </c>
      <c r="CB117" s="229">
        <v>-3.39E-2</v>
      </c>
      <c r="CC117" s="230">
        <v>1191</v>
      </c>
      <c r="CD117" s="230">
        <v>1410</v>
      </c>
      <c r="CE117" s="228">
        <v>-219</v>
      </c>
      <c r="CF117" s="229">
        <v>-0.15509999999999999</v>
      </c>
      <c r="CG117" s="228">
        <v>456</v>
      </c>
      <c r="CH117" s="228">
        <v>297</v>
      </c>
      <c r="CI117" s="228">
        <v>159</v>
      </c>
      <c r="CJ117" s="229">
        <v>0.53310000000000002</v>
      </c>
      <c r="CK117" s="228">
        <v>21</v>
      </c>
      <c r="CL117" s="228">
        <v>19</v>
      </c>
      <c r="CM117" s="228">
        <v>2</v>
      </c>
      <c r="CN117" s="229">
        <v>7.8600000000000003E-2</v>
      </c>
      <c r="CO117" s="230">
        <v>1205</v>
      </c>
      <c r="CP117" s="230">
        <v>1251</v>
      </c>
      <c r="CQ117" s="228">
        <v>-46</v>
      </c>
      <c r="CR117" s="229">
        <v>-3.6499999999999998E-2</v>
      </c>
      <c r="CS117" s="228">
        <v>841</v>
      </c>
      <c r="CT117" s="228">
        <v>890</v>
      </c>
      <c r="CU117" s="228">
        <v>-49</v>
      </c>
      <c r="CV117" s="229">
        <v>-5.4899999999999997E-2</v>
      </c>
      <c r="CW117" s="230">
        <v>3714</v>
      </c>
      <c r="CX117" s="230">
        <v>3867</v>
      </c>
      <c r="CY117" s="228">
        <v>-153</v>
      </c>
      <c r="CZ117" s="229">
        <v>-3.9600000000000003E-2</v>
      </c>
      <c r="DA117" s="228">
        <v>27.98</v>
      </c>
      <c r="DB117" s="228">
        <v>29.49</v>
      </c>
      <c r="DC117" s="228">
        <v>-1.51</v>
      </c>
      <c r="DD117" s="228">
        <v>-1.51</v>
      </c>
      <c r="DE117" s="228">
        <v>39.630000000000003</v>
      </c>
      <c r="DF117" s="228">
        <v>39.729999999999997</v>
      </c>
      <c r="DG117" s="228">
        <v>-11.65</v>
      </c>
      <c r="DH117" s="228">
        <v>-0.1</v>
      </c>
      <c r="DI117" s="228">
        <v>27.82</v>
      </c>
      <c r="DJ117" s="228">
        <v>29.02</v>
      </c>
      <c r="DK117" s="228">
        <v>-1.2</v>
      </c>
      <c r="DL117" s="228">
        <v>-1.2</v>
      </c>
      <c r="DM117" s="228">
        <v>28.32</v>
      </c>
      <c r="DN117" s="228">
        <v>30.2</v>
      </c>
      <c r="DO117" s="228">
        <v>-1.88</v>
      </c>
      <c r="DP117" s="228">
        <v>-1.88</v>
      </c>
      <c r="DQ117" s="228">
        <v>0.7</v>
      </c>
      <c r="DR117" s="228">
        <v>0.71</v>
      </c>
      <c r="DS117" s="228">
        <v>-0.01</v>
      </c>
      <c r="DT117" s="229">
        <v>-1.41E-2</v>
      </c>
      <c r="DU117" s="231">
        <v>1010</v>
      </c>
      <c r="DV117" s="228">
        <v>950</v>
      </c>
      <c r="DW117" s="228">
        <v>0.66</v>
      </c>
      <c r="DX117" s="228">
        <v>0.66</v>
      </c>
      <c r="DY117" s="228">
        <v>0</v>
      </c>
      <c r="DZ117" s="229">
        <v>0</v>
      </c>
      <c r="EA117" s="229">
        <v>0.28589999999999999</v>
      </c>
      <c r="EB117" s="230">
        <v>3207900</v>
      </c>
      <c r="EC117" s="229">
        <v>5.5999999999999999E-3</v>
      </c>
      <c r="ED117" s="229">
        <v>0.28589999999999999</v>
      </c>
      <c r="EE117" s="228">
        <v>7.18</v>
      </c>
      <c r="EF117" s="229">
        <v>7.3000000000000001E-3</v>
      </c>
      <c r="EG117" s="230">
        <v>644329</v>
      </c>
      <c r="EH117" s="230">
        <v>576332</v>
      </c>
      <c r="EI117" s="229">
        <v>0.11799999999999999</v>
      </c>
      <c r="EJ117" s="229">
        <v>0.46239999999999998</v>
      </c>
      <c r="EK117" s="231">
        <v>2111.9899999999998</v>
      </c>
      <c r="EL117" s="231">
        <v>1316.94</v>
      </c>
      <c r="EM117" s="228">
        <v>952.58</v>
      </c>
      <c r="EN117" s="228">
        <v>58.29</v>
      </c>
      <c r="EO117" s="231">
        <v>4381.5</v>
      </c>
      <c r="EP117" s="231">
        <v>5306.93</v>
      </c>
      <c r="EQ117" s="228">
        <v>-925.42</v>
      </c>
      <c r="ER117" s="229">
        <v>-0.1744</v>
      </c>
      <c r="ES117" s="231">
        <v>1234.8599999999999</v>
      </c>
      <c r="ET117" s="228">
        <v>803.99</v>
      </c>
      <c r="EU117" s="231">
        <v>1670.5</v>
      </c>
      <c r="EV117" s="231">
        <v>58629477</v>
      </c>
      <c r="EW117" s="231">
        <v>3709.36</v>
      </c>
      <c r="EX117" s="231">
        <v>3860.5</v>
      </c>
      <c r="EY117" s="228">
        <v>-151.13999999999999</v>
      </c>
      <c r="EZ117" s="229">
        <v>-3.9199999999999999E-2</v>
      </c>
      <c r="FA117" s="229">
        <v>0.64170000000000005</v>
      </c>
      <c r="FB117" s="227" t="s">
        <v>556</v>
      </c>
      <c r="FC117">
        <f t="shared" si="1"/>
        <v>477</v>
      </c>
    </row>
    <row r="118" spans="1:159" ht="17.25" thickBot="1" x14ac:dyDescent="0.3">
      <c r="A118" s="226">
        <v>45981</v>
      </c>
      <c r="B118" s="227" t="s">
        <v>175</v>
      </c>
      <c r="C118" s="227" t="s">
        <v>248</v>
      </c>
      <c r="D118" s="228">
        <v>1000</v>
      </c>
      <c r="E118" s="228">
        <v>5</v>
      </c>
      <c r="F118" s="228">
        <v>555.4</v>
      </c>
      <c r="G118" s="228">
        <v>563.70000000000005</v>
      </c>
      <c r="H118" s="228">
        <v>-8.3000000000000007</v>
      </c>
      <c r="I118" s="229">
        <v>-1.47E-2</v>
      </c>
      <c r="J118" s="228">
        <v>554.79999999999995</v>
      </c>
      <c r="K118" s="228">
        <v>563.6</v>
      </c>
      <c r="L118" s="228">
        <v>-8.8000000000000007</v>
      </c>
      <c r="M118" s="229">
        <v>-1.5599999999999999E-2</v>
      </c>
      <c r="N118" s="228">
        <v>555.4</v>
      </c>
      <c r="O118" s="228">
        <v>563.70000000000005</v>
      </c>
      <c r="P118" s="228">
        <v>-8.3000000000000007</v>
      </c>
      <c r="Q118" s="229">
        <v>-1.47E-2</v>
      </c>
      <c r="R118" s="228">
        <v>559</v>
      </c>
      <c r="S118" s="228">
        <v>567.45000000000005</v>
      </c>
      <c r="T118" s="228">
        <v>-8.4499999999999993</v>
      </c>
      <c r="U118" s="229">
        <v>-1.49E-2</v>
      </c>
      <c r="V118" s="228">
        <v>562.29999999999995</v>
      </c>
      <c r="W118" s="228">
        <v>571.5</v>
      </c>
      <c r="X118" s="228">
        <v>-9.1999999999999993</v>
      </c>
      <c r="Y118" s="229">
        <v>-1.61E-2</v>
      </c>
      <c r="Z118" s="228">
        <v>0.6</v>
      </c>
      <c r="AA118" s="228">
        <v>0.1</v>
      </c>
      <c r="AB118" s="228">
        <v>0.5</v>
      </c>
      <c r="AC118" s="229">
        <v>1.1000000000000001E-3</v>
      </c>
      <c r="AD118" s="228">
        <v>0.6</v>
      </c>
      <c r="AE118" s="228">
        <v>0.1</v>
      </c>
      <c r="AF118" s="228">
        <v>0.5</v>
      </c>
      <c r="AG118" s="229">
        <v>1.1000000000000001E-3</v>
      </c>
      <c r="AH118" s="228">
        <v>4.2</v>
      </c>
      <c r="AI118" s="228">
        <v>3.85</v>
      </c>
      <c r="AJ118" s="228">
        <v>0.35</v>
      </c>
      <c r="AK118" s="229">
        <v>7.6E-3</v>
      </c>
      <c r="AL118" s="228">
        <v>7.5</v>
      </c>
      <c r="AM118" s="228">
        <v>7.9</v>
      </c>
      <c r="AN118" s="228">
        <v>-0.4</v>
      </c>
      <c r="AO118" s="229">
        <v>1.35E-2</v>
      </c>
      <c r="AP118" s="228">
        <v>559.73</v>
      </c>
      <c r="AQ118" s="228">
        <v>563.47</v>
      </c>
      <c r="AR118" s="228">
        <v>0</v>
      </c>
      <c r="AS118" s="228">
        <v>861</v>
      </c>
      <c r="AT118" s="228">
        <v>287</v>
      </c>
      <c r="AU118" s="228">
        <v>575</v>
      </c>
      <c r="AV118" s="229">
        <v>2.0028999999999999</v>
      </c>
      <c r="AW118" s="228">
        <v>480</v>
      </c>
      <c r="AX118" s="228">
        <v>170</v>
      </c>
      <c r="AY118" s="228">
        <v>309</v>
      </c>
      <c r="AZ118" s="229">
        <v>1.8190999999999999</v>
      </c>
      <c r="BA118" s="228">
        <v>373</v>
      </c>
      <c r="BB118" s="228">
        <v>112</v>
      </c>
      <c r="BC118" s="228">
        <v>261</v>
      </c>
      <c r="BD118" s="229">
        <v>2.3420000000000001</v>
      </c>
      <c r="BE118" s="228">
        <v>9</v>
      </c>
      <c r="BF118" s="228">
        <v>5</v>
      </c>
      <c r="BG118" s="228">
        <v>4</v>
      </c>
      <c r="BH118" s="229">
        <v>0.73119999999999996</v>
      </c>
      <c r="BI118" s="228">
        <v>501</v>
      </c>
      <c r="BJ118" s="228">
        <v>583</v>
      </c>
      <c r="BK118" s="228">
        <v>-82</v>
      </c>
      <c r="BL118" s="229">
        <v>-0.14130000000000001</v>
      </c>
      <c r="BM118" s="228">
        <v>251</v>
      </c>
      <c r="BN118" s="228">
        <v>203</v>
      </c>
      <c r="BO118" s="228">
        <v>47</v>
      </c>
      <c r="BP118" s="229">
        <v>0.23230000000000001</v>
      </c>
      <c r="BQ118" s="230">
        <v>1613</v>
      </c>
      <c r="BR118" s="230">
        <v>1073</v>
      </c>
      <c r="BS118" s="228">
        <v>539</v>
      </c>
      <c r="BT118" s="229">
        <v>0.50260000000000005</v>
      </c>
      <c r="BU118" s="230">
        <v>900510</v>
      </c>
      <c r="BV118" s="230">
        <v>1042489</v>
      </c>
      <c r="BW118" s="230">
        <v>-141979</v>
      </c>
      <c r="BX118" s="229">
        <v>-0.13619999999999999</v>
      </c>
      <c r="BY118" s="230">
        <v>1880</v>
      </c>
      <c r="BZ118" s="230">
        <v>1791</v>
      </c>
      <c r="CA118" s="228">
        <v>89</v>
      </c>
      <c r="CB118" s="229">
        <v>4.9500000000000002E-2</v>
      </c>
      <c r="CC118" s="230">
        <v>1396</v>
      </c>
      <c r="CD118" s="230">
        <v>1570</v>
      </c>
      <c r="CE118" s="228">
        <v>-174</v>
      </c>
      <c r="CF118" s="229">
        <v>-0.1106</v>
      </c>
      <c r="CG118" s="228">
        <v>466</v>
      </c>
      <c r="CH118" s="228">
        <v>209</v>
      </c>
      <c r="CI118" s="228">
        <v>257</v>
      </c>
      <c r="CJ118" s="229">
        <v>1.2318</v>
      </c>
      <c r="CK118" s="228">
        <v>18</v>
      </c>
      <c r="CL118" s="228">
        <v>12</v>
      </c>
      <c r="CM118" s="228">
        <v>5</v>
      </c>
      <c r="CN118" s="229">
        <v>0.42599999999999999</v>
      </c>
      <c r="CO118" s="228">
        <v>707</v>
      </c>
      <c r="CP118" s="228">
        <v>692</v>
      </c>
      <c r="CQ118" s="228">
        <v>15</v>
      </c>
      <c r="CR118" s="229">
        <v>2.1600000000000001E-2</v>
      </c>
      <c r="CS118" s="228">
        <v>492</v>
      </c>
      <c r="CT118" s="228">
        <v>458</v>
      </c>
      <c r="CU118" s="228">
        <v>35</v>
      </c>
      <c r="CV118" s="229">
        <v>7.5999999999999998E-2</v>
      </c>
      <c r="CW118" s="230">
        <v>3079</v>
      </c>
      <c r="CX118" s="230">
        <v>2941</v>
      </c>
      <c r="CY118" s="228">
        <v>138</v>
      </c>
      <c r="CZ118" s="229">
        <v>4.7100000000000003E-2</v>
      </c>
      <c r="DA118" s="228">
        <v>18.27</v>
      </c>
      <c r="DB118" s="228">
        <v>20.63</v>
      </c>
      <c r="DC118" s="228">
        <v>-2.36</v>
      </c>
      <c r="DD118" s="228">
        <v>-2.36</v>
      </c>
      <c r="DE118" s="228">
        <v>33.47</v>
      </c>
      <c r="DF118" s="228">
        <v>33.49</v>
      </c>
      <c r="DG118" s="228">
        <v>-15.2</v>
      </c>
      <c r="DH118" s="228">
        <v>-0.02</v>
      </c>
      <c r="DI118" s="228">
        <v>18.600000000000001</v>
      </c>
      <c r="DJ118" s="228">
        <v>21.29</v>
      </c>
      <c r="DK118" s="228">
        <v>-2.69</v>
      </c>
      <c r="DL118" s="228">
        <v>-2.69</v>
      </c>
      <c r="DM118" s="228">
        <v>17.920000000000002</v>
      </c>
      <c r="DN118" s="228">
        <v>18.72</v>
      </c>
      <c r="DO118" s="228">
        <v>-0.8</v>
      </c>
      <c r="DP118" s="228">
        <v>-0.8</v>
      </c>
      <c r="DQ118" s="228">
        <v>0.7</v>
      </c>
      <c r="DR118" s="228">
        <v>0.66</v>
      </c>
      <c r="DS118" s="228">
        <v>0.04</v>
      </c>
      <c r="DT118" s="229">
        <v>6.0600000000000001E-2</v>
      </c>
      <c r="DU118" s="228">
        <v>600</v>
      </c>
      <c r="DV118" s="228">
        <v>560</v>
      </c>
      <c r="DW118" s="228">
        <v>0.5</v>
      </c>
      <c r="DX118" s="228">
        <v>0.35</v>
      </c>
      <c r="DY118" s="228">
        <v>0.15</v>
      </c>
      <c r="DZ118" s="229">
        <v>0.42859999999999998</v>
      </c>
      <c r="EA118" s="229">
        <v>0.2571</v>
      </c>
      <c r="EB118" s="230">
        <v>3980000</v>
      </c>
      <c r="EC118" s="229">
        <v>6.4999999999999997E-3</v>
      </c>
      <c r="ED118" s="229">
        <v>0.2571</v>
      </c>
      <c r="EE118" s="228">
        <v>3.74</v>
      </c>
      <c r="EF118" s="229">
        <v>6.7000000000000002E-3</v>
      </c>
      <c r="EG118" s="230">
        <v>577352</v>
      </c>
      <c r="EH118" s="230">
        <v>416515</v>
      </c>
      <c r="EI118" s="229">
        <v>0.3861</v>
      </c>
      <c r="EJ118" s="229">
        <v>0.6411</v>
      </c>
      <c r="EK118" s="228">
        <v>523.42999999999995</v>
      </c>
      <c r="EL118" s="228">
        <v>257.97000000000003</v>
      </c>
      <c r="EM118" s="228">
        <v>870.75</v>
      </c>
      <c r="EN118" s="228">
        <v>26.06</v>
      </c>
      <c r="EO118" s="231">
        <v>1652.14</v>
      </c>
      <c r="EP118" s="231">
        <v>1112.83</v>
      </c>
      <c r="EQ118" s="228">
        <v>539.30999999999995</v>
      </c>
      <c r="ER118" s="229">
        <v>0.48459999999999998</v>
      </c>
      <c r="ES118" s="228">
        <v>753.31</v>
      </c>
      <c r="ET118" s="228">
        <v>506.25</v>
      </c>
      <c r="EU118" s="231">
        <v>1882.99</v>
      </c>
      <c r="EV118" s="231">
        <v>45183075</v>
      </c>
      <c r="EW118" s="231">
        <v>3142.55</v>
      </c>
      <c r="EX118" s="231">
        <v>3031.37</v>
      </c>
      <c r="EY118" s="228">
        <v>111.18</v>
      </c>
      <c r="EZ118" s="229">
        <v>3.6700000000000003E-2</v>
      </c>
      <c r="FA118" s="229">
        <v>1.2270000000000001</v>
      </c>
      <c r="FB118" s="227" t="s">
        <v>567</v>
      </c>
      <c r="FC118">
        <f t="shared" si="1"/>
        <v>484</v>
      </c>
    </row>
    <row r="119" spans="1:159" ht="17.25" thickBot="1" x14ac:dyDescent="0.3">
      <c r="A119" s="226">
        <v>45981</v>
      </c>
      <c r="B119" s="227" t="s">
        <v>175</v>
      </c>
      <c r="C119" s="227" t="s">
        <v>607</v>
      </c>
      <c r="D119" s="228">
        <v>700</v>
      </c>
      <c r="E119" s="228">
        <v>5</v>
      </c>
      <c r="F119" s="228">
        <v>908.05</v>
      </c>
      <c r="G119" s="228">
        <v>913.95</v>
      </c>
      <c r="H119" s="228">
        <v>-5.9</v>
      </c>
      <c r="I119" s="229">
        <v>-6.4999999999999997E-3</v>
      </c>
      <c r="J119" s="228">
        <v>908.3</v>
      </c>
      <c r="K119" s="228">
        <v>914.05</v>
      </c>
      <c r="L119" s="228">
        <v>-5.75</v>
      </c>
      <c r="M119" s="229">
        <v>-6.3E-3</v>
      </c>
      <c r="N119" s="228">
        <v>908.05</v>
      </c>
      <c r="O119" s="228">
        <v>913.95</v>
      </c>
      <c r="P119" s="228">
        <v>-5.9</v>
      </c>
      <c r="Q119" s="229">
        <v>-6.4999999999999997E-3</v>
      </c>
      <c r="R119" s="228">
        <v>913.95</v>
      </c>
      <c r="S119" s="228">
        <v>920.5</v>
      </c>
      <c r="T119" s="228">
        <v>-6.55</v>
      </c>
      <c r="U119" s="229">
        <v>-7.1000000000000004E-3</v>
      </c>
      <c r="V119" s="228">
        <v>920.45</v>
      </c>
      <c r="W119" s="228">
        <v>926.1</v>
      </c>
      <c r="X119" s="228">
        <v>-5.65</v>
      </c>
      <c r="Y119" s="229">
        <v>-6.1000000000000004E-3</v>
      </c>
      <c r="Z119" s="228">
        <v>-0.25</v>
      </c>
      <c r="AA119" s="228">
        <v>-0.1</v>
      </c>
      <c r="AB119" s="228">
        <v>-0.15</v>
      </c>
      <c r="AC119" s="229">
        <v>-2.9999999999999997E-4</v>
      </c>
      <c r="AD119" s="228">
        <v>-0.25</v>
      </c>
      <c r="AE119" s="228">
        <v>-0.1</v>
      </c>
      <c r="AF119" s="228">
        <v>-0.15</v>
      </c>
      <c r="AG119" s="229">
        <v>-2.9999999999999997E-4</v>
      </c>
      <c r="AH119" s="228">
        <v>5.65</v>
      </c>
      <c r="AI119" s="228">
        <v>6.45</v>
      </c>
      <c r="AJ119" s="228">
        <v>-0.8</v>
      </c>
      <c r="AK119" s="229">
        <v>6.1999999999999998E-3</v>
      </c>
      <c r="AL119" s="228">
        <v>12.15</v>
      </c>
      <c r="AM119" s="228">
        <v>12.05</v>
      </c>
      <c r="AN119" s="228">
        <v>0.1</v>
      </c>
      <c r="AO119" s="229">
        <v>1.34E-2</v>
      </c>
      <c r="AP119" s="228">
        <v>912.1</v>
      </c>
      <c r="AQ119" s="228">
        <v>918</v>
      </c>
      <c r="AR119" s="228">
        <v>0</v>
      </c>
      <c r="AS119" s="228">
        <v>412</v>
      </c>
      <c r="AT119" s="228">
        <v>212</v>
      </c>
      <c r="AU119" s="228">
        <v>201</v>
      </c>
      <c r="AV119" s="229">
        <v>0.94689999999999996</v>
      </c>
      <c r="AW119" s="228">
        <v>213</v>
      </c>
      <c r="AX119" s="228">
        <v>124</v>
      </c>
      <c r="AY119" s="228">
        <v>89</v>
      </c>
      <c r="AZ119" s="229">
        <v>0.71960000000000002</v>
      </c>
      <c r="BA119" s="228">
        <v>195</v>
      </c>
      <c r="BB119" s="228">
        <v>84</v>
      </c>
      <c r="BC119" s="228">
        <v>112</v>
      </c>
      <c r="BD119" s="229">
        <v>1.3353999999999999</v>
      </c>
      <c r="BE119" s="228">
        <v>4</v>
      </c>
      <c r="BF119" s="228">
        <v>4</v>
      </c>
      <c r="BG119" s="228">
        <v>0</v>
      </c>
      <c r="BH119" s="229">
        <v>-7.5800000000000006E-2</v>
      </c>
      <c r="BI119" s="228">
        <v>673</v>
      </c>
      <c r="BJ119" s="228">
        <v>792</v>
      </c>
      <c r="BK119" s="228">
        <v>-119</v>
      </c>
      <c r="BL119" s="229">
        <v>-0.1502</v>
      </c>
      <c r="BM119" s="228">
        <v>230</v>
      </c>
      <c r="BN119" s="228">
        <v>262</v>
      </c>
      <c r="BO119" s="228">
        <v>-32</v>
      </c>
      <c r="BP119" s="229">
        <v>-0.1215</v>
      </c>
      <c r="BQ119" s="230">
        <v>1315</v>
      </c>
      <c r="BR119" s="230">
        <v>1265</v>
      </c>
      <c r="BS119" s="228">
        <v>50</v>
      </c>
      <c r="BT119" s="229">
        <v>3.9399999999999998E-2</v>
      </c>
      <c r="BU119" s="230">
        <v>1347097</v>
      </c>
      <c r="BV119" s="230">
        <v>963842</v>
      </c>
      <c r="BW119" s="230">
        <v>383255</v>
      </c>
      <c r="BX119" s="229">
        <v>0.39760000000000001</v>
      </c>
      <c r="BY119" s="228">
        <v>986</v>
      </c>
      <c r="BZ119" s="230">
        <v>1012</v>
      </c>
      <c r="CA119" s="228">
        <v>-27</v>
      </c>
      <c r="CB119" s="229">
        <v>-2.6200000000000001E-2</v>
      </c>
      <c r="CC119" s="228">
        <v>689</v>
      </c>
      <c r="CD119" s="228">
        <v>843</v>
      </c>
      <c r="CE119" s="228">
        <v>-154</v>
      </c>
      <c r="CF119" s="229">
        <v>-0.18279999999999999</v>
      </c>
      <c r="CG119" s="228">
        <v>284</v>
      </c>
      <c r="CH119" s="228">
        <v>158</v>
      </c>
      <c r="CI119" s="228">
        <v>126</v>
      </c>
      <c r="CJ119" s="229">
        <v>0.79549999999999998</v>
      </c>
      <c r="CK119" s="228">
        <v>12</v>
      </c>
      <c r="CL119" s="228">
        <v>11</v>
      </c>
      <c r="CM119" s="228">
        <v>2</v>
      </c>
      <c r="CN119" s="229">
        <v>0.16769999999999999</v>
      </c>
      <c r="CO119" s="228">
        <v>748</v>
      </c>
      <c r="CP119" s="228">
        <v>775</v>
      </c>
      <c r="CQ119" s="228">
        <v>-27</v>
      </c>
      <c r="CR119" s="229">
        <v>-3.4799999999999998E-2</v>
      </c>
      <c r="CS119" s="228">
        <v>382</v>
      </c>
      <c r="CT119" s="228">
        <v>398</v>
      </c>
      <c r="CU119" s="228">
        <v>-16</v>
      </c>
      <c r="CV119" s="229">
        <v>-4.0599999999999997E-2</v>
      </c>
      <c r="CW119" s="230">
        <v>2115</v>
      </c>
      <c r="CX119" s="230">
        <v>2185</v>
      </c>
      <c r="CY119" s="228">
        <v>-70</v>
      </c>
      <c r="CZ119" s="229">
        <v>-3.1899999999999998E-2</v>
      </c>
      <c r="DA119" s="228">
        <v>21.31</v>
      </c>
      <c r="DB119" s="228">
        <v>23.42</v>
      </c>
      <c r="DC119" s="228">
        <v>-2.11</v>
      </c>
      <c r="DD119" s="228">
        <v>-2.11</v>
      </c>
      <c r="DE119" s="228">
        <v>31.58</v>
      </c>
      <c r="DF119" s="228">
        <v>31.64</v>
      </c>
      <c r="DG119" s="228">
        <v>-10.27</v>
      </c>
      <c r="DH119" s="228">
        <v>-0.06</v>
      </c>
      <c r="DI119" s="228">
        <v>21.5</v>
      </c>
      <c r="DJ119" s="228">
        <v>23.89</v>
      </c>
      <c r="DK119" s="228">
        <v>-2.39</v>
      </c>
      <c r="DL119" s="228">
        <v>-2.39</v>
      </c>
      <c r="DM119" s="228">
        <v>20.94</v>
      </c>
      <c r="DN119" s="228">
        <v>22.01</v>
      </c>
      <c r="DO119" s="228">
        <v>-1.07</v>
      </c>
      <c r="DP119" s="228">
        <v>-1.07</v>
      </c>
      <c r="DQ119" s="228">
        <v>0.51</v>
      </c>
      <c r="DR119" s="228">
        <v>0.51</v>
      </c>
      <c r="DS119" s="228">
        <v>0</v>
      </c>
      <c r="DT119" s="229">
        <v>0</v>
      </c>
      <c r="DU119" s="228">
        <v>920</v>
      </c>
      <c r="DV119" s="228">
        <v>900</v>
      </c>
      <c r="DW119" s="228">
        <v>0.34</v>
      </c>
      <c r="DX119" s="228">
        <v>0.33</v>
      </c>
      <c r="DY119" s="228">
        <v>0.01</v>
      </c>
      <c r="DZ119" s="229">
        <v>3.0300000000000001E-2</v>
      </c>
      <c r="EA119" s="229">
        <v>0.30080000000000001</v>
      </c>
      <c r="EB119" s="230">
        <v>1859200</v>
      </c>
      <c r="EC119" s="229">
        <v>6.4999999999999997E-3</v>
      </c>
      <c r="ED119" s="229">
        <v>0.30080000000000001</v>
      </c>
      <c r="EE119" s="228">
        <v>5.9</v>
      </c>
      <c r="EF119" s="229">
        <v>6.4999999999999997E-3</v>
      </c>
      <c r="EG119" s="230">
        <v>821481</v>
      </c>
      <c r="EH119" s="230">
        <v>519693</v>
      </c>
      <c r="EI119" s="229">
        <v>0.58069999999999999</v>
      </c>
      <c r="EJ119" s="229">
        <v>0.60980000000000001</v>
      </c>
      <c r="EK119" s="228">
        <v>695.99</v>
      </c>
      <c r="EL119" s="228">
        <v>228.63</v>
      </c>
      <c r="EM119" s="228">
        <v>415.5</v>
      </c>
      <c r="EN119" s="228">
        <v>30.12</v>
      </c>
      <c r="EO119" s="231">
        <v>1340.12</v>
      </c>
      <c r="EP119" s="231">
        <v>1300.01</v>
      </c>
      <c r="EQ119" s="228">
        <v>40.11</v>
      </c>
      <c r="ER119" s="229">
        <v>3.09E-2</v>
      </c>
      <c r="ES119" s="228">
        <v>780.36</v>
      </c>
      <c r="ET119" s="228">
        <v>370.67</v>
      </c>
      <c r="EU119" s="228">
        <v>987.69</v>
      </c>
      <c r="EV119" s="231">
        <v>32057152</v>
      </c>
      <c r="EW119" s="231">
        <v>2138.7199999999998</v>
      </c>
      <c r="EX119" s="231">
        <v>2215.84</v>
      </c>
      <c r="EY119" s="228">
        <v>-77.12</v>
      </c>
      <c r="EZ119" s="229">
        <v>-3.4799999999999998E-2</v>
      </c>
      <c r="FA119" s="229">
        <v>0.72670000000000001</v>
      </c>
      <c r="FB119" s="227" t="s">
        <v>568</v>
      </c>
      <c r="FC119">
        <f t="shared" si="1"/>
        <v>297</v>
      </c>
    </row>
    <row r="120" spans="1:159" ht="17.25" thickBot="1" x14ac:dyDescent="0.3">
      <c r="A120" s="226">
        <v>45981</v>
      </c>
      <c r="B120" s="227" t="s">
        <v>206</v>
      </c>
      <c r="C120" s="227" t="s">
        <v>588</v>
      </c>
      <c r="D120" s="228">
        <v>450</v>
      </c>
      <c r="E120" s="228">
        <v>5</v>
      </c>
      <c r="F120" s="231">
        <v>1203.4000000000001</v>
      </c>
      <c r="G120" s="231">
        <v>1201.4000000000001</v>
      </c>
      <c r="H120" s="228">
        <v>2</v>
      </c>
      <c r="I120" s="229">
        <v>1.6999999999999999E-3</v>
      </c>
      <c r="J120" s="231">
        <v>1200.8</v>
      </c>
      <c r="K120" s="231">
        <v>1202</v>
      </c>
      <c r="L120" s="228">
        <v>-1.2</v>
      </c>
      <c r="M120" s="229">
        <v>-1E-3</v>
      </c>
      <c r="N120" s="231">
        <v>1203.4000000000001</v>
      </c>
      <c r="O120" s="231">
        <v>1201.4000000000001</v>
      </c>
      <c r="P120" s="228">
        <v>2</v>
      </c>
      <c r="Q120" s="229">
        <v>1.6999999999999999E-3</v>
      </c>
      <c r="R120" s="231">
        <v>1212.2</v>
      </c>
      <c r="S120" s="231">
        <v>1209.4000000000001</v>
      </c>
      <c r="T120" s="228">
        <v>2.8</v>
      </c>
      <c r="U120" s="229">
        <v>2.3E-3</v>
      </c>
      <c r="V120" s="231">
        <v>1219</v>
      </c>
      <c r="W120" s="231">
        <v>1218.2</v>
      </c>
      <c r="X120" s="228">
        <v>0.8</v>
      </c>
      <c r="Y120" s="229">
        <v>6.9999999999999999E-4</v>
      </c>
      <c r="Z120" s="228">
        <v>2.6</v>
      </c>
      <c r="AA120" s="228">
        <v>-0.6</v>
      </c>
      <c r="AB120" s="228">
        <v>3.2</v>
      </c>
      <c r="AC120" s="229">
        <v>2.2000000000000001E-3</v>
      </c>
      <c r="AD120" s="228">
        <v>2.6</v>
      </c>
      <c r="AE120" s="228">
        <v>-0.6</v>
      </c>
      <c r="AF120" s="228">
        <v>3.2</v>
      </c>
      <c r="AG120" s="229">
        <v>2.2000000000000001E-3</v>
      </c>
      <c r="AH120" s="228">
        <v>11.4</v>
      </c>
      <c r="AI120" s="228">
        <v>7.4</v>
      </c>
      <c r="AJ120" s="228">
        <v>4</v>
      </c>
      <c r="AK120" s="229">
        <v>9.4999999999999998E-3</v>
      </c>
      <c r="AL120" s="228">
        <v>18.2</v>
      </c>
      <c r="AM120" s="228">
        <v>16.2</v>
      </c>
      <c r="AN120" s="228">
        <v>2</v>
      </c>
      <c r="AO120" s="229">
        <v>1.52E-2</v>
      </c>
      <c r="AP120" s="231">
        <v>1198.07</v>
      </c>
      <c r="AQ120" s="231">
        <v>1205.97</v>
      </c>
      <c r="AR120" s="228">
        <v>0</v>
      </c>
      <c r="AS120" s="228">
        <v>837</v>
      </c>
      <c r="AT120" s="228">
        <v>166</v>
      </c>
      <c r="AU120" s="228">
        <v>671</v>
      </c>
      <c r="AV120" s="229">
        <v>4.0492999999999997</v>
      </c>
      <c r="AW120" s="228">
        <v>437</v>
      </c>
      <c r="AX120" s="228">
        <v>127</v>
      </c>
      <c r="AY120" s="228">
        <v>311</v>
      </c>
      <c r="AZ120" s="229">
        <v>2.4535999999999998</v>
      </c>
      <c r="BA120" s="228">
        <v>398</v>
      </c>
      <c r="BB120" s="228">
        <v>38</v>
      </c>
      <c r="BC120" s="228">
        <v>360</v>
      </c>
      <c r="BD120" s="229">
        <v>9.5351999999999997</v>
      </c>
      <c r="BE120" s="228">
        <v>2</v>
      </c>
      <c r="BF120" s="228">
        <v>1</v>
      </c>
      <c r="BG120" s="228">
        <v>1</v>
      </c>
      <c r="BH120" s="229">
        <v>0.42309999999999998</v>
      </c>
      <c r="BI120" s="228">
        <v>454</v>
      </c>
      <c r="BJ120" s="228">
        <v>618</v>
      </c>
      <c r="BK120" s="228">
        <v>-164</v>
      </c>
      <c r="BL120" s="229">
        <v>-0.26490000000000002</v>
      </c>
      <c r="BM120" s="228">
        <v>162</v>
      </c>
      <c r="BN120" s="228">
        <v>232</v>
      </c>
      <c r="BO120" s="228">
        <v>-71</v>
      </c>
      <c r="BP120" s="229">
        <v>-0.30430000000000001</v>
      </c>
      <c r="BQ120" s="230">
        <v>1453</v>
      </c>
      <c r="BR120" s="230">
        <v>1016</v>
      </c>
      <c r="BS120" s="228">
        <v>437</v>
      </c>
      <c r="BT120" s="229">
        <v>0.42970000000000003</v>
      </c>
      <c r="BU120" s="230">
        <v>740141</v>
      </c>
      <c r="BV120" s="230">
        <v>871118</v>
      </c>
      <c r="BW120" s="230">
        <v>-130977</v>
      </c>
      <c r="BX120" s="229">
        <v>-0.15040000000000001</v>
      </c>
      <c r="BY120" s="230">
        <v>1251</v>
      </c>
      <c r="BZ120" s="230">
        <v>1259</v>
      </c>
      <c r="CA120" s="228">
        <v>-8</v>
      </c>
      <c r="CB120" s="229">
        <v>-6.1000000000000004E-3</v>
      </c>
      <c r="CC120" s="228">
        <v>841</v>
      </c>
      <c r="CD120" s="230">
        <v>1196</v>
      </c>
      <c r="CE120" s="228">
        <v>-355</v>
      </c>
      <c r="CF120" s="229">
        <v>-0.29699999999999999</v>
      </c>
      <c r="CG120" s="228">
        <v>405</v>
      </c>
      <c r="CH120" s="228">
        <v>58</v>
      </c>
      <c r="CI120" s="228">
        <v>347</v>
      </c>
      <c r="CJ120" s="229">
        <v>5.9387999999999996</v>
      </c>
      <c r="CK120" s="228">
        <v>5</v>
      </c>
      <c r="CL120" s="228">
        <v>5</v>
      </c>
      <c r="CM120" s="228">
        <v>1</v>
      </c>
      <c r="CN120" s="229">
        <v>0.1512</v>
      </c>
      <c r="CO120" s="228">
        <v>350</v>
      </c>
      <c r="CP120" s="228">
        <v>326</v>
      </c>
      <c r="CQ120" s="228">
        <v>24</v>
      </c>
      <c r="CR120" s="229">
        <v>7.2800000000000004E-2</v>
      </c>
      <c r="CS120" s="228">
        <v>230</v>
      </c>
      <c r="CT120" s="228">
        <v>217</v>
      </c>
      <c r="CU120" s="228">
        <v>13</v>
      </c>
      <c r="CV120" s="229">
        <v>5.9799999999999999E-2</v>
      </c>
      <c r="CW120" s="230">
        <v>1831</v>
      </c>
      <c r="CX120" s="230">
        <v>1802</v>
      </c>
      <c r="CY120" s="228">
        <v>29</v>
      </c>
      <c r="CZ120" s="229">
        <v>1.61E-2</v>
      </c>
      <c r="DA120" s="228">
        <v>28.59</v>
      </c>
      <c r="DB120" s="228">
        <v>28.81</v>
      </c>
      <c r="DC120" s="228">
        <v>-0.22</v>
      </c>
      <c r="DD120" s="228">
        <v>-0.22</v>
      </c>
      <c r="DE120" s="228">
        <v>45.51</v>
      </c>
      <c r="DF120" s="228">
        <v>45.62</v>
      </c>
      <c r="DG120" s="228">
        <v>-16.920000000000002</v>
      </c>
      <c r="DH120" s="228">
        <v>-0.11</v>
      </c>
      <c r="DI120" s="228">
        <v>27.97</v>
      </c>
      <c r="DJ120" s="228">
        <v>28.66</v>
      </c>
      <c r="DK120" s="228">
        <v>-0.69</v>
      </c>
      <c r="DL120" s="228">
        <v>-0.69</v>
      </c>
      <c r="DM120" s="228">
        <v>29.55</v>
      </c>
      <c r="DN120" s="228">
        <v>29.2</v>
      </c>
      <c r="DO120" s="228">
        <v>0.35</v>
      </c>
      <c r="DP120" s="228">
        <v>0.35</v>
      </c>
      <c r="DQ120" s="228">
        <v>0.66</v>
      </c>
      <c r="DR120" s="228">
        <v>0.67</v>
      </c>
      <c r="DS120" s="228">
        <v>-0.01</v>
      </c>
      <c r="DT120" s="229">
        <v>-1.49E-2</v>
      </c>
      <c r="DU120" s="231">
        <v>1240</v>
      </c>
      <c r="DV120" s="231">
        <v>1200</v>
      </c>
      <c r="DW120" s="228">
        <v>0.36</v>
      </c>
      <c r="DX120" s="228">
        <v>0.38</v>
      </c>
      <c r="DY120" s="228">
        <v>-0.02</v>
      </c>
      <c r="DZ120" s="229">
        <v>-5.2600000000000001E-2</v>
      </c>
      <c r="EA120" s="229">
        <v>0.3281</v>
      </c>
      <c r="EB120" s="230">
        <v>523800</v>
      </c>
      <c r="EC120" s="229">
        <v>7.3000000000000001E-3</v>
      </c>
      <c r="ED120" s="229">
        <v>0.3281</v>
      </c>
      <c r="EE120" s="228">
        <v>7.9</v>
      </c>
      <c r="EF120" s="229">
        <v>6.6E-3</v>
      </c>
      <c r="EG120" s="230">
        <v>447203</v>
      </c>
      <c r="EH120" s="230">
        <v>479472</v>
      </c>
      <c r="EI120" s="229">
        <v>-6.7299999999999999E-2</v>
      </c>
      <c r="EJ120" s="229">
        <v>0.60419999999999996</v>
      </c>
      <c r="EK120" s="228">
        <v>466.27</v>
      </c>
      <c r="EL120" s="228">
        <v>159.87</v>
      </c>
      <c r="EM120" s="228">
        <v>835.65</v>
      </c>
      <c r="EN120" s="228">
        <v>25.03</v>
      </c>
      <c r="EO120" s="231">
        <v>1461.79</v>
      </c>
      <c r="EP120" s="231">
        <v>1033.03</v>
      </c>
      <c r="EQ120" s="228">
        <v>428.76</v>
      </c>
      <c r="ER120" s="229">
        <v>0.41510000000000002</v>
      </c>
      <c r="ES120" s="228">
        <v>361.51</v>
      </c>
      <c r="ET120" s="228">
        <v>224.21</v>
      </c>
      <c r="EU120" s="231">
        <v>1253.97</v>
      </c>
      <c r="EV120" s="231">
        <v>42060143</v>
      </c>
      <c r="EW120" s="231">
        <v>1839.69</v>
      </c>
      <c r="EX120" s="231">
        <v>1807.21</v>
      </c>
      <c r="EY120" s="228">
        <v>32.479999999999997</v>
      </c>
      <c r="EZ120" s="229">
        <v>1.7999999999999999E-2</v>
      </c>
      <c r="FA120" s="229">
        <v>0.36170000000000002</v>
      </c>
      <c r="FB120" s="227" t="s">
        <v>556</v>
      </c>
      <c r="FC120">
        <f t="shared" si="1"/>
        <v>410</v>
      </c>
    </row>
    <row r="121" spans="1:159" ht="17.25" thickBot="1" x14ac:dyDescent="0.3">
      <c r="A121" s="226">
        <v>45981</v>
      </c>
      <c r="B121" s="227" t="s">
        <v>184</v>
      </c>
      <c r="C121" s="227" t="s">
        <v>249</v>
      </c>
      <c r="D121" s="228">
        <v>175</v>
      </c>
      <c r="E121" s="228">
        <v>5</v>
      </c>
      <c r="F121" s="231">
        <v>4040</v>
      </c>
      <c r="G121" s="231">
        <v>4017.5</v>
      </c>
      <c r="H121" s="228">
        <v>22.5</v>
      </c>
      <c r="I121" s="229">
        <v>5.5999999999999999E-3</v>
      </c>
      <c r="J121" s="231">
        <v>4037.4</v>
      </c>
      <c r="K121" s="231">
        <v>4019.6</v>
      </c>
      <c r="L121" s="228">
        <v>17.8</v>
      </c>
      <c r="M121" s="229">
        <v>4.4000000000000003E-3</v>
      </c>
      <c r="N121" s="231">
        <v>4040</v>
      </c>
      <c r="O121" s="231">
        <v>4017.5</v>
      </c>
      <c r="P121" s="228">
        <v>22.5</v>
      </c>
      <c r="Q121" s="229">
        <v>5.5999999999999999E-3</v>
      </c>
      <c r="R121" s="231">
        <v>4068.3</v>
      </c>
      <c r="S121" s="231">
        <v>4045.3</v>
      </c>
      <c r="T121" s="228">
        <v>23</v>
      </c>
      <c r="U121" s="229">
        <v>5.7000000000000002E-3</v>
      </c>
      <c r="V121" s="231">
        <v>4092.3</v>
      </c>
      <c r="W121" s="231">
        <v>4069.6</v>
      </c>
      <c r="X121" s="228">
        <v>22.7</v>
      </c>
      <c r="Y121" s="229">
        <v>5.5999999999999999E-3</v>
      </c>
      <c r="Z121" s="228">
        <v>2.6</v>
      </c>
      <c r="AA121" s="228">
        <v>-2.1</v>
      </c>
      <c r="AB121" s="228">
        <v>4.7</v>
      </c>
      <c r="AC121" s="229">
        <v>5.9999999999999995E-4</v>
      </c>
      <c r="AD121" s="228">
        <v>2.6</v>
      </c>
      <c r="AE121" s="228">
        <v>-2.1</v>
      </c>
      <c r="AF121" s="228">
        <v>4.7</v>
      </c>
      <c r="AG121" s="229">
        <v>5.9999999999999995E-4</v>
      </c>
      <c r="AH121" s="228">
        <v>30.9</v>
      </c>
      <c r="AI121" s="228">
        <v>25.7</v>
      </c>
      <c r="AJ121" s="228">
        <v>5.2</v>
      </c>
      <c r="AK121" s="229">
        <v>7.7000000000000002E-3</v>
      </c>
      <c r="AL121" s="228">
        <v>54.9</v>
      </c>
      <c r="AM121" s="228">
        <v>50</v>
      </c>
      <c r="AN121" s="228">
        <v>4.9000000000000004</v>
      </c>
      <c r="AO121" s="229">
        <v>1.3599999999999999E-2</v>
      </c>
      <c r="AP121" s="231">
        <v>4031.28</v>
      </c>
      <c r="AQ121" s="231">
        <v>4058.93</v>
      </c>
      <c r="AR121" s="228">
        <v>0</v>
      </c>
      <c r="AS121" s="230">
        <v>3337</v>
      </c>
      <c r="AT121" s="228">
        <v>654</v>
      </c>
      <c r="AU121" s="230">
        <v>2683</v>
      </c>
      <c r="AV121" s="229">
        <v>4.1006</v>
      </c>
      <c r="AW121" s="230">
        <v>1736</v>
      </c>
      <c r="AX121" s="228">
        <v>436</v>
      </c>
      <c r="AY121" s="230">
        <v>1300</v>
      </c>
      <c r="AZ121" s="229">
        <v>2.9849000000000001</v>
      </c>
      <c r="BA121" s="230">
        <v>1594</v>
      </c>
      <c r="BB121" s="228">
        <v>214</v>
      </c>
      <c r="BC121" s="230">
        <v>1380</v>
      </c>
      <c r="BD121" s="229">
        <v>6.4398</v>
      </c>
      <c r="BE121" s="228">
        <v>7</v>
      </c>
      <c r="BF121" s="228">
        <v>4</v>
      </c>
      <c r="BG121" s="228">
        <v>3</v>
      </c>
      <c r="BH121" s="229">
        <v>0.629</v>
      </c>
      <c r="BI121" s="230">
        <v>4634</v>
      </c>
      <c r="BJ121" s="230">
        <v>3150</v>
      </c>
      <c r="BK121" s="230">
        <v>1484</v>
      </c>
      <c r="BL121" s="229">
        <v>0.47120000000000001</v>
      </c>
      <c r="BM121" s="230">
        <v>2119</v>
      </c>
      <c r="BN121" s="230">
        <v>1563</v>
      </c>
      <c r="BO121" s="228">
        <v>556</v>
      </c>
      <c r="BP121" s="229">
        <v>0.35570000000000002</v>
      </c>
      <c r="BQ121" s="230">
        <v>10090</v>
      </c>
      <c r="BR121" s="230">
        <v>5367</v>
      </c>
      <c r="BS121" s="230">
        <v>4723</v>
      </c>
      <c r="BT121" s="229">
        <v>0.88</v>
      </c>
      <c r="BU121" s="230">
        <v>1768251</v>
      </c>
      <c r="BV121" s="230">
        <v>972193</v>
      </c>
      <c r="BW121" s="230">
        <v>796058</v>
      </c>
      <c r="BX121" s="229">
        <v>0.81879999999999997</v>
      </c>
      <c r="BY121" s="230">
        <v>5371</v>
      </c>
      <c r="BZ121" s="230">
        <v>5316</v>
      </c>
      <c r="CA121" s="228">
        <v>56</v>
      </c>
      <c r="CB121" s="229">
        <v>1.0500000000000001E-2</v>
      </c>
      <c r="CC121" s="230">
        <v>3124</v>
      </c>
      <c r="CD121" s="230">
        <v>4392</v>
      </c>
      <c r="CE121" s="230">
        <v>-1268</v>
      </c>
      <c r="CF121" s="229">
        <v>-0.28870000000000001</v>
      </c>
      <c r="CG121" s="230">
        <v>2214</v>
      </c>
      <c r="CH121" s="228">
        <v>892</v>
      </c>
      <c r="CI121" s="230">
        <v>1322</v>
      </c>
      <c r="CJ121" s="229">
        <v>1.4809000000000001</v>
      </c>
      <c r="CK121" s="228">
        <v>34</v>
      </c>
      <c r="CL121" s="228">
        <v>32</v>
      </c>
      <c r="CM121" s="228">
        <v>2</v>
      </c>
      <c r="CN121" s="229">
        <v>6.2799999999999995E-2</v>
      </c>
      <c r="CO121" s="230">
        <v>2636</v>
      </c>
      <c r="CP121" s="230">
        <v>2839</v>
      </c>
      <c r="CQ121" s="228">
        <v>-203</v>
      </c>
      <c r="CR121" s="229">
        <v>-7.1499999999999994E-2</v>
      </c>
      <c r="CS121" s="230">
        <v>1551</v>
      </c>
      <c r="CT121" s="230">
        <v>1465</v>
      </c>
      <c r="CU121" s="228">
        <v>86</v>
      </c>
      <c r="CV121" s="229">
        <v>5.8599999999999999E-2</v>
      </c>
      <c r="CW121" s="230">
        <v>9559</v>
      </c>
      <c r="CX121" s="230">
        <v>9620</v>
      </c>
      <c r="CY121" s="228">
        <v>-62</v>
      </c>
      <c r="CZ121" s="229">
        <v>-6.4000000000000003E-3</v>
      </c>
      <c r="DA121" s="228">
        <v>16.760000000000002</v>
      </c>
      <c r="DB121" s="228">
        <v>15.93</v>
      </c>
      <c r="DC121" s="228">
        <v>0.83</v>
      </c>
      <c r="DD121" s="228">
        <v>0.83</v>
      </c>
      <c r="DE121" s="228">
        <v>26.92</v>
      </c>
      <c r="DF121" s="228">
        <v>26.98</v>
      </c>
      <c r="DG121" s="228">
        <v>-10.16</v>
      </c>
      <c r="DH121" s="228">
        <v>-0.06</v>
      </c>
      <c r="DI121" s="228">
        <v>16.57</v>
      </c>
      <c r="DJ121" s="228">
        <v>15.64</v>
      </c>
      <c r="DK121" s="228">
        <v>0.93</v>
      </c>
      <c r="DL121" s="228">
        <v>0.93</v>
      </c>
      <c r="DM121" s="228">
        <v>17.09</v>
      </c>
      <c r="DN121" s="228">
        <v>16.53</v>
      </c>
      <c r="DO121" s="228">
        <v>0.56000000000000005</v>
      </c>
      <c r="DP121" s="228">
        <v>0.56000000000000005</v>
      </c>
      <c r="DQ121" s="228">
        <v>0.59</v>
      </c>
      <c r="DR121" s="228">
        <v>0.52</v>
      </c>
      <c r="DS121" s="228">
        <v>7.0000000000000007E-2</v>
      </c>
      <c r="DT121" s="229">
        <v>0.1346</v>
      </c>
      <c r="DU121" s="231">
        <v>4100</v>
      </c>
      <c r="DV121" s="231">
        <v>4000</v>
      </c>
      <c r="DW121" s="228">
        <v>0.46</v>
      </c>
      <c r="DX121" s="228">
        <v>0.5</v>
      </c>
      <c r="DY121" s="228">
        <v>-0.04</v>
      </c>
      <c r="DZ121" s="229">
        <v>-0.08</v>
      </c>
      <c r="EA121" s="229">
        <v>0.41839999999999999</v>
      </c>
      <c r="EB121" s="230">
        <v>2286900</v>
      </c>
      <c r="EC121" s="229">
        <v>7.0000000000000001E-3</v>
      </c>
      <c r="ED121" s="229">
        <v>0.41839999999999999</v>
      </c>
      <c r="EE121" s="228">
        <v>27.65</v>
      </c>
      <c r="EF121" s="229">
        <v>6.8999999999999999E-3</v>
      </c>
      <c r="EG121" s="230">
        <v>697996</v>
      </c>
      <c r="EH121" s="230">
        <v>560006</v>
      </c>
      <c r="EI121" s="229">
        <v>0.24640000000000001</v>
      </c>
      <c r="EJ121" s="229">
        <v>0.3947</v>
      </c>
      <c r="EK121" s="231">
        <v>4704.29</v>
      </c>
      <c r="EL121" s="231">
        <v>2093.27</v>
      </c>
      <c r="EM121" s="231">
        <v>3341.27</v>
      </c>
      <c r="EN121" s="228">
        <v>111.73</v>
      </c>
      <c r="EO121" s="231">
        <v>10138.83</v>
      </c>
      <c r="EP121" s="231">
        <v>5373.09</v>
      </c>
      <c r="EQ121" s="231">
        <v>4765.75</v>
      </c>
      <c r="ER121" s="229">
        <v>0.88700000000000001</v>
      </c>
      <c r="ES121" s="231">
        <v>2679.3</v>
      </c>
      <c r="ET121" s="231">
        <v>1482.7</v>
      </c>
      <c r="EU121" s="231">
        <v>5387.3</v>
      </c>
      <c r="EV121" s="231">
        <v>136007303</v>
      </c>
      <c r="EW121" s="231">
        <v>9549.31</v>
      </c>
      <c r="EX121" s="231">
        <v>9571.6</v>
      </c>
      <c r="EY121" s="228">
        <v>-22.29</v>
      </c>
      <c r="EZ121" s="229">
        <v>-2.3E-3</v>
      </c>
      <c r="FA121" s="229">
        <v>0.17399999999999999</v>
      </c>
      <c r="FB121" s="227" t="s">
        <v>555</v>
      </c>
      <c r="FC121">
        <f t="shared" si="1"/>
        <v>2247</v>
      </c>
    </row>
    <row r="122" spans="1:159" ht="17.25" thickBot="1" x14ac:dyDescent="0.3">
      <c r="A122" s="226">
        <v>45981</v>
      </c>
      <c r="B122" s="227" t="s">
        <v>175</v>
      </c>
      <c r="C122" s="227" t="s">
        <v>565</v>
      </c>
      <c r="D122" s="228">
        <v>4462</v>
      </c>
      <c r="E122" s="228">
        <v>5</v>
      </c>
      <c r="F122" s="228">
        <v>292.89999999999998</v>
      </c>
      <c r="G122" s="228">
        <v>297.85000000000002</v>
      </c>
      <c r="H122" s="228">
        <v>-4.95</v>
      </c>
      <c r="I122" s="229">
        <v>-1.66E-2</v>
      </c>
      <c r="J122" s="228">
        <v>292.3</v>
      </c>
      <c r="K122" s="228">
        <v>297.64999999999998</v>
      </c>
      <c r="L122" s="228">
        <v>-5.35</v>
      </c>
      <c r="M122" s="229">
        <v>-1.7999999999999999E-2</v>
      </c>
      <c r="N122" s="228">
        <v>292.89999999999998</v>
      </c>
      <c r="O122" s="228">
        <v>297.85000000000002</v>
      </c>
      <c r="P122" s="228">
        <v>-4.95</v>
      </c>
      <c r="Q122" s="229">
        <v>-1.66E-2</v>
      </c>
      <c r="R122" s="228">
        <v>294.7</v>
      </c>
      <c r="S122" s="228">
        <v>299.3</v>
      </c>
      <c r="T122" s="228">
        <v>-4.5999999999999996</v>
      </c>
      <c r="U122" s="229">
        <v>-1.54E-2</v>
      </c>
      <c r="V122" s="228">
        <v>296.5</v>
      </c>
      <c r="W122" s="228">
        <v>301</v>
      </c>
      <c r="X122" s="228">
        <v>-4.5</v>
      </c>
      <c r="Y122" s="229">
        <v>-1.4999999999999999E-2</v>
      </c>
      <c r="Z122" s="228">
        <v>0.6</v>
      </c>
      <c r="AA122" s="228">
        <v>0.2</v>
      </c>
      <c r="AB122" s="228">
        <v>0.4</v>
      </c>
      <c r="AC122" s="229">
        <v>2.0999999999999999E-3</v>
      </c>
      <c r="AD122" s="228">
        <v>0.6</v>
      </c>
      <c r="AE122" s="228">
        <v>0.2</v>
      </c>
      <c r="AF122" s="228">
        <v>0.4</v>
      </c>
      <c r="AG122" s="229">
        <v>2.0999999999999999E-3</v>
      </c>
      <c r="AH122" s="228">
        <v>2.4</v>
      </c>
      <c r="AI122" s="228">
        <v>1.65</v>
      </c>
      <c r="AJ122" s="228">
        <v>0.75</v>
      </c>
      <c r="AK122" s="229">
        <v>8.2000000000000007E-3</v>
      </c>
      <c r="AL122" s="228">
        <v>4.2</v>
      </c>
      <c r="AM122" s="228">
        <v>3.35</v>
      </c>
      <c r="AN122" s="228">
        <v>0.85</v>
      </c>
      <c r="AO122" s="229">
        <v>1.44E-2</v>
      </c>
      <c r="AP122" s="228">
        <v>294.55</v>
      </c>
      <c r="AQ122" s="228">
        <v>296.24</v>
      </c>
      <c r="AR122" s="228">
        <v>0</v>
      </c>
      <c r="AS122" s="228">
        <v>912</v>
      </c>
      <c r="AT122" s="228">
        <v>304</v>
      </c>
      <c r="AU122" s="228">
        <v>608</v>
      </c>
      <c r="AV122" s="229">
        <v>1.9961</v>
      </c>
      <c r="AW122" s="228">
        <v>497</v>
      </c>
      <c r="AX122" s="228">
        <v>221</v>
      </c>
      <c r="AY122" s="228">
        <v>277</v>
      </c>
      <c r="AZ122" s="229">
        <v>1.2534000000000001</v>
      </c>
      <c r="BA122" s="228">
        <v>407</v>
      </c>
      <c r="BB122" s="228">
        <v>81</v>
      </c>
      <c r="BC122" s="228">
        <v>326</v>
      </c>
      <c r="BD122" s="229">
        <v>4.0209999999999999</v>
      </c>
      <c r="BE122" s="228">
        <v>8</v>
      </c>
      <c r="BF122" s="228">
        <v>3</v>
      </c>
      <c r="BG122" s="228">
        <v>5</v>
      </c>
      <c r="BH122" s="229">
        <v>1.95</v>
      </c>
      <c r="BI122" s="230">
        <v>1552</v>
      </c>
      <c r="BJ122" s="230">
        <v>1612</v>
      </c>
      <c r="BK122" s="228">
        <v>-60</v>
      </c>
      <c r="BL122" s="229">
        <v>-3.73E-2</v>
      </c>
      <c r="BM122" s="228">
        <v>691</v>
      </c>
      <c r="BN122" s="228">
        <v>863</v>
      </c>
      <c r="BO122" s="228">
        <v>-171</v>
      </c>
      <c r="BP122" s="229">
        <v>-0.19850000000000001</v>
      </c>
      <c r="BQ122" s="230">
        <v>3156</v>
      </c>
      <c r="BR122" s="230">
        <v>2779</v>
      </c>
      <c r="BS122" s="228">
        <v>376</v>
      </c>
      <c r="BT122" s="229">
        <v>0.13539999999999999</v>
      </c>
      <c r="BU122" s="230">
        <v>4009166</v>
      </c>
      <c r="BV122" s="230">
        <v>4015553</v>
      </c>
      <c r="BW122" s="230">
        <v>-6387</v>
      </c>
      <c r="BX122" s="229">
        <v>-1.6000000000000001E-3</v>
      </c>
      <c r="BY122" s="230">
        <v>1644</v>
      </c>
      <c r="BZ122" s="230">
        <v>1580</v>
      </c>
      <c r="CA122" s="228">
        <v>63</v>
      </c>
      <c r="CB122" s="229">
        <v>4.0099999999999997E-2</v>
      </c>
      <c r="CC122" s="230">
        <v>1250</v>
      </c>
      <c r="CD122" s="230">
        <v>1431</v>
      </c>
      <c r="CE122" s="228">
        <v>-182</v>
      </c>
      <c r="CF122" s="229">
        <v>-0.127</v>
      </c>
      <c r="CG122" s="228">
        <v>383</v>
      </c>
      <c r="CH122" s="228">
        <v>140</v>
      </c>
      <c r="CI122" s="228">
        <v>243</v>
      </c>
      <c r="CJ122" s="229">
        <v>1.7374000000000001</v>
      </c>
      <c r="CK122" s="228">
        <v>11</v>
      </c>
      <c r="CL122" s="228">
        <v>9</v>
      </c>
      <c r="CM122" s="228">
        <v>2</v>
      </c>
      <c r="CN122" s="229">
        <v>0.2409</v>
      </c>
      <c r="CO122" s="230">
        <v>1162</v>
      </c>
      <c r="CP122" s="230">
        <v>1197</v>
      </c>
      <c r="CQ122" s="228">
        <v>-35</v>
      </c>
      <c r="CR122" s="229">
        <v>-2.8899999999999999E-2</v>
      </c>
      <c r="CS122" s="228">
        <v>976</v>
      </c>
      <c r="CT122" s="228">
        <v>998</v>
      </c>
      <c r="CU122" s="228">
        <v>-22</v>
      </c>
      <c r="CV122" s="229">
        <v>-2.18E-2</v>
      </c>
      <c r="CW122" s="230">
        <v>3781</v>
      </c>
      <c r="CX122" s="230">
        <v>3774</v>
      </c>
      <c r="CY122" s="228">
        <v>7</v>
      </c>
      <c r="CZ122" s="229">
        <v>1.9E-3</v>
      </c>
      <c r="DA122" s="228">
        <v>25.89</v>
      </c>
      <c r="DB122" s="228">
        <v>28.99</v>
      </c>
      <c r="DC122" s="228">
        <v>-3.1</v>
      </c>
      <c r="DD122" s="228">
        <v>-3.1</v>
      </c>
      <c r="DE122" s="228">
        <v>39.5</v>
      </c>
      <c r="DF122" s="228">
        <v>39.54</v>
      </c>
      <c r="DG122" s="228">
        <v>-13.61</v>
      </c>
      <c r="DH122" s="228">
        <v>-0.04</v>
      </c>
      <c r="DI122" s="228">
        <v>26.06</v>
      </c>
      <c r="DJ122" s="228">
        <v>28.39</v>
      </c>
      <c r="DK122" s="228">
        <v>-2.33</v>
      </c>
      <c r="DL122" s="228">
        <v>-2.33</v>
      </c>
      <c r="DM122" s="228">
        <v>25.6</v>
      </c>
      <c r="DN122" s="228">
        <v>30.13</v>
      </c>
      <c r="DO122" s="228">
        <v>-4.53</v>
      </c>
      <c r="DP122" s="228">
        <v>-4.53</v>
      </c>
      <c r="DQ122" s="228">
        <v>0.84</v>
      </c>
      <c r="DR122" s="228">
        <v>0.83</v>
      </c>
      <c r="DS122" s="228">
        <v>0.01</v>
      </c>
      <c r="DT122" s="229">
        <v>1.2E-2</v>
      </c>
      <c r="DU122" s="228">
        <v>300</v>
      </c>
      <c r="DV122" s="228">
        <v>295</v>
      </c>
      <c r="DW122" s="228">
        <v>0.45</v>
      </c>
      <c r="DX122" s="228">
        <v>0.54</v>
      </c>
      <c r="DY122" s="228">
        <v>-0.09</v>
      </c>
      <c r="DZ122" s="229">
        <v>-0.16669999999999999</v>
      </c>
      <c r="EA122" s="229">
        <v>0.2397</v>
      </c>
      <c r="EB122" s="230">
        <v>5082590</v>
      </c>
      <c r="EC122" s="229">
        <v>6.1000000000000004E-3</v>
      </c>
      <c r="ED122" s="229">
        <v>0.2397</v>
      </c>
      <c r="EE122" s="228">
        <v>1.69</v>
      </c>
      <c r="EF122" s="229">
        <v>5.7000000000000002E-3</v>
      </c>
      <c r="EG122" s="230">
        <v>2019992</v>
      </c>
      <c r="EH122" s="230">
        <v>1853463</v>
      </c>
      <c r="EI122" s="229">
        <v>8.9800000000000005E-2</v>
      </c>
      <c r="EJ122" s="229">
        <v>0.50380000000000003</v>
      </c>
      <c r="EK122" s="231">
        <v>1620.2</v>
      </c>
      <c r="EL122" s="228">
        <v>687.77</v>
      </c>
      <c r="EM122" s="228">
        <v>915.66</v>
      </c>
      <c r="EN122" s="228">
        <v>27.87</v>
      </c>
      <c r="EO122" s="231">
        <v>3223.63</v>
      </c>
      <c r="EP122" s="231">
        <v>2863.6</v>
      </c>
      <c r="EQ122" s="228">
        <v>360.03</v>
      </c>
      <c r="ER122" s="229">
        <v>0.12570000000000001</v>
      </c>
      <c r="ES122" s="231">
        <v>1196.98</v>
      </c>
      <c r="ET122" s="228">
        <v>927.14</v>
      </c>
      <c r="EU122" s="231">
        <v>1646.17</v>
      </c>
      <c r="EV122" s="231">
        <v>126777205</v>
      </c>
      <c r="EW122" s="231">
        <v>3770.29</v>
      </c>
      <c r="EX122" s="231">
        <v>3793.24</v>
      </c>
      <c r="EY122" s="228">
        <v>-22.95</v>
      </c>
      <c r="EZ122" s="229">
        <v>-6.1000000000000004E-3</v>
      </c>
      <c r="FA122" s="229">
        <v>1.0183</v>
      </c>
      <c r="FB122" s="227" t="s">
        <v>567</v>
      </c>
      <c r="FC122">
        <f t="shared" si="1"/>
        <v>394</v>
      </c>
    </row>
    <row r="123" spans="1:159" ht="17.25" thickBot="1" x14ac:dyDescent="0.3">
      <c r="A123" s="226">
        <v>45981</v>
      </c>
      <c r="B123" s="227" t="s">
        <v>221</v>
      </c>
      <c r="C123" s="227" t="s">
        <v>561</v>
      </c>
      <c r="D123" s="228">
        <v>150</v>
      </c>
      <c r="E123" s="228">
        <v>5</v>
      </c>
      <c r="F123" s="231">
        <v>6036</v>
      </c>
      <c r="G123" s="231">
        <v>5983.5</v>
      </c>
      <c r="H123" s="228">
        <v>52.5</v>
      </c>
      <c r="I123" s="229">
        <v>8.8000000000000005E-3</v>
      </c>
      <c r="J123" s="231">
        <v>6027</v>
      </c>
      <c r="K123" s="231">
        <v>5972</v>
      </c>
      <c r="L123" s="228">
        <v>55</v>
      </c>
      <c r="M123" s="229">
        <v>9.1999999999999998E-3</v>
      </c>
      <c r="N123" s="231">
        <v>6036</v>
      </c>
      <c r="O123" s="231">
        <v>5983.5</v>
      </c>
      <c r="P123" s="228">
        <v>52.5</v>
      </c>
      <c r="Q123" s="229">
        <v>8.8000000000000005E-3</v>
      </c>
      <c r="R123" s="231">
        <v>6060.5</v>
      </c>
      <c r="S123" s="231">
        <v>6006.5</v>
      </c>
      <c r="T123" s="228">
        <v>54</v>
      </c>
      <c r="U123" s="229">
        <v>8.9999999999999993E-3</v>
      </c>
      <c r="V123" s="231">
        <v>6080</v>
      </c>
      <c r="W123" s="231">
        <v>6020</v>
      </c>
      <c r="X123" s="228">
        <v>60</v>
      </c>
      <c r="Y123" s="229">
        <v>0.01</v>
      </c>
      <c r="Z123" s="228">
        <v>9</v>
      </c>
      <c r="AA123" s="228">
        <v>11.5</v>
      </c>
      <c r="AB123" s="228">
        <v>-2.5</v>
      </c>
      <c r="AC123" s="229">
        <v>1.5E-3</v>
      </c>
      <c r="AD123" s="228">
        <v>9</v>
      </c>
      <c r="AE123" s="228">
        <v>11.5</v>
      </c>
      <c r="AF123" s="228">
        <v>-2.5</v>
      </c>
      <c r="AG123" s="229">
        <v>1.5E-3</v>
      </c>
      <c r="AH123" s="228">
        <v>33.5</v>
      </c>
      <c r="AI123" s="228">
        <v>34.5</v>
      </c>
      <c r="AJ123" s="228">
        <v>-1</v>
      </c>
      <c r="AK123" s="229">
        <v>5.5999999999999999E-3</v>
      </c>
      <c r="AL123" s="228">
        <v>53</v>
      </c>
      <c r="AM123" s="228">
        <v>48</v>
      </c>
      <c r="AN123" s="228">
        <v>5</v>
      </c>
      <c r="AO123" s="229">
        <v>8.8000000000000005E-3</v>
      </c>
      <c r="AP123" s="231">
        <v>6047.44</v>
      </c>
      <c r="AQ123" s="231">
        <v>6066.12</v>
      </c>
      <c r="AR123" s="228">
        <v>0</v>
      </c>
      <c r="AS123" s="230">
        <v>1651</v>
      </c>
      <c r="AT123" s="228">
        <v>895</v>
      </c>
      <c r="AU123" s="228">
        <v>755</v>
      </c>
      <c r="AV123" s="229">
        <v>0.84389999999999998</v>
      </c>
      <c r="AW123" s="228">
        <v>878</v>
      </c>
      <c r="AX123" s="228">
        <v>591</v>
      </c>
      <c r="AY123" s="228">
        <v>287</v>
      </c>
      <c r="AZ123" s="229">
        <v>0.48530000000000001</v>
      </c>
      <c r="BA123" s="228">
        <v>771</v>
      </c>
      <c r="BB123" s="228">
        <v>300</v>
      </c>
      <c r="BC123" s="228">
        <v>471</v>
      </c>
      <c r="BD123" s="229">
        <v>1.5707</v>
      </c>
      <c r="BE123" s="228">
        <v>2</v>
      </c>
      <c r="BF123" s="228">
        <v>5</v>
      </c>
      <c r="BG123" s="228">
        <v>-2</v>
      </c>
      <c r="BH123" s="229">
        <v>-0.5</v>
      </c>
      <c r="BI123" s="230">
        <v>2991</v>
      </c>
      <c r="BJ123" s="230">
        <v>7999</v>
      </c>
      <c r="BK123" s="230">
        <v>-5008</v>
      </c>
      <c r="BL123" s="229">
        <v>-0.62609999999999999</v>
      </c>
      <c r="BM123" s="230">
        <v>1363</v>
      </c>
      <c r="BN123" s="230">
        <v>2204</v>
      </c>
      <c r="BO123" s="228">
        <v>-842</v>
      </c>
      <c r="BP123" s="229">
        <v>-0.38179999999999997</v>
      </c>
      <c r="BQ123" s="230">
        <v>6004</v>
      </c>
      <c r="BR123" s="230">
        <v>11098</v>
      </c>
      <c r="BS123" s="230">
        <v>-5095</v>
      </c>
      <c r="BT123" s="229">
        <v>-0.45900000000000002</v>
      </c>
      <c r="BU123" s="230">
        <v>418357</v>
      </c>
      <c r="BV123" s="230">
        <v>911185</v>
      </c>
      <c r="BW123" s="230">
        <v>-492828</v>
      </c>
      <c r="BX123" s="229">
        <v>-0.54090000000000005</v>
      </c>
      <c r="BY123" s="230">
        <v>1380</v>
      </c>
      <c r="BZ123" s="230">
        <v>1341</v>
      </c>
      <c r="CA123" s="228">
        <v>39</v>
      </c>
      <c r="CB123" s="229">
        <v>2.93E-2</v>
      </c>
      <c r="CC123" s="228">
        <v>634</v>
      </c>
      <c r="CD123" s="230">
        <v>1163</v>
      </c>
      <c r="CE123" s="228">
        <v>-529</v>
      </c>
      <c r="CF123" s="229">
        <v>-0.45490000000000003</v>
      </c>
      <c r="CG123" s="228">
        <v>742</v>
      </c>
      <c r="CH123" s="228">
        <v>174</v>
      </c>
      <c r="CI123" s="228">
        <v>567</v>
      </c>
      <c r="CJ123" s="229">
        <v>3.2505999999999999</v>
      </c>
      <c r="CK123" s="228">
        <v>5</v>
      </c>
      <c r="CL123" s="228">
        <v>4</v>
      </c>
      <c r="CM123" s="228">
        <v>1</v>
      </c>
      <c r="CN123" s="229">
        <v>0.35</v>
      </c>
      <c r="CO123" s="228">
        <v>654</v>
      </c>
      <c r="CP123" s="228">
        <v>731</v>
      </c>
      <c r="CQ123" s="228">
        <v>-77</v>
      </c>
      <c r="CR123" s="229">
        <v>-0.1055</v>
      </c>
      <c r="CS123" s="228">
        <v>497</v>
      </c>
      <c r="CT123" s="228">
        <v>477</v>
      </c>
      <c r="CU123" s="228">
        <v>20</v>
      </c>
      <c r="CV123" s="229">
        <v>4.1500000000000002E-2</v>
      </c>
      <c r="CW123" s="230">
        <v>2531</v>
      </c>
      <c r="CX123" s="230">
        <v>2550</v>
      </c>
      <c r="CY123" s="228">
        <v>-18</v>
      </c>
      <c r="CZ123" s="229">
        <v>-7.1000000000000004E-3</v>
      </c>
      <c r="DA123" s="228">
        <v>23.89</v>
      </c>
      <c r="DB123" s="228">
        <v>26.89</v>
      </c>
      <c r="DC123" s="228">
        <v>-3</v>
      </c>
      <c r="DD123" s="228">
        <v>-3</v>
      </c>
      <c r="DE123" s="228">
        <v>33.21</v>
      </c>
      <c r="DF123" s="228">
        <v>33.270000000000003</v>
      </c>
      <c r="DG123" s="228">
        <v>-9.32</v>
      </c>
      <c r="DH123" s="228">
        <v>-0.06</v>
      </c>
      <c r="DI123" s="228">
        <v>23.55</v>
      </c>
      <c r="DJ123" s="228">
        <v>26.74</v>
      </c>
      <c r="DK123" s="228">
        <v>-3.19</v>
      </c>
      <c r="DL123" s="228">
        <v>-3.19</v>
      </c>
      <c r="DM123" s="228">
        <v>24.59</v>
      </c>
      <c r="DN123" s="228">
        <v>27.47</v>
      </c>
      <c r="DO123" s="228">
        <v>-2.88</v>
      </c>
      <c r="DP123" s="228">
        <v>-2.88</v>
      </c>
      <c r="DQ123" s="228">
        <v>0.76</v>
      </c>
      <c r="DR123" s="228">
        <v>0.65</v>
      </c>
      <c r="DS123" s="228">
        <v>0.11</v>
      </c>
      <c r="DT123" s="229">
        <v>0.16919999999999999</v>
      </c>
      <c r="DU123" s="231">
        <v>6400</v>
      </c>
      <c r="DV123" s="231">
        <v>5800</v>
      </c>
      <c r="DW123" s="228">
        <v>0.46</v>
      </c>
      <c r="DX123" s="228">
        <v>0.28000000000000003</v>
      </c>
      <c r="DY123" s="228">
        <v>0.18</v>
      </c>
      <c r="DZ123" s="229">
        <v>0.64290000000000003</v>
      </c>
      <c r="EA123" s="229">
        <v>0.54079999999999995</v>
      </c>
      <c r="EB123" s="230">
        <v>295050</v>
      </c>
      <c r="EC123" s="229">
        <v>4.1000000000000003E-3</v>
      </c>
      <c r="ED123" s="229">
        <v>0.54079999999999995</v>
      </c>
      <c r="EE123" s="228">
        <v>18.68</v>
      </c>
      <c r="EF123" s="229">
        <v>3.0999999999999999E-3</v>
      </c>
      <c r="EG123" s="230">
        <v>183394</v>
      </c>
      <c r="EH123" s="230">
        <v>335354</v>
      </c>
      <c r="EI123" s="229">
        <v>-0.4531</v>
      </c>
      <c r="EJ123" s="229">
        <v>0.43840000000000001</v>
      </c>
      <c r="EK123" s="231">
        <v>3063.34</v>
      </c>
      <c r="EL123" s="231">
        <v>1341.82</v>
      </c>
      <c r="EM123" s="231">
        <v>1656.26</v>
      </c>
      <c r="EN123" s="228">
        <v>32.39</v>
      </c>
      <c r="EO123" s="231">
        <v>6061.43</v>
      </c>
      <c r="EP123" s="231">
        <v>11108.39</v>
      </c>
      <c r="EQ123" s="231">
        <v>-5046.96</v>
      </c>
      <c r="ER123" s="229">
        <v>-0.45429999999999998</v>
      </c>
      <c r="ES123" s="228">
        <v>660.45</v>
      </c>
      <c r="ET123" s="228">
        <v>465.84</v>
      </c>
      <c r="EU123" s="231">
        <v>1383.51</v>
      </c>
      <c r="EV123" s="231">
        <v>9315942</v>
      </c>
      <c r="EW123" s="231">
        <v>2509.79</v>
      </c>
      <c r="EX123" s="231">
        <v>2510.7199999999998</v>
      </c>
      <c r="EY123" s="228">
        <v>-0.93</v>
      </c>
      <c r="EZ123" s="229">
        <v>-4.0000000000000002E-4</v>
      </c>
      <c r="FA123" s="229">
        <v>0.45019999999999999</v>
      </c>
      <c r="FB123" s="227" t="s">
        <v>555</v>
      </c>
      <c r="FC123">
        <f t="shared" si="1"/>
        <v>746</v>
      </c>
    </row>
    <row r="124" spans="1:159" ht="17.25" thickBot="1" x14ac:dyDescent="0.3">
      <c r="A124" s="226">
        <v>45981</v>
      </c>
      <c r="B124" s="227" t="s">
        <v>170</v>
      </c>
      <c r="C124" s="227" t="s">
        <v>250</v>
      </c>
      <c r="D124" s="228">
        <v>425</v>
      </c>
      <c r="E124" s="228">
        <v>5</v>
      </c>
      <c r="F124" s="231">
        <v>2028.8</v>
      </c>
      <c r="G124" s="231">
        <v>2029.1</v>
      </c>
      <c r="H124" s="228">
        <v>-0.3</v>
      </c>
      <c r="I124" s="229">
        <v>-1E-4</v>
      </c>
      <c r="J124" s="231">
        <v>2030.8</v>
      </c>
      <c r="K124" s="231">
        <v>2025.4</v>
      </c>
      <c r="L124" s="228">
        <v>5.4</v>
      </c>
      <c r="M124" s="229">
        <v>2.7000000000000001E-3</v>
      </c>
      <c r="N124" s="231">
        <v>2028.8</v>
      </c>
      <c r="O124" s="231">
        <v>2029.1</v>
      </c>
      <c r="P124" s="228">
        <v>-0.3</v>
      </c>
      <c r="Q124" s="229">
        <v>-1E-4</v>
      </c>
      <c r="R124" s="231">
        <v>2042.4</v>
      </c>
      <c r="S124" s="231">
        <v>2042.7</v>
      </c>
      <c r="T124" s="228">
        <v>-0.3</v>
      </c>
      <c r="U124" s="229">
        <v>-1E-4</v>
      </c>
      <c r="V124" s="231">
        <v>2058.6</v>
      </c>
      <c r="W124" s="231">
        <v>2053</v>
      </c>
      <c r="X124" s="228">
        <v>5.6</v>
      </c>
      <c r="Y124" s="229">
        <v>2.7000000000000001E-3</v>
      </c>
      <c r="Z124" s="228">
        <v>-2</v>
      </c>
      <c r="AA124" s="228">
        <v>3.7</v>
      </c>
      <c r="AB124" s="228">
        <v>-5.7</v>
      </c>
      <c r="AC124" s="229">
        <v>-1E-3</v>
      </c>
      <c r="AD124" s="228">
        <v>-2</v>
      </c>
      <c r="AE124" s="228">
        <v>3.7</v>
      </c>
      <c r="AF124" s="228">
        <v>-5.7</v>
      </c>
      <c r="AG124" s="229">
        <v>-1E-3</v>
      </c>
      <c r="AH124" s="228">
        <v>11.6</v>
      </c>
      <c r="AI124" s="228">
        <v>17.3</v>
      </c>
      <c r="AJ124" s="228">
        <v>-5.7</v>
      </c>
      <c r="AK124" s="229">
        <v>5.7000000000000002E-3</v>
      </c>
      <c r="AL124" s="228">
        <v>27.8</v>
      </c>
      <c r="AM124" s="228">
        <v>27.6</v>
      </c>
      <c r="AN124" s="228">
        <v>0.2</v>
      </c>
      <c r="AO124" s="229">
        <v>1.37E-2</v>
      </c>
      <c r="AP124" s="231">
        <v>2033.31</v>
      </c>
      <c r="AQ124" s="231">
        <v>2047.07</v>
      </c>
      <c r="AR124" s="228">
        <v>0</v>
      </c>
      <c r="AS124" s="228">
        <v>921</v>
      </c>
      <c r="AT124" s="228">
        <v>315</v>
      </c>
      <c r="AU124" s="228">
        <v>606</v>
      </c>
      <c r="AV124" s="229">
        <v>1.9259999999999999</v>
      </c>
      <c r="AW124" s="228">
        <v>480</v>
      </c>
      <c r="AX124" s="228">
        <v>205</v>
      </c>
      <c r="AY124" s="228">
        <v>275</v>
      </c>
      <c r="AZ124" s="229">
        <v>1.3367</v>
      </c>
      <c r="BA124" s="228">
        <v>439</v>
      </c>
      <c r="BB124" s="228">
        <v>107</v>
      </c>
      <c r="BC124" s="228">
        <v>332</v>
      </c>
      <c r="BD124" s="229">
        <v>3.0939999999999999</v>
      </c>
      <c r="BE124" s="228">
        <v>2</v>
      </c>
      <c r="BF124" s="228">
        <v>2</v>
      </c>
      <c r="BG124" s="228">
        <v>0</v>
      </c>
      <c r="BH124" s="229">
        <v>-0.16669999999999999</v>
      </c>
      <c r="BI124" s="230">
        <v>1041</v>
      </c>
      <c r="BJ124" s="230">
        <v>1054</v>
      </c>
      <c r="BK124" s="228">
        <v>-13</v>
      </c>
      <c r="BL124" s="229">
        <v>-1.2200000000000001E-2</v>
      </c>
      <c r="BM124" s="228">
        <v>390</v>
      </c>
      <c r="BN124" s="228">
        <v>365</v>
      </c>
      <c r="BO124" s="228">
        <v>25</v>
      </c>
      <c r="BP124" s="229">
        <v>6.7799999999999999E-2</v>
      </c>
      <c r="BQ124" s="230">
        <v>2352</v>
      </c>
      <c r="BR124" s="230">
        <v>1734</v>
      </c>
      <c r="BS124" s="228">
        <v>618</v>
      </c>
      <c r="BT124" s="229">
        <v>0.35659999999999997</v>
      </c>
      <c r="BU124" s="230">
        <v>613431</v>
      </c>
      <c r="BV124" s="230">
        <v>704615</v>
      </c>
      <c r="BW124" s="230">
        <v>-91184</v>
      </c>
      <c r="BX124" s="229">
        <v>-0.12939999999999999</v>
      </c>
      <c r="BY124" s="230">
        <v>2166</v>
      </c>
      <c r="BZ124" s="230">
        <v>2147</v>
      </c>
      <c r="CA124" s="228">
        <v>20</v>
      </c>
      <c r="CB124" s="229">
        <v>9.1000000000000004E-3</v>
      </c>
      <c r="CC124" s="230">
        <v>1626</v>
      </c>
      <c r="CD124" s="230">
        <v>1973</v>
      </c>
      <c r="CE124" s="228">
        <v>-347</v>
      </c>
      <c r="CF124" s="229">
        <v>-0.17580000000000001</v>
      </c>
      <c r="CG124" s="228">
        <v>531</v>
      </c>
      <c r="CH124" s="228">
        <v>166</v>
      </c>
      <c r="CI124" s="228">
        <v>365</v>
      </c>
      <c r="CJ124" s="229">
        <v>2.1972</v>
      </c>
      <c r="CK124" s="228">
        <v>9</v>
      </c>
      <c r="CL124" s="228">
        <v>8</v>
      </c>
      <c r="CM124" s="228">
        <v>1</v>
      </c>
      <c r="CN124" s="229">
        <v>0.15559999999999999</v>
      </c>
      <c r="CO124" s="228">
        <v>944</v>
      </c>
      <c r="CP124" s="230">
        <v>1013</v>
      </c>
      <c r="CQ124" s="228">
        <v>-69</v>
      </c>
      <c r="CR124" s="229">
        <v>-6.83E-2</v>
      </c>
      <c r="CS124" s="228">
        <v>631</v>
      </c>
      <c r="CT124" s="228">
        <v>659</v>
      </c>
      <c r="CU124" s="228">
        <v>-28</v>
      </c>
      <c r="CV124" s="229">
        <v>-4.2299999999999997E-2</v>
      </c>
      <c r="CW124" s="230">
        <v>3741</v>
      </c>
      <c r="CX124" s="230">
        <v>3818</v>
      </c>
      <c r="CY124" s="228">
        <v>-78</v>
      </c>
      <c r="CZ124" s="229">
        <v>-2.0299999999999999E-2</v>
      </c>
      <c r="DA124" s="228">
        <v>22.55</v>
      </c>
      <c r="DB124" s="228">
        <v>23.75</v>
      </c>
      <c r="DC124" s="228">
        <v>-1.2</v>
      </c>
      <c r="DD124" s="228">
        <v>-1.2</v>
      </c>
      <c r="DE124" s="228">
        <v>31.27</v>
      </c>
      <c r="DF124" s="228">
        <v>31.35</v>
      </c>
      <c r="DG124" s="228">
        <v>-8.7200000000000006</v>
      </c>
      <c r="DH124" s="228">
        <v>-0.08</v>
      </c>
      <c r="DI124" s="228">
        <v>22.45</v>
      </c>
      <c r="DJ124" s="228">
        <v>23.82</v>
      </c>
      <c r="DK124" s="228">
        <v>-1.37</v>
      </c>
      <c r="DL124" s="228">
        <v>-1.37</v>
      </c>
      <c r="DM124" s="228">
        <v>22.69</v>
      </c>
      <c r="DN124" s="228">
        <v>23.53</v>
      </c>
      <c r="DO124" s="228">
        <v>-0.84</v>
      </c>
      <c r="DP124" s="228">
        <v>-0.84</v>
      </c>
      <c r="DQ124" s="228">
        <v>0.67</v>
      </c>
      <c r="DR124" s="228">
        <v>0.65</v>
      </c>
      <c r="DS124" s="228">
        <v>0.02</v>
      </c>
      <c r="DT124" s="229">
        <v>3.0800000000000001E-2</v>
      </c>
      <c r="DU124" s="231">
        <v>2060</v>
      </c>
      <c r="DV124" s="231">
        <v>2000</v>
      </c>
      <c r="DW124" s="228">
        <v>0.37</v>
      </c>
      <c r="DX124" s="228">
        <v>0.35</v>
      </c>
      <c r="DY124" s="228">
        <v>0.02</v>
      </c>
      <c r="DZ124" s="229">
        <v>5.7099999999999998E-2</v>
      </c>
      <c r="EA124" s="229">
        <v>0.24940000000000001</v>
      </c>
      <c r="EB124" s="230">
        <v>857225</v>
      </c>
      <c r="EC124" s="229">
        <v>6.7000000000000002E-3</v>
      </c>
      <c r="ED124" s="229">
        <v>0.24940000000000001</v>
      </c>
      <c r="EE124" s="228">
        <v>13.76</v>
      </c>
      <c r="EF124" s="229">
        <v>6.7999999999999996E-3</v>
      </c>
      <c r="EG124" s="230">
        <v>421254</v>
      </c>
      <c r="EH124" s="230">
        <v>496132</v>
      </c>
      <c r="EI124" s="229">
        <v>-0.15090000000000001</v>
      </c>
      <c r="EJ124" s="229">
        <v>0.68669999999999998</v>
      </c>
      <c r="EK124" s="231">
        <v>1072.82</v>
      </c>
      <c r="EL124" s="228">
        <v>384.34</v>
      </c>
      <c r="EM124" s="228">
        <v>926.18</v>
      </c>
      <c r="EN124" s="228">
        <v>39.130000000000003</v>
      </c>
      <c r="EO124" s="231">
        <v>2383.35</v>
      </c>
      <c r="EP124" s="231">
        <v>1770.17</v>
      </c>
      <c r="EQ124" s="228">
        <v>613.17999999999995</v>
      </c>
      <c r="ER124" s="229">
        <v>0.34639999999999999</v>
      </c>
      <c r="ES124" s="228">
        <v>967.5</v>
      </c>
      <c r="ET124" s="228">
        <v>607.73</v>
      </c>
      <c r="EU124" s="231">
        <v>2169.81</v>
      </c>
      <c r="EV124" s="231">
        <v>35341043</v>
      </c>
      <c r="EW124" s="231">
        <v>3745.04</v>
      </c>
      <c r="EX124" s="231">
        <v>3818.33</v>
      </c>
      <c r="EY124" s="228">
        <v>-73.290000000000006</v>
      </c>
      <c r="EZ124" s="229">
        <v>-1.9199999999999998E-2</v>
      </c>
      <c r="FA124" s="229">
        <v>0.52170000000000005</v>
      </c>
      <c r="FB124" s="227" t="s">
        <v>567</v>
      </c>
      <c r="FC124">
        <f t="shared" si="1"/>
        <v>540</v>
      </c>
    </row>
    <row r="125" spans="1:159" ht="17.25" thickBot="1" x14ac:dyDescent="0.3">
      <c r="A125" s="226">
        <v>45981</v>
      </c>
      <c r="B125" s="227" t="s">
        <v>162</v>
      </c>
      <c r="C125" s="227" t="s">
        <v>251</v>
      </c>
      <c r="D125" s="228">
        <v>200</v>
      </c>
      <c r="E125" s="228">
        <v>5</v>
      </c>
      <c r="F125" s="231">
        <v>3721.7</v>
      </c>
      <c r="G125" s="231">
        <v>3724.3</v>
      </c>
      <c r="H125" s="228">
        <v>-2.6</v>
      </c>
      <c r="I125" s="229">
        <v>-6.9999999999999999E-4</v>
      </c>
      <c r="J125" s="231">
        <v>3716.7</v>
      </c>
      <c r="K125" s="231">
        <v>3722.5</v>
      </c>
      <c r="L125" s="228">
        <v>-5.8</v>
      </c>
      <c r="M125" s="229">
        <v>-1.6000000000000001E-3</v>
      </c>
      <c r="N125" s="231">
        <v>3721.7</v>
      </c>
      <c r="O125" s="231">
        <v>3724.3</v>
      </c>
      <c r="P125" s="228">
        <v>-2.6</v>
      </c>
      <c r="Q125" s="229">
        <v>-6.9999999999999999E-4</v>
      </c>
      <c r="R125" s="231">
        <v>3747.3</v>
      </c>
      <c r="S125" s="231">
        <v>3749.9</v>
      </c>
      <c r="T125" s="228">
        <v>-2.6</v>
      </c>
      <c r="U125" s="229">
        <v>-6.9999999999999999E-4</v>
      </c>
      <c r="V125" s="231">
        <v>3769.6</v>
      </c>
      <c r="W125" s="231">
        <v>3769.4</v>
      </c>
      <c r="X125" s="228">
        <v>0.2</v>
      </c>
      <c r="Y125" s="229">
        <v>1E-4</v>
      </c>
      <c r="Z125" s="228">
        <v>5</v>
      </c>
      <c r="AA125" s="228">
        <v>1.8</v>
      </c>
      <c r="AB125" s="228">
        <v>3.2</v>
      </c>
      <c r="AC125" s="229">
        <v>1.2999999999999999E-3</v>
      </c>
      <c r="AD125" s="228">
        <v>5</v>
      </c>
      <c r="AE125" s="228">
        <v>1.8</v>
      </c>
      <c r="AF125" s="228">
        <v>3.2</v>
      </c>
      <c r="AG125" s="229">
        <v>1.2999999999999999E-3</v>
      </c>
      <c r="AH125" s="228">
        <v>30.6</v>
      </c>
      <c r="AI125" s="228">
        <v>27.4</v>
      </c>
      <c r="AJ125" s="228">
        <v>3.2</v>
      </c>
      <c r="AK125" s="229">
        <v>8.2000000000000007E-3</v>
      </c>
      <c r="AL125" s="228">
        <v>52.9</v>
      </c>
      <c r="AM125" s="228">
        <v>46.9</v>
      </c>
      <c r="AN125" s="228">
        <v>6</v>
      </c>
      <c r="AO125" s="229">
        <v>1.4200000000000001E-2</v>
      </c>
      <c r="AP125" s="231">
        <v>3734.7</v>
      </c>
      <c r="AQ125" s="231">
        <v>3760.05</v>
      </c>
      <c r="AR125" s="228">
        <v>0</v>
      </c>
      <c r="AS125" s="230">
        <v>4574</v>
      </c>
      <c r="AT125" s="228">
        <v>862</v>
      </c>
      <c r="AU125" s="230">
        <v>3712</v>
      </c>
      <c r="AV125" s="229">
        <v>4.3052000000000001</v>
      </c>
      <c r="AW125" s="230">
        <v>2344</v>
      </c>
      <c r="AX125" s="228">
        <v>599</v>
      </c>
      <c r="AY125" s="230">
        <v>1745</v>
      </c>
      <c r="AZ125" s="229">
        <v>2.9104000000000001</v>
      </c>
      <c r="BA125" s="230">
        <v>2221</v>
      </c>
      <c r="BB125" s="228">
        <v>255</v>
      </c>
      <c r="BC125" s="230">
        <v>1966</v>
      </c>
      <c r="BD125" s="229">
        <v>7.7205000000000004</v>
      </c>
      <c r="BE125" s="228">
        <v>9</v>
      </c>
      <c r="BF125" s="228">
        <v>8</v>
      </c>
      <c r="BG125" s="228">
        <v>1</v>
      </c>
      <c r="BH125" s="229">
        <v>0.1389</v>
      </c>
      <c r="BI125" s="230">
        <v>2746</v>
      </c>
      <c r="BJ125" s="230">
        <v>2799</v>
      </c>
      <c r="BK125" s="228">
        <v>-52</v>
      </c>
      <c r="BL125" s="229">
        <v>-1.8599999999999998E-2</v>
      </c>
      <c r="BM125" s="230">
        <v>1455</v>
      </c>
      <c r="BN125" s="230">
        <v>1781</v>
      </c>
      <c r="BO125" s="228">
        <v>-326</v>
      </c>
      <c r="BP125" s="229">
        <v>-0.18329999999999999</v>
      </c>
      <c r="BQ125" s="230">
        <v>8775</v>
      </c>
      <c r="BR125" s="230">
        <v>5442</v>
      </c>
      <c r="BS125" s="230">
        <v>3333</v>
      </c>
      <c r="BT125" s="229">
        <v>0.61250000000000004</v>
      </c>
      <c r="BU125" s="230">
        <v>2058471</v>
      </c>
      <c r="BV125" s="230">
        <v>1676362</v>
      </c>
      <c r="BW125" s="230">
        <v>382109</v>
      </c>
      <c r="BX125" s="229">
        <v>0.22789999999999999</v>
      </c>
      <c r="BY125" s="230">
        <v>6909</v>
      </c>
      <c r="BZ125" s="230">
        <v>6917</v>
      </c>
      <c r="CA125" s="228">
        <v>-9</v>
      </c>
      <c r="CB125" s="229">
        <v>-1.2999999999999999E-3</v>
      </c>
      <c r="CC125" s="230">
        <v>4225</v>
      </c>
      <c r="CD125" s="230">
        <v>6186</v>
      </c>
      <c r="CE125" s="230">
        <v>-1961</v>
      </c>
      <c r="CF125" s="229">
        <v>-0.31709999999999999</v>
      </c>
      <c r="CG125" s="230">
        <v>2647</v>
      </c>
      <c r="CH125" s="228">
        <v>697</v>
      </c>
      <c r="CI125" s="230">
        <v>1950</v>
      </c>
      <c r="CJ125" s="229">
        <v>2.7993999999999999</v>
      </c>
      <c r="CK125" s="228">
        <v>38</v>
      </c>
      <c r="CL125" s="228">
        <v>35</v>
      </c>
      <c r="CM125" s="228">
        <v>3</v>
      </c>
      <c r="CN125" s="229">
        <v>7.22E-2</v>
      </c>
      <c r="CO125" s="230">
        <v>1754</v>
      </c>
      <c r="CP125" s="230">
        <v>1846</v>
      </c>
      <c r="CQ125" s="228">
        <v>-92</v>
      </c>
      <c r="CR125" s="229">
        <v>-4.9700000000000001E-2</v>
      </c>
      <c r="CS125" s="230">
        <v>1331</v>
      </c>
      <c r="CT125" s="230">
        <v>1348</v>
      </c>
      <c r="CU125" s="228">
        <v>-16</v>
      </c>
      <c r="CV125" s="229">
        <v>-1.2200000000000001E-2</v>
      </c>
      <c r="CW125" s="230">
        <v>9994</v>
      </c>
      <c r="CX125" s="230">
        <v>10111</v>
      </c>
      <c r="CY125" s="228">
        <v>-117</v>
      </c>
      <c r="CZ125" s="229">
        <v>-1.1599999999999999E-2</v>
      </c>
      <c r="DA125" s="228">
        <v>23.75</v>
      </c>
      <c r="DB125" s="228">
        <v>24.73</v>
      </c>
      <c r="DC125" s="228">
        <v>-0.98</v>
      </c>
      <c r="DD125" s="228">
        <v>-0.98</v>
      </c>
      <c r="DE125" s="228">
        <v>33.130000000000003</v>
      </c>
      <c r="DF125" s="228">
        <v>33.21</v>
      </c>
      <c r="DG125" s="228">
        <v>-9.3800000000000008</v>
      </c>
      <c r="DH125" s="228">
        <v>-0.08</v>
      </c>
      <c r="DI125" s="228">
        <v>23.67</v>
      </c>
      <c r="DJ125" s="228">
        <v>23.51</v>
      </c>
      <c r="DK125" s="228">
        <v>0.16</v>
      </c>
      <c r="DL125" s="228">
        <v>0.16</v>
      </c>
      <c r="DM125" s="228">
        <v>23.87</v>
      </c>
      <c r="DN125" s="228">
        <v>26.63</v>
      </c>
      <c r="DO125" s="228">
        <v>-2.76</v>
      </c>
      <c r="DP125" s="228">
        <v>-2.76</v>
      </c>
      <c r="DQ125" s="228">
        <v>0.76</v>
      </c>
      <c r="DR125" s="228">
        <v>0.73</v>
      </c>
      <c r="DS125" s="228">
        <v>0.03</v>
      </c>
      <c r="DT125" s="229">
        <v>4.1099999999999998E-2</v>
      </c>
      <c r="DU125" s="231">
        <v>3800</v>
      </c>
      <c r="DV125" s="231">
        <v>3600</v>
      </c>
      <c r="DW125" s="228">
        <v>0.53</v>
      </c>
      <c r="DX125" s="228">
        <v>0.64</v>
      </c>
      <c r="DY125" s="228">
        <v>-0.11</v>
      </c>
      <c r="DZ125" s="229">
        <v>-0.1719</v>
      </c>
      <c r="EA125" s="229">
        <v>0.38850000000000001</v>
      </c>
      <c r="EB125" s="230">
        <v>1965800</v>
      </c>
      <c r="EC125" s="229">
        <v>6.8999999999999999E-3</v>
      </c>
      <c r="ED125" s="229">
        <v>0.38850000000000001</v>
      </c>
      <c r="EE125" s="228">
        <v>25.35</v>
      </c>
      <c r="EF125" s="229">
        <v>6.7999999999999996E-3</v>
      </c>
      <c r="EG125" s="230">
        <v>1248172</v>
      </c>
      <c r="EH125" s="230">
        <v>1097186</v>
      </c>
      <c r="EI125" s="229">
        <v>0.1376</v>
      </c>
      <c r="EJ125" s="229">
        <v>0.60640000000000005</v>
      </c>
      <c r="EK125" s="231">
        <v>2829.75</v>
      </c>
      <c r="EL125" s="231">
        <v>1429.02</v>
      </c>
      <c r="EM125" s="231">
        <v>4605.2</v>
      </c>
      <c r="EN125" s="228">
        <v>104.34</v>
      </c>
      <c r="EO125" s="231">
        <v>8863.9599999999991</v>
      </c>
      <c r="EP125" s="231">
        <v>5480.85</v>
      </c>
      <c r="EQ125" s="231">
        <v>3383.11</v>
      </c>
      <c r="ER125" s="229">
        <v>0.61729999999999996</v>
      </c>
      <c r="ES125" s="231">
        <v>1784.33</v>
      </c>
      <c r="ET125" s="231">
        <v>1264.02</v>
      </c>
      <c r="EU125" s="231">
        <v>6927.28</v>
      </c>
      <c r="EV125" s="231">
        <v>100261459</v>
      </c>
      <c r="EW125" s="231">
        <v>9975.64</v>
      </c>
      <c r="EX125" s="231">
        <v>10084.780000000001</v>
      </c>
      <c r="EY125" s="228">
        <v>-109.14</v>
      </c>
      <c r="EZ125" s="229">
        <v>-1.0800000000000001E-2</v>
      </c>
      <c r="FA125" s="229">
        <v>0.26779999999999998</v>
      </c>
      <c r="FB125" s="227" t="s">
        <v>568</v>
      </c>
      <c r="FC125">
        <f t="shared" si="1"/>
        <v>2684</v>
      </c>
    </row>
    <row r="126" spans="1:159" ht="17.25" thickBot="1" x14ac:dyDescent="0.3">
      <c r="A126" s="226">
        <v>45981</v>
      </c>
      <c r="B126" s="227" t="s">
        <v>175</v>
      </c>
      <c r="C126" s="227" t="s">
        <v>253</v>
      </c>
      <c r="D126" s="228">
        <v>3000</v>
      </c>
      <c r="E126" s="228">
        <v>5</v>
      </c>
      <c r="F126" s="228">
        <v>282.10000000000002</v>
      </c>
      <c r="G126" s="228">
        <v>280.75</v>
      </c>
      <c r="H126" s="228">
        <v>1.35</v>
      </c>
      <c r="I126" s="229">
        <v>4.7999999999999996E-3</v>
      </c>
      <c r="J126" s="228">
        <v>282.05</v>
      </c>
      <c r="K126" s="228">
        <v>280.35000000000002</v>
      </c>
      <c r="L126" s="228">
        <v>1.7</v>
      </c>
      <c r="M126" s="229">
        <v>6.1000000000000004E-3</v>
      </c>
      <c r="N126" s="228">
        <v>282.10000000000002</v>
      </c>
      <c r="O126" s="228">
        <v>280.75</v>
      </c>
      <c r="P126" s="228">
        <v>1.35</v>
      </c>
      <c r="Q126" s="229">
        <v>4.7999999999999996E-3</v>
      </c>
      <c r="R126" s="228">
        <v>284</v>
      </c>
      <c r="S126" s="228">
        <v>282.7</v>
      </c>
      <c r="T126" s="228">
        <v>1.3</v>
      </c>
      <c r="U126" s="229">
        <v>4.5999999999999999E-3</v>
      </c>
      <c r="V126" s="228">
        <v>285.14999999999998</v>
      </c>
      <c r="W126" s="228">
        <v>283.89999999999998</v>
      </c>
      <c r="X126" s="228">
        <v>1.25</v>
      </c>
      <c r="Y126" s="229">
        <v>4.4000000000000003E-3</v>
      </c>
      <c r="Z126" s="228">
        <v>0.05</v>
      </c>
      <c r="AA126" s="228">
        <v>0.4</v>
      </c>
      <c r="AB126" s="228">
        <v>-0.35</v>
      </c>
      <c r="AC126" s="229">
        <v>2.0000000000000001E-4</v>
      </c>
      <c r="AD126" s="228">
        <v>0.05</v>
      </c>
      <c r="AE126" s="228">
        <v>0.4</v>
      </c>
      <c r="AF126" s="228">
        <v>-0.35</v>
      </c>
      <c r="AG126" s="229">
        <v>2.0000000000000001E-4</v>
      </c>
      <c r="AH126" s="228">
        <v>1.95</v>
      </c>
      <c r="AI126" s="228">
        <v>2.35</v>
      </c>
      <c r="AJ126" s="228">
        <v>-0.4</v>
      </c>
      <c r="AK126" s="229">
        <v>6.8999999999999999E-3</v>
      </c>
      <c r="AL126" s="228">
        <v>3.1</v>
      </c>
      <c r="AM126" s="228">
        <v>3.55</v>
      </c>
      <c r="AN126" s="228">
        <v>-0.45</v>
      </c>
      <c r="AO126" s="229">
        <v>1.0999999999999999E-2</v>
      </c>
      <c r="AP126" s="228">
        <v>282.22000000000003</v>
      </c>
      <c r="AQ126" s="228">
        <v>284.06</v>
      </c>
      <c r="AR126" s="228">
        <v>0</v>
      </c>
      <c r="AS126" s="228">
        <v>536</v>
      </c>
      <c r="AT126" s="228">
        <v>501</v>
      </c>
      <c r="AU126" s="228">
        <v>35</v>
      </c>
      <c r="AV126" s="229">
        <v>6.9000000000000006E-2</v>
      </c>
      <c r="AW126" s="228">
        <v>279</v>
      </c>
      <c r="AX126" s="228">
        <v>273</v>
      </c>
      <c r="AY126" s="228">
        <v>6</v>
      </c>
      <c r="AZ126" s="229">
        <v>2.1399999999999999E-2</v>
      </c>
      <c r="BA126" s="228">
        <v>254</v>
      </c>
      <c r="BB126" s="228">
        <v>220</v>
      </c>
      <c r="BC126" s="228">
        <v>34</v>
      </c>
      <c r="BD126" s="229">
        <v>0.15329999999999999</v>
      </c>
      <c r="BE126" s="228">
        <v>3</v>
      </c>
      <c r="BF126" s="228">
        <v>8</v>
      </c>
      <c r="BG126" s="228">
        <v>-5</v>
      </c>
      <c r="BH126" s="229">
        <v>-0.64129999999999998</v>
      </c>
      <c r="BI126" s="228">
        <v>832</v>
      </c>
      <c r="BJ126" s="228">
        <v>840</v>
      </c>
      <c r="BK126" s="228">
        <v>-9</v>
      </c>
      <c r="BL126" s="229">
        <v>-1.04E-2</v>
      </c>
      <c r="BM126" s="228">
        <v>330</v>
      </c>
      <c r="BN126" s="228">
        <v>317</v>
      </c>
      <c r="BO126" s="228">
        <v>13</v>
      </c>
      <c r="BP126" s="229">
        <v>4.1399999999999999E-2</v>
      </c>
      <c r="BQ126" s="230">
        <v>1698</v>
      </c>
      <c r="BR126" s="230">
        <v>1659</v>
      </c>
      <c r="BS126" s="228">
        <v>39</v>
      </c>
      <c r="BT126" s="229">
        <v>2.35E-2</v>
      </c>
      <c r="BU126" s="230">
        <v>2377558</v>
      </c>
      <c r="BV126" s="230">
        <v>2445614</v>
      </c>
      <c r="BW126" s="230">
        <v>-68056</v>
      </c>
      <c r="BX126" s="229">
        <v>-2.7799999999999998E-2</v>
      </c>
      <c r="BY126" s="230">
        <v>1297</v>
      </c>
      <c r="BZ126" s="230">
        <v>1321</v>
      </c>
      <c r="CA126" s="228">
        <v>-24</v>
      </c>
      <c r="CB126" s="229">
        <v>-1.8499999999999999E-2</v>
      </c>
      <c r="CC126" s="228">
        <v>836</v>
      </c>
      <c r="CD126" s="230">
        <v>1039</v>
      </c>
      <c r="CE126" s="228">
        <v>-203</v>
      </c>
      <c r="CF126" s="229">
        <v>-0.19500000000000001</v>
      </c>
      <c r="CG126" s="228">
        <v>449</v>
      </c>
      <c r="CH126" s="228">
        <v>271</v>
      </c>
      <c r="CI126" s="228">
        <v>177</v>
      </c>
      <c r="CJ126" s="229">
        <v>0.65269999999999995</v>
      </c>
      <c r="CK126" s="228">
        <v>12</v>
      </c>
      <c r="CL126" s="228">
        <v>11</v>
      </c>
      <c r="CM126" s="228">
        <v>1</v>
      </c>
      <c r="CN126" s="229">
        <v>7.4099999999999999E-2</v>
      </c>
      <c r="CO126" s="228">
        <v>607</v>
      </c>
      <c r="CP126" s="228">
        <v>669</v>
      </c>
      <c r="CQ126" s="228">
        <v>-62</v>
      </c>
      <c r="CR126" s="229">
        <v>-9.1999999999999998E-2</v>
      </c>
      <c r="CS126" s="228">
        <v>353</v>
      </c>
      <c r="CT126" s="228">
        <v>358</v>
      </c>
      <c r="CU126" s="228">
        <v>-4</v>
      </c>
      <c r="CV126" s="229">
        <v>-1.21E-2</v>
      </c>
      <c r="CW126" s="230">
        <v>2258</v>
      </c>
      <c r="CX126" s="230">
        <v>2348</v>
      </c>
      <c r="CY126" s="228">
        <v>-90</v>
      </c>
      <c r="CZ126" s="229">
        <v>-3.85E-2</v>
      </c>
      <c r="DA126" s="228">
        <v>27.75</v>
      </c>
      <c r="DB126" s="228">
        <v>28.3</v>
      </c>
      <c r="DC126" s="228">
        <v>-0.55000000000000004</v>
      </c>
      <c r="DD126" s="228">
        <v>-0.55000000000000004</v>
      </c>
      <c r="DE126" s="228">
        <v>41.64</v>
      </c>
      <c r="DF126" s="228">
        <v>41.74</v>
      </c>
      <c r="DG126" s="228">
        <v>-13.89</v>
      </c>
      <c r="DH126" s="228">
        <v>-0.1</v>
      </c>
      <c r="DI126" s="228">
        <v>27.36</v>
      </c>
      <c r="DJ126" s="228">
        <v>28.44</v>
      </c>
      <c r="DK126" s="228">
        <v>-1.08</v>
      </c>
      <c r="DL126" s="228">
        <v>-1.08</v>
      </c>
      <c r="DM126" s="228">
        <v>28.75</v>
      </c>
      <c r="DN126" s="228">
        <v>27.93</v>
      </c>
      <c r="DO126" s="228">
        <v>0.82</v>
      </c>
      <c r="DP126" s="228">
        <v>0.82</v>
      </c>
      <c r="DQ126" s="228">
        <v>0.57999999999999996</v>
      </c>
      <c r="DR126" s="228">
        <v>0.53</v>
      </c>
      <c r="DS126" s="228">
        <v>0.05</v>
      </c>
      <c r="DT126" s="229">
        <v>9.4299999999999995E-2</v>
      </c>
      <c r="DU126" s="228">
        <v>280</v>
      </c>
      <c r="DV126" s="228">
        <v>270</v>
      </c>
      <c r="DW126" s="228">
        <v>0.4</v>
      </c>
      <c r="DX126" s="228">
        <v>0.38</v>
      </c>
      <c r="DY126" s="228">
        <v>0.02</v>
      </c>
      <c r="DZ126" s="229">
        <v>5.2600000000000001E-2</v>
      </c>
      <c r="EA126" s="229">
        <v>0.35539999999999999</v>
      </c>
      <c r="EB126" s="230">
        <v>10029000</v>
      </c>
      <c r="EC126" s="229">
        <v>6.7000000000000002E-3</v>
      </c>
      <c r="ED126" s="229">
        <v>0.35539999999999999</v>
      </c>
      <c r="EE126" s="228">
        <v>1.84</v>
      </c>
      <c r="EF126" s="229">
        <v>6.4999999999999997E-3</v>
      </c>
      <c r="EG126" s="230">
        <v>1260758</v>
      </c>
      <c r="EH126" s="230">
        <v>1023766</v>
      </c>
      <c r="EI126" s="229">
        <v>0.23150000000000001</v>
      </c>
      <c r="EJ126" s="229">
        <v>0.53029999999999999</v>
      </c>
      <c r="EK126" s="228">
        <v>854.59</v>
      </c>
      <c r="EL126" s="228">
        <v>325.2</v>
      </c>
      <c r="EM126" s="228">
        <v>537.88</v>
      </c>
      <c r="EN126" s="228">
        <v>44.13</v>
      </c>
      <c r="EO126" s="231">
        <v>1717.67</v>
      </c>
      <c r="EP126" s="231">
        <v>1674.32</v>
      </c>
      <c r="EQ126" s="228">
        <v>43.35</v>
      </c>
      <c r="ER126" s="229">
        <v>2.5899999999999999E-2</v>
      </c>
      <c r="ES126" s="228">
        <v>624.6</v>
      </c>
      <c r="ET126" s="228">
        <v>336.16</v>
      </c>
      <c r="EU126" s="231">
        <v>1300.19</v>
      </c>
      <c r="EV126" s="231">
        <v>82205057</v>
      </c>
      <c r="EW126" s="231">
        <v>2260.9499999999998</v>
      </c>
      <c r="EX126" s="231">
        <v>2344.5100000000002</v>
      </c>
      <c r="EY126" s="228">
        <v>-83.56</v>
      </c>
      <c r="EZ126" s="229">
        <v>-3.56E-2</v>
      </c>
      <c r="FA126" s="229">
        <v>0.97370000000000001</v>
      </c>
      <c r="FB126" s="227" t="s">
        <v>556</v>
      </c>
      <c r="FC126">
        <f t="shared" si="1"/>
        <v>461</v>
      </c>
    </row>
    <row r="127" spans="1:159" ht="17.25" thickBot="1" x14ac:dyDescent="0.3">
      <c r="A127" s="226">
        <v>45981</v>
      </c>
      <c r="B127" s="227" t="s">
        <v>170</v>
      </c>
      <c r="C127" s="227" t="s">
        <v>673</v>
      </c>
      <c r="D127" s="228">
        <v>225</v>
      </c>
      <c r="E127" s="228">
        <v>5</v>
      </c>
      <c r="F127" s="231">
        <v>2241.6999999999998</v>
      </c>
      <c r="G127" s="231">
        <v>2228.1</v>
      </c>
      <c r="H127" s="228">
        <v>13.6</v>
      </c>
      <c r="I127" s="229">
        <v>6.1000000000000004E-3</v>
      </c>
      <c r="J127" s="231">
        <v>2239.5</v>
      </c>
      <c r="K127" s="231">
        <v>2223.1</v>
      </c>
      <c r="L127" s="228">
        <v>16.399999999999999</v>
      </c>
      <c r="M127" s="229">
        <v>7.4000000000000003E-3</v>
      </c>
      <c r="N127" s="231">
        <v>2241.6999999999998</v>
      </c>
      <c r="O127" s="231">
        <v>2228.1</v>
      </c>
      <c r="P127" s="228">
        <v>13.6</v>
      </c>
      <c r="Q127" s="229">
        <v>6.1000000000000004E-3</v>
      </c>
      <c r="R127" s="231">
        <v>2256.9</v>
      </c>
      <c r="S127" s="231">
        <v>2242.1999999999998</v>
      </c>
      <c r="T127" s="228">
        <v>14.7</v>
      </c>
      <c r="U127" s="229">
        <v>6.6E-3</v>
      </c>
      <c r="V127" s="231">
        <v>2273.1</v>
      </c>
      <c r="W127" s="231">
        <v>2259.1999999999998</v>
      </c>
      <c r="X127" s="228">
        <v>13.9</v>
      </c>
      <c r="Y127" s="229">
        <v>6.1999999999999998E-3</v>
      </c>
      <c r="Z127" s="228">
        <v>2.2000000000000002</v>
      </c>
      <c r="AA127" s="228">
        <v>5</v>
      </c>
      <c r="AB127" s="228">
        <v>-2.8</v>
      </c>
      <c r="AC127" s="229">
        <v>1E-3</v>
      </c>
      <c r="AD127" s="228">
        <v>2.2000000000000002</v>
      </c>
      <c r="AE127" s="228">
        <v>5</v>
      </c>
      <c r="AF127" s="228">
        <v>-2.8</v>
      </c>
      <c r="AG127" s="229">
        <v>1E-3</v>
      </c>
      <c r="AH127" s="228">
        <v>17.399999999999999</v>
      </c>
      <c r="AI127" s="228">
        <v>19.100000000000001</v>
      </c>
      <c r="AJ127" s="228">
        <v>-1.7</v>
      </c>
      <c r="AK127" s="229">
        <v>7.7999999999999996E-3</v>
      </c>
      <c r="AL127" s="228">
        <v>33.6</v>
      </c>
      <c r="AM127" s="228">
        <v>36.1</v>
      </c>
      <c r="AN127" s="228">
        <v>-2.5</v>
      </c>
      <c r="AO127" s="229">
        <v>1.4999999999999999E-2</v>
      </c>
      <c r="AP127" s="231">
        <v>2241.3200000000002</v>
      </c>
      <c r="AQ127" s="231">
        <v>2256.36</v>
      </c>
      <c r="AR127" s="228">
        <v>0</v>
      </c>
      <c r="AS127" s="228">
        <v>271</v>
      </c>
      <c r="AT127" s="228">
        <v>89</v>
      </c>
      <c r="AU127" s="228">
        <v>182</v>
      </c>
      <c r="AV127" s="229">
        <v>2.0487000000000002</v>
      </c>
      <c r="AW127" s="228">
        <v>144</v>
      </c>
      <c r="AX127" s="228">
        <v>50</v>
      </c>
      <c r="AY127" s="228">
        <v>94</v>
      </c>
      <c r="AZ127" s="229">
        <v>1.8781000000000001</v>
      </c>
      <c r="BA127" s="228">
        <v>125</v>
      </c>
      <c r="BB127" s="228">
        <v>36</v>
      </c>
      <c r="BC127" s="228">
        <v>88</v>
      </c>
      <c r="BD127" s="229">
        <v>2.4380999999999999</v>
      </c>
      <c r="BE127" s="228">
        <v>3</v>
      </c>
      <c r="BF127" s="228">
        <v>3</v>
      </c>
      <c r="BG127" s="228">
        <v>0</v>
      </c>
      <c r="BH127" s="229">
        <v>-3.7699999999999997E-2</v>
      </c>
      <c r="BI127" s="228">
        <v>335</v>
      </c>
      <c r="BJ127" s="228">
        <v>168</v>
      </c>
      <c r="BK127" s="228">
        <v>167</v>
      </c>
      <c r="BL127" s="229">
        <v>0.99009999999999998</v>
      </c>
      <c r="BM127" s="228">
        <v>75</v>
      </c>
      <c r="BN127" s="228">
        <v>57</v>
      </c>
      <c r="BO127" s="228">
        <v>17</v>
      </c>
      <c r="BP127" s="229">
        <v>0.30030000000000001</v>
      </c>
      <c r="BQ127" s="228">
        <v>681</v>
      </c>
      <c r="BR127" s="228">
        <v>315</v>
      </c>
      <c r="BS127" s="228">
        <v>366</v>
      </c>
      <c r="BT127" s="229">
        <v>1.1636</v>
      </c>
      <c r="BU127" s="230">
        <v>2383564</v>
      </c>
      <c r="BV127" s="230">
        <v>256047</v>
      </c>
      <c r="BW127" s="230">
        <v>2127517</v>
      </c>
      <c r="BX127" s="229">
        <v>8.3091000000000008</v>
      </c>
      <c r="BY127" s="228">
        <v>651</v>
      </c>
      <c r="BZ127" s="228">
        <v>658</v>
      </c>
      <c r="CA127" s="228">
        <v>-7</v>
      </c>
      <c r="CB127" s="229">
        <v>-1.0800000000000001E-2</v>
      </c>
      <c r="CC127" s="228">
        <v>460</v>
      </c>
      <c r="CD127" s="228">
        <v>550</v>
      </c>
      <c r="CE127" s="228">
        <v>-89</v>
      </c>
      <c r="CF127" s="229">
        <v>-0.16220000000000001</v>
      </c>
      <c r="CG127" s="228">
        <v>177</v>
      </c>
      <c r="CH127" s="228">
        <v>96</v>
      </c>
      <c r="CI127" s="228">
        <v>80</v>
      </c>
      <c r="CJ127" s="229">
        <v>0.83650000000000002</v>
      </c>
      <c r="CK127" s="228">
        <v>13</v>
      </c>
      <c r="CL127" s="228">
        <v>12</v>
      </c>
      <c r="CM127" s="228">
        <v>2</v>
      </c>
      <c r="CN127" s="229">
        <v>0.12659999999999999</v>
      </c>
      <c r="CO127" s="228">
        <v>293</v>
      </c>
      <c r="CP127" s="228">
        <v>343</v>
      </c>
      <c r="CQ127" s="228">
        <v>-50</v>
      </c>
      <c r="CR127" s="229">
        <v>-0.1467</v>
      </c>
      <c r="CS127" s="228">
        <v>134</v>
      </c>
      <c r="CT127" s="228">
        <v>139</v>
      </c>
      <c r="CU127" s="228">
        <v>-5</v>
      </c>
      <c r="CV127" s="229">
        <v>-3.3099999999999997E-2</v>
      </c>
      <c r="CW127" s="230">
        <v>1078</v>
      </c>
      <c r="CX127" s="230">
        <v>1140</v>
      </c>
      <c r="CY127" s="228">
        <v>-62</v>
      </c>
      <c r="CZ127" s="229">
        <v>-5.4399999999999997E-2</v>
      </c>
      <c r="DA127" s="228">
        <v>26.02</v>
      </c>
      <c r="DB127" s="228">
        <v>30.5</v>
      </c>
      <c r="DC127" s="228">
        <v>-4.4800000000000004</v>
      </c>
      <c r="DD127" s="228">
        <v>-4.4800000000000004</v>
      </c>
      <c r="DE127" s="228">
        <v>33.520000000000003</v>
      </c>
      <c r="DF127" s="228">
        <v>33.590000000000003</v>
      </c>
      <c r="DG127" s="228">
        <v>-7.5</v>
      </c>
      <c r="DH127" s="228">
        <v>-7.0000000000000007E-2</v>
      </c>
      <c r="DI127" s="228">
        <v>26.09</v>
      </c>
      <c r="DJ127" s="228">
        <v>32.28</v>
      </c>
      <c r="DK127" s="228">
        <v>-6.19</v>
      </c>
      <c r="DL127" s="228">
        <v>-6.19</v>
      </c>
      <c r="DM127" s="228">
        <v>25.88</v>
      </c>
      <c r="DN127" s="228">
        <v>25.27</v>
      </c>
      <c r="DO127" s="228">
        <v>0.61</v>
      </c>
      <c r="DP127" s="228">
        <v>0.61</v>
      </c>
      <c r="DQ127" s="228">
        <v>0.46</v>
      </c>
      <c r="DR127" s="228">
        <v>0.4</v>
      </c>
      <c r="DS127" s="228">
        <v>0.06</v>
      </c>
      <c r="DT127" s="229">
        <v>0.15</v>
      </c>
      <c r="DU127" s="231">
        <v>2300</v>
      </c>
      <c r="DV127" s="231">
        <v>2300</v>
      </c>
      <c r="DW127" s="228">
        <v>0.22</v>
      </c>
      <c r="DX127" s="228">
        <v>0.34</v>
      </c>
      <c r="DY127" s="228">
        <v>-0.12</v>
      </c>
      <c r="DZ127" s="229">
        <v>-0.35289999999999999</v>
      </c>
      <c r="EA127" s="229">
        <v>0.2923</v>
      </c>
      <c r="EB127" s="230">
        <v>482625</v>
      </c>
      <c r="EC127" s="229">
        <v>6.7999999999999996E-3</v>
      </c>
      <c r="ED127" s="229">
        <v>0.2923</v>
      </c>
      <c r="EE127" s="228">
        <v>15.04</v>
      </c>
      <c r="EF127" s="229">
        <v>6.7000000000000002E-3</v>
      </c>
      <c r="EG127" s="230">
        <v>2242347</v>
      </c>
      <c r="EH127" s="230">
        <v>157144</v>
      </c>
      <c r="EI127" s="229">
        <v>13.269399999999999</v>
      </c>
      <c r="EJ127" s="229">
        <v>0.94079999999999997</v>
      </c>
      <c r="EK127" s="228">
        <v>353.42</v>
      </c>
      <c r="EL127" s="228">
        <v>74.8</v>
      </c>
      <c r="EM127" s="228">
        <v>272.24</v>
      </c>
      <c r="EN127" s="228">
        <v>21.64</v>
      </c>
      <c r="EO127" s="228">
        <v>700.45</v>
      </c>
      <c r="EP127" s="228">
        <v>323.05</v>
      </c>
      <c r="EQ127" s="228">
        <v>377.41</v>
      </c>
      <c r="ER127" s="229">
        <v>1.1682999999999999</v>
      </c>
      <c r="ES127" s="228">
        <v>311.62</v>
      </c>
      <c r="ET127" s="228">
        <v>135.24</v>
      </c>
      <c r="EU127" s="228">
        <v>652.04</v>
      </c>
      <c r="EV127" s="231">
        <v>16915220</v>
      </c>
      <c r="EW127" s="231">
        <v>1098.9000000000001</v>
      </c>
      <c r="EX127" s="231">
        <v>1163.25</v>
      </c>
      <c r="EY127" s="228">
        <v>-64.349999999999994</v>
      </c>
      <c r="EZ127" s="229">
        <v>-5.5300000000000002E-2</v>
      </c>
      <c r="FA127" s="229">
        <v>0.28420000000000001</v>
      </c>
      <c r="FB127" s="227" t="s">
        <v>556</v>
      </c>
      <c r="FC127">
        <f t="shared" si="1"/>
        <v>191</v>
      </c>
    </row>
    <row r="128" spans="1:159" ht="17.25" thickBot="1" x14ac:dyDescent="0.3">
      <c r="A128" s="226">
        <v>45981</v>
      </c>
      <c r="B128" s="227" t="s">
        <v>168</v>
      </c>
      <c r="C128" s="227" t="s">
        <v>254</v>
      </c>
      <c r="D128" s="228">
        <v>1200</v>
      </c>
      <c r="E128" s="228">
        <v>5</v>
      </c>
      <c r="F128" s="228">
        <v>736.75</v>
      </c>
      <c r="G128" s="228">
        <v>748.9</v>
      </c>
      <c r="H128" s="228">
        <v>-12.15</v>
      </c>
      <c r="I128" s="229">
        <v>-1.6199999999999999E-2</v>
      </c>
      <c r="J128" s="228">
        <v>736.15</v>
      </c>
      <c r="K128" s="228">
        <v>748.15</v>
      </c>
      <c r="L128" s="228">
        <v>-12</v>
      </c>
      <c r="M128" s="229">
        <v>-1.6E-2</v>
      </c>
      <c r="N128" s="228">
        <v>736.75</v>
      </c>
      <c r="O128" s="228">
        <v>748.9</v>
      </c>
      <c r="P128" s="228">
        <v>-12.15</v>
      </c>
      <c r="Q128" s="229">
        <v>-1.6199999999999999E-2</v>
      </c>
      <c r="R128" s="228">
        <v>742.1</v>
      </c>
      <c r="S128" s="228">
        <v>753.65</v>
      </c>
      <c r="T128" s="228">
        <v>-11.55</v>
      </c>
      <c r="U128" s="229">
        <v>-1.5299999999999999E-2</v>
      </c>
      <c r="V128" s="228">
        <v>744.8</v>
      </c>
      <c r="W128" s="228">
        <v>758.75</v>
      </c>
      <c r="X128" s="228">
        <v>-13.95</v>
      </c>
      <c r="Y128" s="229">
        <v>-1.84E-2</v>
      </c>
      <c r="Z128" s="228">
        <v>0.6</v>
      </c>
      <c r="AA128" s="228">
        <v>0.75</v>
      </c>
      <c r="AB128" s="228">
        <v>-0.15</v>
      </c>
      <c r="AC128" s="229">
        <v>8.0000000000000004E-4</v>
      </c>
      <c r="AD128" s="228">
        <v>0.6</v>
      </c>
      <c r="AE128" s="228">
        <v>0.75</v>
      </c>
      <c r="AF128" s="228">
        <v>-0.15</v>
      </c>
      <c r="AG128" s="229">
        <v>8.0000000000000004E-4</v>
      </c>
      <c r="AH128" s="228">
        <v>5.95</v>
      </c>
      <c r="AI128" s="228">
        <v>5.5</v>
      </c>
      <c r="AJ128" s="228">
        <v>0.45</v>
      </c>
      <c r="AK128" s="229">
        <v>8.0999999999999996E-3</v>
      </c>
      <c r="AL128" s="228">
        <v>8.65</v>
      </c>
      <c r="AM128" s="228">
        <v>10.6</v>
      </c>
      <c r="AN128" s="228">
        <v>-1.95</v>
      </c>
      <c r="AO128" s="229">
        <v>1.18E-2</v>
      </c>
      <c r="AP128" s="228">
        <v>744.05</v>
      </c>
      <c r="AQ128" s="228">
        <v>749.08</v>
      </c>
      <c r="AR128" s="228">
        <v>0</v>
      </c>
      <c r="AS128" s="230">
        <v>1482</v>
      </c>
      <c r="AT128" s="228">
        <v>155</v>
      </c>
      <c r="AU128" s="230">
        <v>1327</v>
      </c>
      <c r="AV128" s="229">
        <v>8.5570000000000004</v>
      </c>
      <c r="AW128" s="228">
        <v>773</v>
      </c>
      <c r="AX128" s="228">
        <v>123</v>
      </c>
      <c r="AY128" s="228">
        <v>650</v>
      </c>
      <c r="AZ128" s="229">
        <v>5.2629000000000001</v>
      </c>
      <c r="BA128" s="228">
        <v>706</v>
      </c>
      <c r="BB128" s="228">
        <v>28</v>
      </c>
      <c r="BC128" s="228">
        <v>678</v>
      </c>
      <c r="BD128" s="229">
        <v>23.971900000000002</v>
      </c>
      <c r="BE128" s="228">
        <v>3</v>
      </c>
      <c r="BF128" s="228">
        <v>3</v>
      </c>
      <c r="BG128" s="228">
        <v>-1</v>
      </c>
      <c r="BH128" s="229">
        <v>-0.23680000000000001</v>
      </c>
      <c r="BI128" s="228">
        <v>936</v>
      </c>
      <c r="BJ128" s="230">
        <v>1083</v>
      </c>
      <c r="BK128" s="228">
        <v>-148</v>
      </c>
      <c r="BL128" s="229">
        <v>-0.13639999999999999</v>
      </c>
      <c r="BM128" s="228">
        <v>573</v>
      </c>
      <c r="BN128" s="228">
        <v>683</v>
      </c>
      <c r="BO128" s="228">
        <v>-110</v>
      </c>
      <c r="BP128" s="229">
        <v>-0.16109999999999999</v>
      </c>
      <c r="BQ128" s="230">
        <v>2991</v>
      </c>
      <c r="BR128" s="230">
        <v>1922</v>
      </c>
      <c r="BS128" s="230">
        <v>1069</v>
      </c>
      <c r="BT128" s="229">
        <v>0.55620000000000003</v>
      </c>
      <c r="BU128" s="230">
        <v>1633709</v>
      </c>
      <c r="BV128" s="230">
        <v>2522796</v>
      </c>
      <c r="BW128" s="230">
        <v>-889087</v>
      </c>
      <c r="BX128" s="229">
        <v>-0.35239999999999999</v>
      </c>
      <c r="BY128" s="230">
        <v>2288</v>
      </c>
      <c r="BZ128" s="230">
        <v>2278</v>
      </c>
      <c r="CA128" s="228">
        <v>9</v>
      </c>
      <c r="CB128" s="229">
        <v>4.1000000000000003E-3</v>
      </c>
      <c r="CC128" s="230">
        <v>1611</v>
      </c>
      <c r="CD128" s="230">
        <v>2224</v>
      </c>
      <c r="CE128" s="228">
        <v>-613</v>
      </c>
      <c r="CF128" s="229">
        <v>-0.2757</v>
      </c>
      <c r="CG128" s="228">
        <v>673</v>
      </c>
      <c r="CH128" s="228">
        <v>51</v>
      </c>
      <c r="CI128" s="228">
        <v>622</v>
      </c>
      <c r="CJ128" s="229">
        <v>12.1976</v>
      </c>
      <c r="CK128" s="228">
        <v>4</v>
      </c>
      <c r="CL128" s="228">
        <v>3</v>
      </c>
      <c r="CM128" s="228">
        <v>0</v>
      </c>
      <c r="CN128" s="229">
        <v>5.2600000000000001E-2</v>
      </c>
      <c r="CO128" s="228">
        <v>558</v>
      </c>
      <c r="CP128" s="228">
        <v>543</v>
      </c>
      <c r="CQ128" s="228">
        <v>15</v>
      </c>
      <c r="CR128" s="229">
        <v>2.8299999999999999E-2</v>
      </c>
      <c r="CS128" s="228">
        <v>383</v>
      </c>
      <c r="CT128" s="228">
        <v>435</v>
      </c>
      <c r="CU128" s="228">
        <v>-53</v>
      </c>
      <c r="CV128" s="229">
        <v>-0.1207</v>
      </c>
      <c r="CW128" s="230">
        <v>3229</v>
      </c>
      <c r="CX128" s="230">
        <v>3257</v>
      </c>
      <c r="CY128" s="228">
        <v>-28</v>
      </c>
      <c r="CZ128" s="229">
        <v>-8.5000000000000006E-3</v>
      </c>
      <c r="DA128" s="228">
        <v>20.47</v>
      </c>
      <c r="DB128" s="228">
        <v>21.46</v>
      </c>
      <c r="DC128" s="228">
        <v>-0.99</v>
      </c>
      <c r="DD128" s="228">
        <v>-0.99</v>
      </c>
      <c r="DE128" s="228">
        <v>25.32</v>
      </c>
      <c r="DF128" s="228">
        <v>25.29</v>
      </c>
      <c r="DG128" s="228">
        <v>-4.8499999999999996</v>
      </c>
      <c r="DH128" s="228">
        <v>0.03</v>
      </c>
      <c r="DI128" s="228">
        <v>20.6</v>
      </c>
      <c r="DJ128" s="228">
        <v>21.65</v>
      </c>
      <c r="DK128" s="228">
        <v>-1.05</v>
      </c>
      <c r="DL128" s="228">
        <v>-1.05</v>
      </c>
      <c r="DM128" s="228">
        <v>20.170000000000002</v>
      </c>
      <c r="DN128" s="228">
        <v>21.17</v>
      </c>
      <c r="DO128" s="228">
        <v>-1</v>
      </c>
      <c r="DP128" s="228">
        <v>-1</v>
      </c>
      <c r="DQ128" s="228">
        <v>0.69</v>
      </c>
      <c r="DR128" s="228">
        <v>0.8</v>
      </c>
      <c r="DS128" s="228">
        <v>-0.11</v>
      </c>
      <c r="DT128" s="229">
        <v>-0.13750000000000001</v>
      </c>
      <c r="DU128" s="228">
        <v>760</v>
      </c>
      <c r="DV128" s="228">
        <v>730</v>
      </c>
      <c r="DW128" s="228">
        <v>0.61</v>
      </c>
      <c r="DX128" s="228">
        <v>0.63</v>
      </c>
      <c r="DY128" s="228">
        <v>-0.02</v>
      </c>
      <c r="DZ128" s="229">
        <v>-3.1699999999999999E-2</v>
      </c>
      <c r="EA128" s="229">
        <v>0.29580000000000001</v>
      </c>
      <c r="EB128" s="230">
        <v>738000</v>
      </c>
      <c r="EC128" s="229">
        <v>7.3000000000000001E-3</v>
      </c>
      <c r="ED128" s="229">
        <v>0.29580000000000001</v>
      </c>
      <c r="EE128" s="228">
        <v>5.03</v>
      </c>
      <c r="EF128" s="229">
        <v>6.7999999999999996E-3</v>
      </c>
      <c r="EG128" s="230">
        <v>1205027</v>
      </c>
      <c r="EH128" s="230">
        <v>1877325</v>
      </c>
      <c r="EI128" s="229">
        <v>-0.35809999999999997</v>
      </c>
      <c r="EJ128" s="229">
        <v>0.73760000000000003</v>
      </c>
      <c r="EK128" s="228">
        <v>973.54</v>
      </c>
      <c r="EL128" s="228">
        <v>571.95000000000005</v>
      </c>
      <c r="EM128" s="231">
        <v>1501.55</v>
      </c>
      <c r="EN128" s="228">
        <v>40.4</v>
      </c>
      <c r="EO128" s="231">
        <v>3047.03</v>
      </c>
      <c r="EP128" s="231">
        <v>1985.09</v>
      </c>
      <c r="EQ128" s="231">
        <v>1061.94</v>
      </c>
      <c r="ER128" s="229">
        <v>0.53500000000000003</v>
      </c>
      <c r="ES128" s="228">
        <v>582.85</v>
      </c>
      <c r="ET128" s="228">
        <v>371.02</v>
      </c>
      <c r="EU128" s="231">
        <v>2292.62</v>
      </c>
      <c r="EV128" s="231">
        <v>79408529</v>
      </c>
      <c r="EW128" s="231">
        <v>3246.49</v>
      </c>
      <c r="EX128" s="231">
        <v>3307.25</v>
      </c>
      <c r="EY128" s="228">
        <v>-60.76</v>
      </c>
      <c r="EZ128" s="229">
        <v>-1.84E-2</v>
      </c>
      <c r="FA128" s="229">
        <v>0.55189999999999995</v>
      </c>
      <c r="FB128" s="227" t="s">
        <v>567</v>
      </c>
      <c r="FC128">
        <f t="shared" si="1"/>
        <v>677</v>
      </c>
    </row>
    <row r="129" spans="1:159" ht="17.25" thickBot="1" x14ac:dyDescent="0.3">
      <c r="A129" s="226">
        <v>45981</v>
      </c>
      <c r="B129" s="227" t="s">
        <v>162</v>
      </c>
      <c r="C129" s="227" t="s">
        <v>255</v>
      </c>
      <c r="D129" s="228">
        <v>50</v>
      </c>
      <c r="E129" s="228">
        <v>5</v>
      </c>
      <c r="F129" s="231">
        <v>15813</v>
      </c>
      <c r="G129" s="231">
        <v>15753</v>
      </c>
      <c r="H129" s="228">
        <v>60</v>
      </c>
      <c r="I129" s="229">
        <v>3.8E-3</v>
      </c>
      <c r="J129" s="231">
        <v>15801</v>
      </c>
      <c r="K129" s="231">
        <v>15768</v>
      </c>
      <c r="L129" s="228">
        <v>33</v>
      </c>
      <c r="M129" s="229">
        <v>2.0999999999999999E-3</v>
      </c>
      <c r="N129" s="231">
        <v>15813</v>
      </c>
      <c r="O129" s="231">
        <v>15753</v>
      </c>
      <c r="P129" s="228">
        <v>60</v>
      </c>
      <c r="Q129" s="229">
        <v>3.8E-3</v>
      </c>
      <c r="R129" s="231">
        <v>15921</v>
      </c>
      <c r="S129" s="231">
        <v>15861</v>
      </c>
      <c r="T129" s="228">
        <v>60</v>
      </c>
      <c r="U129" s="229">
        <v>3.8E-3</v>
      </c>
      <c r="V129" s="231">
        <v>16012</v>
      </c>
      <c r="W129" s="231">
        <v>15949</v>
      </c>
      <c r="X129" s="228">
        <v>63</v>
      </c>
      <c r="Y129" s="229">
        <v>4.0000000000000001E-3</v>
      </c>
      <c r="Z129" s="228">
        <v>12</v>
      </c>
      <c r="AA129" s="228">
        <v>-15</v>
      </c>
      <c r="AB129" s="228">
        <v>27</v>
      </c>
      <c r="AC129" s="229">
        <v>8.0000000000000004E-4</v>
      </c>
      <c r="AD129" s="228">
        <v>12</v>
      </c>
      <c r="AE129" s="228">
        <v>-15</v>
      </c>
      <c r="AF129" s="228">
        <v>27</v>
      </c>
      <c r="AG129" s="229">
        <v>8.0000000000000004E-4</v>
      </c>
      <c r="AH129" s="228">
        <v>120</v>
      </c>
      <c r="AI129" s="228">
        <v>93</v>
      </c>
      <c r="AJ129" s="228">
        <v>27</v>
      </c>
      <c r="AK129" s="229">
        <v>7.6E-3</v>
      </c>
      <c r="AL129" s="228">
        <v>211</v>
      </c>
      <c r="AM129" s="228">
        <v>181</v>
      </c>
      <c r="AN129" s="228">
        <v>30</v>
      </c>
      <c r="AO129" s="229">
        <v>1.34E-2</v>
      </c>
      <c r="AP129" s="231">
        <v>15731.56</v>
      </c>
      <c r="AQ129" s="231">
        <v>15838.91</v>
      </c>
      <c r="AR129" s="228">
        <v>0</v>
      </c>
      <c r="AS129" s="230">
        <v>2183</v>
      </c>
      <c r="AT129" s="228">
        <v>762</v>
      </c>
      <c r="AU129" s="230">
        <v>1421</v>
      </c>
      <c r="AV129" s="229">
        <v>1.8655999999999999</v>
      </c>
      <c r="AW129" s="230">
        <v>1156</v>
      </c>
      <c r="AX129" s="228">
        <v>575</v>
      </c>
      <c r="AY129" s="228">
        <v>580</v>
      </c>
      <c r="AZ129" s="229">
        <v>1.0087999999999999</v>
      </c>
      <c r="BA129" s="230">
        <v>1023</v>
      </c>
      <c r="BB129" s="228">
        <v>180</v>
      </c>
      <c r="BC129" s="228">
        <v>843</v>
      </c>
      <c r="BD129" s="229">
        <v>4.6875</v>
      </c>
      <c r="BE129" s="228">
        <v>5</v>
      </c>
      <c r="BF129" s="228">
        <v>7</v>
      </c>
      <c r="BG129" s="228">
        <v>-2</v>
      </c>
      <c r="BH129" s="229">
        <v>-0.31759999999999999</v>
      </c>
      <c r="BI129" s="230">
        <v>11709</v>
      </c>
      <c r="BJ129" s="230">
        <v>8821</v>
      </c>
      <c r="BK129" s="230">
        <v>2887</v>
      </c>
      <c r="BL129" s="229">
        <v>0.32729999999999998</v>
      </c>
      <c r="BM129" s="230">
        <v>5052</v>
      </c>
      <c r="BN129" s="230">
        <v>4623</v>
      </c>
      <c r="BO129" s="228">
        <v>430</v>
      </c>
      <c r="BP129" s="229">
        <v>9.2899999999999996E-2</v>
      </c>
      <c r="BQ129" s="230">
        <v>18944</v>
      </c>
      <c r="BR129" s="230">
        <v>14206</v>
      </c>
      <c r="BS129" s="230">
        <v>4738</v>
      </c>
      <c r="BT129" s="229">
        <v>0.33360000000000001</v>
      </c>
      <c r="BU129" s="230">
        <v>259846</v>
      </c>
      <c r="BV129" s="230">
        <v>290875</v>
      </c>
      <c r="BW129" s="230">
        <v>-31029</v>
      </c>
      <c r="BX129" s="229">
        <v>-0.1067</v>
      </c>
      <c r="BY129" s="230">
        <v>4112</v>
      </c>
      <c r="BZ129" s="230">
        <v>4107</v>
      </c>
      <c r="CA129" s="228">
        <v>5</v>
      </c>
      <c r="CB129" s="229">
        <v>1.2999999999999999E-3</v>
      </c>
      <c r="CC129" s="230">
        <v>2787</v>
      </c>
      <c r="CD129" s="230">
        <v>3607</v>
      </c>
      <c r="CE129" s="228">
        <v>-820</v>
      </c>
      <c r="CF129" s="229">
        <v>-0.2273</v>
      </c>
      <c r="CG129" s="230">
        <v>1297</v>
      </c>
      <c r="CH129" s="228">
        <v>473</v>
      </c>
      <c r="CI129" s="228">
        <v>824</v>
      </c>
      <c r="CJ129" s="229">
        <v>1.7403</v>
      </c>
      <c r="CK129" s="228">
        <v>27</v>
      </c>
      <c r="CL129" s="228">
        <v>26</v>
      </c>
      <c r="CM129" s="228">
        <v>1</v>
      </c>
      <c r="CN129" s="229">
        <v>4.2299999999999997E-2</v>
      </c>
      <c r="CO129" s="230">
        <v>4510</v>
      </c>
      <c r="CP129" s="230">
        <v>5045</v>
      </c>
      <c r="CQ129" s="228">
        <v>-535</v>
      </c>
      <c r="CR129" s="229">
        <v>-0.1061</v>
      </c>
      <c r="CS129" s="230">
        <v>2075</v>
      </c>
      <c r="CT129" s="230">
        <v>2169</v>
      </c>
      <c r="CU129" s="228">
        <v>-94</v>
      </c>
      <c r="CV129" s="229">
        <v>-4.3099999999999999E-2</v>
      </c>
      <c r="CW129" s="230">
        <v>10697</v>
      </c>
      <c r="CX129" s="230">
        <v>11320</v>
      </c>
      <c r="CY129" s="228">
        <v>-624</v>
      </c>
      <c r="CZ129" s="229">
        <v>-5.5100000000000003E-2</v>
      </c>
      <c r="DA129" s="228">
        <v>17.72</v>
      </c>
      <c r="DB129" s="228">
        <v>19.36</v>
      </c>
      <c r="DC129" s="228">
        <v>-1.64</v>
      </c>
      <c r="DD129" s="228">
        <v>-1.64</v>
      </c>
      <c r="DE129" s="228">
        <v>25.04</v>
      </c>
      <c r="DF129" s="228">
        <v>25.1</v>
      </c>
      <c r="DG129" s="228">
        <v>-7.32</v>
      </c>
      <c r="DH129" s="228">
        <v>-0.06</v>
      </c>
      <c r="DI129" s="228">
        <v>17.38</v>
      </c>
      <c r="DJ129" s="228">
        <v>19.649999999999999</v>
      </c>
      <c r="DK129" s="228">
        <v>-2.27</v>
      </c>
      <c r="DL129" s="228">
        <v>-2.27</v>
      </c>
      <c r="DM129" s="228">
        <v>18.34</v>
      </c>
      <c r="DN129" s="228">
        <v>18.809999999999999</v>
      </c>
      <c r="DO129" s="228">
        <v>-0.47</v>
      </c>
      <c r="DP129" s="228">
        <v>-0.47</v>
      </c>
      <c r="DQ129" s="228">
        <v>0.46</v>
      </c>
      <c r="DR129" s="228">
        <v>0.43</v>
      </c>
      <c r="DS129" s="228">
        <v>0.03</v>
      </c>
      <c r="DT129" s="229">
        <v>6.9800000000000001E-2</v>
      </c>
      <c r="DU129" s="231">
        <v>16000</v>
      </c>
      <c r="DV129" s="231">
        <v>15500</v>
      </c>
      <c r="DW129" s="228">
        <v>0.43</v>
      </c>
      <c r="DX129" s="228">
        <v>0.52</v>
      </c>
      <c r="DY129" s="228">
        <v>-0.09</v>
      </c>
      <c r="DZ129" s="229">
        <v>-0.1731</v>
      </c>
      <c r="EA129" s="229">
        <v>0.32219999999999999</v>
      </c>
      <c r="EB129" s="230">
        <v>315950</v>
      </c>
      <c r="EC129" s="229">
        <v>6.7999999999999996E-3</v>
      </c>
      <c r="ED129" s="229">
        <v>0.32219999999999999</v>
      </c>
      <c r="EE129" s="228">
        <v>107.35</v>
      </c>
      <c r="EF129" s="229">
        <v>6.7999999999999996E-3</v>
      </c>
      <c r="EG129" s="230">
        <v>151290</v>
      </c>
      <c r="EH129" s="230">
        <v>181479</v>
      </c>
      <c r="EI129" s="229">
        <v>-0.1663</v>
      </c>
      <c r="EJ129" s="229">
        <v>0.58220000000000005</v>
      </c>
      <c r="EK129" s="231">
        <v>12019.86</v>
      </c>
      <c r="EL129" s="231">
        <v>4949.21</v>
      </c>
      <c r="EM129" s="231">
        <v>2178.9699999999998</v>
      </c>
      <c r="EN129" s="228">
        <v>78.39</v>
      </c>
      <c r="EO129" s="231">
        <v>19148.04</v>
      </c>
      <c r="EP129" s="231">
        <v>14392.96</v>
      </c>
      <c r="EQ129" s="231">
        <v>4755.08</v>
      </c>
      <c r="ER129" s="229">
        <v>0.33040000000000003</v>
      </c>
      <c r="ES129" s="231">
        <v>4706.6000000000004</v>
      </c>
      <c r="ET129" s="231">
        <v>2009.26</v>
      </c>
      <c r="EU129" s="231">
        <v>4120.9799999999996</v>
      </c>
      <c r="EV129" s="231">
        <v>16752897</v>
      </c>
      <c r="EW129" s="231">
        <v>10836.84</v>
      </c>
      <c r="EX129" s="231">
        <v>11461.23</v>
      </c>
      <c r="EY129" s="228">
        <v>-624.39</v>
      </c>
      <c r="EZ129" s="229">
        <v>-5.45E-2</v>
      </c>
      <c r="FA129" s="229">
        <v>0.40379999999999999</v>
      </c>
      <c r="FB129" s="227" t="s">
        <v>555</v>
      </c>
      <c r="FC129">
        <f t="shared" si="1"/>
        <v>1325</v>
      </c>
    </row>
    <row r="130" spans="1:159" ht="17.25" thickBot="1" x14ac:dyDescent="0.3">
      <c r="A130" s="226">
        <v>45981</v>
      </c>
      <c r="B130" s="227" t="s">
        <v>170</v>
      </c>
      <c r="C130" s="227" t="s">
        <v>603</v>
      </c>
      <c r="D130" s="228">
        <v>525</v>
      </c>
      <c r="E130" s="228">
        <v>5</v>
      </c>
      <c r="F130" s="231">
        <v>1168.3</v>
      </c>
      <c r="G130" s="231">
        <v>1163.5999999999999</v>
      </c>
      <c r="H130" s="228">
        <v>4.7</v>
      </c>
      <c r="I130" s="229">
        <v>4.0000000000000001E-3</v>
      </c>
      <c r="J130" s="231">
        <v>1168.9000000000001</v>
      </c>
      <c r="K130" s="231">
        <v>1164.4000000000001</v>
      </c>
      <c r="L130" s="228">
        <v>4.5</v>
      </c>
      <c r="M130" s="229">
        <v>3.8999999999999998E-3</v>
      </c>
      <c r="N130" s="231">
        <v>1168.3</v>
      </c>
      <c r="O130" s="231">
        <v>1163.5999999999999</v>
      </c>
      <c r="P130" s="228">
        <v>4.7</v>
      </c>
      <c r="Q130" s="229">
        <v>4.0000000000000001E-3</v>
      </c>
      <c r="R130" s="231">
        <v>1175.7</v>
      </c>
      <c r="S130" s="231">
        <v>1171.2</v>
      </c>
      <c r="T130" s="228">
        <v>4.5</v>
      </c>
      <c r="U130" s="229">
        <v>3.8E-3</v>
      </c>
      <c r="V130" s="231">
        <v>1183</v>
      </c>
      <c r="W130" s="231">
        <v>1178.0999999999999</v>
      </c>
      <c r="X130" s="228">
        <v>4.9000000000000004</v>
      </c>
      <c r="Y130" s="229">
        <v>4.1999999999999997E-3</v>
      </c>
      <c r="Z130" s="228">
        <v>-0.6</v>
      </c>
      <c r="AA130" s="228">
        <v>-0.8</v>
      </c>
      <c r="AB130" s="228">
        <v>0.2</v>
      </c>
      <c r="AC130" s="229">
        <v>-5.0000000000000001E-4</v>
      </c>
      <c r="AD130" s="228">
        <v>-0.6</v>
      </c>
      <c r="AE130" s="228">
        <v>-0.8</v>
      </c>
      <c r="AF130" s="228">
        <v>0.2</v>
      </c>
      <c r="AG130" s="229">
        <v>-5.0000000000000001E-4</v>
      </c>
      <c r="AH130" s="228">
        <v>6.8</v>
      </c>
      <c r="AI130" s="228">
        <v>6.8</v>
      </c>
      <c r="AJ130" s="228">
        <v>0</v>
      </c>
      <c r="AK130" s="229">
        <v>5.7999999999999996E-3</v>
      </c>
      <c r="AL130" s="228">
        <v>14.1</v>
      </c>
      <c r="AM130" s="228">
        <v>13.7</v>
      </c>
      <c r="AN130" s="228">
        <v>0.4</v>
      </c>
      <c r="AO130" s="229">
        <v>1.21E-2</v>
      </c>
      <c r="AP130" s="231">
        <v>1158.47</v>
      </c>
      <c r="AQ130" s="231">
        <v>1165.8699999999999</v>
      </c>
      <c r="AR130" s="228">
        <v>0</v>
      </c>
      <c r="AS130" s="230">
        <v>1194</v>
      </c>
      <c r="AT130" s="228">
        <v>670</v>
      </c>
      <c r="AU130" s="228">
        <v>524</v>
      </c>
      <c r="AV130" s="229">
        <v>0.78320000000000001</v>
      </c>
      <c r="AW130" s="228">
        <v>633</v>
      </c>
      <c r="AX130" s="228">
        <v>519</v>
      </c>
      <c r="AY130" s="228">
        <v>114</v>
      </c>
      <c r="AZ130" s="229">
        <v>0.2198</v>
      </c>
      <c r="BA130" s="228">
        <v>556</v>
      </c>
      <c r="BB130" s="228">
        <v>144</v>
      </c>
      <c r="BC130" s="228">
        <v>412</v>
      </c>
      <c r="BD130" s="229">
        <v>2.8607</v>
      </c>
      <c r="BE130" s="228">
        <v>4</v>
      </c>
      <c r="BF130" s="228">
        <v>6</v>
      </c>
      <c r="BG130" s="228">
        <v>-2</v>
      </c>
      <c r="BH130" s="229">
        <v>-0.28710000000000002</v>
      </c>
      <c r="BI130" s="230">
        <v>1722</v>
      </c>
      <c r="BJ130" s="230">
        <v>5763</v>
      </c>
      <c r="BK130" s="230">
        <v>-4040</v>
      </c>
      <c r="BL130" s="229">
        <v>-0.70120000000000005</v>
      </c>
      <c r="BM130" s="228">
        <v>865</v>
      </c>
      <c r="BN130" s="230">
        <v>2493</v>
      </c>
      <c r="BO130" s="230">
        <v>-1628</v>
      </c>
      <c r="BP130" s="229">
        <v>-0.6532</v>
      </c>
      <c r="BQ130" s="230">
        <v>3781</v>
      </c>
      <c r="BR130" s="230">
        <v>8925</v>
      </c>
      <c r="BS130" s="230">
        <v>-5145</v>
      </c>
      <c r="BT130" s="229">
        <v>-0.57640000000000002</v>
      </c>
      <c r="BU130" s="230">
        <v>2882764</v>
      </c>
      <c r="BV130" s="230">
        <v>6180507</v>
      </c>
      <c r="BW130" s="230">
        <v>-3297743</v>
      </c>
      <c r="BX130" s="229">
        <v>-0.53359999999999996</v>
      </c>
      <c r="BY130" s="230">
        <v>2001</v>
      </c>
      <c r="BZ130" s="230">
        <v>2025</v>
      </c>
      <c r="CA130" s="228">
        <v>-24</v>
      </c>
      <c r="CB130" s="229">
        <v>-1.21E-2</v>
      </c>
      <c r="CC130" s="230">
        <v>1312</v>
      </c>
      <c r="CD130" s="230">
        <v>1819</v>
      </c>
      <c r="CE130" s="228">
        <v>-507</v>
      </c>
      <c r="CF130" s="229">
        <v>-0.27850000000000003</v>
      </c>
      <c r="CG130" s="228">
        <v>678</v>
      </c>
      <c r="CH130" s="228">
        <v>196</v>
      </c>
      <c r="CI130" s="228">
        <v>482</v>
      </c>
      <c r="CJ130" s="229">
        <v>2.4567999999999999</v>
      </c>
      <c r="CK130" s="228">
        <v>10</v>
      </c>
      <c r="CL130" s="228">
        <v>10</v>
      </c>
      <c r="CM130" s="228">
        <v>0</v>
      </c>
      <c r="CN130" s="229">
        <v>2.4400000000000002E-2</v>
      </c>
      <c r="CO130" s="228">
        <v>543</v>
      </c>
      <c r="CP130" s="228">
        <v>618</v>
      </c>
      <c r="CQ130" s="228">
        <v>-76</v>
      </c>
      <c r="CR130" s="229">
        <v>-0.12230000000000001</v>
      </c>
      <c r="CS130" s="228">
        <v>381</v>
      </c>
      <c r="CT130" s="228">
        <v>436</v>
      </c>
      <c r="CU130" s="228">
        <v>-55</v>
      </c>
      <c r="CV130" s="229">
        <v>-0.127</v>
      </c>
      <c r="CW130" s="230">
        <v>2924</v>
      </c>
      <c r="CX130" s="230">
        <v>3080</v>
      </c>
      <c r="CY130" s="228">
        <v>-156</v>
      </c>
      <c r="CZ130" s="229">
        <v>-5.0500000000000003E-2</v>
      </c>
      <c r="DA130" s="228">
        <v>27.7</v>
      </c>
      <c r="DB130" s="228">
        <v>30.38</v>
      </c>
      <c r="DC130" s="228">
        <v>-2.68</v>
      </c>
      <c r="DD130" s="228">
        <v>-2.68</v>
      </c>
      <c r="DE130" s="228">
        <v>40.08</v>
      </c>
      <c r="DF130" s="228">
        <v>40.18</v>
      </c>
      <c r="DG130" s="228">
        <v>-12.38</v>
      </c>
      <c r="DH130" s="228">
        <v>-0.1</v>
      </c>
      <c r="DI130" s="228">
        <v>27.58</v>
      </c>
      <c r="DJ130" s="228">
        <v>29.39</v>
      </c>
      <c r="DK130" s="228">
        <v>-1.81</v>
      </c>
      <c r="DL130" s="228">
        <v>-1.81</v>
      </c>
      <c r="DM130" s="228">
        <v>27.97</v>
      </c>
      <c r="DN130" s="228">
        <v>32.659999999999997</v>
      </c>
      <c r="DO130" s="228">
        <v>-4.6900000000000004</v>
      </c>
      <c r="DP130" s="228">
        <v>-4.6900000000000004</v>
      </c>
      <c r="DQ130" s="228">
        <v>0.7</v>
      </c>
      <c r="DR130" s="228">
        <v>0.71</v>
      </c>
      <c r="DS130" s="228">
        <v>-0.01</v>
      </c>
      <c r="DT130" s="229">
        <v>-1.41E-2</v>
      </c>
      <c r="DU130" s="231">
        <v>1200</v>
      </c>
      <c r="DV130" s="231">
        <v>1100</v>
      </c>
      <c r="DW130" s="228">
        <v>0.5</v>
      </c>
      <c r="DX130" s="228">
        <v>0.43</v>
      </c>
      <c r="DY130" s="228">
        <v>7.0000000000000007E-2</v>
      </c>
      <c r="DZ130" s="229">
        <v>0.1628</v>
      </c>
      <c r="EA130" s="229">
        <v>0.34410000000000002</v>
      </c>
      <c r="EB130" s="230">
        <v>1765050</v>
      </c>
      <c r="EC130" s="229">
        <v>6.3E-3</v>
      </c>
      <c r="ED130" s="229">
        <v>0.34410000000000002</v>
      </c>
      <c r="EE130" s="228">
        <v>7.4</v>
      </c>
      <c r="EF130" s="229">
        <v>6.4000000000000003E-3</v>
      </c>
      <c r="EG130" s="230">
        <v>1853902</v>
      </c>
      <c r="EH130" s="230">
        <v>3728785</v>
      </c>
      <c r="EI130" s="229">
        <v>-0.50280000000000002</v>
      </c>
      <c r="EJ130" s="229">
        <v>0.6431</v>
      </c>
      <c r="EK130" s="231">
        <v>1766</v>
      </c>
      <c r="EL130" s="228">
        <v>843.39</v>
      </c>
      <c r="EM130" s="231">
        <v>1187.43</v>
      </c>
      <c r="EN130" s="228">
        <v>69.599999999999994</v>
      </c>
      <c r="EO130" s="231">
        <v>3796.82</v>
      </c>
      <c r="EP130" s="231">
        <v>8925.82</v>
      </c>
      <c r="EQ130" s="231">
        <v>-5129</v>
      </c>
      <c r="ER130" s="229">
        <v>-0.5746</v>
      </c>
      <c r="ES130" s="228">
        <v>561.01</v>
      </c>
      <c r="ET130" s="228">
        <v>364.8</v>
      </c>
      <c r="EU130" s="231">
        <v>2005.01</v>
      </c>
      <c r="EV130" s="231">
        <v>97211768</v>
      </c>
      <c r="EW130" s="231">
        <v>2930.82</v>
      </c>
      <c r="EX130" s="231">
        <v>3074.15</v>
      </c>
      <c r="EY130" s="228">
        <v>-143.33000000000001</v>
      </c>
      <c r="EZ130" s="229">
        <v>-4.6600000000000003E-2</v>
      </c>
      <c r="FA130" s="229">
        <v>0.25750000000000001</v>
      </c>
      <c r="FB130" s="227" t="s">
        <v>556</v>
      </c>
      <c r="FC130">
        <f t="shared" si="1"/>
        <v>689</v>
      </c>
    </row>
    <row r="131" spans="1:159" ht="17.25" thickBot="1" x14ac:dyDescent="0.3">
      <c r="A131" s="226">
        <v>45981</v>
      </c>
      <c r="B131" s="227" t="s">
        <v>215</v>
      </c>
      <c r="C131" s="227" t="s">
        <v>674</v>
      </c>
      <c r="D131" s="228">
        <v>175</v>
      </c>
      <c r="E131" s="228">
        <v>5</v>
      </c>
      <c r="F131" s="231">
        <v>2835.5</v>
      </c>
      <c r="G131" s="231">
        <v>2788.7</v>
      </c>
      <c r="H131" s="228">
        <v>46.8</v>
      </c>
      <c r="I131" s="229">
        <v>1.6799999999999999E-2</v>
      </c>
      <c r="J131" s="231">
        <v>2829.5</v>
      </c>
      <c r="K131" s="231">
        <v>2783.4</v>
      </c>
      <c r="L131" s="228">
        <v>46.1</v>
      </c>
      <c r="M131" s="229">
        <v>1.66E-2</v>
      </c>
      <c r="N131" s="231">
        <v>2835.5</v>
      </c>
      <c r="O131" s="231">
        <v>2788.7</v>
      </c>
      <c r="P131" s="228">
        <v>46.8</v>
      </c>
      <c r="Q131" s="229">
        <v>1.6799999999999999E-2</v>
      </c>
      <c r="R131" s="231">
        <v>2853.8</v>
      </c>
      <c r="S131" s="231">
        <v>2805.9</v>
      </c>
      <c r="T131" s="228">
        <v>47.9</v>
      </c>
      <c r="U131" s="229">
        <v>1.7100000000000001E-2</v>
      </c>
      <c r="V131" s="231">
        <v>2872.5</v>
      </c>
      <c r="W131" s="231">
        <v>2825.7</v>
      </c>
      <c r="X131" s="228">
        <v>46.8</v>
      </c>
      <c r="Y131" s="229">
        <v>1.66E-2</v>
      </c>
      <c r="Z131" s="228">
        <v>6</v>
      </c>
      <c r="AA131" s="228">
        <v>5.3</v>
      </c>
      <c r="AB131" s="228">
        <v>0.7</v>
      </c>
      <c r="AC131" s="229">
        <v>2.0999999999999999E-3</v>
      </c>
      <c r="AD131" s="228">
        <v>6</v>
      </c>
      <c r="AE131" s="228">
        <v>5.3</v>
      </c>
      <c r="AF131" s="228">
        <v>0.7</v>
      </c>
      <c r="AG131" s="229">
        <v>2.0999999999999999E-3</v>
      </c>
      <c r="AH131" s="228">
        <v>24.3</v>
      </c>
      <c r="AI131" s="228">
        <v>22.5</v>
      </c>
      <c r="AJ131" s="228">
        <v>1.8</v>
      </c>
      <c r="AK131" s="229">
        <v>8.6E-3</v>
      </c>
      <c r="AL131" s="228">
        <v>43</v>
      </c>
      <c r="AM131" s="228">
        <v>42.3</v>
      </c>
      <c r="AN131" s="228">
        <v>0.7</v>
      </c>
      <c r="AO131" s="229">
        <v>1.52E-2</v>
      </c>
      <c r="AP131" s="231">
        <v>2834.32</v>
      </c>
      <c r="AQ131" s="231">
        <v>2852.66</v>
      </c>
      <c r="AR131" s="228">
        <v>0</v>
      </c>
      <c r="AS131" s="228">
        <v>906</v>
      </c>
      <c r="AT131" s="228">
        <v>155</v>
      </c>
      <c r="AU131" s="228">
        <v>751</v>
      </c>
      <c r="AV131" s="229">
        <v>4.8525999999999998</v>
      </c>
      <c r="AW131" s="228">
        <v>526</v>
      </c>
      <c r="AX131" s="228">
        <v>103</v>
      </c>
      <c r="AY131" s="228">
        <v>423</v>
      </c>
      <c r="AZ131" s="229">
        <v>4.1113</v>
      </c>
      <c r="BA131" s="228">
        <v>372</v>
      </c>
      <c r="BB131" s="228">
        <v>50</v>
      </c>
      <c r="BC131" s="228">
        <v>322</v>
      </c>
      <c r="BD131" s="229">
        <v>6.4617000000000004</v>
      </c>
      <c r="BE131" s="228">
        <v>8</v>
      </c>
      <c r="BF131" s="228">
        <v>2</v>
      </c>
      <c r="BG131" s="228">
        <v>6</v>
      </c>
      <c r="BH131" s="229">
        <v>2.875</v>
      </c>
      <c r="BI131" s="230">
        <v>2891</v>
      </c>
      <c r="BJ131" s="230">
        <v>1080</v>
      </c>
      <c r="BK131" s="230">
        <v>1811</v>
      </c>
      <c r="BL131" s="229">
        <v>1.6768000000000001</v>
      </c>
      <c r="BM131" s="228">
        <v>874</v>
      </c>
      <c r="BN131" s="228">
        <v>253</v>
      </c>
      <c r="BO131" s="228">
        <v>621</v>
      </c>
      <c r="BP131" s="229">
        <v>2.4502999999999999</v>
      </c>
      <c r="BQ131" s="230">
        <v>4671</v>
      </c>
      <c r="BR131" s="230">
        <v>1488</v>
      </c>
      <c r="BS131" s="230">
        <v>3183</v>
      </c>
      <c r="BT131" s="229">
        <v>2.1389</v>
      </c>
      <c r="BU131" s="230">
        <v>1735741</v>
      </c>
      <c r="BV131" s="230">
        <v>472768</v>
      </c>
      <c r="BW131" s="230">
        <v>1262973</v>
      </c>
      <c r="BX131" s="229">
        <v>2.6714000000000002</v>
      </c>
      <c r="BY131" s="230">
        <v>1171</v>
      </c>
      <c r="BZ131" s="230">
        <v>1276</v>
      </c>
      <c r="CA131" s="228">
        <v>-104</v>
      </c>
      <c r="CB131" s="229">
        <v>-8.1900000000000001E-2</v>
      </c>
      <c r="CC131" s="228">
        <v>851</v>
      </c>
      <c r="CD131" s="230">
        <v>1134</v>
      </c>
      <c r="CE131" s="228">
        <v>-284</v>
      </c>
      <c r="CF131" s="229">
        <v>-0.25019999999999998</v>
      </c>
      <c r="CG131" s="228">
        <v>308</v>
      </c>
      <c r="CH131" s="228">
        <v>131</v>
      </c>
      <c r="CI131" s="228">
        <v>177</v>
      </c>
      <c r="CJ131" s="229">
        <v>1.3452</v>
      </c>
      <c r="CK131" s="228">
        <v>13</v>
      </c>
      <c r="CL131" s="228">
        <v>10</v>
      </c>
      <c r="CM131" s="228">
        <v>3</v>
      </c>
      <c r="CN131" s="229">
        <v>0.27929999999999999</v>
      </c>
      <c r="CO131" s="228">
        <v>934</v>
      </c>
      <c r="CP131" s="230">
        <v>1038</v>
      </c>
      <c r="CQ131" s="228">
        <v>-104</v>
      </c>
      <c r="CR131" s="229">
        <v>-0.1004</v>
      </c>
      <c r="CS131" s="228">
        <v>442</v>
      </c>
      <c r="CT131" s="228">
        <v>438</v>
      </c>
      <c r="CU131" s="228">
        <v>5</v>
      </c>
      <c r="CV131" s="229">
        <v>1.04E-2</v>
      </c>
      <c r="CW131" s="230">
        <v>2548</v>
      </c>
      <c r="CX131" s="230">
        <v>2752</v>
      </c>
      <c r="CY131" s="228">
        <v>-204</v>
      </c>
      <c r="CZ131" s="229">
        <v>-7.4200000000000002E-2</v>
      </c>
      <c r="DA131" s="228">
        <v>31.65</v>
      </c>
      <c r="DB131" s="228">
        <v>34.4</v>
      </c>
      <c r="DC131" s="228">
        <v>-2.75</v>
      </c>
      <c r="DD131" s="228">
        <v>-2.75</v>
      </c>
      <c r="DE131" s="228">
        <v>56.95</v>
      </c>
      <c r="DF131" s="228">
        <v>57.05</v>
      </c>
      <c r="DG131" s="228">
        <v>-25.3</v>
      </c>
      <c r="DH131" s="228">
        <v>-0.1</v>
      </c>
      <c r="DI131" s="228">
        <v>31.42</v>
      </c>
      <c r="DJ131" s="228">
        <v>35.53</v>
      </c>
      <c r="DK131" s="228">
        <v>-4.1100000000000003</v>
      </c>
      <c r="DL131" s="228">
        <v>-4.1100000000000003</v>
      </c>
      <c r="DM131" s="228">
        <v>32.53</v>
      </c>
      <c r="DN131" s="228">
        <v>29.56</v>
      </c>
      <c r="DO131" s="228">
        <v>2.97</v>
      </c>
      <c r="DP131" s="228">
        <v>2.97</v>
      </c>
      <c r="DQ131" s="228">
        <v>0.47</v>
      </c>
      <c r="DR131" s="228">
        <v>0.42</v>
      </c>
      <c r="DS131" s="228">
        <v>0.05</v>
      </c>
      <c r="DT131" s="229">
        <v>0.11899999999999999</v>
      </c>
      <c r="DU131" s="231">
        <v>3000</v>
      </c>
      <c r="DV131" s="231">
        <v>2800</v>
      </c>
      <c r="DW131" s="228">
        <v>0.3</v>
      </c>
      <c r="DX131" s="228">
        <v>0.23</v>
      </c>
      <c r="DY131" s="228">
        <v>7.0000000000000007E-2</v>
      </c>
      <c r="DZ131" s="229">
        <v>0.30430000000000001</v>
      </c>
      <c r="EA131" s="229">
        <v>0.27379999999999999</v>
      </c>
      <c r="EB131" s="230">
        <v>498675</v>
      </c>
      <c r="EC131" s="229">
        <v>6.4999999999999997E-3</v>
      </c>
      <c r="ED131" s="229">
        <v>0.27379999999999999</v>
      </c>
      <c r="EE131" s="228">
        <v>18.34</v>
      </c>
      <c r="EF131" s="229">
        <v>6.4999999999999997E-3</v>
      </c>
      <c r="EG131" s="230">
        <v>541077</v>
      </c>
      <c r="EH131" s="230">
        <v>115674</v>
      </c>
      <c r="EI131" s="229">
        <v>3.6776</v>
      </c>
      <c r="EJ131" s="229">
        <v>0.31169999999999998</v>
      </c>
      <c r="EK131" s="231">
        <v>2980.7</v>
      </c>
      <c r="EL131" s="228">
        <v>858.72</v>
      </c>
      <c r="EM131" s="228">
        <v>909.33</v>
      </c>
      <c r="EN131" s="228">
        <v>45.83</v>
      </c>
      <c r="EO131" s="231">
        <v>4748.75</v>
      </c>
      <c r="EP131" s="231">
        <v>1514.63</v>
      </c>
      <c r="EQ131" s="231">
        <v>3234.12</v>
      </c>
      <c r="ER131" s="229">
        <v>2.1352000000000002</v>
      </c>
      <c r="ES131" s="228">
        <v>962.47</v>
      </c>
      <c r="ET131" s="228">
        <v>431.67</v>
      </c>
      <c r="EU131" s="231">
        <v>1173.5999999999999</v>
      </c>
      <c r="EV131" s="231">
        <v>11364224</v>
      </c>
      <c r="EW131" s="231">
        <v>2567.7399999999998</v>
      </c>
      <c r="EX131" s="231">
        <v>2746.54</v>
      </c>
      <c r="EY131" s="228">
        <v>-178.8</v>
      </c>
      <c r="EZ131" s="229">
        <v>-6.5100000000000005E-2</v>
      </c>
      <c r="FA131" s="229">
        <v>0.79069999999999996</v>
      </c>
      <c r="FB131" s="227" t="s">
        <v>556</v>
      </c>
      <c r="FC131">
        <f t="shared" ref="FC131:FC147" si="2">BY131-CC131</f>
        <v>320</v>
      </c>
    </row>
    <row r="132" spans="1:159" ht="17.25" thickBot="1" x14ac:dyDescent="0.3">
      <c r="A132" s="226">
        <v>45981</v>
      </c>
      <c r="B132" s="227" t="s">
        <v>175</v>
      </c>
      <c r="C132" s="227" t="s">
        <v>517</v>
      </c>
      <c r="D132" s="228">
        <v>125</v>
      </c>
      <c r="E132" s="228">
        <v>5</v>
      </c>
      <c r="F132" s="231">
        <v>9849.5</v>
      </c>
      <c r="G132" s="231">
        <v>9793</v>
      </c>
      <c r="H132" s="228">
        <v>56.5</v>
      </c>
      <c r="I132" s="229">
        <v>5.7999999999999996E-3</v>
      </c>
      <c r="J132" s="231">
        <v>9858.5</v>
      </c>
      <c r="K132" s="231">
        <v>9799</v>
      </c>
      <c r="L132" s="228">
        <v>59.5</v>
      </c>
      <c r="M132" s="229">
        <v>6.1000000000000004E-3</v>
      </c>
      <c r="N132" s="231">
        <v>9849.5</v>
      </c>
      <c r="O132" s="231">
        <v>9793</v>
      </c>
      <c r="P132" s="228">
        <v>56.5</v>
      </c>
      <c r="Q132" s="229">
        <v>5.7999999999999996E-3</v>
      </c>
      <c r="R132" s="231">
        <v>9914</v>
      </c>
      <c r="S132" s="231">
        <v>9860</v>
      </c>
      <c r="T132" s="228">
        <v>54</v>
      </c>
      <c r="U132" s="229">
        <v>5.4999999999999997E-3</v>
      </c>
      <c r="V132" s="231">
        <v>9979</v>
      </c>
      <c r="W132" s="231">
        <v>9913</v>
      </c>
      <c r="X132" s="228">
        <v>66</v>
      </c>
      <c r="Y132" s="229">
        <v>6.7000000000000002E-3</v>
      </c>
      <c r="Z132" s="228">
        <v>-9</v>
      </c>
      <c r="AA132" s="228">
        <v>-6</v>
      </c>
      <c r="AB132" s="228">
        <v>-3</v>
      </c>
      <c r="AC132" s="229">
        <v>-8.9999999999999998E-4</v>
      </c>
      <c r="AD132" s="228">
        <v>-9</v>
      </c>
      <c r="AE132" s="228">
        <v>-6</v>
      </c>
      <c r="AF132" s="228">
        <v>-3</v>
      </c>
      <c r="AG132" s="229">
        <v>-8.9999999999999998E-4</v>
      </c>
      <c r="AH132" s="228">
        <v>55.5</v>
      </c>
      <c r="AI132" s="228">
        <v>61</v>
      </c>
      <c r="AJ132" s="228">
        <v>-5.5</v>
      </c>
      <c r="AK132" s="229">
        <v>5.5999999999999999E-3</v>
      </c>
      <c r="AL132" s="228">
        <v>120.5</v>
      </c>
      <c r="AM132" s="228">
        <v>114</v>
      </c>
      <c r="AN132" s="228">
        <v>6.5</v>
      </c>
      <c r="AO132" s="229">
        <v>1.2200000000000001E-2</v>
      </c>
      <c r="AP132" s="231">
        <v>9893.24</v>
      </c>
      <c r="AQ132" s="231">
        <v>9962.07</v>
      </c>
      <c r="AR132" s="228">
        <v>0</v>
      </c>
      <c r="AS132" s="230">
        <v>1696</v>
      </c>
      <c r="AT132" s="228">
        <v>997</v>
      </c>
      <c r="AU132" s="228">
        <v>699</v>
      </c>
      <c r="AV132" s="229">
        <v>0.70130000000000003</v>
      </c>
      <c r="AW132" s="228">
        <v>968</v>
      </c>
      <c r="AX132" s="228">
        <v>682</v>
      </c>
      <c r="AY132" s="228">
        <v>286</v>
      </c>
      <c r="AZ132" s="229">
        <v>0.41949999999999998</v>
      </c>
      <c r="BA132" s="228">
        <v>706</v>
      </c>
      <c r="BB132" s="228">
        <v>296</v>
      </c>
      <c r="BC132" s="228">
        <v>409</v>
      </c>
      <c r="BD132" s="229">
        <v>1.383</v>
      </c>
      <c r="BE132" s="228">
        <v>22</v>
      </c>
      <c r="BF132" s="228">
        <v>19</v>
      </c>
      <c r="BG132" s="228">
        <v>4</v>
      </c>
      <c r="BH132" s="229">
        <v>0.1895</v>
      </c>
      <c r="BI132" s="230">
        <v>11160</v>
      </c>
      <c r="BJ132" s="230">
        <v>7924</v>
      </c>
      <c r="BK132" s="230">
        <v>3236</v>
      </c>
      <c r="BL132" s="229">
        <v>0.40839999999999999</v>
      </c>
      <c r="BM132" s="230">
        <v>6052</v>
      </c>
      <c r="BN132" s="230">
        <v>4788</v>
      </c>
      <c r="BO132" s="230">
        <v>1264</v>
      </c>
      <c r="BP132" s="229">
        <v>0.26390000000000002</v>
      </c>
      <c r="BQ132" s="230">
        <v>18909</v>
      </c>
      <c r="BR132" s="230">
        <v>13710</v>
      </c>
      <c r="BS132" s="230">
        <v>5199</v>
      </c>
      <c r="BT132" s="229">
        <v>0.37919999999999998</v>
      </c>
      <c r="BU132" s="230">
        <v>558014</v>
      </c>
      <c r="BV132" s="230">
        <v>500550</v>
      </c>
      <c r="BW132" s="230">
        <v>57464</v>
      </c>
      <c r="BX132" s="229">
        <v>0.1148</v>
      </c>
      <c r="BY132" s="230">
        <v>2609</v>
      </c>
      <c r="BZ132" s="230">
        <v>2661</v>
      </c>
      <c r="CA132" s="228">
        <v>-52</v>
      </c>
      <c r="CB132" s="229">
        <v>-1.9599999999999999E-2</v>
      </c>
      <c r="CC132" s="230">
        <v>1894</v>
      </c>
      <c r="CD132" s="230">
        <v>2338</v>
      </c>
      <c r="CE132" s="228">
        <v>-444</v>
      </c>
      <c r="CF132" s="229">
        <v>-0.19</v>
      </c>
      <c r="CG132" s="228">
        <v>687</v>
      </c>
      <c r="CH132" s="228">
        <v>302</v>
      </c>
      <c r="CI132" s="228">
        <v>385</v>
      </c>
      <c r="CJ132" s="229">
        <v>1.2756000000000001</v>
      </c>
      <c r="CK132" s="228">
        <v>28</v>
      </c>
      <c r="CL132" s="228">
        <v>21</v>
      </c>
      <c r="CM132" s="228">
        <v>7</v>
      </c>
      <c r="CN132" s="229">
        <v>0.3216</v>
      </c>
      <c r="CO132" s="230">
        <v>2589</v>
      </c>
      <c r="CP132" s="230">
        <v>2715</v>
      </c>
      <c r="CQ132" s="228">
        <v>-126</v>
      </c>
      <c r="CR132" s="229">
        <v>-4.6399999999999997E-2</v>
      </c>
      <c r="CS132" s="230">
        <v>1957</v>
      </c>
      <c r="CT132" s="230">
        <v>2111</v>
      </c>
      <c r="CU132" s="228">
        <v>-154</v>
      </c>
      <c r="CV132" s="229">
        <v>-7.2900000000000006E-2</v>
      </c>
      <c r="CW132" s="230">
        <v>7156</v>
      </c>
      <c r="CX132" s="230">
        <v>7488</v>
      </c>
      <c r="CY132" s="228">
        <v>-332</v>
      </c>
      <c r="CZ132" s="229">
        <v>-4.4299999999999999E-2</v>
      </c>
      <c r="DA132" s="228">
        <v>31.03</v>
      </c>
      <c r="DB132" s="228">
        <v>32.81</v>
      </c>
      <c r="DC132" s="228">
        <v>-1.78</v>
      </c>
      <c r="DD132" s="228">
        <v>-1.78</v>
      </c>
      <c r="DE132" s="228">
        <v>45.9</v>
      </c>
      <c r="DF132" s="228">
        <v>46</v>
      </c>
      <c r="DG132" s="228">
        <v>-14.87</v>
      </c>
      <c r="DH132" s="228">
        <v>-0.1</v>
      </c>
      <c r="DI132" s="228">
        <v>31.04</v>
      </c>
      <c r="DJ132" s="228">
        <v>31.04</v>
      </c>
      <c r="DK132" s="228">
        <v>0</v>
      </c>
      <c r="DL132" s="228">
        <v>0</v>
      </c>
      <c r="DM132" s="228">
        <v>31.01</v>
      </c>
      <c r="DN132" s="228">
        <v>35.729999999999997</v>
      </c>
      <c r="DO132" s="228">
        <v>-4.72</v>
      </c>
      <c r="DP132" s="228">
        <v>-4.72</v>
      </c>
      <c r="DQ132" s="228">
        <v>0.76</v>
      </c>
      <c r="DR132" s="228">
        <v>0.78</v>
      </c>
      <c r="DS132" s="228">
        <v>-0.02</v>
      </c>
      <c r="DT132" s="229">
        <v>-2.5600000000000001E-2</v>
      </c>
      <c r="DU132" s="231">
        <v>10000</v>
      </c>
      <c r="DV132" s="231">
        <v>9000</v>
      </c>
      <c r="DW132" s="228">
        <v>0.54</v>
      </c>
      <c r="DX132" s="228">
        <v>0.6</v>
      </c>
      <c r="DY132" s="228">
        <v>-0.06</v>
      </c>
      <c r="DZ132" s="229">
        <v>-0.1</v>
      </c>
      <c r="EA132" s="229">
        <v>0.27410000000000001</v>
      </c>
      <c r="EB132" s="230">
        <v>328000</v>
      </c>
      <c r="EC132" s="229">
        <v>6.4999999999999997E-3</v>
      </c>
      <c r="ED132" s="229">
        <v>0.27410000000000001</v>
      </c>
      <c r="EE132" s="228">
        <v>68.83</v>
      </c>
      <c r="EF132" s="229">
        <v>7.0000000000000001E-3</v>
      </c>
      <c r="EG132" s="230">
        <v>189171</v>
      </c>
      <c r="EH132" s="230">
        <v>160321</v>
      </c>
      <c r="EI132" s="229">
        <v>0.18</v>
      </c>
      <c r="EJ132" s="229">
        <v>0.33900000000000002</v>
      </c>
      <c r="EK132" s="231">
        <v>11538.33</v>
      </c>
      <c r="EL132" s="231">
        <v>5855.71</v>
      </c>
      <c r="EM132" s="231">
        <v>1708.99</v>
      </c>
      <c r="EN132" s="228">
        <v>68.92</v>
      </c>
      <c r="EO132" s="231">
        <v>19103.03</v>
      </c>
      <c r="EP132" s="231">
        <v>13689.47</v>
      </c>
      <c r="EQ132" s="231">
        <v>5413.56</v>
      </c>
      <c r="ER132" s="229">
        <v>0.39550000000000002</v>
      </c>
      <c r="ES132" s="231">
        <v>2629.44</v>
      </c>
      <c r="ET132" s="231">
        <v>1811.15</v>
      </c>
      <c r="EU132" s="231">
        <v>2614</v>
      </c>
      <c r="EV132" s="231">
        <v>7635422</v>
      </c>
      <c r="EW132" s="231">
        <v>7054.59</v>
      </c>
      <c r="EX132" s="231">
        <v>7326.69</v>
      </c>
      <c r="EY132" s="228">
        <v>-272.10000000000002</v>
      </c>
      <c r="EZ132" s="229">
        <v>-3.7100000000000001E-2</v>
      </c>
      <c r="FA132" s="229">
        <v>0.95150000000000001</v>
      </c>
      <c r="FB132" s="227" t="s">
        <v>556</v>
      </c>
      <c r="FC132">
        <f t="shared" si="2"/>
        <v>715</v>
      </c>
    </row>
    <row r="133" spans="1:159" ht="17.25" thickBot="1" x14ac:dyDescent="0.3">
      <c r="A133" s="226">
        <v>45981</v>
      </c>
      <c r="B133" s="227" t="s">
        <v>175</v>
      </c>
      <c r="C133" s="227" t="s">
        <v>257</v>
      </c>
      <c r="D133" s="228">
        <v>400</v>
      </c>
      <c r="E133" s="228">
        <v>5</v>
      </c>
      <c r="F133" s="231">
        <v>1692.4</v>
      </c>
      <c r="G133" s="231">
        <v>1672.2</v>
      </c>
      <c r="H133" s="228">
        <v>20.2</v>
      </c>
      <c r="I133" s="229">
        <v>1.21E-2</v>
      </c>
      <c r="J133" s="231">
        <v>1692.6</v>
      </c>
      <c r="K133" s="231">
        <v>1668</v>
      </c>
      <c r="L133" s="228">
        <v>24.6</v>
      </c>
      <c r="M133" s="229">
        <v>1.47E-2</v>
      </c>
      <c r="N133" s="231">
        <v>1692.4</v>
      </c>
      <c r="O133" s="231">
        <v>1672.2</v>
      </c>
      <c r="P133" s="228">
        <v>20.2</v>
      </c>
      <c r="Q133" s="229">
        <v>1.21E-2</v>
      </c>
      <c r="R133" s="231">
        <v>1704.9</v>
      </c>
      <c r="S133" s="231">
        <v>1681.2</v>
      </c>
      <c r="T133" s="228">
        <v>23.7</v>
      </c>
      <c r="U133" s="229">
        <v>1.41E-2</v>
      </c>
      <c r="V133" s="231">
        <v>1717</v>
      </c>
      <c r="W133" s="231">
        <v>1688.9</v>
      </c>
      <c r="X133" s="228">
        <v>28.1</v>
      </c>
      <c r="Y133" s="229">
        <v>1.66E-2</v>
      </c>
      <c r="Z133" s="228">
        <v>-0.2</v>
      </c>
      <c r="AA133" s="228">
        <v>4.2</v>
      </c>
      <c r="AB133" s="228">
        <v>-4.4000000000000004</v>
      </c>
      <c r="AC133" s="229">
        <v>-1E-4</v>
      </c>
      <c r="AD133" s="228">
        <v>-0.2</v>
      </c>
      <c r="AE133" s="228">
        <v>4.2</v>
      </c>
      <c r="AF133" s="228">
        <v>-4.4000000000000004</v>
      </c>
      <c r="AG133" s="229">
        <v>-1E-4</v>
      </c>
      <c r="AH133" s="228">
        <v>12.3</v>
      </c>
      <c r="AI133" s="228">
        <v>13.2</v>
      </c>
      <c r="AJ133" s="228">
        <v>-0.9</v>
      </c>
      <c r="AK133" s="229">
        <v>7.3000000000000001E-3</v>
      </c>
      <c r="AL133" s="228">
        <v>24.4</v>
      </c>
      <c r="AM133" s="228">
        <v>20.9</v>
      </c>
      <c r="AN133" s="228">
        <v>3.5</v>
      </c>
      <c r="AO133" s="229">
        <v>1.44E-2</v>
      </c>
      <c r="AP133" s="231">
        <v>1690.64</v>
      </c>
      <c r="AQ133" s="231">
        <v>1703.04</v>
      </c>
      <c r="AR133" s="228">
        <v>0</v>
      </c>
      <c r="AS133" s="228">
        <v>993</v>
      </c>
      <c r="AT133" s="228">
        <v>102</v>
      </c>
      <c r="AU133" s="228">
        <v>891</v>
      </c>
      <c r="AV133" s="229">
        <v>8.7356999999999996</v>
      </c>
      <c r="AW133" s="228">
        <v>560</v>
      </c>
      <c r="AX133" s="228">
        <v>79</v>
      </c>
      <c r="AY133" s="228">
        <v>482</v>
      </c>
      <c r="AZ133" s="229">
        <v>6.1275000000000004</v>
      </c>
      <c r="BA133" s="228">
        <v>432</v>
      </c>
      <c r="BB133" s="228">
        <v>23</v>
      </c>
      <c r="BC133" s="228">
        <v>409</v>
      </c>
      <c r="BD133" s="229">
        <v>17.808299999999999</v>
      </c>
      <c r="BE133" s="228">
        <v>1</v>
      </c>
      <c r="BF133" s="228">
        <v>0</v>
      </c>
      <c r="BG133" s="228">
        <v>0</v>
      </c>
      <c r="BH133" s="229">
        <v>0.83330000000000004</v>
      </c>
      <c r="BI133" s="230">
        <v>1378</v>
      </c>
      <c r="BJ133" s="228">
        <v>448</v>
      </c>
      <c r="BK133" s="228">
        <v>930</v>
      </c>
      <c r="BL133" s="229">
        <v>2.0779000000000001</v>
      </c>
      <c r="BM133" s="228">
        <v>524</v>
      </c>
      <c r="BN133" s="228">
        <v>233</v>
      </c>
      <c r="BO133" s="228">
        <v>291</v>
      </c>
      <c r="BP133" s="229">
        <v>1.2464</v>
      </c>
      <c r="BQ133" s="230">
        <v>2895</v>
      </c>
      <c r="BR133" s="228">
        <v>783</v>
      </c>
      <c r="BS133" s="230">
        <v>2112</v>
      </c>
      <c r="BT133" s="229">
        <v>2.6970000000000001</v>
      </c>
      <c r="BU133" s="230">
        <v>523210</v>
      </c>
      <c r="BV133" s="230">
        <v>615031</v>
      </c>
      <c r="BW133" s="230">
        <v>-91821</v>
      </c>
      <c r="BX133" s="229">
        <v>-0.14929999999999999</v>
      </c>
      <c r="BY133" s="230">
        <v>1210</v>
      </c>
      <c r="BZ133" s="230">
        <v>1174</v>
      </c>
      <c r="CA133" s="228">
        <v>36</v>
      </c>
      <c r="CB133" s="229">
        <v>3.04E-2</v>
      </c>
      <c r="CC133" s="228">
        <v>813</v>
      </c>
      <c r="CD133" s="230">
        <v>1138</v>
      </c>
      <c r="CE133" s="228">
        <v>-325</v>
      </c>
      <c r="CF133" s="229">
        <v>-0.2853</v>
      </c>
      <c r="CG133" s="228">
        <v>395</v>
      </c>
      <c r="CH133" s="228">
        <v>35</v>
      </c>
      <c r="CI133" s="228">
        <v>360</v>
      </c>
      <c r="CJ133" s="229">
        <v>10.3645</v>
      </c>
      <c r="CK133" s="228">
        <v>2</v>
      </c>
      <c r="CL133" s="228">
        <v>2</v>
      </c>
      <c r="CM133" s="228">
        <v>0</v>
      </c>
      <c r="CN133" s="229">
        <v>0.14810000000000001</v>
      </c>
      <c r="CO133" s="228">
        <v>346</v>
      </c>
      <c r="CP133" s="228">
        <v>318</v>
      </c>
      <c r="CQ133" s="228">
        <v>27</v>
      </c>
      <c r="CR133" s="229">
        <v>8.6300000000000002E-2</v>
      </c>
      <c r="CS133" s="228">
        <v>230</v>
      </c>
      <c r="CT133" s="228">
        <v>218</v>
      </c>
      <c r="CU133" s="228">
        <v>12</v>
      </c>
      <c r="CV133" s="229">
        <v>5.4699999999999999E-2</v>
      </c>
      <c r="CW133" s="230">
        <v>1785</v>
      </c>
      <c r="CX133" s="230">
        <v>1710</v>
      </c>
      <c r="CY133" s="228">
        <v>75</v>
      </c>
      <c r="CZ133" s="229">
        <v>4.3900000000000002E-2</v>
      </c>
      <c r="DA133" s="228">
        <v>25.11</v>
      </c>
      <c r="DB133" s="228">
        <v>25.47</v>
      </c>
      <c r="DC133" s="228">
        <v>-0.36</v>
      </c>
      <c r="DD133" s="228">
        <v>-0.36</v>
      </c>
      <c r="DE133" s="228">
        <v>30.61</v>
      </c>
      <c r="DF133" s="228">
        <v>30.64</v>
      </c>
      <c r="DG133" s="228">
        <v>-5.5</v>
      </c>
      <c r="DH133" s="228">
        <v>-0.03</v>
      </c>
      <c r="DI133" s="228">
        <v>24.97</v>
      </c>
      <c r="DJ133" s="228">
        <v>25.67</v>
      </c>
      <c r="DK133" s="228">
        <v>-0.7</v>
      </c>
      <c r="DL133" s="228">
        <v>-0.7</v>
      </c>
      <c r="DM133" s="228">
        <v>25.77</v>
      </c>
      <c r="DN133" s="228">
        <v>25.07</v>
      </c>
      <c r="DO133" s="228">
        <v>0.7</v>
      </c>
      <c r="DP133" s="228">
        <v>0.7</v>
      </c>
      <c r="DQ133" s="228">
        <v>0.66</v>
      </c>
      <c r="DR133" s="228">
        <v>0.68</v>
      </c>
      <c r="DS133" s="228">
        <v>-0.02</v>
      </c>
      <c r="DT133" s="229">
        <v>-2.9399999999999999E-2</v>
      </c>
      <c r="DU133" s="231">
        <v>1700</v>
      </c>
      <c r="DV133" s="231">
        <v>1620</v>
      </c>
      <c r="DW133" s="228">
        <v>0.38</v>
      </c>
      <c r="DX133" s="228">
        <v>0.52</v>
      </c>
      <c r="DY133" s="228">
        <v>-0.14000000000000001</v>
      </c>
      <c r="DZ133" s="229">
        <v>-0.26919999999999999</v>
      </c>
      <c r="EA133" s="229">
        <v>0.32790000000000002</v>
      </c>
      <c r="EB133" s="230">
        <v>216000</v>
      </c>
      <c r="EC133" s="229">
        <v>7.4000000000000003E-3</v>
      </c>
      <c r="ED133" s="229">
        <v>0.32790000000000002</v>
      </c>
      <c r="EE133" s="228">
        <v>12.4</v>
      </c>
      <c r="EF133" s="229">
        <v>7.3000000000000001E-3</v>
      </c>
      <c r="EG133" s="230">
        <v>235215</v>
      </c>
      <c r="EH133" s="230">
        <v>478769</v>
      </c>
      <c r="EI133" s="229">
        <v>-0.50870000000000004</v>
      </c>
      <c r="EJ133" s="229">
        <v>0.4496</v>
      </c>
      <c r="EK133" s="231">
        <v>1410.33</v>
      </c>
      <c r="EL133" s="228">
        <v>516.58000000000004</v>
      </c>
      <c r="EM133" s="228">
        <v>994.7</v>
      </c>
      <c r="EN133" s="228">
        <v>22.26</v>
      </c>
      <c r="EO133" s="231">
        <v>2921.61</v>
      </c>
      <c r="EP133" s="228">
        <v>786.02</v>
      </c>
      <c r="EQ133" s="231">
        <v>2135.58</v>
      </c>
      <c r="ER133" s="229">
        <v>2.7170000000000001</v>
      </c>
      <c r="ES133" s="228">
        <v>352.86</v>
      </c>
      <c r="ET133" s="228">
        <v>217.62</v>
      </c>
      <c r="EU133" s="231">
        <v>1212.8800000000001</v>
      </c>
      <c r="EV133" s="231">
        <v>34712157</v>
      </c>
      <c r="EW133" s="231">
        <v>1783.35</v>
      </c>
      <c r="EX133" s="231">
        <v>1690.17</v>
      </c>
      <c r="EY133" s="228">
        <v>93.18</v>
      </c>
      <c r="EZ133" s="229">
        <v>5.5100000000000003E-2</v>
      </c>
      <c r="FA133" s="229">
        <v>0.3039</v>
      </c>
      <c r="FB133" s="227" t="s">
        <v>555</v>
      </c>
      <c r="FC133">
        <f t="shared" si="2"/>
        <v>397</v>
      </c>
    </row>
    <row r="134" spans="1:159" ht="17.25" thickBot="1" x14ac:dyDescent="0.3">
      <c r="A134" s="226">
        <v>45981</v>
      </c>
      <c r="B134" s="227" t="s">
        <v>181</v>
      </c>
      <c r="C134" s="227" t="s">
        <v>563</v>
      </c>
      <c r="D134" s="228">
        <v>140</v>
      </c>
      <c r="E134" s="228">
        <v>5</v>
      </c>
      <c r="F134" s="231">
        <v>14007.25</v>
      </c>
      <c r="G134" s="231">
        <v>14025.65</v>
      </c>
      <c r="H134" s="228">
        <v>-18.399999999999999</v>
      </c>
      <c r="I134" s="229">
        <v>-1.2999999999999999E-3</v>
      </c>
      <c r="J134" s="231">
        <v>13992.2</v>
      </c>
      <c r="K134" s="231">
        <v>14000.6</v>
      </c>
      <c r="L134" s="228">
        <v>-8.4</v>
      </c>
      <c r="M134" s="229">
        <v>-5.9999999999999995E-4</v>
      </c>
      <c r="N134" s="231">
        <v>14007.25</v>
      </c>
      <c r="O134" s="231">
        <v>14025.65</v>
      </c>
      <c r="P134" s="228">
        <v>-18.399999999999999</v>
      </c>
      <c r="Q134" s="229">
        <v>-1.2999999999999999E-3</v>
      </c>
      <c r="R134" s="231">
        <v>14074.65</v>
      </c>
      <c r="S134" s="231">
        <v>14102.5</v>
      </c>
      <c r="T134" s="228">
        <v>-27.85</v>
      </c>
      <c r="U134" s="229">
        <v>-2E-3</v>
      </c>
      <c r="V134" s="231">
        <v>14151.15</v>
      </c>
      <c r="W134" s="231">
        <v>14160.55</v>
      </c>
      <c r="X134" s="228">
        <v>-9.4</v>
      </c>
      <c r="Y134" s="229">
        <v>-6.9999999999999999E-4</v>
      </c>
      <c r="Z134" s="228">
        <v>15.05</v>
      </c>
      <c r="AA134" s="228">
        <v>25.05</v>
      </c>
      <c r="AB134" s="228">
        <v>-10</v>
      </c>
      <c r="AC134" s="229">
        <v>1.1000000000000001E-3</v>
      </c>
      <c r="AD134" s="228">
        <v>15.05</v>
      </c>
      <c r="AE134" s="228">
        <v>25.05</v>
      </c>
      <c r="AF134" s="228">
        <v>-10</v>
      </c>
      <c r="AG134" s="229">
        <v>1.1000000000000001E-3</v>
      </c>
      <c r="AH134" s="228">
        <v>82.45</v>
      </c>
      <c r="AI134" s="228">
        <v>101.9</v>
      </c>
      <c r="AJ134" s="228">
        <v>-19.45</v>
      </c>
      <c r="AK134" s="229">
        <v>5.8999999999999999E-3</v>
      </c>
      <c r="AL134" s="228">
        <v>158.94999999999999</v>
      </c>
      <c r="AM134" s="228">
        <v>159.94999999999999</v>
      </c>
      <c r="AN134" s="228">
        <v>-1</v>
      </c>
      <c r="AO134" s="229">
        <v>1.14E-2</v>
      </c>
      <c r="AP134" s="231">
        <v>14058.48</v>
      </c>
      <c r="AQ134" s="231">
        <v>14128.75</v>
      </c>
      <c r="AR134" s="228">
        <v>0</v>
      </c>
      <c r="AS134" s="230">
        <v>2805</v>
      </c>
      <c r="AT134" s="228">
        <v>897</v>
      </c>
      <c r="AU134" s="230">
        <v>1908</v>
      </c>
      <c r="AV134" s="229">
        <v>2.1282000000000001</v>
      </c>
      <c r="AW134" s="230">
        <v>1852</v>
      </c>
      <c r="AX134" s="228">
        <v>769</v>
      </c>
      <c r="AY134" s="230">
        <v>1083</v>
      </c>
      <c r="AZ134" s="229">
        <v>1.4092</v>
      </c>
      <c r="BA134" s="228">
        <v>940</v>
      </c>
      <c r="BB134" s="228">
        <v>118</v>
      </c>
      <c r="BC134" s="228">
        <v>822</v>
      </c>
      <c r="BD134" s="229">
        <v>6.9717000000000002</v>
      </c>
      <c r="BE134" s="228">
        <v>13</v>
      </c>
      <c r="BF134" s="228">
        <v>10</v>
      </c>
      <c r="BG134" s="228">
        <v>3</v>
      </c>
      <c r="BH134" s="229">
        <v>0.31369999999999998</v>
      </c>
      <c r="BI134" s="230">
        <v>54643</v>
      </c>
      <c r="BJ134" s="230">
        <v>46836</v>
      </c>
      <c r="BK134" s="230">
        <v>7807</v>
      </c>
      <c r="BL134" s="229">
        <v>0.16669999999999999</v>
      </c>
      <c r="BM134" s="230">
        <v>57438</v>
      </c>
      <c r="BN134" s="230">
        <v>54664</v>
      </c>
      <c r="BO134" s="230">
        <v>2774</v>
      </c>
      <c r="BP134" s="229">
        <v>5.0799999999999998E-2</v>
      </c>
      <c r="BQ134" s="230">
        <v>114886</v>
      </c>
      <c r="BR134" s="230">
        <v>102397</v>
      </c>
      <c r="BS134" s="230">
        <v>12489</v>
      </c>
      <c r="BT134" s="229">
        <v>0.122</v>
      </c>
      <c r="BU134" s="228">
        <v>0</v>
      </c>
      <c r="BV134" s="228">
        <v>0</v>
      </c>
      <c r="BW134" s="228">
        <v>0</v>
      </c>
      <c r="BX134" s="229">
        <v>0</v>
      </c>
      <c r="BY134" s="230">
        <v>4231</v>
      </c>
      <c r="BZ134" s="230">
        <v>4854</v>
      </c>
      <c r="CA134" s="228">
        <v>-622</v>
      </c>
      <c r="CB134" s="229">
        <v>-0.12820000000000001</v>
      </c>
      <c r="CC134" s="230">
        <v>3301</v>
      </c>
      <c r="CD134" s="230">
        <v>4616</v>
      </c>
      <c r="CE134" s="230">
        <v>-1315</v>
      </c>
      <c r="CF134" s="229">
        <v>-0.28489999999999999</v>
      </c>
      <c r="CG134" s="228">
        <v>903</v>
      </c>
      <c r="CH134" s="228">
        <v>215</v>
      </c>
      <c r="CI134" s="228">
        <v>689</v>
      </c>
      <c r="CJ134" s="229">
        <v>3.2101999999999999</v>
      </c>
      <c r="CK134" s="228">
        <v>27</v>
      </c>
      <c r="CL134" s="228">
        <v>23</v>
      </c>
      <c r="CM134" s="228">
        <v>4</v>
      </c>
      <c r="CN134" s="229">
        <v>0.16669999999999999</v>
      </c>
      <c r="CO134" s="230">
        <v>14950</v>
      </c>
      <c r="CP134" s="230">
        <v>14540</v>
      </c>
      <c r="CQ134" s="228">
        <v>410</v>
      </c>
      <c r="CR134" s="229">
        <v>2.8199999999999999E-2</v>
      </c>
      <c r="CS134" s="230">
        <v>16469</v>
      </c>
      <c r="CT134" s="230">
        <v>17411</v>
      </c>
      <c r="CU134" s="228">
        <v>-942</v>
      </c>
      <c r="CV134" s="229">
        <v>-5.4100000000000002E-2</v>
      </c>
      <c r="CW134" s="230">
        <v>35651</v>
      </c>
      <c r="CX134" s="230">
        <v>36806</v>
      </c>
      <c r="CY134" s="230">
        <v>-1155</v>
      </c>
      <c r="CZ134" s="229">
        <v>-3.1399999999999997E-2</v>
      </c>
      <c r="DA134" s="228">
        <v>15.37</v>
      </c>
      <c r="DB134" s="228">
        <v>17.28</v>
      </c>
      <c r="DC134" s="228">
        <v>-1.91</v>
      </c>
      <c r="DD134" s="228">
        <v>-1.91</v>
      </c>
      <c r="DE134" s="228">
        <v>22.11</v>
      </c>
      <c r="DF134" s="228">
        <v>22.16</v>
      </c>
      <c r="DG134" s="228">
        <v>-6.74</v>
      </c>
      <c r="DH134" s="228">
        <v>-0.05</v>
      </c>
      <c r="DI134" s="228">
        <v>14.91</v>
      </c>
      <c r="DJ134" s="228">
        <v>15.81</v>
      </c>
      <c r="DK134" s="228">
        <v>-0.9</v>
      </c>
      <c r="DL134" s="228">
        <v>-0.9</v>
      </c>
      <c r="DM134" s="228">
        <v>15.94</v>
      </c>
      <c r="DN134" s="228">
        <v>18.55</v>
      </c>
      <c r="DO134" s="228">
        <v>-2.61</v>
      </c>
      <c r="DP134" s="228">
        <v>-2.61</v>
      </c>
      <c r="DQ134" s="228">
        <v>1.1000000000000001</v>
      </c>
      <c r="DR134" s="228">
        <v>1.2</v>
      </c>
      <c r="DS134" s="228">
        <v>-0.1</v>
      </c>
      <c r="DT134" s="229">
        <v>-8.3299999999999999E-2</v>
      </c>
      <c r="DU134" s="231">
        <v>14000</v>
      </c>
      <c r="DV134" s="231">
        <v>13500</v>
      </c>
      <c r="DW134" s="228">
        <v>1.05</v>
      </c>
      <c r="DX134" s="228">
        <v>1.17</v>
      </c>
      <c r="DY134" s="228">
        <v>-0.12</v>
      </c>
      <c r="DZ134" s="229">
        <v>-0.1026</v>
      </c>
      <c r="EA134" s="229">
        <v>0.21990000000000001</v>
      </c>
      <c r="EB134" s="230">
        <v>169720</v>
      </c>
      <c r="EC134" s="229">
        <v>4.7999999999999996E-3</v>
      </c>
      <c r="ED134" s="229">
        <v>0.21990000000000001</v>
      </c>
      <c r="EE134" s="228">
        <v>70.27</v>
      </c>
      <c r="EF134" s="229">
        <v>5.0000000000000001E-3</v>
      </c>
      <c r="EG134" s="228">
        <v>0</v>
      </c>
      <c r="EH134" s="228">
        <v>0</v>
      </c>
      <c r="EI134" s="229">
        <v>0</v>
      </c>
      <c r="EJ134" s="229">
        <v>0</v>
      </c>
      <c r="EK134" s="231">
        <v>55666.63</v>
      </c>
      <c r="EL134" s="231">
        <v>56614.5</v>
      </c>
      <c r="EM134" s="231">
        <v>2817.83</v>
      </c>
      <c r="EN134" s="228">
        <v>0</v>
      </c>
      <c r="EO134" s="231">
        <v>115098.97</v>
      </c>
      <c r="EP134" s="231">
        <v>102188.34</v>
      </c>
      <c r="EQ134" s="231">
        <v>12910.63</v>
      </c>
      <c r="ER134" s="229">
        <v>0.1263</v>
      </c>
      <c r="ES134" s="231">
        <v>15066.21</v>
      </c>
      <c r="ET134" s="231">
        <v>15861.91</v>
      </c>
      <c r="EU134" s="231">
        <v>4235.91</v>
      </c>
      <c r="EV134" s="228">
        <v>0</v>
      </c>
      <c r="EW134" s="231">
        <v>35164.019999999997</v>
      </c>
      <c r="EX134" s="231">
        <v>36212</v>
      </c>
      <c r="EY134" s="231">
        <v>-1047.98</v>
      </c>
      <c r="EZ134" s="229">
        <v>-2.8899999999999999E-2</v>
      </c>
      <c r="FA134" s="229">
        <v>0</v>
      </c>
      <c r="FB134" s="227" t="s">
        <v>568</v>
      </c>
      <c r="FC134">
        <f t="shared" si="2"/>
        <v>930</v>
      </c>
    </row>
    <row r="135" spans="1:159" ht="17.25" thickBot="1" x14ac:dyDescent="0.3">
      <c r="A135" s="226">
        <v>45981</v>
      </c>
      <c r="B135" s="227" t="s">
        <v>162</v>
      </c>
      <c r="C135" s="227" t="s">
        <v>559</v>
      </c>
      <c r="D135" s="228">
        <v>6150</v>
      </c>
      <c r="E135" s="228">
        <v>5</v>
      </c>
      <c r="F135" s="228">
        <v>111.95</v>
      </c>
      <c r="G135" s="228">
        <v>112.16</v>
      </c>
      <c r="H135" s="228">
        <v>-0.21</v>
      </c>
      <c r="I135" s="229">
        <v>-1.9E-3</v>
      </c>
      <c r="J135" s="228">
        <v>112</v>
      </c>
      <c r="K135" s="228">
        <v>112.16</v>
      </c>
      <c r="L135" s="228">
        <v>-0.16</v>
      </c>
      <c r="M135" s="229">
        <v>-1.4E-3</v>
      </c>
      <c r="N135" s="228">
        <v>111.95</v>
      </c>
      <c r="O135" s="228">
        <v>112.16</v>
      </c>
      <c r="P135" s="228">
        <v>-0.21</v>
      </c>
      <c r="Q135" s="229">
        <v>-1.9E-3</v>
      </c>
      <c r="R135" s="228">
        <v>112.7</v>
      </c>
      <c r="S135" s="228">
        <v>112.97</v>
      </c>
      <c r="T135" s="228">
        <v>-0.27</v>
      </c>
      <c r="U135" s="229">
        <v>-2.3999999999999998E-3</v>
      </c>
      <c r="V135" s="228">
        <v>113.42</v>
      </c>
      <c r="W135" s="228">
        <v>113.84</v>
      </c>
      <c r="X135" s="228">
        <v>-0.42</v>
      </c>
      <c r="Y135" s="229">
        <v>-3.7000000000000002E-3</v>
      </c>
      <c r="Z135" s="228">
        <v>-0.05</v>
      </c>
      <c r="AA135" s="228">
        <v>0</v>
      </c>
      <c r="AB135" s="228">
        <v>-0.05</v>
      </c>
      <c r="AC135" s="229">
        <v>-4.0000000000000002E-4</v>
      </c>
      <c r="AD135" s="228">
        <v>-0.05</v>
      </c>
      <c r="AE135" s="228">
        <v>0</v>
      </c>
      <c r="AF135" s="228">
        <v>-0.05</v>
      </c>
      <c r="AG135" s="229">
        <v>-4.0000000000000002E-4</v>
      </c>
      <c r="AH135" s="228">
        <v>0.7</v>
      </c>
      <c r="AI135" s="228">
        <v>0.81</v>
      </c>
      <c r="AJ135" s="228">
        <v>-0.11</v>
      </c>
      <c r="AK135" s="229">
        <v>6.3E-3</v>
      </c>
      <c r="AL135" s="228">
        <v>1.42</v>
      </c>
      <c r="AM135" s="228">
        <v>1.68</v>
      </c>
      <c r="AN135" s="228">
        <v>-0.26</v>
      </c>
      <c r="AO135" s="229">
        <v>1.2699999999999999E-2</v>
      </c>
      <c r="AP135" s="228">
        <v>112.36</v>
      </c>
      <c r="AQ135" s="228">
        <v>113.13</v>
      </c>
      <c r="AR135" s="228">
        <v>0</v>
      </c>
      <c r="AS135" s="230">
        <v>1012</v>
      </c>
      <c r="AT135" s="228">
        <v>746</v>
      </c>
      <c r="AU135" s="228">
        <v>267</v>
      </c>
      <c r="AV135" s="229">
        <v>0.35799999999999998</v>
      </c>
      <c r="AW135" s="228">
        <v>543</v>
      </c>
      <c r="AX135" s="228">
        <v>527</v>
      </c>
      <c r="AY135" s="228">
        <v>17</v>
      </c>
      <c r="AZ135" s="229">
        <v>3.15E-2</v>
      </c>
      <c r="BA135" s="228">
        <v>458</v>
      </c>
      <c r="BB135" s="228">
        <v>204</v>
      </c>
      <c r="BC135" s="228">
        <v>255</v>
      </c>
      <c r="BD135" s="229">
        <v>1.2513000000000001</v>
      </c>
      <c r="BE135" s="228">
        <v>11</v>
      </c>
      <c r="BF135" s="228">
        <v>15</v>
      </c>
      <c r="BG135" s="228">
        <v>-4</v>
      </c>
      <c r="BH135" s="229">
        <v>-0.28960000000000002</v>
      </c>
      <c r="BI135" s="230">
        <v>1028</v>
      </c>
      <c r="BJ135" s="230">
        <v>3633</v>
      </c>
      <c r="BK135" s="230">
        <v>-2606</v>
      </c>
      <c r="BL135" s="229">
        <v>-0.71709999999999996</v>
      </c>
      <c r="BM135" s="228">
        <v>411</v>
      </c>
      <c r="BN135" s="230">
        <v>1245</v>
      </c>
      <c r="BO135" s="228">
        <v>-833</v>
      </c>
      <c r="BP135" s="229">
        <v>-0.66949999999999998</v>
      </c>
      <c r="BQ135" s="230">
        <v>2452</v>
      </c>
      <c r="BR135" s="230">
        <v>5624</v>
      </c>
      <c r="BS135" s="230">
        <v>-3172</v>
      </c>
      <c r="BT135" s="229">
        <v>-0.56399999999999995</v>
      </c>
      <c r="BU135" s="230">
        <v>15575625</v>
      </c>
      <c r="BV135" s="230">
        <v>34969356</v>
      </c>
      <c r="BW135" s="230">
        <v>-19393731</v>
      </c>
      <c r="BX135" s="229">
        <v>-0.55459999999999998</v>
      </c>
      <c r="BY135" s="230">
        <v>1945</v>
      </c>
      <c r="BZ135" s="230">
        <v>1966</v>
      </c>
      <c r="CA135" s="228">
        <v>-21</v>
      </c>
      <c r="CB135" s="229">
        <v>-1.0800000000000001E-2</v>
      </c>
      <c r="CC135" s="230">
        <v>1334</v>
      </c>
      <c r="CD135" s="230">
        <v>1720</v>
      </c>
      <c r="CE135" s="228">
        <v>-386</v>
      </c>
      <c r="CF135" s="229">
        <v>-0.22439999999999999</v>
      </c>
      <c r="CG135" s="228">
        <v>588</v>
      </c>
      <c r="CH135" s="228">
        <v>227</v>
      </c>
      <c r="CI135" s="228">
        <v>361</v>
      </c>
      <c r="CJ135" s="229">
        <v>1.5915999999999999</v>
      </c>
      <c r="CK135" s="228">
        <v>23</v>
      </c>
      <c r="CL135" s="228">
        <v>19</v>
      </c>
      <c r="CM135" s="228">
        <v>4</v>
      </c>
      <c r="CN135" s="229">
        <v>0.2014</v>
      </c>
      <c r="CO135" s="230">
        <v>1066</v>
      </c>
      <c r="CP135" s="230">
        <v>1101</v>
      </c>
      <c r="CQ135" s="228">
        <v>-35</v>
      </c>
      <c r="CR135" s="229">
        <v>-3.1800000000000002E-2</v>
      </c>
      <c r="CS135" s="228">
        <v>652</v>
      </c>
      <c r="CT135" s="228">
        <v>661</v>
      </c>
      <c r="CU135" s="228">
        <v>-9</v>
      </c>
      <c r="CV135" s="229">
        <v>-1.34E-2</v>
      </c>
      <c r="CW135" s="230">
        <v>3663</v>
      </c>
      <c r="CX135" s="230">
        <v>3729</v>
      </c>
      <c r="CY135" s="228">
        <v>-65</v>
      </c>
      <c r="CZ135" s="229">
        <v>-1.7500000000000002E-2</v>
      </c>
      <c r="DA135" s="228">
        <v>31.37</v>
      </c>
      <c r="DB135" s="228">
        <v>32.39</v>
      </c>
      <c r="DC135" s="228">
        <v>-1.02</v>
      </c>
      <c r="DD135" s="228">
        <v>-1.02</v>
      </c>
      <c r="DE135" s="228">
        <v>39.78</v>
      </c>
      <c r="DF135" s="228">
        <v>39.880000000000003</v>
      </c>
      <c r="DG135" s="228">
        <v>-8.41</v>
      </c>
      <c r="DH135" s="228">
        <v>-0.1</v>
      </c>
      <c r="DI135" s="228">
        <v>31.43</v>
      </c>
      <c r="DJ135" s="228">
        <v>32.11</v>
      </c>
      <c r="DK135" s="228">
        <v>-0.68</v>
      </c>
      <c r="DL135" s="228">
        <v>-0.68</v>
      </c>
      <c r="DM135" s="228">
        <v>31.21</v>
      </c>
      <c r="DN135" s="228">
        <v>33.22</v>
      </c>
      <c r="DO135" s="228">
        <v>-2.0099999999999998</v>
      </c>
      <c r="DP135" s="228">
        <v>-2.0099999999999998</v>
      </c>
      <c r="DQ135" s="228">
        <v>0.61</v>
      </c>
      <c r="DR135" s="228">
        <v>0.6</v>
      </c>
      <c r="DS135" s="228">
        <v>0.01</v>
      </c>
      <c r="DT135" s="229">
        <v>1.67E-2</v>
      </c>
      <c r="DU135" s="228">
        <v>115</v>
      </c>
      <c r="DV135" s="228">
        <v>105</v>
      </c>
      <c r="DW135" s="228">
        <v>0.4</v>
      </c>
      <c r="DX135" s="228">
        <v>0.34</v>
      </c>
      <c r="DY135" s="228">
        <v>0.06</v>
      </c>
      <c r="DZ135" s="229">
        <v>0.17649999999999999</v>
      </c>
      <c r="EA135" s="229">
        <v>0.31409999999999999</v>
      </c>
      <c r="EB135" s="230">
        <v>21992400</v>
      </c>
      <c r="EC135" s="229">
        <v>6.7000000000000002E-3</v>
      </c>
      <c r="ED135" s="229">
        <v>0.31409999999999999</v>
      </c>
      <c r="EE135" s="228">
        <v>0.77</v>
      </c>
      <c r="EF135" s="229">
        <v>6.8999999999999999E-3</v>
      </c>
      <c r="EG135" s="230">
        <v>6672081</v>
      </c>
      <c r="EH135" s="230">
        <v>10591405</v>
      </c>
      <c r="EI135" s="229">
        <v>-0.37</v>
      </c>
      <c r="EJ135" s="229">
        <v>0.4284</v>
      </c>
      <c r="EK135" s="231">
        <v>1067.19</v>
      </c>
      <c r="EL135" s="228">
        <v>404.01</v>
      </c>
      <c r="EM135" s="231">
        <v>1019.51</v>
      </c>
      <c r="EN135" s="228">
        <v>114.44</v>
      </c>
      <c r="EO135" s="231">
        <v>2490.71</v>
      </c>
      <c r="EP135" s="231">
        <v>5701.35</v>
      </c>
      <c r="EQ135" s="231">
        <v>-3210.65</v>
      </c>
      <c r="ER135" s="229">
        <v>-0.56310000000000004</v>
      </c>
      <c r="ES135" s="231">
        <v>1086.1600000000001</v>
      </c>
      <c r="ET135" s="228">
        <v>612.91</v>
      </c>
      <c r="EU135" s="231">
        <v>1949.37</v>
      </c>
      <c r="EV135" s="231">
        <v>542522848</v>
      </c>
      <c r="EW135" s="231">
        <v>3648.44</v>
      </c>
      <c r="EX135" s="231">
        <v>3712.39</v>
      </c>
      <c r="EY135" s="228">
        <v>-63.95</v>
      </c>
      <c r="EZ135" s="229">
        <v>-1.72E-2</v>
      </c>
      <c r="FA135" s="229">
        <v>0.60319999999999996</v>
      </c>
      <c r="FB135" s="227" t="s">
        <v>568</v>
      </c>
      <c r="FC135">
        <f t="shared" si="2"/>
        <v>611</v>
      </c>
    </row>
    <row r="136" spans="1:159" ht="17.25" thickBot="1" x14ac:dyDescent="0.3">
      <c r="A136" s="226">
        <v>45981</v>
      </c>
      <c r="B136" s="227" t="s">
        <v>221</v>
      </c>
      <c r="C136" s="227" t="s">
        <v>487</v>
      </c>
      <c r="D136" s="228">
        <v>275</v>
      </c>
      <c r="E136" s="228">
        <v>5</v>
      </c>
      <c r="F136" s="231">
        <v>2744.2</v>
      </c>
      <c r="G136" s="231">
        <v>2715</v>
      </c>
      <c r="H136" s="228">
        <v>29.2</v>
      </c>
      <c r="I136" s="229">
        <v>1.0800000000000001E-2</v>
      </c>
      <c r="J136" s="231">
        <v>2740.4</v>
      </c>
      <c r="K136" s="231">
        <v>2713.7</v>
      </c>
      <c r="L136" s="228">
        <v>26.7</v>
      </c>
      <c r="M136" s="229">
        <v>9.7999999999999997E-3</v>
      </c>
      <c r="N136" s="231">
        <v>2744.2</v>
      </c>
      <c r="O136" s="231">
        <v>2715</v>
      </c>
      <c r="P136" s="228">
        <v>29.2</v>
      </c>
      <c r="Q136" s="229">
        <v>1.0800000000000001E-2</v>
      </c>
      <c r="R136" s="231">
        <v>2763.1</v>
      </c>
      <c r="S136" s="231">
        <v>2731.4</v>
      </c>
      <c r="T136" s="228">
        <v>31.7</v>
      </c>
      <c r="U136" s="229">
        <v>1.1599999999999999E-2</v>
      </c>
      <c r="V136" s="231">
        <v>2777.6</v>
      </c>
      <c r="W136" s="231">
        <v>2748.6</v>
      </c>
      <c r="X136" s="228">
        <v>29</v>
      </c>
      <c r="Y136" s="229">
        <v>1.06E-2</v>
      </c>
      <c r="Z136" s="228">
        <v>3.8</v>
      </c>
      <c r="AA136" s="228">
        <v>1.3</v>
      </c>
      <c r="AB136" s="228">
        <v>2.5</v>
      </c>
      <c r="AC136" s="229">
        <v>1.4E-3</v>
      </c>
      <c r="AD136" s="228">
        <v>3.8</v>
      </c>
      <c r="AE136" s="228">
        <v>1.3</v>
      </c>
      <c r="AF136" s="228">
        <v>2.5</v>
      </c>
      <c r="AG136" s="229">
        <v>1.4E-3</v>
      </c>
      <c r="AH136" s="228">
        <v>22.7</v>
      </c>
      <c r="AI136" s="228">
        <v>17.7</v>
      </c>
      <c r="AJ136" s="228">
        <v>5</v>
      </c>
      <c r="AK136" s="229">
        <v>8.3000000000000001E-3</v>
      </c>
      <c r="AL136" s="228">
        <v>37.200000000000003</v>
      </c>
      <c r="AM136" s="228">
        <v>34.9</v>
      </c>
      <c r="AN136" s="228">
        <v>2.2999999999999998</v>
      </c>
      <c r="AO136" s="229">
        <v>1.3599999999999999E-2</v>
      </c>
      <c r="AP136" s="231">
        <v>2739.67</v>
      </c>
      <c r="AQ136" s="231">
        <v>2758.04</v>
      </c>
      <c r="AR136" s="228">
        <v>0</v>
      </c>
      <c r="AS136" s="230">
        <v>1050</v>
      </c>
      <c r="AT136" s="228">
        <v>609</v>
      </c>
      <c r="AU136" s="228">
        <v>440</v>
      </c>
      <c r="AV136" s="229">
        <v>0.7228</v>
      </c>
      <c r="AW136" s="228">
        <v>585</v>
      </c>
      <c r="AX136" s="228">
        <v>474</v>
      </c>
      <c r="AY136" s="228">
        <v>111</v>
      </c>
      <c r="AZ136" s="229">
        <v>0.2344</v>
      </c>
      <c r="BA136" s="228">
        <v>461</v>
      </c>
      <c r="BB136" s="228">
        <v>131</v>
      </c>
      <c r="BC136" s="228">
        <v>330</v>
      </c>
      <c r="BD136" s="229">
        <v>2.5167000000000002</v>
      </c>
      <c r="BE136" s="228">
        <v>4</v>
      </c>
      <c r="BF136" s="228">
        <v>5</v>
      </c>
      <c r="BG136" s="228">
        <v>0</v>
      </c>
      <c r="BH136" s="229">
        <v>-8.2000000000000003E-2</v>
      </c>
      <c r="BI136" s="230">
        <v>2316</v>
      </c>
      <c r="BJ136" s="230">
        <v>3538</v>
      </c>
      <c r="BK136" s="230">
        <v>-1222</v>
      </c>
      <c r="BL136" s="229">
        <v>-0.3453</v>
      </c>
      <c r="BM136" s="230">
        <v>1026</v>
      </c>
      <c r="BN136" s="230">
        <v>1408</v>
      </c>
      <c r="BO136" s="228">
        <v>-382</v>
      </c>
      <c r="BP136" s="229">
        <v>-0.27139999999999997</v>
      </c>
      <c r="BQ136" s="230">
        <v>4392</v>
      </c>
      <c r="BR136" s="230">
        <v>5556</v>
      </c>
      <c r="BS136" s="230">
        <v>-1164</v>
      </c>
      <c r="BT136" s="229">
        <v>-0.20949999999999999</v>
      </c>
      <c r="BU136" s="230">
        <v>1228763</v>
      </c>
      <c r="BV136" s="230">
        <v>849314</v>
      </c>
      <c r="BW136" s="230">
        <v>379449</v>
      </c>
      <c r="BX136" s="229">
        <v>0.44679999999999997</v>
      </c>
      <c r="BY136" s="230">
        <v>1867</v>
      </c>
      <c r="BZ136" s="230">
        <v>1921</v>
      </c>
      <c r="CA136" s="228">
        <v>-54</v>
      </c>
      <c r="CB136" s="229">
        <v>-2.8199999999999999E-2</v>
      </c>
      <c r="CC136" s="230">
        <v>1361</v>
      </c>
      <c r="CD136" s="230">
        <v>1713</v>
      </c>
      <c r="CE136" s="228">
        <v>-352</v>
      </c>
      <c r="CF136" s="229">
        <v>-0.20530000000000001</v>
      </c>
      <c r="CG136" s="228">
        <v>497</v>
      </c>
      <c r="CH136" s="228">
        <v>199</v>
      </c>
      <c r="CI136" s="228">
        <v>298</v>
      </c>
      <c r="CJ136" s="229">
        <v>1.4934000000000001</v>
      </c>
      <c r="CK136" s="228">
        <v>9</v>
      </c>
      <c r="CL136" s="228">
        <v>10</v>
      </c>
      <c r="CM136" s="228">
        <v>0</v>
      </c>
      <c r="CN136" s="229">
        <v>-3.1699999999999999E-2</v>
      </c>
      <c r="CO136" s="228">
        <v>754</v>
      </c>
      <c r="CP136" s="228">
        <v>897</v>
      </c>
      <c r="CQ136" s="228">
        <v>-142</v>
      </c>
      <c r="CR136" s="229">
        <v>-0.15859999999999999</v>
      </c>
      <c r="CS136" s="228">
        <v>449</v>
      </c>
      <c r="CT136" s="228">
        <v>476</v>
      </c>
      <c r="CU136" s="228">
        <v>-27</v>
      </c>
      <c r="CV136" s="229">
        <v>-5.6800000000000003E-2</v>
      </c>
      <c r="CW136" s="230">
        <v>3071</v>
      </c>
      <c r="CX136" s="230">
        <v>3294</v>
      </c>
      <c r="CY136" s="228">
        <v>-223</v>
      </c>
      <c r="CZ136" s="229">
        <v>-6.7799999999999999E-2</v>
      </c>
      <c r="DA136" s="228">
        <v>28.33</v>
      </c>
      <c r="DB136" s="228">
        <v>29.62</v>
      </c>
      <c r="DC136" s="228">
        <v>-1.29</v>
      </c>
      <c r="DD136" s="228">
        <v>-1.29</v>
      </c>
      <c r="DE136" s="228">
        <v>37.31</v>
      </c>
      <c r="DF136" s="228">
        <v>37.380000000000003</v>
      </c>
      <c r="DG136" s="228">
        <v>-8.98</v>
      </c>
      <c r="DH136" s="228">
        <v>-7.0000000000000007E-2</v>
      </c>
      <c r="DI136" s="228">
        <v>26.91</v>
      </c>
      <c r="DJ136" s="228">
        <v>29.84</v>
      </c>
      <c r="DK136" s="228">
        <v>-2.93</v>
      </c>
      <c r="DL136" s="228">
        <v>-2.93</v>
      </c>
      <c r="DM136" s="228">
        <v>30.16</v>
      </c>
      <c r="DN136" s="228">
        <v>29.07</v>
      </c>
      <c r="DO136" s="228">
        <v>1.0900000000000001</v>
      </c>
      <c r="DP136" s="228">
        <v>1.0900000000000001</v>
      </c>
      <c r="DQ136" s="228">
        <v>0.6</v>
      </c>
      <c r="DR136" s="228">
        <v>0.53</v>
      </c>
      <c r="DS136" s="228">
        <v>7.0000000000000007E-2</v>
      </c>
      <c r="DT136" s="229">
        <v>0.1321</v>
      </c>
      <c r="DU136" s="231">
        <v>2800</v>
      </c>
      <c r="DV136" s="231">
        <v>2700</v>
      </c>
      <c r="DW136" s="228">
        <v>0.44</v>
      </c>
      <c r="DX136" s="228">
        <v>0.4</v>
      </c>
      <c r="DY136" s="228">
        <v>0.04</v>
      </c>
      <c r="DZ136" s="229">
        <v>0.1</v>
      </c>
      <c r="EA136" s="229">
        <v>0.27110000000000001</v>
      </c>
      <c r="EB136" s="230">
        <v>760925</v>
      </c>
      <c r="EC136" s="229">
        <v>6.8999999999999999E-3</v>
      </c>
      <c r="ED136" s="229">
        <v>0.27110000000000001</v>
      </c>
      <c r="EE136" s="228">
        <v>18.37</v>
      </c>
      <c r="EF136" s="229">
        <v>6.7000000000000002E-3</v>
      </c>
      <c r="EG136" s="230">
        <v>794112</v>
      </c>
      <c r="EH136" s="230">
        <v>386084</v>
      </c>
      <c r="EI136" s="229">
        <v>1.0568</v>
      </c>
      <c r="EJ136" s="229">
        <v>0.64629999999999999</v>
      </c>
      <c r="EK136" s="231">
        <v>2404.4</v>
      </c>
      <c r="EL136" s="228">
        <v>991.12</v>
      </c>
      <c r="EM136" s="231">
        <v>1050.97</v>
      </c>
      <c r="EN136" s="228">
        <v>98.42</v>
      </c>
      <c r="EO136" s="231">
        <v>4446.5</v>
      </c>
      <c r="EP136" s="231">
        <v>5604.94</v>
      </c>
      <c r="EQ136" s="231">
        <v>-1158.44</v>
      </c>
      <c r="ER136" s="229">
        <v>-0.20669999999999999</v>
      </c>
      <c r="ES136" s="228">
        <v>791.22</v>
      </c>
      <c r="ET136" s="228">
        <v>436.87</v>
      </c>
      <c r="EU136" s="231">
        <v>1870.78</v>
      </c>
      <c r="EV136" s="231">
        <v>14652855</v>
      </c>
      <c r="EW136" s="231">
        <v>3098.86</v>
      </c>
      <c r="EX136" s="231">
        <v>3304.07</v>
      </c>
      <c r="EY136" s="228">
        <v>-205.21</v>
      </c>
      <c r="EZ136" s="229">
        <v>-6.2100000000000002E-2</v>
      </c>
      <c r="FA136" s="229">
        <v>0.76359999999999995</v>
      </c>
      <c r="FB136" s="227" t="s">
        <v>556</v>
      </c>
      <c r="FC136">
        <f t="shared" si="2"/>
        <v>506</v>
      </c>
    </row>
    <row r="137" spans="1:159" ht="17.25" thickBot="1" x14ac:dyDescent="0.3">
      <c r="A137" s="226">
        <v>45981</v>
      </c>
      <c r="B137" s="227" t="s">
        <v>175</v>
      </c>
      <c r="C137" s="227" t="s">
        <v>262</v>
      </c>
      <c r="D137" s="228">
        <v>275</v>
      </c>
      <c r="E137" s="228">
        <v>5</v>
      </c>
      <c r="F137" s="231">
        <v>3708.1</v>
      </c>
      <c r="G137" s="231">
        <v>3714.4</v>
      </c>
      <c r="H137" s="228">
        <v>-6.3</v>
      </c>
      <c r="I137" s="229">
        <v>-1.6999999999999999E-3</v>
      </c>
      <c r="J137" s="231">
        <v>3697.5</v>
      </c>
      <c r="K137" s="231">
        <v>3701.7</v>
      </c>
      <c r="L137" s="228">
        <v>-4.2</v>
      </c>
      <c r="M137" s="229">
        <v>-1.1000000000000001E-3</v>
      </c>
      <c r="N137" s="231">
        <v>3708.1</v>
      </c>
      <c r="O137" s="231">
        <v>3714.4</v>
      </c>
      <c r="P137" s="228">
        <v>-6.3</v>
      </c>
      <c r="Q137" s="229">
        <v>-1.6999999999999999E-3</v>
      </c>
      <c r="R137" s="231">
        <v>3724.4</v>
      </c>
      <c r="S137" s="231">
        <v>3732.1</v>
      </c>
      <c r="T137" s="228">
        <v>-7.7</v>
      </c>
      <c r="U137" s="229">
        <v>-2.0999999999999999E-3</v>
      </c>
      <c r="V137" s="231">
        <v>3736.4</v>
      </c>
      <c r="W137" s="231">
        <v>3743.4</v>
      </c>
      <c r="X137" s="228">
        <v>-7</v>
      </c>
      <c r="Y137" s="229">
        <v>-1.9E-3</v>
      </c>
      <c r="Z137" s="228">
        <v>10.6</v>
      </c>
      <c r="AA137" s="228">
        <v>12.7</v>
      </c>
      <c r="AB137" s="228">
        <v>-2.1</v>
      </c>
      <c r="AC137" s="229">
        <v>2.8999999999999998E-3</v>
      </c>
      <c r="AD137" s="228">
        <v>10.6</v>
      </c>
      <c r="AE137" s="228">
        <v>12.7</v>
      </c>
      <c r="AF137" s="228">
        <v>-2.1</v>
      </c>
      <c r="AG137" s="229">
        <v>2.8999999999999998E-3</v>
      </c>
      <c r="AH137" s="228">
        <v>26.9</v>
      </c>
      <c r="AI137" s="228">
        <v>30.4</v>
      </c>
      <c r="AJ137" s="228">
        <v>-3.5</v>
      </c>
      <c r="AK137" s="229">
        <v>7.3000000000000001E-3</v>
      </c>
      <c r="AL137" s="228">
        <v>38.9</v>
      </c>
      <c r="AM137" s="228">
        <v>41.7</v>
      </c>
      <c r="AN137" s="228">
        <v>-2.8</v>
      </c>
      <c r="AO137" s="229">
        <v>1.0500000000000001E-2</v>
      </c>
      <c r="AP137" s="231">
        <v>3719.47</v>
      </c>
      <c r="AQ137" s="231">
        <v>3735.4</v>
      </c>
      <c r="AR137" s="228">
        <v>0</v>
      </c>
      <c r="AS137" s="228">
        <v>822</v>
      </c>
      <c r="AT137" s="228">
        <v>339</v>
      </c>
      <c r="AU137" s="228">
        <v>483</v>
      </c>
      <c r="AV137" s="229">
        <v>1.4258999999999999</v>
      </c>
      <c r="AW137" s="228">
        <v>460</v>
      </c>
      <c r="AX137" s="228">
        <v>245</v>
      </c>
      <c r="AY137" s="228">
        <v>215</v>
      </c>
      <c r="AZ137" s="229">
        <v>0.87870000000000004</v>
      </c>
      <c r="BA137" s="228">
        <v>358</v>
      </c>
      <c r="BB137" s="228">
        <v>90</v>
      </c>
      <c r="BC137" s="228">
        <v>268</v>
      </c>
      <c r="BD137" s="229">
        <v>2.9908999999999999</v>
      </c>
      <c r="BE137" s="228">
        <v>4</v>
      </c>
      <c r="BF137" s="228">
        <v>4</v>
      </c>
      <c r="BG137" s="228">
        <v>0</v>
      </c>
      <c r="BH137" s="229">
        <v>-6.9800000000000001E-2</v>
      </c>
      <c r="BI137" s="230">
        <v>1616</v>
      </c>
      <c r="BJ137" s="230">
        <v>1994</v>
      </c>
      <c r="BK137" s="228">
        <v>-378</v>
      </c>
      <c r="BL137" s="229">
        <v>-0.18940000000000001</v>
      </c>
      <c r="BM137" s="230">
        <v>1308</v>
      </c>
      <c r="BN137" s="230">
        <v>1782</v>
      </c>
      <c r="BO137" s="228">
        <v>-474</v>
      </c>
      <c r="BP137" s="229">
        <v>-0.2661</v>
      </c>
      <c r="BQ137" s="230">
        <v>3746</v>
      </c>
      <c r="BR137" s="230">
        <v>4114</v>
      </c>
      <c r="BS137" s="228">
        <v>-369</v>
      </c>
      <c r="BT137" s="229">
        <v>-8.9599999999999999E-2</v>
      </c>
      <c r="BU137" s="230">
        <v>314158</v>
      </c>
      <c r="BV137" s="230">
        <v>321837</v>
      </c>
      <c r="BW137" s="230">
        <v>-7679</v>
      </c>
      <c r="BX137" s="229">
        <v>-2.3900000000000001E-2</v>
      </c>
      <c r="BY137" s="230">
        <v>1161</v>
      </c>
      <c r="BZ137" s="230">
        <v>1159</v>
      </c>
      <c r="CA137" s="228">
        <v>2</v>
      </c>
      <c r="CB137" s="229">
        <v>2.0999999999999999E-3</v>
      </c>
      <c r="CC137" s="228">
        <v>743</v>
      </c>
      <c r="CD137" s="228">
        <v>962</v>
      </c>
      <c r="CE137" s="228">
        <v>-219</v>
      </c>
      <c r="CF137" s="229">
        <v>-0.22770000000000001</v>
      </c>
      <c r="CG137" s="228">
        <v>395</v>
      </c>
      <c r="CH137" s="228">
        <v>176</v>
      </c>
      <c r="CI137" s="228">
        <v>220</v>
      </c>
      <c r="CJ137" s="229">
        <v>1.252</v>
      </c>
      <c r="CK137" s="228">
        <v>23</v>
      </c>
      <c r="CL137" s="228">
        <v>21</v>
      </c>
      <c r="CM137" s="228">
        <v>2</v>
      </c>
      <c r="CN137" s="229">
        <v>8.2500000000000004E-2</v>
      </c>
      <c r="CO137" s="230">
        <v>1518</v>
      </c>
      <c r="CP137" s="230">
        <v>1652</v>
      </c>
      <c r="CQ137" s="228">
        <v>-135</v>
      </c>
      <c r="CR137" s="229">
        <v>-8.14E-2</v>
      </c>
      <c r="CS137" s="230">
        <v>1295</v>
      </c>
      <c r="CT137" s="230">
        <v>1445</v>
      </c>
      <c r="CU137" s="228">
        <v>-150</v>
      </c>
      <c r="CV137" s="229">
        <v>-0.1037</v>
      </c>
      <c r="CW137" s="230">
        <v>3974</v>
      </c>
      <c r="CX137" s="230">
        <v>4256</v>
      </c>
      <c r="CY137" s="228">
        <v>-282</v>
      </c>
      <c r="CZ137" s="229">
        <v>-6.6199999999999995E-2</v>
      </c>
      <c r="DA137" s="228">
        <v>26.85</v>
      </c>
      <c r="DB137" s="228">
        <v>27.37</v>
      </c>
      <c r="DC137" s="228">
        <v>-0.52</v>
      </c>
      <c r="DD137" s="228">
        <v>-0.52</v>
      </c>
      <c r="DE137" s="228">
        <v>37.22</v>
      </c>
      <c r="DF137" s="228">
        <v>37.31</v>
      </c>
      <c r="DG137" s="228">
        <v>-10.37</v>
      </c>
      <c r="DH137" s="228">
        <v>-0.09</v>
      </c>
      <c r="DI137" s="228">
        <v>22.74</v>
      </c>
      <c r="DJ137" s="228">
        <v>25.89</v>
      </c>
      <c r="DK137" s="228">
        <v>-3.15</v>
      </c>
      <c r="DL137" s="228">
        <v>-3.15</v>
      </c>
      <c r="DM137" s="228">
        <v>29.94</v>
      </c>
      <c r="DN137" s="228">
        <v>29.02</v>
      </c>
      <c r="DO137" s="228">
        <v>0.92</v>
      </c>
      <c r="DP137" s="228">
        <v>0.92</v>
      </c>
      <c r="DQ137" s="228">
        <v>0.85</v>
      </c>
      <c r="DR137" s="228">
        <v>0.87</v>
      </c>
      <c r="DS137" s="228">
        <v>-0.02</v>
      </c>
      <c r="DT137" s="229">
        <v>-2.3E-2</v>
      </c>
      <c r="DU137" s="231">
        <v>4100</v>
      </c>
      <c r="DV137" s="231">
        <v>3600</v>
      </c>
      <c r="DW137" s="228">
        <v>0.81</v>
      </c>
      <c r="DX137" s="228">
        <v>0.89</v>
      </c>
      <c r="DY137" s="228">
        <v>-0.08</v>
      </c>
      <c r="DZ137" s="229">
        <v>-8.9899999999999994E-2</v>
      </c>
      <c r="EA137" s="229">
        <v>0.36009999999999998</v>
      </c>
      <c r="EB137" s="230">
        <v>530200</v>
      </c>
      <c r="EC137" s="229">
        <v>4.4000000000000003E-3</v>
      </c>
      <c r="ED137" s="229">
        <v>0.36009999999999998</v>
      </c>
      <c r="EE137" s="228">
        <v>15.93</v>
      </c>
      <c r="EF137" s="229">
        <v>4.3E-3</v>
      </c>
      <c r="EG137" s="230">
        <v>176259</v>
      </c>
      <c r="EH137" s="230">
        <v>169443</v>
      </c>
      <c r="EI137" s="229">
        <v>4.02E-2</v>
      </c>
      <c r="EJ137" s="229">
        <v>0.56110000000000004</v>
      </c>
      <c r="EK137" s="231">
        <v>1685.22</v>
      </c>
      <c r="EL137" s="231">
        <v>1251.08</v>
      </c>
      <c r="EM137" s="228">
        <v>825.88</v>
      </c>
      <c r="EN137" s="228">
        <v>88.2</v>
      </c>
      <c r="EO137" s="231">
        <v>3762.17</v>
      </c>
      <c r="EP137" s="231">
        <v>4126.28</v>
      </c>
      <c r="EQ137" s="228">
        <v>-364.1</v>
      </c>
      <c r="ER137" s="229">
        <v>-8.8200000000000001E-2</v>
      </c>
      <c r="ES137" s="231">
        <v>1539.38</v>
      </c>
      <c r="ET137" s="231">
        <v>1209.19</v>
      </c>
      <c r="EU137" s="231">
        <v>1163.18</v>
      </c>
      <c r="EV137" s="231">
        <v>16050690</v>
      </c>
      <c r="EW137" s="231">
        <v>3911.75</v>
      </c>
      <c r="EX137" s="231">
        <v>4190.2</v>
      </c>
      <c r="EY137" s="228">
        <v>-278.45</v>
      </c>
      <c r="EZ137" s="229">
        <v>-6.6500000000000004E-2</v>
      </c>
      <c r="FA137" s="229">
        <v>0.66779999999999995</v>
      </c>
      <c r="FB137" s="227" t="s">
        <v>567</v>
      </c>
      <c r="FC137">
        <f t="shared" si="2"/>
        <v>418</v>
      </c>
    </row>
    <row r="138" spans="1:159" ht="17.25" thickBot="1" x14ac:dyDescent="0.3">
      <c r="A138" s="226">
        <v>45981</v>
      </c>
      <c r="B138" s="227" t="s">
        <v>227</v>
      </c>
      <c r="C138" s="227" t="s">
        <v>263</v>
      </c>
      <c r="D138" s="228">
        <v>3750</v>
      </c>
      <c r="E138" s="228">
        <v>5</v>
      </c>
      <c r="F138" s="228">
        <v>258.22000000000003</v>
      </c>
      <c r="G138" s="228">
        <v>256.94</v>
      </c>
      <c r="H138" s="228">
        <v>1.28</v>
      </c>
      <c r="I138" s="229">
        <v>5.0000000000000001E-3</v>
      </c>
      <c r="J138" s="228">
        <v>257.62</v>
      </c>
      <c r="K138" s="228">
        <v>256.60000000000002</v>
      </c>
      <c r="L138" s="228">
        <v>1.02</v>
      </c>
      <c r="M138" s="229">
        <v>4.0000000000000001E-3</v>
      </c>
      <c r="N138" s="228">
        <v>258.22000000000003</v>
      </c>
      <c r="O138" s="228">
        <v>256.94</v>
      </c>
      <c r="P138" s="228">
        <v>1.28</v>
      </c>
      <c r="Q138" s="229">
        <v>5.0000000000000001E-3</v>
      </c>
      <c r="R138" s="228">
        <v>259.91000000000003</v>
      </c>
      <c r="S138" s="228">
        <v>258.56</v>
      </c>
      <c r="T138" s="228">
        <v>1.35</v>
      </c>
      <c r="U138" s="229">
        <v>5.1999999999999998E-3</v>
      </c>
      <c r="V138" s="228">
        <v>261.64999999999998</v>
      </c>
      <c r="W138" s="228">
        <v>260</v>
      </c>
      <c r="X138" s="228">
        <v>1.65</v>
      </c>
      <c r="Y138" s="229">
        <v>6.3E-3</v>
      </c>
      <c r="Z138" s="228">
        <v>0.6</v>
      </c>
      <c r="AA138" s="228">
        <v>0.34</v>
      </c>
      <c r="AB138" s="228">
        <v>0.26</v>
      </c>
      <c r="AC138" s="229">
        <v>2.3E-3</v>
      </c>
      <c r="AD138" s="228">
        <v>0.6</v>
      </c>
      <c r="AE138" s="228">
        <v>0.34</v>
      </c>
      <c r="AF138" s="228">
        <v>0.26</v>
      </c>
      <c r="AG138" s="229">
        <v>2.3E-3</v>
      </c>
      <c r="AH138" s="228">
        <v>2.29</v>
      </c>
      <c r="AI138" s="228">
        <v>1.96</v>
      </c>
      <c r="AJ138" s="228">
        <v>0.33</v>
      </c>
      <c r="AK138" s="229">
        <v>8.8999999999999999E-3</v>
      </c>
      <c r="AL138" s="228">
        <v>4.03</v>
      </c>
      <c r="AM138" s="228">
        <v>3.4</v>
      </c>
      <c r="AN138" s="228">
        <v>0.63</v>
      </c>
      <c r="AO138" s="229">
        <v>1.5599999999999999E-2</v>
      </c>
      <c r="AP138" s="228">
        <v>259.3</v>
      </c>
      <c r="AQ138" s="228">
        <v>261.05</v>
      </c>
      <c r="AR138" s="228">
        <v>0</v>
      </c>
      <c r="AS138" s="230">
        <v>1072</v>
      </c>
      <c r="AT138" s="228">
        <v>352</v>
      </c>
      <c r="AU138" s="228">
        <v>721</v>
      </c>
      <c r="AV138" s="229">
        <v>2.0484</v>
      </c>
      <c r="AW138" s="228">
        <v>544</v>
      </c>
      <c r="AX138" s="228">
        <v>247</v>
      </c>
      <c r="AY138" s="228">
        <v>297</v>
      </c>
      <c r="AZ138" s="229">
        <v>1.2014</v>
      </c>
      <c r="BA138" s="228">
        <v>523</v>
      </c>
      <c r="BB138" s="228">
        <v>102</v>
      </c>
      <c r="BC138" s="228">
        <v>421</v>
      </c>
      <c r="BD138" s="229">
        <v>4.1369999999999996</v>
      </c>
      <c r="BE138" s="228">
        <v>6</v>
      </c>
      <c r="BF138" s="228">
        <v>3</v>
      </c>
      <c r="BG138" s="228">
        <v>3</v>
      </c>
      <c r="BH138" s="229">
        <v>0.93330000000000002</v>
      </c>
      <c r="BI138" s="230">
        <v>1993</v>
      </c>
      <c r="BJ138" s="230">
        <v>1131</v>
      </c>
      <c r="BK138" s="228">
        <v>862</v>
      </c>
      <c r="BL138" s="229">
        <v>0.76270000000000004</v>
      </c>
      <c r="BM138" s="228">
        <v>833</v>
      </c>
      <c r="BN138" s="228">
        <v>627</v>
      </c>
      <c r="BO138" s="228">
        <v>207</v>
      </c>
      <c r="BP138" s="229">
        <v>0.3296</v>
      </c>
      <c r="BQ138" s="230">
        <v>3899</v>
      </c>
      <c r="BR138" s="230">
        <v>2109</v>
      </c>
      <c r="BS138" s="230">
        <v>1790</v>
      </c>
      <c r="BT138" s="229">
        <v>0.84850000000000003</v>
      </c>
      <c r="BU138" s="230">
        <v>10912842</v>
      </c>
      <c r="BV138" s="230">
        <v>9041434</v>
      </c>
      <c r="BW138" s="230">
        <v>1871408</v>
      </c>
      <c r="BX138" s="229">
        <v>0.20699999999999999</v>
      </c>
      <c r="BY138" s="230">
        <v>1910</v>
      </c>
      <c r="BZ138" s="230">
        <v>1919</v>
      </c>
      <c r="CA138" s="228">
        <v>-9</v>
      </c>
      <c r="CB138" s="229">
        <v>-4.4999999999999997E-3</v>
      </c>
      <c r="CC138" s="230">
        <v>1359</v>
      </c>
      <c r="CD138" s="230">
        <v>1727</v>
      </c>
      <c r="CE138" s="228">
        <v>-368</v>
      </c>
      <c r="CF138" s="229">
        <v>-0.21299999999999999</v>
      </c>
      <c r="CG138" s="228">
        <v>535</v>
      </c>
      <c r="CH138" s="228">
        <v>176</v>
      </c>
      <c r="CI138" s="228">
        <v>358</v>
      </c>
      <c r="CJ138" s="229">
        <v>2.0363000000000002</v>
      </c>
      <c r="CK138" s="228">
        <v>16</v>
      </c>
      <c r="CL138" s="228">
        <v>15</v>
      </c>
      <c r="CM138" s="228">
        <v>1</v>
      </c>
      <c r="CN138" s="229">
        <v>5.7000000000000002E-2</v>
      </c>
      <c r="CO138" s="230">
        <v>1013</v>
      </c>
      <c r="CP138" s="230">
        <v>1010</v>
      </c>
      <c r="CQ138" s="228">
        <v>4</v>
      </c>
      <c r="CR138" s="229">
        <v>3.5000000000000001E-3</v>
      </c>
      <c r="CS138" s="228">
        <v>939</v>
      </c>
      <c r="CT138" s="228">
        <v>990</v>
      </c>
      <c r="CU138" s="228">
        <v>-51</v>
      </c>
      <c r="CV138" s="229">
        <v>-5.1299999999999998E-2</v>
      </c>
      <c r="CW138" s="230">
        <v>3862</v>
      </c>
      <c r="CX138" s="230">
        <v>3918</v>
      </c>
      <c r="CY138" s="228">
        <v>-56</v>
      </c>
      <c r="CZ138" s="229">
        <v>-1.4200000000000001E-2</v>
      </c>
      <c r="DA138" s="228">
        <v>28.8</v>
      </c>
      <c r="DB138" s="228">
        <v>31.25</v>
      </c>
      <c r="DC138" s="228">
        <v>-2.4500000000000002</v>
      </c>
      <c r="DD138" s="228">
        <v>-2.4500000000000002</v>
      </c>
      <c r="DE138" s="228">
        <v>47.38</v>
      </c>
      <c r="DF138" s="228">
        <v>47.5</v>
      </c>
      <c r="DG138" s="228">
        <v>-18.579999999999998</v>
      </c>
      <c r="DH138" s="228">
        <v>-0.12</v>
      </c>
      <c r="DI138" s="228">
        <v>29.05</v>
      </c>
      <c r="DJ138" s="228">
        <v>30.67</v>
      </c>
      <c r="DK138" s="228">
        <v>-1.62</v>
      </c>
      <c r="DL138" s="228">
        <v>-1.62</v>
      </c>
      <c r="DM138" s="228">
        <v>28.15</v>
      </c>
      <c r="DN138" s="228">
        <v>32.29</v>
      </c>
      <c r="DO138" s="228">
        <v>-4.1399999999999997</v>
      </c>
      <c r="DP138" s="228">
        <v>-4.1399999999999997</v>
      </c>
      <c r="DQ138" s="228">
        <v>0.93</v>
      </c>
      <c r="DR138" s="228">
        <v>0.98</v>
      </c>
      <c r="DS138" s="228">
        <v>-0.05</v>
      </c>
      <c r="DT138" s="229">
        <v>-5.0999999999999997E-2</v>
      </c>
      <c r="DU138" s="228">
        <v>260</v>
      </c>
      <c r="DV138" s="228">
        <v>260</v>
      </c>
      <c r="DW138" s="228">
        <v>0.42</v>
      </c>
      <c r="DX138" s="228">
        <v>0.55000000000000004</v>
      </c>
      <c r="DY138" s="228">
        <v>-0.13</v>
      </c>
      <c r="DZ138" s="229">
        <v>-0.2364</v>
      </c>
      <c r="EA138" s="229">
        <v>0.2883</v>
      </c>
      <c r="EB138" s="230">
        <v>7410000</v>
      </c>
      <c r="EC138" s="229">
        <v>6.4999999999999997E-3</v>
      </c>
      <c r="ED138" s="229">
        <v>0.2883</v>
      </c>
      <c r="EE138" s="228">
        <v>1.75</v>
      </c>
      <c r="EF138" s="229">
        <v>6.7000000000000002E-3</v>
      </c>
      <c r="EG138" s="230">
        <v>4643654</v>
      </c>
      <c r="EH138" s="230">
        <v>4014901</v>
      </c>
      <c r="EI138" s="229">
        <v>0.15659999999999999</v>
      </c>
      <c r="EJ138" s="229">
        <v>0.42549999999999999</v>
      </c>
      <c r="EK138" s="231">
        <v>2070.8000000000002</v>
      </c>
      <c r="EL138" s="228">
        <v>820.68</v>
      </c>
      <c r="EM138" s="231">
        <v>1080.53</v>
      </c>
      <c r="EN138" s="228">
        <v>40.32</v>
      </c>
      <c r="EO138" s="231">
        <v>3972.02</v>
      </c>
      <c r="EP138" s="231">
        <v>2122.41</v>
      </c>
      <c r="EQ138" s="231">
        <v>1849.61</v>
      </c>
      <c r="ER138" s="229">
        <v>0.87150000000000005</v>
      </c>
      <c r="ES138" s="231">
        <v>1029.6300000000001</v>
      </c>
      <c r="ET138" s="228">
        <v>890.55</v>
      </c>
      <c r="EU138" s="231">
        <v>1913.64</v>
      </c>
      <c r="EV138" s="231">
        <v>134225816</v>
      </c>
      <c r="EW138" s="231">
        <v>3833.82</v>
      </c>
      <c r="EX138" s="231">
        <v>3873.16</v>
      </c>
      <c r="EY138" s="228">
        <v>-39.340000000000003</v>
      </c>
      <c r="EZ138" s="229">
        <v>-1.0200000000000001E-2</v>
      </c>
      <c r="FA138" s="229">
        <v>1.1143000000000001</v>
      </c>
      <c r="FB138" s="227" t="s">
        <v>556</v>
      </c>
      <c r="FC138">
        <f t="shared" si="2"/>
        <v>551</v>
      </c>
    </row>
    <row r="139" spans="1:159" ht="17.25" thickBot="1" x14ac:dyDescent="0.3">
      <c r="A139" s="226">
        <v>45981</v>
      </c>
      <c r="B139" s="227" t="s">
        <v>615</v>
      </c>
      <c r="C139" s="227" t="s">
        <v>264</v>
      </c>
      <c r="D139" s="228">
        <v>375</v>
      </c>
      <c r="E139" s="228">
        <v>5</v>
      </c>
      <c r="F139" s="231">
        <v>1361.7</v>
      </c>
      <c r="G139" s="231">
        <v>1359.5</v>
      </c>
      <c r="H139" s="228">
        <v>2.2000000000000002</v>
      </c>
      <c r="I139" s="229">
        <v>1.6000000000000001E-3</v>
      </c>
      <c r="J139" s="231">
        <v>1365.4</v>
      </c>
      <c r="K139" s="231">
        <v>1362.2</v>
      </c>
      <c r="L139" s="228">
        <v>3.2</v>
      </c>
      <c r="M139" s="229">
        <v>2.3E-3</v>
      </c>
      <c r="N139" s="231">
        <v>1361.7</v>
      </c>
      <c r="O139" s="231">
        <v>1359.5</v>
      </c>
      <c r="P139" s="228">
        <v>2.2000000000000002</v>
      </c>
      <c r="Q139" s="229">
        <v>1.6000000000000001E-3</v>
      </c>
      <c r="R139" s="231">
        <v>1369.8</v>
      </c>
      <c r="S139" s="231">
        <v>1368.2</v>
      </c>
      <c r="T139" s="228">
        <v>1.6</v>
      </c>
      <c r="U139" s="229">
        <v>1.1999999999999999E-3</v>
      </c>
      <c r="V139" s="231">
        <v>1376.5</v>
      </c>
      <c r="W139" s="231">
        <v>1376.4</v>
      </c>
      <c r="X139" s="228">
        <v>0.1</v>
      </c>
      <c r="Y139" s="229">
        <v>1E-4</v>
      </c>
      <c r="Z139" s="228">
        <v>-3.7</v>
      </c>
      <c r="AA139" s="228">
        <v>-2.7</v>
      </c>
      <c r="AB139" s="228">
        <v>-1</v>
      </c>
      <c r="AC139" s="229">
        <v>-2.7000000000000001E-3</v>
      </c>
      <c r="AD139" s="228">
        <v>-3.7</v>
      </c>
      <c r="AE139" s="228">
        <v>-2.7</v>
      </c>
      <c r="AF139" s="228">
        <v>-1</v>
      </c>
      <c r="AG139" s="229">
        <v>-2.7000000000000001E-3</v>
      </c>
      <c r="AH139" s="228">
        <v>4.4000000000000004</v>
      </c>
      <c r="AI139" s="228">
        <v>6</v>
      </c>
      <c r="AJ139" s="228">
        <v>-1.6</v>
      </c>
      <c r="AK139" s="229">
        <v>3.2000000000000002E-3</v>
      </c>
      <c r="AL139" s="228">
        <v>11.1</v>
      </c>
      <c r="AM139" s="228">
        <v>14.2</v>
      </c>
      <c r="AN139" s="228">
        <v>-3.1</v>
      </c>
      <c r="AO139" s="229">
        <v>8.0999999999999996E-3</v>
      </c>
      <c r="AP139" s="231">
        <v>1364.29</v>
      </c>
      <c r="AQ139" s="231">
        <v>1373.3</v>
      </c>
      <c r="AR139" s="228">
        <v>0</v>
      </c>
      <c r="AS139" s="228">
        <v>915</v>
      </c>
      <c r="AT139" s="228">
        <v>228</v>
      </c>
      <c r="AU139" s="228">
        <v>686</v>
      </c>
      <c r="AV139" s="229">
        <v>3.0045000000000002</v>
      </c>
      <c r="AW139" s="228">
        <v>496</v>
      </c>
      <c r="AX139" s="228">
        <v>172</v>
      </c>
      <c r="AY139" s="228">
        <v>323</v>
      </c>
      <c r="AZ139" s="229">
        <v>1.8753</v>
      </c>
      <c r="BA139" s="228">
        <v>417</v>
      </c>
      <c r="BB139" s="228">
        <v>53</v>
      </c>
      <c r="BC139" s="228">
        <v>364</v>
      </c>
      <c r="BD139" s="229">
        <v>6.8360000000000003</v>
      </c>
      <c r="BE139" s="228">
        <v>2</v>
      </c>
      <c r="BF139" s="228">
        <v>3</v>
      </c>
      <c r="BG139" s="228">
        <v>-1</v>
      </c>
      <c r="BH139" s="229">
        <v>-0.36359999999999998</v>
      </c>
      <c r="BI139" s="228">
        <v>649</v>
      </c>
      <c r="BJ139" s="230">
        <v>1409</v>
      </c>
      <c r="BK139" s="228">
        <v>-760</v>
      </c>
      <c r="BL139" s="229">
        <v>-0.53959999999999997</v>
      </c>
      <c r="BM139" s="228">
        <v>234</v>
      </c>
      <c r="BN139" s="228">
        <v>422</v>
      </c>
      <c r="BO139" s="228">
        <v>-188</v>
      </c>
      <c r="BP139" s="229">
        <v>-0.44529999999999997</v>
      </c>
      <c r="BQ139" s="230">
        <v>1797</v>
      </c>
      <c r="BR139" s="230">
        <v>2059</v>
      </c>
      <c r="BS139" s="228">
        <v>-262</v>
      </c>
      <c r="BT139" s="229">
        <v>-0.12709999999999999</v>
      </c>
      <c r="BU139" s="230">
        <v>740161</v>
      </c>
      <c r="BV139" s="230">
        <v>875542</v>
      </c>
      <c r="BW139" s="230">
        <v>-135381</v>
      </c>
      <c r="BX139" s="229">
        <v>-0.15459999999999999</v>
      </c>
      <c r="BY139" s="230">
        <v>1105</v>
      </c>
      <c r="BZ139" s="230">
        <v>1168</v>
      </c>
      <c r="CA139" s="228">
        <v>-63</v>
      </c>
      <c r="CB139" s="229">
        <v>-5.4199999999999998E-2</v>
      </c>
      <c r="CC139" s="228">
        <v>687</v>
      </c>
      <c r="CD139" s="230">
        <v>1095</v>
      </c>
      <c r="CE139" s="228">
        <v>-408</v>
      </c>
      <c r="CF139" s="229">
        <v>-0.37269999999999998</v>
      </c>
      <c r="CG139" s="228">
        <v>413</v>
      </c>
      <c r="CH139" s="228">
        <v>69</v>
      </c>
      <c r="CI139" s="228">
        <v>344</v>
      </c>
      <c r="CJ139" s="229">
        <v>5.0045000000000002</v>
      </c>
      <c r="CK139" s="228">
        <v>5</v>
      </c>
      <c r="CL139" s="228">
        <v>5</v>
      </c>
      <c r="CM139" s="228">
        <v>0</v>
      </c>
      <c r="CN139" s="229">
        <v>9.2799999999999994E-2</v>
      </c>
      <c r="CO139" s="228">
        <v>426</v>
      </c>
      <c r="CP139" s="228">
        <v>475</v>
      </c>
      <c r="CQ139" s="228">
        <v>-49</v>
      </c>
      <c r="CR139" s="229">
        <v>-0.1036</v>
      </c>
      <c r="CS139" s="228">
        <v>255</v>
      </c>
      <c r="CT139" s="228">
        <v>254</v>
      </c>
      <c r="CU139" s="228">
        <v>1</v>
      </c>
      <c r="CV139" s="229">
        <v>3.3999999999999998E-3</v>
      </c>
      <c r="CW139" s="230">
        <v>1786</v>
      </c>
      <c r="CX139" s="230">
        <v>1898</v>
      </c>
      <c r="CY139" s="228">
        <v>-112</v>
      </c>
      <c r="CZ139" s="229">
        <v>-5.8799999999999998E-2</v>
      </c>
      <c r="DA139" s="228">
        <v>27.51</v>
      </c>
      <c r="DB139" s="228">
        <v>29.82</v>
      </c>
      <c r="DC139" s="228">
        <v>-2.31</v>
      </c>
      <c r="DD139" s="228">
        <v>-2.31</v>
      </c>
      <c r="DE139" s="228">
        <v>37.36</v>
      </c>
      <c r="DF139" s="228">
        <v>37.46</v>
      </c>
      <c r="DG139" s="228">
        <v>-9.85</v>
      </c>
      <c r="DH139" s="228">
        <v>-0.1</v>
      </c>
      <c r="DI139" s="228">
        <v>27.65</v>
      </c>
      <c r="DJ139" s="228">
        <v>30.02</v>
      </c>
      <c r="DK139" s="228">
        <v>-2.37</v>
      </c>
      <c r="DL139" s="228">
        <v>-2.37</v>
      </c>
      <c r="DM139" s="228">
        <v>27.28</v>
      </c>
      <c r="DN139" s="228">
        <v>29.16</v>
      </c>
      <c r="DO139" s="228">
        <v>-1.88</v>
      </c>
      <c r="DP139" s="228">
        <v>-1.88</v>
      </c>
      <c r="DQ139" s="228">
        <v>0.6</v>
      </c>
      <c r="DR139" s="228">
        <v>0.54</v>
      </c>
      <c r="DS139" s="228">
        <v>0.06</v>
      </c>
      <c r="DT139" s="229">
        <v>0.1111</v>
      </c>
      <c r="DU139" s="231">
        <v>1400</v>
      </c>
      <c r="DV139" s="231">
        <v>1280</v>
      </c>
      <c r="DW139" s="228">
        <v>0.36</v>
      </c>
      <c r="DX139" s="228">
        <v>0.3</v>
      </c>
      <c r="DY139" s="228">
        <v>0.06</v>
      </c>
      <c r="DZ139" s="229">
        <v>0.2</v>
      </c>
      <c r="EA139" s="229">
        <v>0.37859999999999999</v>
      </c>
      <c r="EB139" s="230">
        <v>541500</v>
      </c>
      <c r="EC139" s="229">
        <v>5.8999999999999999E-3</v>
      </c>
      <c r="ED139" s="229">
        <v>0.37859999999999999</v>
      </c>
      <c r="EE139" s="228">
        <v>9.01</v>
      </c>
      <c r="EF139" s="229">
        <v>6.6E-3</v>
      </c>
      <c r="EG139" s="230">
        <v>489506</v>
      </c>
      <c r="EH139" s="230">
        <v>496541</v>
      </c>
      <c r="EI139" s="229">
        <v>-1.4200000000000001E-2</v>
      </c>
      <c r="EJ139" s="229">
        <v>0.66139999999999999</v>
      </c>
      <c r="EK139" s="228">
        <v>671.88</v>
      </c>
      <c r="EL139" s="228">
        <v>231.38</v>
      </c>
      <c r="EM139" s="228">
        <v>919.18</v>
      </c>
      <c r="EN139" s="228">
        <v>39.43</v>
      </c>
      <c r="EO139" s="231">
        <v>1822.44</v>
      </c>
      <c r="EP139" s="231">
        <v>2088.9899999999998</v>
      </c>
      <c r="EQ139" s="228">
        <v>-266.55</v>
      </c>
      <c r="ER139" s="229">
        <v>-0.12759999999999999</v>
      </c>
      <c r="ES139" s="228">
        <v>446.41</v>
      </c>
      <c r="ET139" s="228">
        <v>246.39</v>
      </c>
      <c r="EU139" s="231">
        <v>1107.6400000000001</v>
      </c>
      <c r="EV139" s="231">
        <v>60530911</v>
      </c>
      <c r="EW139" s="231">
        <v>1800.43</v>
      </c>
      <c r="EX139" s="231">
        <v>1909.45</v>
      </c>
      <c r="EY139" s="228">
        <v>-109.02</v>
      </c>
      <c r="EZ139" s="229">
        <v>-5.7099999999999998E-2</v>
      </c>
      <c r="FA139" s="229">
        <v>0.2167</v>
      </c>
      <c r="FB139" s="227" t="s">
        <v>556</v>
      </c>
      <c r="FC139">
        <f t="shared" si="2"/>
        <v>418</v>
      </c>
    </row>
    <row r="140" spans="1:159" ht="17.25" thickBot="1" x14ac:dyDescent="0.3">
      <c r="A140" s="226">
        <v>45981</v>
      </c>
      <c r="B140" s="227" t="s">
        <v>206</v>
      </c>
      <c r="C140" s="227" t="s">
        <v>550</v>
      </c>
      <c r="D140" s="228">
        <v>6500</v>
      </c>
      <c r="E140" s="228">
        <v>5</v>
      </c>
      <c r="F140" s="228">
        <v>116.14</v>
      </c>
      <c r="G140" s="228">
        <v>113.07</v>
      </c>
      <c r="H140" s="228">
        <v>3.07</v>
      </c>
      <c r="I140" s="229">
        <v>2.7199999999999998E-2</v>
      </c>
      <c r="J140" s="228">
        <v>115.99</v>
      </c>
      <c r="K140" s="228">
        <v>113.04</v>
      </c>
      <c r="L140" s="228">
        <v>2.95</v>
      </c>
      <c r="M140" s="229">
        <v>2.6100000000000002E-2</v>
      </c>
      <c r="N140" s="228">
        <v>116.14</v>
      </c>
      <c r="O140" s="228">
        <v>113.07</v>
      </c>
      <c r="P140" s="228">
        <v>3.07</v>
      </c>
      <c r="Q140" s="229">
        <v>2.7199999999999998E-2</v>
      </c>
      <c r="R140" s="228">
        <v>116.92</v>
      </c>
      <c r="S140" s="228">
        <v>113.87</v>
      </c>
      <c r="T140" s="228">
        <v>3.05</v>
      </c>
      <c r="U140" s="229">
        <v>2.6800000000000001E-2</v>
      </c>
      <c r="V140" s="228">
        <v>117.77</v>
      </c>
      <c r="W140" s="228">
        <v>114.87</v>
      </c>
      <c r="X140" s="228">
        <v>2.9</v>
      </c>
      <c r="Y140" s="229">
        <v>2.52E-2</v>
      </c>
      <c r="Z140" s="228">
        <v>0.15</v>
      </c>
      <c r="AA140" s="228">
        <v>0.03</v>
      </c>
      <c r="AB140" s="228">
        <v>0.12</v>
      </c>
      <c r="AC140" s="229">
        <v>1.2999999999999999E-3</v>
      </c>
      <c r="AD140" s="228">
        <v>0.15</v>
      </c>
      <c r="AE140" s="228">
        <v>0.03</v>
      </c>
      <c r="AF140" s="228">
        <v>0.12</v>
      </c>
      <c r="AG140" s="229">
        <v>1.2999999999999999E-3</v>
      </c>
      <c r="AH140" s="228">
        <v>0.93</v>
      </c>
      <c r="AI140" s="228">
        <v>0.83</v>
      </c>
      <c r="AJ140" s="228">
        <v>0.1</v>
      </c>
      <c r="AK140" s="229">
        <v>8.0000000000000002E-3</v>
      </c>
      <c r="AL140" s="228">
        <v>1.78</v>
      </c>
      <c r="AM140" s="228">
        <v>1.83</v>
      </c>
      <c r="AN140" s="228">
        <v>-0.05</v>
      </c>
      <c r="AO140" s="229">
        <v>1.5299999999999999E-2</v>
      </c>
      <c r="AP140" s="228">
        <v>115.93</v>
      </c>
      <c r="AQ140" s="228">
        <v>116.62</v>
      </c>
      <c r="AR140" s="228">
        <v>0</v>
      </c>
      <c r="AS140" s="228">
        <v>928</v>
      </c>
      <c r="AT140" s="228">
        <v>185</v>
      </c>
      <c r="AU140" s="228">
        <v>743</v>
      </c>
      <c r="AV140" s="229">
        <v>4.0106000000000002</v>
      </c>
      <c r="AW140" s="228">
        <v>511</v>
      </c>
      <c r="AX140" s="228">
        <v>121</v>
      </c>
      <c r="AY140" s="228">
        <v>390</v>
      </c>
      <c r="AZ140" s="229">
        <v>3.2305000000000001</v>
      </c>
      <c r="BA140" s="228">
        <v>411</v>
      </c>
      <c r="BB140" s="228">
        <v>62</v>
      </c>
      <c r="BC140" s="228">
        <v>349</v>
      </c>
      <c r="BD140" s="229">
        <v>5.6235999999999997</v>
      </c>
      <c r="BE140" s="228">
        <v>6</v>
      </c>
      <c r="BF140" s="228">
        <v>2</v>
      </c>
      <c r="BG140" s="228">
        <v>4</v>
      </c>
      <c r="BH140" s="229">
        <v>1.5806</v>
      </c>
      <c r="BI140" s="230">
        <v>2891</v>
      </c>
      <c r="BJ140" s="228">
        <v>413</v>
      </c>
      <c r="BK140" s="230">
        <v>2478</v>
      </c>
      <c r="BL140" s="229">
        <v>6.0042</v>
      </c>
      <c r="BM140" s="228">
        <v>977</v>
      </c>
      <c r="BN140" s="228">
        <v>189</v>
      </c>
      <c r="BO140" s="228">
        <v>788</v>
      </c>
      <c r="BP140" s="229">
        <v>4.1605999999999996</v>
      </c>
      <c r="BQ140" s="230">
        <v>4796</v>
      </c>
      <c r="BR140" s="228">
        <v>787</v>
      </c>
      <c r="BS140" s="230">
        <v>4009</v>
      </c>
      <c r="BT140" s="229">
        <v>5.0918000000000001</v>
      </c>
      <c r="BU140" s="230">
        <v>42529596</v>
      </c>
      <c r="BV140" s="230">
        <v>6738494</v>
      </c>
      <c r="BW140" s="230">
        <v>35791102</v>
      </c>
      <c r="BX140" s="229">
        <v>5.3113999999999999</v>
      </c>
      <c r="BY140" s="228">
        <v>969</v>
      </c>
      <c r="BZ140" s="228">
        <v>975</v>
      </c>
      <c r="CA140" s="228">
        <v>-6</v>
      </c>
      <c r="CB140" s="229">
        <v>-6.6E-3</v>
      </c>
      <c r="CC140" s="228">
        <v>618</v>
      </c>
      <c r="CD140" s="228">
        <v>792</v>
      </c>
      <c r="CE140" s="228">
        <v>-174</v>
      </c>
      <c r="CF140" s="229">
        <v>-0.21959999999999999</v>
      </c>
      <c r="CG140" s="228">
        <v>343</v>
      </c>
      <c r="CH140" s="228">
        <v>176</v>
      </c>
      <c r="CI140" s="228">
        <v>167</v>
      </c>
      <c r="CJ140" s="229">
        <v>0.94769999999999999</v>
      </c>
      <c r="CK140" s="228">
        <v>8</v>
      </c>
      <c r="CL140" s="228">
        <v>7</v>
      </c>
      <c r="CM140" s="228">
        <v>1</v>
      </c>
      <c r="CN140" s="229">
        <v>0.1031</v>
      </c>
      <c r="CO140" s="228">
        <v>641</v>
      </c>
      <c r="CP140" s="228">
        <v>512</v>
      </c>
      <c r="CQ140" s="228">
        <v>129</v>
      </c>
      <c r="CR140" s="229">
        <v>0.25169999999999998</v>
      </c>
      <c r="CS140" s="228">
        <v>310</v>
      </c>
      <c r="CT140" s="228">
        <v>282</v>
      </c>
      <c r="CU140" s="228">
        <v>28</v>
      </c>
      <c r="CV140" s="229">
        <v>0.10009999999999999</v>
      </c>
      <c r="CW140" s="230">
        <v>1920</v>
      </c>
      <c r="CX140" s="230">
        <v>1770</v>
      </c>
      <c r="CY140" s="228">
        <v>151</v>
      </c>
      <c r="CZ140" s="229">
        <v>8.5199999999999998E-2</v>
      </c>
      <c r="DA140" s="228">
        <v>31.27</v>
      </c>
      <c r="DB140" s="228">
        <v>31.81</v>
      </c>
      <c r="DC140" s="228">
        <v>-0.54</v>
      </c>
      <c r="DD140" s="228">
        <v>-0.54</v>
      </c>
      <c r="DE140" s="228">
        <v>51.71</v>
      </c>
      <c r="DF140" s="228">
        <v>51.71</v>
      </c>
      <c r="DG140" s="228">
        <v>-20.440000000000001</v>
      </c>
      <c r="DH140" s="228">
        <v>0</v>
      </c>
      <c r="DI140" s="228">
        <v>31.14</v>
      </c>
      <c r="DJ140" s="228">
        <v>32.6</v>
      </c>
      <c r="DK140" s="228">
        <v>-1.46</v>
      </c>
      <c r="DL140" s="228">
        <v>-1.46</v>
      </c>
      <c r="DM140" s="228">
        <v>31.68</v>
      </c>
      <c r="DN140" s="228">
        <v>30.08</v>
      </c>
      <c r="DO140" s="228">
        <v>1.6</v>
      </c>
      <c r="DP140" s="228">
        <v>1.6</v>
      </c>
      <c r="DQ140" s="228">
        <v>0.48</v>
      </c>
      <c r="DR140" s="228">
        <v>0.55000000000000004</v>
      </c>
      <c r="DS140" s="228">
        <v>-7.0000000000000007E-2</v>
      </c>
      <c r="DT140" s="229">
        <v>-0.1273</v>
      </c>
      <c r="DU140" s="228">
        <v>120</v>
      </c>
      <c r="DV140" s="228">
        <v>110</v>
      </c>
      <c r="DW140" s="228">
        <v>0.34</v>
      </c>
      <c r="DX140" s="228">
        <v>0.46</v>
      </c>
      <c r="DY140" s="228">
        <v>-0.12</v>
      </c>
      <c r="DZ140" s="229">
        <v>-0.26090000000000002</v>
      </c>
      <c r="EA140" s="229">
        <v>0.36209999999999998</v>
      </c>
      <c r="EB140" s="230">
        <v>15782000</v>
      </c>
      <c r="EC140" s="229">
        <v>6.7000000000000002E-3</v>
      </c>
      <c r="ED140" s="229">
        <v>0.36209999999999998</v>
      </c>
      <c r="EE140" s="228">
        <v>0.69</v>
      </c>
      <c r="EF140" s="229">
        <v>6.0000000000000001E-3</v>
      </c>
      <c r="EG140" s="230">
        <v>6568055</v>
      </c>
      <c r="EH140" s="230">
        <v>1993574</v>
      </c>
      <c r="EI140" s="229">
        <v>2.2946</v>
      </c>
      <c r="EJ140" s="229">
        <v>0.15440000000000001</v>
      </c>
      <c r="EK140" s="231">
        <v>2978.85</v>
      </c>
      <c r="EL140" s="228">
        <v>963.09</v>
      </c>
      <c r="EM140" s="228">
        <v>928.71</v>
      </c>
      <c r="EN140" s="228">
        <v>56.44</v>
      </c>
      <c r="EO140" s="231">
        <v>4870.6499999999996</v>
      </c>
      <c r="EP140" s="228">
        <v>786.05</v>
      </c>
      <c r="EQ140" s="231">
        <v>4084.61</v>
      </c>
      <c r="ER140" s="229">
        <v>5.1963999999999997</v>
      </c>
      <c r="ES140" s="228">
        <v>660.35</v>
      </c>
      <c r="ET140" s="228">
        <v>296.02</v>
      </c>
      <c r="EU140" s="228">
        <v>971.34</v>
      </c>
      <c r="EV140" s="231">
        <v>154894704</v>
      </c>
      <c r="EW140" s="231">
        <v>1927.71</v>
      </c>
      <c r="EX140" s="231">
        <v>1742.82</v>
      </c>
      <c r="EY140" s="228">
        <v>184.89</v>
      </c>
      <c r="EZ140" s="229">
        <v>0.1061</v>
      </c>
      <c r="FA140" s="229">
        <v>1.0674999999999999</v>
      </c>
      <c r="FB140" s="227" t="s">
        <v>556</v>
      </c>
      <c r="FC140">
        <f t="shared" si="2"/>
        <v>351</v>
      </c>
    </row>
    <row r="141" spans="1:159" ht="17.25" thickBot="1" x14ac:dyDescent="0.3">
      <c r="A141" s="226">
        <v>45981</v>
      </c>
      <c r="B141" s="227" t="s">
        <v>215</v>
      </c>
      <c r="C141" s="227" t="s">
        <v>591</v>
      </c>
      <c r="D141" s="228">
        <v>2700</v>
      </c>
      <c r="E141" s="228">
        <v>5</v>
      </c>
      <c r="F141" s="228">
        <v>179.26</v>
      </c>
      <c r="G141" s="228">
        <v>181.2</v>
      </c>
      <c r="H141" s="228">
        <v>-1.94</v>
      </c>
      <c r="I141" s="229">
        <v>-1.0699999999999999E-2</v>
      </c>
      <c r="J141" s="228">
        <v>179.03</v>
      </c>
      <c r="K141" s="228">
        <v>180.83</v>
      </c>
      <c r="L141" s="228">
        <v>-1.8</v>
      </c>
      <c r="M141" s="229">
        <v>-0.01</v>
      </c>
      <c r="N141" s="228">
        <v>179.26</v>
      </c>
      <c r="O141" s="228">
        <v>181.2</v>
      </c>
      <c r="P141" s="228">
        <v>-1.94</v>
      </c>
      <c r="Q141" s="229">
        <v>-1.0699999999999999E-2</v>
      </c>
      <c r="R141" s="228">
        <v>180.37</v>
      </c>
      <c r="S141" s="228">
        <v>182.32</v>
      </c>
      <c r="T141" s="228">
        <v>-1.95</v>
      </c>
      <c r="U141" s="229">
        <v>-1.0699999999999999E-2</v>
      </c>
      <c r="V141" s="228">
        <v>0</v>
      </c>
      <c r="W141" s="228">
        <v>0</v>
      </c>
      <c r="X141" s="228">
        <v>0</v>
      </c>
      <c r="Y141" s="229">
        <v>0</v>
      </c>
      <c r="Z141" s="228">
        <v>0.23</v>
      </c>
      <c r="AA141" s="228">
        <v>0.37</v>
      </c>
      <c r="AB141" s="228">
        <v>-0.14000000000000001</v>
      </c>
      <c r="AC141" s="229">
        <v>1.2999999999999999E-3</v>
      </c>
      <c r="AD141" s="228">
        <v>0.23</v>
      </c>
      <c r="AE141" s="228">
        <v>0.37</v>
      </c>
      <c r="AF141" s="228">
        <v>-0.14000000000000001</v>
      </c>
      <c r="AG141" s="229">
        <v>1.2999999999999999E-3</v>
      </c>
      <c r="AH141" s="228">
        <v>1.34</v>
      </c>
      <c r="AI141" s="228">
        <v>1.49</v>
      </c>
      <c r="AJ141" s="228">
        <v>-0.15</v>
      </c>
      <c r="AK141" s="229">
        <v>7.4999999999999997E-3</v>
      </c>
      <c r="AL141" s="228">
        <v>0</v>
      </c>
      <c r="AM141" s="228">
        <v>0</v>
      </c>
      <c r="AN141" s="228">
        <v>0</v>
      </c>
      <c r="AO141" s="229">
        <v>0</v>
      </c>
      <c r="AP141" s="228">
        <v>180.21</v>
      </c>
      <c r="AQ141" s="228">
        <v>181.43</v>
      </c>
      <c r="AR141" s="228">
        <v>0</v>
      </c>
      <c r="AS141" s="228">
        <v>169</v>
      </c>
      <c r="AT141" s="228">
        <v>65</v>
      </c>
      <c r="AU141" s="228">
        <v>104</v>
      </c>
      <c r="AV141" s="229">
        <v>1.5953999999999999</v>
      </c>
      <c r="AW141" s="228">
        <v>88</v>
      </c>
      <c r="AX141" s="228">
        <v>40</v>
      </c>
      <c r="AY141" s="228">
        <v>48</v>
      </c>
      <c r="AZ141" s="229">
        <v>1.2001999999999999</v>
      </c>
      <c r="BA141" s="228">
        <v>81</v>
      </c>
      <c r="BB141" s="228">
        <v>25</v>
      </c>
      <c r="BC141" s="228">
        <v>56</v>
      </c>
      <c r="BD141" s="229">
        <v>2.2277999999999998</v>
      </c>
      <c r="BE141" s="228">
        <v>0</v>
      </c>
      <c r="BF141" s="228">
        <v>0</v>
      </c>
      <c r="BG141" s="228">
        <v>0</v>
      </c>
      <c r="BH141" s="229">
        <v>0</v>
      </c>
      <c r="BI141" s="228">
        <v>195</v>
      </c>
      <c r="BJ141" s="228">
        <v>303</v>
      </c>
      <c r="BK141" s="228">
        <v>-108</v>
      </c>
      <c r="BL141" s="229">
        <v>-0.35709999999999997</v>
      </c>
      <c r="BM141" s="228">
        <v>65</v>
      </c>
      <c r="BN141" s="228">
        <v>89</v>
      </c>
      <c r="BO141" s="228">
        <v>-24</v>
      </c>
      <c r="BP141" s="229">
        <v>-0.27160000000000001</v>
      </c>
      <c r="BQ141" s="228">
        <v>429</v>
      </c>
      <c r="BR141" s="228">
        <v>457</v>
      </c>
      <c r="BS141" s="228">
        <v>-28</v>
      </c>
      <c r="BT141" s="229">
        <v>-6.2E-2</v>
      </c>
      <c r="BU141" s="230">
        <v>2528755</v>
      </c>
      <c r="BV141" s="230">
        <v>3726047</v>
      </c>
      <c r="BW141" s="230">
        <v>-1197292</v>
      </c>
      <c r="BX141" s="229">
        <v>-0.32129999999999997</v>
      </c>
      <c r="BY141" s="228">
        <v>449</v>
      </c>
      <c r="BZ141" s="228">
        <v>447</v>
      </c>
      <c r="CA141" s="228">
        <v>2</v>
      </c>
      <c r="CB141" s="229">
        <v>3.7000000000000002E-3</v>
      </c>
      <c r="CC141" s="228">
        <v>307</v>
      </c>
      <c r="CD141" s="228">
        <v>362</v>
      </c>
      <c r="CE141" s="228">
        <v>-55</v>
      </c>
      <c r="CF141" s="229">
        <v>-0.15210000000000001</v>
      </c>
      <c r="CG141" s="228">
        <v>142</v>
      </c>
      <c r="CH141" s="228">
        <v>85</v>
      </c>
      <c r="CI141" s="228">
        <v>57</v>
      </c>
      <c r="CJ141" s="229">
        <v>0.66700000000000004</v>
      </c>
      <c r="CK141" s="228">
        <v>0</v>
      </c>
      <c r="CL141" s="228">
        <v>0</v>
      </c>
      <c r="CM141" s="228">
        <v>0</v>
      </c>
      <c r="CN141" s="229">
        <v>0</v>
      </c>
      <c r="CO141" s="228">
        <v>423</v>
      </c>
      <c r="CP141" s="228">
        <v>429</v>
      </c>
      <c r="CQ141" s="228">
        <v>-5</v>
      </c>
      <c r="CR141" s="229">
        <v>-1.2800000000000001E-2</v>
      </c>
      <c r="CS141" s="228">
        <v>198</v>
      </c>
      <c r="CT141" s="228">
        <v>199</v>
      </c>
      <c r="CU141" s="228">
        <v>0</v>
      </c>
      <c r="CV141" s="229">
        <v>-2.2000000000000001E-3</v>
      </c>
      <c r="CW141" s="230">
        <v>1070</v>
      </c>
      <c r="CX141" s="230">
        <v>1074</v>
      </c>
      <c r="CY141" s="228">
        <v>-4</v>
      </c>
      <c r="CZ141" s="229">
        <v>-4.0000000000000001E-3</v>
      </c>
      <c r="DA141" s="228">
        <v>30.38</v>
      </c>
      <c r="DB141" s="228">
        <v>32.35</v>
      </c>
      <c r="DC141" s="228">
        <v>-1.97</v>
      </c>
      <c r="DD141" s="228">
        <v>-1.97</v>
      </c>
      <c r="DE141" s="228">
        <v>46.33</v>
      </c>
      <c r="DF141" s="228">
        <v>46.43</v>
      </c>
      <c r="DG141" s="228">
        <v>-15.95</v>
      </c>
      <c r="DH141" s="228">
        <v>-0.1</v>
      </c>
      <c r="DI141" s="228">
        <v>30.22</v>
      </c>
      <c r="DJ141" s="228">
        <v>33.299999999999997</v>
      </c>
      <c r="DK141" s="228">
        <v>-3.08</v>
      </c>
      <c r="DL141" s="228">
        <v>-3.08</v>
      </c>
      <c r="DM141" s="228">
        <v>30.78</v>
      </c>
      <c r="DN141" s="228">
        <v>29.14</v>
      </c>
      <c r="DO141" s="228">
        <v>1.64</v>
      </c>
      <c r="DP141" s="228">
        <v>1.64</v>
      </c>
      <c r="DQ141" s="228">
        <v>0.47</v>
      </c>
      <c r="DR141" s="228">
        <v>0.46</v>
      </c>
      <c r="DS141" s="228">
        <v>0.01</v>
      </c>
      <c r="DT141" s="229">
        <v>2.1700000000000001E-2</v>
      </c>
      <c r="DU141" s="228">
        <v>200</v>
      </c>
      <c r="DV141" s="228">
        <v>175</v>
      </c>
      <c r="DW141" s="228">
        <v>0.33</v>
      </c>
      <c r="DX141" s="228">
        <v>0.28999999999999998</v>
      </c>
      <c r="DY141" s="228">
        <v>0.04</v>
      </c>
      <c r="DZ141" s="229">
        <v>0.13789999999999999</v>
      </c>
      <c r="EA141" s="229">
        <v>0.31580000000000003</v>
      </c>
      <c r="EB141" s="230">
        <v>4743900</v>
      </c>
      <c r="EC141" s="229">
        <v>6.1999999999999998E-3</v>
      </c>
      <c r="ED141" s="229">
        <v>0.31580000000000003</v>
      </c>
      <c r="EE141" s="228">
        <v>1.22</v>
      </c>
      <c r="EF141" s="229">
        <v>6.7999999999999996E-3</v>
      </c>
      <c r="EG141" s="230">
        <v>1325805</v>
      </c>
      <c r="EH141" s="230">
        <v>1816071</v>
      </c>
      <c r="EI141" s="229">
        <v>-0.27</v>
      </c>
      <c r="EJ141" s="229">
        <v>0.52429999999999999</v>
      </c>
      <c r="EK141" s="228">
        <v>209.82</v>
      </c>
      <c r="EL141" s="228">
        <v>68.45</v>
      </c>
      <c r="EM141" s="228">
        <v>170.65</v>
      </c>
      <c r="EN141" s="228">
        <v>16.600000000000001</v>
      </c>
      <c r="EO141" s="228">
        <v>448.92</v>
      </c>
      <c r="EP141" s="228">
        <v>487.35</v>
      </c>
      <c r="EQ141" s="228">
        <v>-38.44</v>
      </c>
      <c r="ER141" s="229">
        <v>-7.8899999999999998E-2</v>
      </c>
      <c r="ES141" s="228">
        <v>473.12</v>
      </c>
      <c r="ET141" s="228">
        <v>209.74</v>
      </c>
      <c r="EU141" s="228">
        <v>449.79</v>
      </c>
      <c r="EV141" s="231">
        <v>72342848</v>
      </c>
      <c r="EW141" s="231">
        <v>1132.6600000000001</v>
      </c>
      <c r="EX141" s="231">
        <v>1145.06</v>
      </c>
      <c r="EY141" s="228">
        <v>-12.4</v>
      </c>
      <c r="EZ141" s="229">
        <v>-1.0800000000000001E-2</v>
      </c>
      <c r="FA141" s="229">
        <v>0.82530000000000003</v>
      </c>
      <c r="FB141" s="227" t="s">
        <v>567</v>
      </c>
      <c r="FC141">
        <f t="shared" si="2"/>
        <v>142</v>
      </c>
    </row>
    <row r="142" spans="1:159" ht="17.25" thickBot="1" x14ac:dyDescent="0.3">
      <c r="A142" s="226">
        <v>45981</v>
      </c>
      <c r="B142" s="227" t="s">
        <v>168</v>
      </c>
      <c r="C142" s="227" t="s">
        <v>265</v>
      </c>
      <c r="D142" s="228">
        <v>500</v>
      </c>
      <c r="E142" s="228">
        <v>5</v>
      </c>
      <c r="F142" s="231">
        <v>1280.7</v>
      </c>
      <c r="G142" s="231">
        <v>1281.0999999999999</v>
      </c>
      <c r="H142" s="228">
        <v>-0.4</v>
      </c>
      <c r="I142" s="229">
        <v>-2.9999999999999997E-4</v>
      </c>
      <c r="J142" s="231">
        <v>1279.2</v>
      </c>
      <c r="K142" s="231">
        <v>1279</v>
      </c>
      <c r="L142" s="228">
        <v>0.2</v>
      </c>
      <c r="M142" s="229">
        <v>2.0000000000000001E-4</v>
      </c>
      <c r="N142" s="231">
        <v>1280.7</v>
      </c>
      <c r="O142" s="231">
        <v>1281.0999999999999</v>
      </c>
      <c r="P142" s="228">
        <v>-0.4</v>
      </c>
      <c r="Q142" s="229">
        <v>-2.9999999999999997E-4</v>
      </c>
      <c r="R142" s="231">
        <v>1289.2</v>
      </c>
      <c r="S142" s="231">
        <v>1289.5999999999999</v>
      </c>
      <c r="T142" s="228">
        <v>-0.4</v>
      </c>
      <c r="U142" s="229">
        <v>-2.9999999999999997E-4</v>
      </c>
      <c r="V142" s="231">
        <v>1296.8</v>
      </c>
      <c r="W142" s="231">
        <v>1297.3</v>
      </c>
      <c r="X142" s="228">
        <v>-0.5</v>
      </c>
      <c r="Y142" s="229">
        <v>-4.0000000000000002E-4</v>
      </c>
      <c r="Z142" s="228">
        <v>1.5</v>
      </c>
      <c r="AA142" s="228">
        <v>2.1</v>
      </c>
      <c r="AB142" s="228">
        <v>-0.6</v>
      </c>
      <c r="AC142" s="229">
        <v>1.1999999999999999E-3</v>
      </c>
      <c r="AD142" s="228">
        <v>1.5</v>
      </c>
      <c r="AE142" s="228">
        <v>2.1</v>
      </c>
      <c r="AF142" s="228">
        <v>-0.6</v>
      </c>
      <c r="AG142" s="229">
        <v>1.1999999999999999E-3</v>
      </c>
      <c r="AH142" s="228">
        <v>10</v>
      </c>
      <c r="AI142" s="228">
        <v>10.6</v>
      </c>
      <c r="AJ142" s="228">
        <v>-0.6</v>
      </c>
      <c r="AK142" s="229">
        <v>7.7999999999999996E-3</v>
      </c>
      <c r="AL142" s="228">
        <v>17.600000000000001</v>
      </c>
      <c r="AM142" s="228">
        <v>18.3</v>
      </c>
      <c r="AN142" s="228">
        <v>-0.7</v>
      </c>
      <c r="AO142" s="229">
        <v>1.38E-2</v>
      </c>
      <c r="AP142" s="231">
        <v>1280.7</v>
      </c>
      <c r="AQ142" s="231">
        <v>1289.0899999999999</v>
      </c>
      <c r="AR142" s="228">
        <v>0</v>
      </c>
      <c r="AS142" s="230">
        <v>1207</v>
      </c>
      <c r="AT142" s="228">
        <v>258</v>
      </c>
      <c r="AU142" s="228">
        <v>949</v>
      </c>
      <c r="AV142" s="229">
        <v>3.6848000000000001</v>
      </c>
      <c r="AW142" s="228">
        <v>609</v>
      </c>
      <c r="AX142" s="228">
        <v>181</v>
      </c>
      <c r="AY142" s="228">
        <v>428</v>
      </c>
      <c r="AZ142" s="229">
        <v>2.37</v>
      </c>
      <c r="BA142" s="228">
        <v>596</v>
      </c>
      <c r="BB142" s="228">
        <v>75</v>
      </c>
      <c r="BC142" s="228">
        <v>521</v>
      </c>
      <c r="BD142" s="229">
        <v>6.9276</v>
      </c>
      <c r="BE142" s="228">
        <v>2</v>
      </c>
      <c r="BF142" s="228">
        <v>2</v>
      </c>
      <c r="BG142" s="228">
        <v>0</v>
      </c>
      <c r="BH142" s="229">
        <v>0.1111</v>
      </c>
      <c r="BI142" s="228">
        <v>609</v>
      </c>
      <c r="BJ142" s="228">
        <v>994</v>
      </c>
      <c r="BK142" s="228">
        <v>-386</v>
      </c>
      <c r="BL142" s="229">
        <v>-0.38769999999999999</v>
      </c>
      <c r="BM142" s="228">
        <v>180</v>
      </c>
      <c r="BN142" s="228">
        <v>336</v>
      </c>
      <c r="BO142" s="228">
        <v>-156</v>
      </c>
      <c r="BP142" s="229">
        <v>-0.46410000000000001</v>
      </c>
      <c r="BQ142" s="230">
        <v>1996</v>
      </c>
      <c r="BR142" s="230">
        <v>1588</v>
      </c>
      <c r="BS142" s="228">
        <v>408</v>
      </c>
      <c r="BT142" s="229">
        <v>0.25700000000000001</v>
      </c>
      <c r="BU142" s="230">
        <v>1009610</v>
      </c>
      <c r="BV142" s="230">
        <v>762768</v>
      </c>
      <c r="BW142" s="230">
        <v>246842</v>
      </c>
      <c r="BX142" s="229">
        <v>0.3236</v>
      </c>
      <c r="BY142" s="230">
        <v>2126</v>
      </c>
      <c r="BZ142" s="230">
        <v>2129</v>
      </c>
      <c r="CA142" s="228">
        <v>-3</v>
      </c>
      <c r="CB142" s="229">
        <v>-1.5E-3</v>
      </c>
      <c r="CC142" s="230">
        <v>1428</v>
      </c>
      <c r="CD142" s="230">
        <v>1951</v>
      </c>
      <c r="CE142" s="228">
        <v>-522</v>
      </c>
      <c r="CF142" s="229">
        <v>-0.26769999999999999</v>
      </c>
      <c r="CG142" s="228">
        <v>690</v>
      </c>
      <c r="CH142" s="228">
        <v>172</v>
      </c>
      <c r="CI142" s="228">
        <v>519</v>
      </c>
      <c r="CJ142" s="229">
        <v>3.0205000000000002</v>
      </c>
      <c r="CK142" s="228">
        <v>7</v>
      </c>
      <c r="CL142" s="228">
        <v>6</v>
      </c>
      <c r="CM142" s="228">
        <v>0</v>
      </c>
      <c r="CN142" s="229">
        <v>7.0000000000000007E-2</v>
      </c>
      <c r="CO142" s="228">
        <v>670</v>
      </c>
      <c r="CP142" s="228">
        <v>696</v>
      </c>
      <c r="CQ142" s="228">
        <v>-26</v>
      </c>
      <c r="CR142" s="229">
        <v>-3.7400000000000003E-2</v>
      </c>
      <c r="CS142" s="228">
        <v>251</v>
      </c>
      <c r="CT142" s="228">
        <v>262</v>
      </c>
      <c r="CU142" s="228">
        <v>-11</v>
      </c>
      <c r="CV142" s="229">
        <v>-4.2299999999999997E-2</v>
      </c>
      <c r="CW142" s="230">
        <v>3046</v>
      </c>
      <c r="CX142" s="230">
        <v>3087</v>
      </c>
      <c r="CY142" s="228">
        <v>-40</v>
      </c>
      <c r="CZ142" s="229">
        <v>-1.3100000000000001E-2</v>
      </c>
      <c r="DA142" s="228">
        <v>17.34</v>
      </c>
      <c r="DB142" s="228">
        <v>16.82</v>
      </c>
      <c r="DC142" s="228">
        <v>0.52</v>
      </c>
      <c r="DD142" s="228">
        <v>0.52</v>
      </c>
      <c r="DE142" s="228">
        <v>23.44</v>
      </c>
      <c r="DF142" s="228">
        <v>23.5</v>
      </c>
      <c r="DG142" s="228">
        <v>-6.1</v>
      </c>
      <c r="DH142" s="228">
        <v>-0.06</v>
      </c>
      <c r="DI142" s="228">
        <v>17.309999999999999</v>
      </c>
      <c r="DJ142" s="228">
        <v>16.420000000000002</v>
      </c>
      <c r="DK142" s="228">
        <v>0.89</v>
      </c>
      <c r="DL142" s="228">
        <v>0.89</v>
      </c>
      <c r="DM142" s="228">
        <v>17.43</v>
      </c>
      <c r="DN142" s="228">
        <v>17.989999999999998</v>
      </c>
      <c r="DO142" s="228">
        <v>-0.56000000000000005</v>
      </c>
      <c r="DP142" s="228">
        <v>-0.56000000000000005</v>
      </c>
      <c r="DQ142" s="228">
        <v>0.37</v>
      </c>
      <c r="DR142" s="228">
        <v>0.38</v>
      </c>
      <c r="DS142" s="228">
        <v>-0.01</v>
      </c>
      <c r="DT142" s="229">
        <v>-2.63E-2</v>
      </c>
      <c r="DU142" s="231">
        <v>1300</v>
      </c>
      <c r="DV142" s="231">
        <v>1300</v>
      </c>
      <c r="DW142" s="228">
        <v>0.3</v>
      </c>
      <c r="DX142" s="228">
        <v>0.34</v>
      </c>
      <c r="DY142" s="228">
        <v>-0.04</v>
      </c>
      <c r="DZ142" s="229">
        <v>-0.1176</v>
      </c>
      <c r="EA142" s="229">
        <v>0.32800000000000001</v>
      </c>
      <c r="EB142" s="230">
        <v>1390500</v>
      </c>
      <c r="EC142" s="229">
        <v>6.6E-3</v>
      </c>
      <c r="ED142" s="229">
        <v>0.32800000000000001</v>
      </c>
      <c r="EE142" s="228">
        <v>8.39</v>
      </c>
      <c r="EF142" s="229">
        <v>6.6E-3</v>
      </c>
      <c r="EG142" s="230">
        <v>676249</v>
      </c>
      <c r="EH142" s="230">
        <v>432549</v>
      </c>
      <c r="EI142" s="229">
        <v>0.56340000000000001</v>
      </c>
      <c r="EJ142" s="229">
        <v>0.66979999999999995</v>
      </c>
      <c r="EK142" s="228">
        <v>619.64</v>
      </c>
      <c r="EL142" s="228">
        <v>178.23</v>
      </c>
      <c r="EM142" s="231">
        <v>1210.8</v>
      </c>
      <c r="EN142" s="228">
        <v>29.91</v>
      </c>
      <c r="EO142" s="231">
        <v>2008.67</v>
      </c>
      <c r="EP142" s="231">
        <v>1595.72</v>
      </c>
      <c r="EQ142" s="228">
        <v>412.96</v>
      </c>
      <c r="ER142" s="229">
        <v>0.25879999999999997</v>
      </c>
      <c r="ES142" s="228">
        <v>684.44</v>
      </c>
      <c r="ET142" s="228">
        <v>242.14</v>
      </c>
      <c r="EU142" s="231">
        <v>2130.1799999999998</v>
      </c>
      <c r="EV142" s="231">
        <v>71801274</v>
      </c>
      <c r="EW142" s="231">
        <v>3056.76</v>
      </c>
      <c r="EX142" s="231">
        <v>3094.24</v>
      </c>
      <c r="EY142" s="228">
        <v>-37.479999999999997</v>
      </c>
      <c r="EZ142" s="229">
        <v>-1.21E-2</v>
      </c>
      <c r="FA142" s="229">
        <v>0.33129999999999998</v>
      </c>
      <c r="FB142" s="227" t="s">
        <v>568</v>
      </c>
      <c r="FC142">
        <f t="shared" si="2"/>
        <v>698</v>
      </c>
    </row>
    <row r="143" spans="1:159" ht="17.25" thickBot="1" x14ac:dyDescent="0.3">
      <c r="A143" s="226">
        <v>45981</v>
      </c>
      <c r="B143" s="227" t="s">
        <v>161</v>
      </c>
      <c r="C143" s="227" t="s">
        <v>585</v>
      </c>
      <c r="D143" s="228">
        <v>6400</v>
      </c>
      <c r="E143" s="228">
        <v>5</v>
      </c>
      <c r="F143" s="228">
        <v>80.17</v>
      </c>
      <c r="G143" s="228">
        <v>80.16</v>
      </c>
      <c r="H143" s="228">
        <v>0.01</v>
      </c>
      <c r="I143" s="229">
        <v>1E-4</v>
      </c>
      <c r="J143" s="228">
        <v>80.12</v>
      </c>
      <c r="K143" s="228">
        <v>80.05</v>
      </c>
      <c r="L143" s="228">
        <v>7.0000000000000007E-2</v>
      </c>
      <c r="M143" s="229">
        <v>8.9999999999999998E-4</v>
      </c>
      <c r="N143" s="228">
        <v>80.17</v>
      </c>
      <c r="O143" s="228">
        <v>80.16</v>
      </c>
      <c r="P143" s="228">
        <v>0.01</v>
      </c>
      <c r="Q143" s="229">
        <v>1E-4</v>
      </c>
      <c r="R143" s="228">
        <v>80.7</v>
      </c>
      <c r="S143" s="228">
        <v>80.66</v>
      </c>
      <c r="T143" s="228">
        <v>0.04</v>
      </c>
      <c r="U143" s="229">
        <v>5.0000000000000001E-4</v>
      </c>
      <c r="V143" s="228">
        <v>81.13</v>
      </c>
      <c r="W143" s="228">
        <v>81.2</v>
      </c>
      <c r="X143" s="228">
        <v>-7.0000000000000007E-2</v>
      </c>
      <c r="Y143" s="229">
        <v>-8.9999999999999998E-4</v>
      </c>
      <c r="Z143" s="228">
        <v>0.05</v>
      </c>
      <c r="AA143" s="228">
        <v>0.11</v>
      </c>
      <c r="AB143" s="228">
        <v>-0.06</v>
      </c>
      <c r="AC143" s="229">
        <v>5.9999999999999995E-4</v>
      </c>
      <c r="AD143" s="228">
        <v>0.05</v>
      </c>
      <c r="AE143" s="228">
        <v>0.11</v>
      </c>
      <c r="AF143" s="228">
        <v>-0.06</v>
      </c>
      <c r="AG143" s="229">
        <v>5.9999999999999995E-4</v>
      </c>
      <c r="AH143" s="228">
        <v>0.57999999999999996</v>
      </c>
      <c r="AI143" s="228">
        <v>0.61</v>
      </c>
      <c r="AJ143" s="228">
        <v>-0.03</v>
      </c>
      <c r="AK143" s="229">
        <v>7.1999999999999998E-3</v>
      </c>
      <c r="AL143" s="228">
        <v>1.01</v>
      </c>
      <c r="AM143" s="228">
        <v>1.1499999999999999</v>
      </c>
      <c r="AN143" s="228">
        <v>-0.14000000000000001</v>
      </c>
      <c r="AO143" s="229">
        <v>1.26E-2</v>
      </c>
      <c r="AP143" s="228">
        <v>80.510000000000005</v>
      </c>
      <c r="AQ143" s="228">
        <v>81.010000000000005</v>
      </c>
      <c r="AR143" s="228">
        <v>0</v>
      </c>
      <c r="AS143" s="228">
        <v>257</v>
      </c>
      <c r="AT143" s="228">
        <v>100</v>
      </c>
      <c r="AU143" s="228">
        <v>157</v>
      </c>
      <c r="AV143" s="229">
        <v>1.5732999999999999</v>
      </c>
      <c r="AW143" s="228">
        <v>127</v>
      </c>
      <c r="AX143" s="228">
        <v>56</v>
      </c>
      <c r="AY143" s="228">
        <v>71</v>
      </c>
      <c r="AZ143" s="229">
        <v>1.2552000000000001</v>
      </c>
      <c r="BA143" s="228">
        <v>129</v>
      </c>
      <c r="BB143" s="228">
        <v>41</v>
      </c>
      <c r="BC143" s="228">
        <v>88</v>
      </c>
      <c r="BD143" s="229">
        <v>2.1191</v>
      </c>
      <c r="BE143" s="228">
        <v>1</v>
      </c>
      <c r="BF143" s="228">
        <v>2</v>
      </c>
      <c r="BG143" s="228">
        <v>-1</v>
      </c>
      <c r="BH143" s="229">
        <v>-0.51160000000000005</v>
      </c>
      <c r="BI143" s="228">
        <v>161</v>
      </c>
      <c r="BJ143" s="228">
        <v>184</v>
      </c>
      <c r="BK143" s="228">
        <v>-23</v>
      </c>
      <c r="BL143" s="229">
        <v>-0.123</v>
      </c>
      <c r="BM143" s="228">
        <v>55</v>
      </c>
      <c r="BN143" s="228">
        <v>60</v>
      </c>
      <c r="BO143" s="228">
        <v>-5</v>
      </c>
      <c r="BP143" s="229">
        <v>-9.0700000000000003E-2</v>
      </c>
      <c r="BQ143" s="228">
        <v>473</v>
      </c>
      <c r="BR143" s="228">
        <v>344</v>
      </c>
      <c r="BS143" s="228">
        <v>129</v>
      </c>
      <c r="BT143" s="229">
        <v>0.376</v>
      </c>
      <c r="BU143" s="230">
        <v>7247072</v>
      </c>
      <c r="BV143" s="230">
        <v>11749650</v>
      </c>
      <c r="BW143" s="230">
        <v>-4502578</v>
      </c>
      <c r="BX143" s="229">
        <v>-0.38319999999999999</v>
      </c>
      <c r="BY143" s="228">
        <v>537</v>
      </c>
      <c r="BZ143" s="228">
        <v>536</v>
      </c>
      <c r="CA143" s="228">
        <v>2</v>
      </c>
      <c r="CB143" s="229">
        <v>3.3999999999999998E-3</v>
      </c>
      <c r="CC143" s="228">
        <v>355</v>
      </c>
      <c r="CD143" s="228">
        <v>454</v>
      </c>
      <c r="CE143" s="228">
        <v>-99</v>
      </c>
      <c r="CF143" s="229">
        <v>-0.21820000000000001</v>
      </c>
      <c r="CG143" s="228">
        <v>175</v>
      </c>
      <c r="CH143" s="228">
        <v>75</v>
      </c>
      <c r="CI143" s="228">
        <v>100</v>
      </c>
      <c r="CJ143" s="229">
        <v>1.3443000000000001</v>
      </c>
      <c r="CK143" s="228">
        <v>7</v>
      </c>
      <c r="CL143" s="228">
        <v>7</v>
      </c>
      <c r="CM143" s="228">
        <v>1</v>
      </c>
      <c r="CN143" s="229">
        <v>9.2999999999999999E-2</v>
      </c>
      <c r="CO143" s="228">
        <v>313</v>
      </c>
      <c r="CP143" s="228">
        <v>326</v>
      </c>
      <c r="CQ143" s="228">
        <v>-13</v>
      </c>
      <c r="CR143" s="229">
        <v>-3.9199999999999999E-2</v>
      </c>
      <c r="CS143" s="228">
        <v>141</v>
      </c>
      <c r="CT143" s="228">
        <v>145</v>
      </c>
      <c r="CU143" s="228">
        <v>-4</v>
      </c>
      <c r="CV143" s="229">
        <v>-2.69E-2</v>
      </c>
      <c r="CW143" s="228">
        <v>992</v>
      </c>
      <c r="CX143" s="230">
        <v>1007</v>
      </c>
      <c r="CY143" s="228">
        <v>-15</v>
      </c>
      <c r="CZ143" s="229">
        <v>-1.47E-2</v>
      </c>
      <c r="DA143" s="228">
        <v>26.6</v>
      </c>
      <c r="DB143" s="228">
        <v>30.28</v>
      </c>
      <c r="DC143" s="228">
        <v>-3.68</v>
      </c>
      <c r="DD143" s="228">
        <v>-3.68</v>
      </c>
      <c r="DE143" s="228">
        <v>38.119999999999997</v>
      </c>
      <c r="DF143" s="228">
        <v>38.21</v>
      </c>
      <c r="DG143" s="228">
        <v>-11.52</v>
      </c>
      <c r="DH143" s="228">
        <v>-0.09</v>
      </c>
      <c r="DI143" s="228">
        <v>27.03</v>
      </c>
      <c r="DJ143" s="228">
        <v>31.46</v>
      </c>
      <c r="DK143" s="228">
        <v>-4.43</v>
      </c>
      <c r="DL143" s="228">
        <v>-4.43</v>
      </c>
      <c r="DM143" s="228">
        <v>25.78</v>
      </c>
      <c r="DN143" s="228">
        <v>26.68</v>
      </c>
      <c r="DO143" s="228">
        <v>-0.9</v>
      </c>
      <c r="DP143" s="228">
        <v>-0.9</v>
      </c>
      <c r="DQ143" s="228">
        <v>0.45</v>
      </c>
      <c r="DR143" s="228">
        <v>0.45</v>
      </c>
      <c r="DS143" s="228">
        <v>0</v>
      </c>
      <c r="DT143" s="229">
        <v>0</v>
      </c>
      <c r="DU143" s="228">
        <v>90</v>
      </c>
      <c r="DV143" s="228">
        <v>80</v>
      </c>
      <c r="DW143" s="228">
        <v>0.34</v>
      </c>
      <c r="DX143" s="228">
        <v>0.33</v>
      </c>
      <c r="DY143" s="228">
        <v>0.01</v>
      </c>
      <c r="DZ143" s="229">
        <v>3.0300000000000001E-2</v>
      </c>
      <c r="EA143" s="229">
        <v>0.3392</v>
      </c>
      <c r="EB143" s="230">
        <v>10137600</v>
      </c>
      <c r="EC143" s="229">
        <v>6.6E-3</v>
      </c>
      <c r="ED143" s="229">
        <v>0.3392</v>
      </c>
      <c r="EE143" s="228">
        <v>0.5</v>
      </c>
      <c r="EF143" s="229">
        <v>6.1999999999999998E-3</v>
      </c>
      <c r="EG143" s="230">
        <v>3264809</v>
      </c>
      <c r="EH143" s="230">
        <v>6761943</v>
      </c>
      <c r="EI143" s="229">
        <v>-0.51719999999999999</v>
      </c>
      <c r="EJ143" s="229">
        <v>0.45050000000000001</v>
      </c>
      <c r="EK143" s="228">
        <v>171.21</v>
      </c>
      <c r="EL143" s="228">
        <v>54.41</v>
      </c>
      <c r="EM143" s="228">
        <v>259.38</v>
      </c>
      <c r="EN143" s="228">
        <v>14.97</v>
      </c>
      <c r="EO143" s="228">
        <v>485</v>
      </c>
      <c r="EP143" s="228">
        <v>354.47</v>
      </c>
      <c r="EQ143" s="228">
        <v>130.53</v>
      </c>
      <c r="ER143" s="229">
        <v>0.36820000000000003</v>
      </c>
      <c r="ES143" s="228">
        <v>339.58</v>
      </c>
      <c r="ET143" s="228">
        <v>142.4</v>
      </c>
      <c r="EU143" s="228">
        <v>538.6</v>
      </c>
      <c r="EV143" s="231">
        <v>398201603</v>
      </c>
      <c r="EW143" s="231">
        <v>1020.58</v>
      </c>
      <c r="EX143" s="231">
        <v>1036.19</v>
      </c>
      <c r="EY143" s="228">
        <v>-15.61</v>
      </c>
      <c r="EZ143" s="229">
        <v>-1.5100000000000001E-2</v>
      </c>
      <c r="FA143" s="229">
        <v>0.31059999999999999</v>
      </c>
      <c r="FB143" s="227" t="s">
        <v>555</v>
      </c>
      <c r="FC143">
        <f t="shared" si="2"/>
        <v>182</v>
      </c>
    </row>
    <row r="144" spans="1:159" ht="17.25" thickBot="1" x14ac:dyDescent="0.3">
      <c r="A144" s="226">
        <v>45981</v>
      </c>
      <c r="B144" s="227" t="s">
        <v>181</v>
      </c>
      <c r="C144" s="227" t="s">
        <v>266</v>
      </c>
      <c r="D144" s="228">
        <v>75</v>
      </c>
      <c r="E144" s="228">
        <v>5</v>
      </c>
      <c r="F144" s="231">
        <v>26220.799999999999</v>
      </c>
      <c r="G144" s="231">
        <v>26071</v>
      </c>
      <c r="H144" s="228">
        <v>149.80000000000001</v>
      </c>
      <c r="I144" s="229">
        <v>5.7000000000000002E-3</v>
      </c>
      <c r="J144" s="231">
        <v>26192.15</v>
      </c>
      <c r="K144" s="231">
        <v>26052.65</v>
      </c>
      <c r="L144" s="228">
        <v>139.5</v>
      </c>
      <c r="M144" s="229">
        <v>5.4000000000000003E-3</v>
      </c>
      <c r="N144" s="231">
        <v>26220.799999999999</v>
      </c>
      <c r="O144" s="231">
        <v>26071</v>
      </c>
      <c r="P144" s="228">
        <v>149.80000000000001</v>
      </c>
      <c r="Q144" s="229">
        <v>5.7000000000000002E-3</v>
      </c>
      <c r="R144" s="231">
        <v>26411.9</v>
      </c>
      <c r="S144" s="231">
        <v>26253.7</v>
      </c>
      <c r="T144" s="228">
        <v>158.19999999999999</v>
      </c>
      <c r="U144" s="229">
        <v>6.0000000000000001E-3</v>
      </c>
      <c r="V144" s="231">
        <v>26562.9</v>
      </c>
      <c r="W144" s="231">
        <v>26415</v>
      </c>
      <c r="X144" s="228">
        <v>147.9</v>
      </c>
      <c r="Y144" s="229">
        <v>5.5999999999999999E-3</v>
      </c>
      <c r="Z144" s="228">
        <v>28.65</v>
      </c>
      <c r="AA144" s="228">
        <v>18.350000000000001</v>
      </c>
      <c r="AB144" s="228">
        <v>10.3</v>
      </c>
      <c r="AC144" s="229">
        <v>1.1000000000000001E-3</v>
      </c>
      <c r="AD144" s="228">
        <v>28.65</v>
      </c>
      <c r="AE144" s="228">
        <v>18.350000000000001</v>
      </c>
      <c r="AF144" s="228">
        <v>10.3</v>
      </c>
      <c r="AG144" s="229">
        <v>1.1000000000000001E-3</v>
      </c>
      <c r="AH144" s="228">
        <v>219.75</v>
      </c>
      <c r="AI144" s="228">
        <v>201.05</v>
      </c>
      <c r="AJ144" s="228">
        <v>18.7</v>
      </c>
      <c r="AK144" s="229">
        <v>8.3999999999999995E-3</v>
      </c>
      <c r="AL144" s="228">
        <v>370.75</v>
      </c>
      <c r="AM144" s="228">
        <v>362.35</v>
      </c>
      <c r="AN144" s="228">
        <v>8.4</v>
      </c>
      <c r="AO144" s="229">
        <v>1.4200000000000001E-2</v>
      </c>
      <c r="AP144" s="231">
        <v>26186.720000000001</v>
      </c>
      <c r="AQ144" s="231">
        <v>26370.75</v>
      </c>
      <c r="AR144" s="228">
        <v>0</v>
      </c>
      <c r="AS144" s="230">
        <v>28518</v>
      </c>
      <c r="AT144" s="230">
        <v>16723</v>
      </c>
      <c r="AU144" s="230">
        <v>11795</v>
      </c>
      <c r="AV144" s="229">
        <v>0.70530000000000004</v>
      </c>
      <c r="AW144" s="230">
        <v>17416</v>
      </c>
      <c r="AX144" s="230">
        <v>13281</v>
      </c>
      <c r="AY144" s="230">
        <v>4135</v>
      </c>
      <c r="AZ144" s="229">
        <v>0.31140000000000001</v>
      </c>
      <c r="BA144" s="230">
        <v>10272</v>
      </c>
      <c r="BB144" s="230">
        <v>3001</v>
      </c>
      <c r="BC144" s="230">
        <v>7272</v>
      </c>
      <c r="BD144" s="229">
        <v>2.4234</v>
      </c>
      <c r="BE144" s="228">
        <v>830</v>
      </c>
      <c r="BF144" s="228">
        <v>441</v>
      </c>
      <c r="BG144" s="228">
        <v>388</v>
      </c>
      <c r="BH144" s="229">
        <v>0.87929999999999997</v>
      </c>
      <c r="BI144" s="230">
        <v>4992305</v>
      </c>
      <c r="BJ144" s="230">
        <v>5088755</v>
      </c>
      <c r="BK144" s="230">
        <v>-96449</v>
      </c>
      <c r="BL144" s="229">
        <v>-1.9E-2</v>
      </c>
      <c r="BM144" s="230">
        <v>4754699</v>
      </c>
      <c r="BN144" s="230">
        <v>4526679</v>
      </c>
      <c r="BO144" s="230">
        <v>228020</v>
      </c>
      <c r="BP144" s="229">
        <v>5.04E-2</v>
      </c>
      <c r="BQ144" s="230">
        <v>9775523</v>
      </c>
      <c r="BR144" s="230">
        <v>9632156</v>
      </c>
      <c r="BS144" s="230">
        <v>143367</v>
      </c>
      <c r="BT144" s="229">
        <v>1.49E-2</v>
      </c>
      <c r="BU144" s="228">
        <v>0</v>
      </c>
      <c r="BV144" s="228">
        <v>0</v>
      </c>
      <c r="BW144" s="228">
        <v>0</v>
      </c>
      <c r="BX144" s="229">
        <v>0</v>
      </c>
      <c r="BY144" s="230">
        <v>51877</v>
      </c>
      <c r="BZ144" s="230">
        <v>51534</v>
      </c>
      <c r="CA144" s="228">
        <v>343</v>
      </c>
      <c r="CB144" s="229">
        <v>6.6E-3</v>
      </c>
      <c r="CC144" s="230">
        <v>38316</v>
      </c>
      <c r="CD144" s="230">
        <v>44039</v>
      </c>
      <c r="CE144" s="230">
        <v>-5723</v>
      </c>
      <c r="CF144" s="229">
        <v>-0.13</v>
      </c>
      <c r="CG144" s="230">
        <v>12549</v>
      </c>
      <c r="CH144" s="230">
        <v>6667</v>
      </c>
      <c r="CI144" s="230">
        <v>5881</v>
      </c>
      <c r="CJ144" s="229">
        <v>0.8821</v>
      </c>
      <c r="CK144" s="230">
        <v>1012</v>
      </c>
      <c r="CL144" s="228">
        <v>827</v>
      </c>
      <c r="CM144" s="228">
        <v>185</v>
      </c>
      <c r="CN144" s="229">
        <v>0.22309999999999999</v>
      </c>
      <c r="CO144" s="230">
        <v>512819</v>
      </c>
      <c r="CP144" s="230">
        <v>469331</v>
      </c>
      <c r="CQ144" s="230">
        <v>43488</v>
      </c>
      <c r="CR144" s="229">
        <v>9.2700000000000005E-2</v>
      </c>
      <c r="CS144" s="230">
        <v>738682</v>
      </c>
      <c r="CT144" s="230">
        <v>603694</v>
      </c>
      <c r="CU144" s="230">
        <v>134989</v>
      </c>
      <c r="CV144" s="229">
        <v>0.22359999999999999</v>
      </c>
      <c r="CW144" s="230">
        <v>1303378</v>
      </c>
      <c r="CX144" s="230">
        <v>1124559</v>
      </c>
      <c r="CY144" s="230">
        <v>178820</v>
      </c>
      <c r="CZ144" s="229">
        <v>0.159</v>
      </c>
      <c r="DA144" s="228">
        <v>11.2</v>
      </c>
      <c r="DB144" s="228">
        <v>11.93</v>
      </c>
      <c r="DC144" s="228">
        <v>-0.73</v>
      </c>
      <c r="DD144" s="228">
        <v>-0.73</v>
      </c>
      <c r="DE144" s="228">
        <v>14.51</v>
      </c>
      <c r="DF144" s="228">
        <v>14.52</v>
      </c>
      <c r="DG144" s="228">
        <v>-3.31</v>
      </c>
      <c r="DH144" s="228">
        <v>-0.01</v>
      </c>
      <c r="DI144" s="228">
        <v>10.41</v>
      </c>
      <c r="DJ144" s="228">
        <v>11.08</v>
      </c>
      <c r="DK144" s="228">
        <v>-0.67</v>
      </c>
      <c r="DL144" s="228">
        <v>-0.67</v>
      </c>
      <c r="DM144" s="228">
        <v>12.09</v>
      </c>
      <c r="DN144" s="228">
        <v>12.89</v>
      </c>
      <c r="DO144" s="228">
        <v>-0.8</v>
      </c>
      <c r="DP144" s="228">
        <v>-0.8</v>
      </c>
      <c r="DQ144" s="228">
        <v>1.44</v>
      </c>
      <c r="DR144" s="228">
        <v>1.29</v>
      </c>
      <c r="DS144" s="228">
        <v>0.15</v>
      </c>
      <c r="DT144" s="229">
        <v>0.1163</v>
      </c>
      <c r="DU144" s="231">
        <v>26500</v>
      </c>
      <c r="DV144" s="231">
        <v>26000</v>
      </c>
      <c r="DW144" s="228">
        <v>0.95</v>
      </c>
      <c r="DX144" s="228">
        <v>0.89</v>
      </c>
      <c r="DY144" s="228">
        <v>0.06</v>
      </c>
      <c r="DZ144" s="229">
        <v>6.7400000000000002E-2</v>
      </c>
      <c r="EA144" s="229">
        <v>0.26140000000000002</v>
      </c>
      <c r="EB144" s="230">
        <v>2858375</v>
      </c>
      <c r="EC144" s="229">
        <v>7.3000000000000001E-3</v>
      </c>
      <c r="ED144" s="229">
        <v>0.26140000000000002</v>
      </c>
      <c r="EE144" s="228">
        <v>184.03</v>
      </c>
      <c r="EF144" s="229">
        <v>7.0000000000000001E-3</v>
      </c>
      <c r="EG144" s="228">
        <v>0</v>
      </c>
      <c r="EH144" s="228">
        <v>0</v>
      </c>
      <c r="EI144" s="229">
        <v>0</v>
      </c>
      <c r="EJ144" s="229">
        <v>0</v>
      </c>
      <c r="EK144" s="231">
        <v>5057807.6900000004</v>
      </c>
      <c r="EL144" s="231">
        <v>4644806.68</v>
      </c>
      <c r="EM144" s="231">
        <v>28451.9</v>
      </c>
      <c r="EN144" s="228">
        <v>865.18</v>
      </c>
      <c r="EO144" s="231">
        <v>9731066.2699999996</v>
      </c>
      <c r="EP144" s="231">
        <v>9560020.0999999996</v>
      </c>
      <c r="EQ144" s="231">
        <v>171046.16</v>
      </c>
      <c r="ER144" s="229">
        <v>1.7899999999999999E-2</v>
      </c>
      <c r="ES144" s="231">
        <v>520418.51</v>
      </c>
      <c r="ET144" s="231">
        <v>710787.98</v>
      </c>
      <c r="EU144" s="231">
        <v>51981.39</v>
      </c>
      <c r="EV144" s="228">
        <v>0</v>
      </c>
      <c r="EW144" s="231">
        <v>1283187.8799999999</v>
      </c>
      <c r="EX144" s="231">
        <v>1105264.5900000001</v>
      </c>
      <c r="EY144" s="231">
        <v>177923.29</v>
      </c>
      <c r="EZ144" s="229">
        <v>0.161</v>
      </c>
      <c r="FA144" s="229">
        <v>0</v>
      </c>
      <c r="FB144" s="227" t="s">
        <v>555</v>
      </c>
      <c r="FC144">
        <f t="shared" si="2"/>
        <v>13561</v>
      </c>
    </row>
    <row r="145" spans="1:159" ht="17.25" thickBot="1" x14ac:dyDescent="0.3">
      <c r="A145" s="226">
        <v>45981</v>
      </c>
      <c r="B145" s="227" t="s">
        <v>181</v>
      </c>
      <c r="C145" s="227" t="s">
        <v>566</v>
      </c>
      <c r="D145" s="228">
        <v>25</v>
      </c>
      <c r="E145" s="228">
        <v>5</v>
      </c>
      <c r="F145" s="231">
        <v>69623.399999999994</v>
      </c>
      <c r="G145" s="231">
        <v>69658.8</v>
      </c>
      <c r="H145" s="228">
        <v>-35.4</v>
      </c>
      <c r="I145" s="229">
        <v>-5.0000000000000001E-4</v>
      </c>
      <c r="J145" s="231">
        <v>69567.75</v>
      </c>
      <c r="K145" s="231">
        <v>69635.850000000006</v>
      </c>
      <c r="L145" s="228">
        <v>-68.099999999999994</v>
      </c>
      <c r="M145" s="229">
        <v>-1E-3</v>
      </c>
      <c r="N145" s="231">
        <v>69623.399999999994</v>
      </c>
      <c r="O145" s="231">
        <v>69658.8</v>
      </c>
      <c r="P145" s="228">
        <v>-35.4</v>
      </c>
      <c r="Q145" s="229">
        <v>-5.0000000000000001E-4</v>
      </c>
      <c r="R145" s="231">
        <v>69990.399999999994</v>
      </c>
      <c r="S145" s="231">
        <v>70100</v>
      </c>
      <c r="T145" s="228">
        <v>-109.6</v>
      </c>
      <c r="U145" s="229">
        <v>-1.6000000000000001E-3</v>
      </c>
      <c r="V145" s="231">
        <v>70321.399999999994</v>
      </c>
      <c r="W145" s="231">
        <v>70321.399999999994</v>
      </c>
      <c r="X145" s="228">
        <v>0</v>
      </c>
      <c r="Y145" s="229">
        <v>0</v>
      </c>
      <c r="Z145" s="228">
        <v>55.65</v>
      </c>
      <c r="AA145" s="228">
        <v>22.95</v>
      </c>
      <c r="AB145" s="228">
        <v>32.700000000000003</v>
      </c>
      <c r="AC145" s="229">
        <v>8.0000000000000004E-4</v>
      </c>
      <c r="AD145" s="228">
        <v>55.65</v>
      </c>
      <c r="AE145" s="228">
        <v>22.95</v>
      </c>
      <c r="AF145" s="228">
        <v>32.700000000000003</v>
      </c>
      <c r="AG145" s="229">
        <v>8.0000000000000004E-4</v>
      </c>
      <c r="AH145" s="228">
        <v>422.65</v>
      </c>
      <c r="AI145" s="228">
        <v>464.15</v>
      </c>
      <c r="AJ145" s="228">
        <v>-41.5</v>
      </c>
      <c r="AK145" s="229">
        <v>6.1000000000000004E-3</v>
      </c>
      <c r="AL145" s="228">
        <v>753.65</v>
      </c>
      <c r="AM145" s="228">
        <v>685.55</v>
      </c>
      <c r="AN145" s="228">
        <v>68.099999999999994</v>
      </c>
      <c r="AO145" s="229">
        <v>1.0800000000000001E-2</v>
      </c>
      <c r="AP145" s="231">
        <v>69794.16</v>
      </c>
      <c r="AQ145" s="231">
        <v>70237.67</v>
      </c>
      <c r="AR145" s="228">
        <v>0</v>
      </c>
      <c r="AS145" s="228">
        <v>39</v>
      </c>
      <c r="AT145" s="228">
        <v>89</v>
      </c>
      <c r="AU145" s="228">
        <v>-50</v>
      </c>
      <c r="AV145" s="229">
        <v>-0.56530000000000002</v>
      </c>
      <c r="AW145" s="228">
        <v>24</v>
      </c>
      <c r="AX145" s="228">
        <v>61</v>
      </c>
      <c r="AY145" s="228">
        <v>-37</v>
      </c>
      <c r="AZ145" s="229">
        <v>-0.60860000000000003</v>
      </c>
      <c r="BA145" s="228">
        <v>15</v>
      </c>
      <c r="BB145" s="228">
        <v>28</v>
      </c>
      <c r="BC145" s="228">
        <v>-13</v>
      </c>
      <c r="BD145" s="229">
        <v>-0.47239999999999999</v>
      </c>
      <c r="BE145" s="228">
        <v>0</v>
      </c>
      <c r="BF145" s="228">
        <v>0</v>
      </c>
      <c r="BG145" s="228">
        <v>0</v>
      </c>
      <c r="BH145" s="229">
        <v>0</v>
      </c>
      <c r="BI145" s="228">
        <v>162</v>
      </c>
      <c r="BJ145" s="228">
        <v>151</v>
      </c>
      <c r="BK145" s="228">
        <v>11</v>
      </c>
      <c r="BL145" s="229">
        <v>7.1300000000000002E-2</v>
      </c>
      <c r="BM145" s="228">
        <v>81</v>
      </c>
      <c r="BN145" s="228">
        <v>102</v>
      </c>
      <c r="BO145" s="228">
        <v>-21</v>
      </c>
      <c r="BP145" s="229">
        <v>-0.20580000000000001</v>
      </c>
      <c r="BQ145" s="228">
        <v>282</v>
      </c>
      <c r="BR145" s="228">
        <v>343</v>
      </c>
      <c r="BS145" s="228">
        <v>-61</v>
      </c>
      <c r="BT145" s="229">
        <v>-0.17710000000000001</v>
      </c>
      <c r="BU145" s="228">
        <v>0</v>
      </c>
      <c r="BV145" s="228">
        <v>0</v>
      </c>
      <c r="BW145" s="228">
        <v>0</v>
      </c>
      <c r="BX145" s="229">
        <v>0</v>
      </c>
      <c r="BY145" s="228">
        <v>163</v>
      </c>
      <c r="BZ145" s="228">
        <v>166</v>
      </c>
      <c r="CA145" s="228">
        <v>-2</v>
      </c>
      <c r="CB145" s="229">
        <v>-1.47E-2</v>
      </c>
      <c r="CC145" s="228">
        <v>124</v>
      </c>
      <c r="CD145" s="228">
        <v>132</v>
      </c>
      <c r="CE145" s="228">
        <v>-8</v>
      </c>
      <c r="CF145" s="229">
        <v>-6.2E-2</v>
      </c>
      <c r="CG145" s="228">
        <v>39</v>
      </c>
      <c r="CH145" s="228">
        <v>33</v>
      </c>
      <c r="CI145" s="228">
        <v>6</v>
      </c>
      <c r="CJ145" s="229">
        <v>0.1719</v>
      </c>
      <c r="CK145" s="228">
        <v>0</v>
      </c>
      <c r="CL145" s="228">
        <v>0</v>
      </c>
      <c r="CM145" s="228">
        <v>0</v>
      </c>
      <c r="CN145" s="229">
        <v>0</v>
      </c>
      <c r="CO145" s="228">
        <v>143</v>
      </c>
      <c r="CP145" s="228">
        <v>141</v>
      </c>
      <c r="CQ145" s="228">
        <v>2</v>
      </c>
      <c r="CR145" s="229">
        <v>1.3599999999999999E-2</v>
      </c>
      <c r="CS145" s="228">
        <v>111</v>
      </c>
      <c r="CT145" s="228">
        <v>76</v>
      </c>
      <c r="CU145" s="228">
        <v>35</v>
      </c>
      <c r="CV145" s="229">
        <v>0.45660000000000001</v>
      </c>
      <c r="CW145" s="228">
        <v>417</v>
      </c>
      <c r="CX145" s="228">
        <v>382</v>
      </c>
      <c r="CY145" s="228">
        <v>34</v>
      </c>
      <c r="CZ145" s="229">
        <v>8.9700000000000002E-2</v>
      </c>
      <c r="DA145" s="228">
        <v>20.350000000000001</v>
      </c>
      <c r="DB145" s="228">
        <v>15.23</v>
      </c>
      <c r="DC145" s="228">
        <v>5.12</v>
      </c>
      <c r="DD145" s="228">
        <v>5.12</v>
      </c>
      <c r="DE145" s="228">
        <v>20.350000000000001</v>
      </c>
      <c r="DF145" s="228">
        <v>20.399999999999999</v>
      </c>
      <c r="DG145" s="228">
        <v>0</v>
      </c>
      <c r="DH145" s="228">
        <v>-0.05</v>
      </c>
      <c r="DI145" s="228">
        <v>20.350000000000001</v>
      </c>
      <c r="DJ145" s="228">
        <v>15.37</v>
      </c>
      <c r="DK145" s="228">
        <v>4.9800000000000004</v>
      </c>
      <c r="DL145" s="228">
        <v>4.9800000000000004</v>
      </c>
      <c r="DM145" s="228">
        <v>20.350000000000001</v>
      </c>
      <c r="DN145" s="228">
        <v>15.03</v>
      </c>
      <c r="DO145" s="228">
        <v>5.32</v>
      </c>
      <c r="DP145" s="228">
        <v>5.32</v>
      </c>
      <c r="DQ145" s="228">
        <v>0.78</v>
      </c>
      <c r="DR145" s="228">
        <v>0.54</v>
      </c>
      <c r="DS145" s="228">
        <v>0.24</v>
      </c>
      <c r="DT145" s="229">
        <v>0.44440000000000002</v>
      </c>
      <c r="DU145" s="231">
        <v>72000</v>
      </c>
      <c r="DV145" s="231">
        <v>68000</v>
      </c>
      <c r="DW145" s="228">
        <v>0.5</v>
      </c>
      <c r="DX145" s="228">
        <v>0.68</v>
      </c>
      <c r="DY145" s="228">
        <v>-0.18</v>
      </c>
      <c r="DZ145" s="229">
        <v>-0.26469999999999999</v>
      </c>
      <c r="EA145" s="229">
        <v>0.2412</v>
      </c>
      <c r="EB145" s="230">
        <v>4825</v>
      </c>
      <c r="EC145" s="229">
        <v>5.3E-3</v>
      </c>
      <c r="ED145" s="229">
        <v>0.2412</v>
      </c>
      <c r="EE145" s="228">
        <v>443.51</v>
      </c>
      <c r="EF145" s="229">
        <v>6.4000000000000003E-3</v>
      </c>
      <c r="EG145" s="228">
        <v>0</v>
      </c>
      <c r="EH145" s="228">
        <v>0</v>
      </c>
      <c r="EI145" s="229">
        <v>0</v>
      </c>
      <c r="EJ145" s="229">
        <v>0</v>
      </c>
      <c r="EK145" s="228">
        <v>165.29</v>
      </c>
      <c r="EL145" s="228">
        <v>79.88</v>
      </c>
      <c r="EM145" s="228">
        <v>39.01</v>
      </c>
      <c r="EN145" s="228">
        <v>0</v>
      </c>
      <c r="EO145" s="228">
        <v>284.18</v>
      </c>
      <c r="EP145" s="228">
        <v>346.19</v>
      </c>
      <c r="EQ145" s="228">
        <v>-62.01</v>
      </c>
      <c r="ER145" s="229">
        <v>-0.17910000000000001</v>
      </c>
      <c r="ES145" s="228">
        <v>145.04</v>
      </c>
      <c r="ET145" s="228">
        <v>109.11</v>
      </c>
      <c r="EU145" s="228">
        <v>163.30000000000001</v>
      </c>
      <c r="EV145" s="228">
        <v>0</v>
      </c>
      <c r="EW145" s="228">
        <v>417.45</v>
      </c>
      <c r="EX145" s="228">
        <v>384.51</v>
      </c>
      <c r="EY145" s="228">
        <v>32.94</v>
      </c>
      <c r="EZ145" s="229">
        <v>8.5699999999999998E-2</v>
      </c>
      <c r="FA145" s="229">
        <v>0</v>
      </c>
      <c r="FB145" s="227" t="s">
        <v>568</v>
      </c>
      <c r="FC145">
        <f t="shared" si="2"/>
        <v>39</v>
      </c>
    </row>
    <row r="146" spans="1:159" ht="17.25" thickBot="1" x14ac:dyDescent="0.3">
      <c r="A146" s="226">
        <v>45981</v>
      </c>
      <c r="B146" s="227" t="s">
        <v>227</v>
      </c>
      <c r="C146" s="227" t="s">
        <v>267</v>
      </c>
      <c r="D146" s="228">
        <v>6750</v>
      </c>
      <c r="E146" s="228">
        <v>5</v>
      </c>
      <c r="F146" s="228">
        <v>74.489999999999995</v>
      </c>
      <c r="G146" s="228">
        <v>75.2</v>
      </c>
      <c r="H146" s="228">
        <v>-0.71</v>
      </c>
      <c r="I146" s="229">
        <v>-9.4000000000000004E-3</v>
      </c>
      <c r="J146" s="228">
        <v>74.459999999999994</v>
      </c>
      <c r="K146" s="228">
        <v>75.260000000000005</v>
      </c>
      <c r="L146" s="228">
        <v>-0.8</v>
      </c>
      <c r="M146" s="229">
        <v>-1.06E-2</v>
      </c>
      <c r="N146" s="228">
        <v>74.489999999999995</v>
      </c>
      <c r="O146" s="228">
        <v>75.2</v>
      </c>
      <c r="P146" s="228">
        <v>-0.71</v>
      </c>
      <c r="Q146" s="229">
        <v>-9.4000000000000004E-3</v>
      </c>
      <c r="R146" s="228">
        <v>75.03</v>
      </c>
      <c r="S146" s="228">
        <v>75.66</v>
      </c>
      <c r="T146" s="228">
        <v>-0.63</v>
      </c>
      <c r="U146" s="229">
        <v>-8.3000000000000001E-3</v>
      </c>
      <c r="V146" s="228">
        <v>75.430000000000007</v>
      </c>
      <c r="W146" s="228">
        <v>76.02</v>
      </c>
      <c r="X146" s="228">
        <v>-0.59</v>
      </c>
      <c r="Y146" s="229">
        <v>-7.7999999999999996E-3</v>
      </c>
      <c r="Z146" s="228">
        <v>0.03</v>
      </c>
      <c r="AA146" s="228">
        <v>-0.06</v>
      </c>
      <c r="AB146" s="228">
        <v>0.09</v>
      </c>
      <c r="AC146" s="229">
        <v>4.0000000000000002E-4</v>
      </c>
      <c r="AD146" s="228">
        <v>0.03</v>
      </c>
      <c r="AE146" s="228">
        <v>-0.06</v>
      </c>
      <c r="AF146" s="228">
        <v>0.09</v>
      </c>
      <c r="AG146" s="229">
        <v>4.0000000000000002E-4</v>
      </c>
      <c r="AH146" s="228">
        <v>0.56999999999999995</v>
      </c>
      <c r="AI146" s="228">
        <v>0.4</v>
      </c>
      <c r="AJ146" s="228">
        <v>0.17</v>
      </c>
      <c r="AK146" s="229">
        <v>7.7000000000000002E-3</v>
      </c>
      <c r="AL146" s="228">
        <v>0.97</v>
      </c>
      <c r="AM146" s="228">
        <v>0.76</v>
      </c>
      <c r="AN146" s="228">
        <v>0.21</v>
      </c>
      <c r="AO146" s="229">
        <v>1.2999999999999999E-2</v>
      </c>
      <c r="AP146" s="228">
        <v>74.28</v>
      </c>
      <c r="AQ146" s="228">
        <v>74.78</v>
      </c>
      <c r="AR146" s="228">
        <v>0</v>
      </c>
      <c r="AS146" s="230">
        <v>2273</v>
      </c>
      <c r="AT146" s="228">
        <v>380</v>
      </c>
      <c r="AU146" s="230">
        <v>1892</v>
      </c>
      <c r="AV146" s="229">
        <v>4.9757999999999996</v>
      </c>
      <c r="AW146" s="230">
        <v>1114</v>
      </c>
      <c r="AX146" s="228">
        <v>212</v>
      </c>
      <c r="AY146" s="228">
        <v>902</v>
      </c>
      <c r="AZ146" s="229">
        <v>4.2561</v>
      </c>
      <c r="BA146" s="230">
        <v>1147</v>
      </c>
      <c r="BB146" s="228">
        <v>164</v>
      </c>
      <c r="BC146" s="228">
        <v>982</v>
      </c>
      <c r="BD146" s="229">
        <v>5.9782999999999999</v>
      </c>
      <c r="BE146" s="228">
        <v>12</v>
      </c>
      <c r="BF146" s="228">
        <v>4</v>
      </c>
      <c r="BG146" s="228">
        <v>8</v>
      </c>
      <c r="BH146" s="229">
        <v>2.0122</v>
      </c>
      <c r="BI146" s="230">
        <v>1060</v>
      </c>
      <c r="BJ146" s="228">
        <v>617</v>
      </c>
      <c r="BK146" s="228">
        <v>443</v>
      </c>
      <c r="BL146" s="229">
        <v>0.71850000000000003</v>
      </c>
      <c r="BM146" s="228">
        <v>638</v>
      </c>
      <c r="BN146" s="228">
        <v>305</v>
      </c>
      <c r="BO146" s="228">
        <v>333</v>
      </c>
      <c r="BP146" s="229">
        <v>1.0911999999999999</v>
      </c>
      <c r="BQ146" s="230">
        <v>3970</v>
      </c>
      <c r="BR146" s="230">
        <v>1302</v>
      </c>
      <c r="BS146" s="230">
        <v>2668</v>
      </c>
      <c r="BT146" s="229">
        <v>2.0495999999999999</v>
      </c>
      <c r="BU146" s="230">
        <v>29775025</v>
      </c>
      <c r="BV146" s="230">
        <v>9565588</v>
      </c>
      <c r="BW146" s="230">
        <v>20209437</v>
      </c>
      <c r="BX146" s="229">
        <v>2.1126999999999998</v>
      </c>
      <c r="BY146" s="230">
        <v>2576</v>
      </c>
      <c r="BZ146" s="230">
        <v>2559</v>
      </c>
      <c r="CA146" s="228">
        <v>17</v>
      </c>
      <c r="CB146" s="229">
        <v>6.7000000000000002E-3</v>
      </c>
      <c r="CC146" s="230">
        <v>1162</v>
      </c>
      <c r="CD146" s="230">
        <v>2113</v>
      </c>
      <c r="CE146" s="228">
        <v>-951</v>
      </c>
      <c r="CF146" s="229">
        <v>-0.44990000000000002</v>
      </c>
      <c r="CG146" s="230">
        <v>1391</v>
      </c>
      <c r="CH146" s="228">
        <v>429</v>
      </c>
      <c r="CI146" s="228">
        <v>962</v>
      </c>
      <c r="CJ146" s="229">
        <v>2.2397999999999998</v>
      </c>
      <c r="CK146" s="228">
        <v>23</v>
      </c>
      <c r="CL146" s="228">
        <v>16</v>
      </c>
      <c r="CM146" s="228">
        <v>6</v>
      </c>
      <c r="CN146" s="229">
        <v>0.36890000000000001</v>
      </c>
      <c r="CO146" s="230">
        <v>1145</v>
      </c>
      <c r="CP146" s="230">
        <v>1138</v>
      </c>
      <c r="CQ146" s="228">
        <v>8</v>
      </c>
      <c r="CR146" s="229">
        <v>6.8999999999999999E-3</v>
      </c>
      <c r="CS146" s="228">
        <v>693</v>
      </c>
      <c r="CT146" s="228">
        <v>689</v>
      </c>
      <c r="CU146" s="228">
        <v>4</v>
      </c>
      <c r="CV146" s="229">
        <v>5.8999999999999999E-3</v>
      </c>
      <c r="CW146" s="230">
        <v>4414</v>
      </c>
      <c r="CX146" s="230">
        <v>4385</v>
      </c>
      <c r="CY146" s="228">
        <v>29</v>
      </c>
      <c r="CZ146" s="229">
        <v>6.7000000000000002E-3</v>
      </c>
      <c r="DA146" s="228">
        <v>24.77</v>
      </c>
      <c r="DB146" s="228">
        <v>29.51</v>
      </c>
      <c r="DC146" s="228">
        <v>-4.74</v>
      </c>
      <c r="DD146" s="228">
        <v>-4.74</v>
      </c>
      <c r="DE146" s="228">
        <v>38.090000000000003</v>
      </c>
      <c r="DF146" s="228">
        <v>38.17</v>
      </c>
      <c r="DG146" s="228">
        <v>-13.32</v>
      </c>
      <c r="DH146" s="228">
        <v>-0.08</v>
      </c>
      <c r="DI146" s="228">
        <v>24.7</v>
      </c>
      <c r="DJ146" s="228">
        <v>30.33</v>
      </c>
      <c r="DK146" s="228">
        <v>-5.63</v>
      </c>
      <c r="DL146" s="228">
        <v>-5.63</v>
      </c>
      <c r="DM146" s="228">
        <v>24.9</v>
      </c>
      <c r="DN146" s="228">
        <v>27.86</v>
      </c>
      <c r="DO146" s="228">
        <v>-2.96</v>
      </c>
      <c r="DP146" s="228">
        <v>-2.96</v>
      </c>
      <c r="DQ146" s="228">
        <v>0.61</v>
      </c>
      <c r="DR146" s="228">
        <v>0.61</v>
      </c>
      <c r="DS146" s="228">
        <v>0</v>
      </c>
      <c r="DT146" s="229">
        <v>0</v>
      </c>
      <c r="DU146" s="228">
        <v>80</v>
      </c>
      <c r="DV146" s="228">
        <v>66</v>
      </c>
      <c r="DW146" s="228">
        <v>0.6</v>
      </c>
      <c r="DX146" s="228">
        <v>0.49</v>
      </c>
      <c r="DY146" s="228">
        <v>0.11</v>
      </c>
      <c r="DZ146" s="229">
        <v>0.22450000000000001</v>
      </c>
      <c r="EA146" s="229">
        <v>0.54879999999999995</v>
      </c>
      <c r="EB146" s="230">
        <v>59859000</v>
      </c>
      <c r="EC146" s="229">
        <v>7.1999999999999998E-3</v>
      </c>
      <c r="ED146" s="229">
        <v>0.54879999999999995</v>
      </c>
      <c r="EE146" s="228">
        <v>0.5</v>
      </c>
      <c r="EF146" s="229">
        <v>6.7000000000000002E-3</v>
      </c>
      <c r="EG146" s="230">
        <v>19596582</v>
      </c>
      <c r="EH146" s="230">
        <v>5323653</v>
      </c>
      <c r="EI146" s="229">
        <v>2.681</v>
      </c>
      <c r="EJ146" s="229">
        <v>0.65820000000000001</v>
      </c>
      <c r="EK146" s="231">
        <v>1120.26</v>
      </c>
      <c r="EL146" s="228">
        <v>649.91</v>
      </c>
      <c r="EM146" s="231">
        <v>2274.1999999999998</v>
      </c>
      <c r="EN146" s="228">
        <v>79.7</v>
      </c>
      <c r="EO146" s="231">
        <v>4044.37</v>
      </c>
      <c r="EP146" s="231">
        <v>1367.26</v>
      </c>
      <c r="EQ146" s="231">
        <v>2677.1</v>
      </c>
      <c r="ER146" s="229">
        <v>1.958</v>
      </c>
      <c r="ES146" s="231">
        <v>1230.4100000000001</v>
      </c>
      <c r="ET146" s="228">
        <v>693.19</v>
      </c>
      <c r="EU146" s="231">
        <v>2586.35</v>
      </c>
      <c r="EV146" s="231">
        <v>517037525</v>
      </c>
      <c r="EW146" s="231">
        <v>4509.95</v>
      </c>
      <c r="EX146" s="231">
        <v>4497.5</v>
      </c>
      <c r="EY146" s="228">
        <v>12.45</v>
      </c>
      <c r="EZ146" s="229">
        <v>2.8E-3</v>
      </c>
      <c r="FA146" s="229">
        <v>1.1462000000000001</v>
      </c>
      <c r="FB146" s="227" t="s">
        <v>567</v>
      </c>
      <c r="FC146">
        <f t="shared" si="2"/>
        <v>1414</v>
      </c>
    </row>
    <row r="147" spans="1:159" ht="17.25" thickBot="1" x14ac:dyDescent="0.3">
      <c r="A147" s="226">
        <v>45981</v>
      </c>
      <c r="B147" s="227" t="s">
        <v>161</v>
      </c>
      <c r="C147" s="227" t="s">
        <v>268</v>
      </c>
      <c r="D147" s="228">
        <v>1500</v>
      </c>
      <c r="E147" s="228">
        <v>5</v>
      </c>
      <c r="F147" s="228">
        <v>327</v>
      </c>
      <c r="G147" s="228">
        <v>326.3</v>
      </c>
      <c r="H147" s="228">
        <v>0.7</v>
      </c>
      <c r="I147" s="229">
        <v>2.0999999999999999E-3</v>
      </c>
      <c r="J147" s="228">
        <v>326.60000000000002</v>
      </c>
      <c r="K147" s="228">
        <v>326.60000000000002</v>
      </c>
      <c r="L147" s="228">
        <v>0</v>
      </c>
      <c r="M147" s="229">
        <v>0</v>
      </c>
      <c r="N147" s="228">
        <v>327</v>
      </c>
      <c r="O147" s="228">
        <v>326.3</v>
      </c>
      <c r="P147" s="228">
        <v>0.7</v>
      </c>
      <c r="Q147" s="229">
        <v>2.0999999999999999E-3</v>
      </c>
      <c r="R147" s="228">
        <v>329.2</v>
      </c>
      <c r="S147" s="228">
        <v>328.4</v>
      </c>
      <c r="T147" s="228">
        <v>0.8</v>
      </c>
      <c r="U147" s="229">
        <v>2.3999999999999998E-3</v>
      </c>
      <c r="V147" s="228">
        <v>331.35</v>
      </c>
      <c r="W147" s="228">
        <v>330.6</v>
      </c>
      <c r="X147" s="228">
        <v>0.75</v>
      </c>
      <c r="Y147" s="229">
        <v>2.3E-3</v>
      </c>
      <c r="Z147" s="228">
        <v>0.4</v>
      </c>
      <c r="AA147" s="228">
        <v>-0.3</v>
      </c>
      <c r="AB147" s="228">
        <v>0.7</v>
      </c>
      <c r="AC147" s="229">
        <v>1.1999999999999999E-3</v>
      </c>
      <c r="AD147" s="228">
        <v>0.4</v>
      </c>
      <c r="AE147" s="228">
        <v>-0.3</v>
      </c>
      <c r="AF147" s="228">
        <v>0.7</v>
      </c>
      <c r="AG147" s="229">
        <v>1.1999999999999999E-3</v>
      </c>
      <c r="AH147" s="228">
        <v>2.6</v>
      </c>
      <c r="AI147" s="228">
        <v>1.8</v>
      </c>
      <c r="AJ147" s="228">
        <v>0.8</v>
      </c>
      <c r="AK147" s="229">
        <v>8.0000000000000002E-3</v>
      </c>
      <c r="AL147" s="228">
        <v>4.75</v>
      </c>
      <c r="AM147" s="228">
        <v>4</v>
      </c>
      <c r="AN147" s="228">
        <v>0.75</v>
      </c>
      <c r="AO147" s="229">
        <v>1.4500000000000001E-2</v>
      </c>
      <c r="AP147" s="228">
        <v>327.58</v>
      </c>
      <c r="AQ147" s="228">
        <v>329.77</v>
      </c>
      <c r="AR147" s="228">
        <v>0</v>
      </c>
      <c r="AS147" s="230">
        <v>1223</v>
      </c>
      <c r="AT147" s="228">
        <v>389</v>
      </c>
      <c r="AU147" s="228">
        <v>834</v>
      </c>
      <c r="AV147" s="229">
        <v>2.1471</v>
      </c>
      <c r="AW147" s="228">
        <v>640</v>
      </c>
      <c r="AX147" s="228">
        <v>236</v>
      </c>
      <c r="AY147" s="228">
        <v>404</v>
      </c>
      <c r="AZ147" s="229">
        <v>1.7162999999999999</v>
      </c>
      <c r="BA147" s="228">
        <v>577</v>
      </c>
      <c r="BB147" s="228">
        <v>148</v>
      </c>
      <c r="BC147" s="228">
        <v>429</v>
      </c>
      <c r="BD147" s="229">
        <v>2.9096000000000002</v>
      </c>
      <c r="BE147" s="228">
        <v>6</v>
      </c>
      <c r="BF147" s="228">
        <v>5</v>
      </c>
      <c r="BG147" s="228">
        <v>0</v>
      </c>
      <c r="BH147" s="229">
        <v>6.4799999999999996E-2</v>
      </c>
      <c r="BI147" s="230">
        <v>1000</v>
      </c>
      <c r="BJ147" s="230">
        <v>1746</v>
      </c>
      <c r="BK147" s="228">
        <v>-745</v>
      </c>
      <c r="BL147" s="229">
        <v>-0.4269</v>
      </c>
      <c r="BM147" s="228">
        <v>443</v>
      </c>
      <c r="BN147" s="228">
        <v>557</v>
      </c>
      <c r="BO147" s="228">
        <v>-114</v>
      </c>
      <c r="BP147" s="229">
        <v>-0.20449999999999999</v>
      </c>
      <c r="BQ147" s="230">
        <v>2666</v>
      </c>
      <c r="BR147" s="230">
        <v>2691</v>
      </c>
      <c r="BS147" s="228">
        <v>-25</v>
      </c>
      <c r="BT147" s="229">
        <v>-9.2999999999999992E-3</v>
      </c>
      <c r="BU147" s="230">
        <v>5751453</v>
      </c>
      <c r="BV147" s="230">
        <v>7618991</v>
      </c>
      <c r="BW147" s="230">
        <v>-1867538</v>
      </c>
      <c r="BX147" s="229">
        <v>-0.24510000000000001</v>
      </c>
      <c r="BY147" s="230">
        <v>3072</v>
      </c>
      <c r="BZ147" s="230">
        <v>3114</v>
      </c>
      <c r="CA147" s="228">
        <v>-41</v>
      </c>
      <c r="CB147" s="229">
        <v>-1.3299999999999999E-2</v>
      </c>
      <c r="CC147" s="230">
        <v>2165</v>
      </c>
      <c r="CD147" s="230">
        <v>2693</v>
      </c>
      <c r="CE147" s="228">
        <v>-528</v>
      </c>
      <c r="CF147" s="229">
        <v>-0.19620000000000001</v>
      </c>
      <c r="CG147" s="228">
        <v>870</v>
      </c>
      <c r="CH147" s="228">
        <v>385</v>
      </c>
      <c r="CI147" s="228">
        <v>486</v>
      </c>
      <c r="CJ147" s="229">
        <v>1.2625999999999999</v>
      </c>
      <c r="CK147" s="228">
        <v>37</v>
      </c>
      <c r="CL147" s="228">
        <v>36</v>
      </c>
      <c r="CM147" s="228">
        <v>1</v>
      </c>
      <c r="CN147" s="229">
        <v>3.8300000000000001E-2</v>
      </c>
      <c r="CO147" s="230">
        <v>1934</v>
      </c>
      <c r="CP147" s="230">
        <v>2003</v>
      </c>
      <c r="CQ147" s="228">
        <v>-69</v>
      </c>
      <c r="CR147" s="229">
        <v>-3.4500000000000003E-2</v>
      </c>
      <c r="CS147" s="228">
        <v>769</v>
      </c>
      <c r="CT147" s="228">
        <v>810</v>
      </c>
      <c r="CU147" s="228">
        <v>-40</v>
      </c>
      <c r="CV147" s="229">
        <v>-4.99E-2</v>
      </c>
      <c r="CW147" s="230">
        <v>5776</v>
      </c>
      <c r="CX147" s="230">
        <v>5927</v>
      </c>
      <c r="CY147" s="228">
        <v>-151</v>
      </c>
      <c r="CZ147" s="229">
        <v>-2.5499999999999998E-2</v>
      </c>
      <c r="DA147" s="228">
        <v>17.93</v>
      </c>
      <c r="DB147" s="228">
        <v>17.39</v>
      </c>
      <c r="DC147" s="228">
        <v>0.54</v>
      </c>
      <c r="DD147" s="228">
        <v>0.54</v>
      </c>
      <c r="DE147" s="228">
        <v>27.71</v>
      </c>
      <c r="DF147" s="228">
        <v>27.78</v>
      </c>
      <c r="DG147" s="228">
        <v>-9.7799999999999994</v>
      </c>
      <c r="DH147" s="228">
        <v>-7.0000000000000007E-2</v>
      </c>
      <c r="DI147" s="228">
        <v>18.04</v>
      </c>
      <c r="DJ147" s="228">
        <v>17.68</v>
      </c>
      <c r="DK147" s="228">
        <v>0.36</v>
      </c>
      <c r="DL147" s="228">
        <v>0.36</v>
      </c>
      <c r="DM147" s="228">
        <v>17.690000000000001</v>
      </c>
      <c r="DN147" s="228">
        <v>16.48</v>
      </c>
      <c r="DO147" s="228">
        <v>1.21</v>
      </c>
      <c r="DP147" s="228">
        <v>1.21</v>
      </c>
      <c r="DQ147" s="228">
        <v>0.4</v>
      </c>
      <c r="DR147" s="228">
        <v>0.4</v>
      </c>
      <c r="DS147" s="228">
        <v>0</v>
      </c>
      <c r="DT147" s="229">
        <v>0</v>
      </c>
      <c r="DU147" s="228">
        <v>335</v>
      </c>
      <c r="DV147" s="228">
        <v>300</v>
      </c>
      <c r="DW147" s="228">
        <v>0.44</v>
      </c>
      <c r="DX147" s="228">
        <v>0.32</v>
      </c>
      <c r="DY147" s="228">
        <v>0.12</v>
      </c>
      <c r="DZ147" s="229">
        <v>0.375</v>
      </c>
      <c r="EA147" s="229">
        <v>0.2954</v>
      </c>
      <c r="EB147" s="230">
        <v>12858000</v>
      </c>
      <c r="EC147" s="229">
        <v>6.7000000000000002E-3</v>
      </c>
      <c r="ED147" s="229">
        <v>0.2954</v>
      </c>
      <c r="EE147" s="228">
        <v>2.19</v>
      </c>
      <c r="EF147" s="229">
        <v>6.7000000000000002E-3</v>
      </c>
      <c r="EG147" s="230">
        <v>3563994</v>
      </c>
      <c r="EH147" s="230">
        <v>4693137</v>
      </c>
      <c r="EI147" s="229">
        <v>-0.24060000000000001</v>
      </c>
      <c r="EJ147" s="229">
        <v>0.61970000000000003</v>
      </c>
      <c r="EK147" s="231">
        <v>1030.07</v>
      </c>
      <c r="EL147" s="228">
        <v>443.56</v>
      </c>
      <c r="EM147" s="231">
        <v>1228.82</v>
      </c>
      <c r="EN147" s="228">
        <v>60.1</v>
      </c>
      <c r="EO147" s="231">
        <v>2702.45</v>
      </c>
      <c r="EP147" s="231">
        <v>2745.51</v>
      </c>
      <c r="EQ147" s="228">
        <v>-43.06</v>
      </c>
      <c r="ER147" s="229">
        <v>-1.5699999999999999E-2</v>
      </c>
      <c r="ES147" s="231">
        <v>2054.3000000000002</v>
      </c>
      <c r="ET147" s="228">
        <v>779.43</v>
      </c>
      <c r="EU147" s="231">
        <v>3078.65</v>
      </c>
      <c r="EV147" s="231">
        <v>572782298</v>
      </c>
      <c r="EW147" s="231">
        <v>5912.38</v>
      </c>
      <c r="EX147" s="231">
        <v>6056.41</v>
      </c>
      <c r="EY147" s="228">
        <v>-144.03</v>
      </c>
      <c r="EZ147" s="229">
        <v>-2.3800000000000002E-2</v>
      </c>
      <c r="FA147" s="229">
        <v>0.30840000000000001</v>
      </c>
      <c r="FB147" s="227" t="s">
        <v>556</v>
      </c>
      <c r="FC147">
        <f t="shared" si="2"/>
        <v>907</v>
      </c>
    </row>
    <row r="148" spans="1:159" ht="17.25" thickBot="1" x14ac:dyDescent="0.3">
      <c r="A148" s="226">
        <v>45981</v>
      </c>
      <c r="B148" s="227" t="s">
        <v>175</v>
      </c>
      <c r="C148" s="227" t="s">
        <v>686</v>
      </c>
      <c r="D148" s="228">
        <v>75</v>
      </c>
      <c r="E148" s="228">
        <v>5</v>
      </c>
      <c r="F148" s="231">
        <v>7342</v>
      </c>
      <c r="G148" s="231">
        <v>7365.5</v>
      </c>
      <c r="H148" s="228">
        <v>-23.5</v>
      </c>
      <c r="I148" s="229">
        <v>-3.2000000000000002E-3</v>
      </c>
      <c r="J148" s="231">
        <v>7336</v>
      </c>
      <c r="K148" s="231">
        <v>7344</v>
      </c>
      <c r="L148" s="228">
        <v>-8</v>
      </c>
      <c r="M148" s="229">
        <v>-1.1000000000000001E-3</v>
      </c>
      <c r="N148" s="231">
        <v>7342</v>
      </c>
      <c r="O148" s="231">
        <v>7365.5</v>
      </c>
      <c r="P148" s="228">
        <v>-23.5</v>
      </c>
      <c r="Q148" s="229">
        <v>-3.2000000000000002E-3</v>
      </c>
      <c r="R148" s="231">
        <v>7389.5</v>
      </c>
      <c r="S148" s="231">
        <v>7404</v>
      </c>
      <c r="T148" s="228">
        <v>-14.5</v>
      </c>
      <c r="U148" s="229">
        <v>-2E-3</v>
      </c>
      <c r="V148" s="231">
        <v>7406.5</v>
      </c>
      <c r="W148" s="231">
        <v>7342</v>
      </c>
      <c r="X148" s="228">
        <v>64.5</v>
      </c>
      <c r="Y148" s="229">
        <v>8.8000000000000005E-3</v>
      </c>
      <c r="Z148" s="228">
        <v>6</v>
      </c>
      <c r="AA148" s="228">
        <v>21.5</v>
      </c>
      <c r="AB148" s="228">
        <v>-15.5</v>
      </c>
      <c r="AC148" s="229">
        <v>8.0000000000000004E-4</v>
      </c>
      <c r="AD148" s="228">
        <v>6</v>
      </c>
      <c r="AE148" s="228">
        <v>21.5</v>
      </c>
      <c r="AF148" s="228">
        <v>-15.5</v>
      </c>
      <c r="AG148" s="229">
        <v>8.0000000000000004E-4</v>
      </c>
      <c r="AH148" s="228">
        <v>53.5</v>
      </c>
      <c r="AI148" s="228">
        <v>60</v>
      </c>
      <c r="AJ148" s="228">
        <v>-6.5</v>
      </c>
      <c r="AK148" s="229">
        <v>7.3000000000000001E-3</v>
      </c>
      <c r="AL148" s="228">
        <v>70.5</v>
      </c>
      <c r="AM148" s="228">
        <v>-2</v>
      </c>
      <c r="AN148" s="228">
        <v>72.5</v>
      </c>
      <c r="AO148" s="229">
        <v>9.5999999999999992E-3</v>
      </c>
      <c r="AP148" s="231">
        <v>7353.34</v>
      </c>
      <c r="AQ148" s="231">
        <v>7401.79</v>
      </c>
      <c r="AR148" s="228">
        <v>0</v>
      </c>
      <c r="AS148" s="228">
        <v>155</v>
      </c>
      <c r="AT148" s="228">
        <v>61</v>
      </c>
      <c r="AU148" s="228">
        <v>94</v>
      </c>
      <c r="AV148" s="229">
        <v>1.5342</v>
      </c>
      <c r="AW148" s="228">
        <v>85</v>
      </c>
      <c r="AX148" s="228">
        <v>49</v>
      </c>
      <c r="AY148" s="228">
        <v>36</v>
      </c>
      <c r="AZ148" s="229">
        <v>0.73899999999999999</v>
      </c>
      <c r="BA148" s="228">
        <v>70</v>
      </c>
      <c r="BB148" s="228">
        <v>12</v>
      </c>
      <c r="BC148" s="228">
        <v>58</v>
      </c>
      <c r="BD148" s="229">
        <v>4.6211000000000002</v>
      </c>
      <c r="BE148" s="228">
        <v>0</v>
      </c>
      <c r="BF148" s="228">
        <v>0</v>
      </c>
      <c r="BG148" s="228">
        <v>0</v>
      </c>
      <c r="BH148" s="229">
        <v>0</v>
      </c>
      <c r="BI148" s="228">
        <v>413</v>
      </c>
      <c r="BJ148" s="228">
        <v>276</v>
      </c>
      <c r="BK148" s="228">
        <v>138</v>
      </c>
      <c r="BL148" s="229">
        <v>0.49930000000000002</v>
      </c>
      <c r="BM148" s="228">
        <v>106</v>
      </c>
      <c r="BN148" s="228">
        <v>59</v>
      </c>
      <c r="BO148" s="228">
        <v>47</v>
      </c>
      <c r="BP148" s="229">
        <v>0.80059999999999998</v>
      </c>
      <c r="BQ148" s="228">
        <v>674</v>
      </c>
      <c r="BR148" s="228">
        <v>396</v>
      </c>
      <c r="BS148" s="228">
        <v>279</v>
      </c>
      <c r="BT148" s="229">
        <v>0.70420000000000005</v>
      </c>
      <c r="BU148" s="230">
        <v>47770</v>
      </c>
      <c r="BV148" s="230">
        <v>63918</v>
      </c>
      <c r="BW148" s="230">
        <v>-16148</v>
      </c>
      <c r="BX148" s="229">
        <v>-0.25259999999999999</v>
      </c>
      <c r="BY148" s="228">
        <v>291</v>
      </c>
      <c r="BZ148" s="228">
        <v>278</v>
      </c>
      <c r="CA148" s="228">
        <v>12</v>
      </c>
      <c r="CB148" s="229">
        <v>4.4900000000000002E-2</v>
      </c>
      <c r="CC148" s="228">
        <v>219</v>
      </c>
      <c r="CD148" s="228">
        <v>256</v>
      </c>
      <c r="CE148" s="228">
        <v>-37</v>
      </c>
      <c r="CF148" s="229">
        <v>-0.14330000000000001</v>
      </c>
      <c r="CG148" s="228">
        <v>71</v>
      </c>
      <c r="CH148" s="228">
        <v>22</v>
      </c>
      <c r="CI148" s="228">
        <v>49</v>
      </c>
      <c r="CJ148" s="229">
        <v>2.2652000000000001</v>
      </c>
      <c r="CK148" s="228">
        <v>0</v>
      </c>
      <c r="CL148" s="228">
        <v>1</v>
      </c>
      <c r="CM148" s="228">
        <v>0</v>
      </c>
      <c r="CN148" s="229">
        <v>-0.42859999999999998</v>
      </c>
      <c r="CO148" s="228">
        <v>273</v>
      </c>
      <c r="CP148" s="228">
        <v>285</v>
      </c>
      <c r="CQ148" s="228">
        <v>-13</v>
      </c>
      <c r="CR148" s="229">
        <v>-4.3999999999999997E-2</v>
      </c>
      <c r="CS148" s="228">
        <v>177</v>
      </c>
      <c r="CT148" s="228">
        <v>159</v>
      </c>
      <c r="CU148" s="228">
        <v>18</v>
      </c>
      <c r="CV148" s="229">
        <v>0.1148</v>
      </c>
      <c r="CW148" s="228">
        <v>740</v>
      </c>
      <c r="CX148" s="228">
        <v>722</v>
      </c>
      <c r="CY148" s="228">
        <v>18</v>
      </c>
      <c r="CZ148" s="229">
        <v>2.52E-2</v>
      </c>
      <c r="DA148" s="228">
        <v>31.34</v>
      </c>
      <c r="DB148" s="228">
        <v>36.5</v>
      </c>
      <c r="DC148" s="228">
        <v>-5.16</v>
      </c>
      <c r="DD148" s="228">
        <v>-5.16</v>
      </c>
      <c r="DE148" s="228">
        <v>50.02</v>
      </c>
      <c r="DF148" s="228">
        <v>50.15</v>
      </c>
      <c r="DG148" s="228">
        <v>-18.68</v>
      </c>
      <c r="DH148" s="228">
        <v>-0.13</v>
      </c>
      <c r="DI148" s="228">
        <v>31.02</v>
      </c>
      <c r="DJ148" s="228">
        <v>36.64</v>
      </c>
      <c r="DK148" s="228">
        <v>-5.62</v>
      </c>
      <c r="DL148" s="228">
        <v>-5.62</v>
      </c>
      <c r="DM148" s="228">
        <v>32.26</v>
      </c>
      <c r="DN148" s="228">
        <v>35.81</v>
      </c>
      <c r="DO148" s="228">
        <v>-3.55</v>
      </c>
      <c r="DP148" s="228">
        <v>-3.55</v>
      </c>
      <c r="DQ148" s="228">
        <v>0.65</v>
      </c>
      <c r="DR148" s="228">
        <v>0.56000000000000005</v>
      </c>
      <c r="DS148" s="228">
        <v>0.09</v>
      </c>
      <c r="DT148" s="229">
        <v>0.16070000000000001</v>
      </c>
      <c r="DU148" s="231">
        <v>7500</v>
      </c>
      <c r="DV148" s="231">
        <v>7300</v>
      </c>
      <c r="DW148" s="228">
        <v>0.26</v>
      </c>
      <c r="DX148" s="228">
        <v>0.21</v>
      </c>
      <c r="DY148" s="228">
        <v>0.05</v>
      </c>
      <c r="DZ148" s="229">
        <v>0.23810000000000001</v>
      </c>
      <c r="EA148" s="229">
        <v>0.24590000000000001</v>
      </c>
      <c r="EB148" s="230">
        <v>30400</v>
      </c>
      <c r="EC148" s="229">
        <v>6.4999999999999997E-3</v>
      </c>
      <c r="ED148" s="229">
        <v>0.24590000000000001</v>
      </c>
      <c r="EE148" s="228">
        <v>48.45</v>
      </c>
      <c r="EF148" s="229">
        <v>6.6E-3</v>
      </c>
      <c r="EG148" s="230">
        <v>22310</v>
      </c>
      <c r="EH148" s="230">
        <v>28448</v>
      </c>
      <c r="EI148" s="229">
        <v>-0.21579999999999999</v>
      </c>
      <c r="EJ148" s="229">
        <v>0.46700000000000003</v>
      </c>
      <c r="EK148" s="228">
        <v>437.83</v>
      </c>
      <c r="EL148" s="228">
        <v>103.57</v>
      </c>
      <c r="EM148" s="228">
        <v>155.93</v>
      </c>
      <c r="EN148" s="228">
        <v>14.99</v>
      </c>
      <c r="EO148" s="228">
        <v>697.33</v>
      </c>
      <c r="EP148" s="228">
        <v>407.23</v>
      </c>
      <c r="EQ148" s="228">
        <v>290.10000000000002</v>
      </c>
      <c r="ER148" s="229">
        <v>0.71240000000000003</v>
      </c>
      <c r="ES148" s="228">
        <v>281.87</v>
      </c>
      <c r="ET148" s="228">
        <v>170.35</v>
      </c>
      <c r="EU148" s="228">
        <v>291.22000000000003</v>
      </c>
      <c r="EV148" s="231">
        <v>2444664</v>
      </c>
      <c r="EW148" s="228">
        <v>743.44</v>
      </c>
      <c r="EX148" s="228">
        <v>728.74</v>
      </c>
      <c r="EY148" s="228">
        <v>14.7</v>
      </c>
      <c r="EZ148" s="229">
        <v>2.0199999999999999E-2</v>
      </c>
      <c r="FA148" s="229">
        <v>0.41260000000000002</v>
      </c>
      <c r="FB148" s="227" t="s">
        <v>567</v>
      </c>
      <c r="FC148">
        <f>BY217-CC217</f>
        <v>0</v>
      </c>
    </row>
    <row r="149" spans="1:159" ht="17.25" thickBot="1" x14ac:dyDescent="0.3">
      <c r="A149" s="226">
        <v>45981</v>
      </c>
      <c r="B149" s="227" t="s">
        <v>615</v>
      </c>
      <c r="C149" s="227" t="s">
        <v>613</v>
      </c>
      <c r="D149" s="228">
        <v>3125</v>
      </c>
      <c r="E149" s="228">
        <v>5</v>
      </c>
      <c r="F149" s="228">
        <v>269.16000000000003</v>
      </c>
      <c r="G149" s="228">
        <v>268.83</v>
      </c>
      <c r="H149" s="228">
        <v>0.33</v>
      </c>
      <c r="I149" s="229">
        <v>1.1999999999999999E-3</v>
      </c>
      <c r="J149" s="228">
        <v>268.74</v>
      </c>
      <c r="K149" s="228">
        <v>269.14999999999998</v>
      </c>
      <c r="L149" s="228">
        <v>-0.41</v>
      </c>
      <c r="M149" s="229">
        <v>-1.5E-3</v>
      </c>
      <c r="N149" s="228">
        <v>269.16000000000003</v>
      </c>
      <c r="O149" s="228">
        <v>268.83</v>
      </c>
      <c r="P149" s="228">
        <v>0.33</v>
      </c>
      <c r="Q149" s="229">
        <v>1.1999999999999999E-3</v>
      </c>
      <c r="R149" s="228">
        <v>267.49</v>
      </c>
      <c r="S149" s="228">
        <v>267.18</v>
      </c>
      <c r="T149" s="228">
        <v>0.31</v>
      </c>
      <c r="U149" s="229">
        <v>1.1999999999999999E-3</v>
      </c>
      <c r="V149" s="228">
        <v>266.22000000000003</v>
      </c>
      <c r="W149" s="228">
        <v>265.66000000000003</v>
      </c>
      <c r="X149" s="228">
        <v>0.56000000000000005</v>
      </c>
      <c r="Y149" s="229">
        <v>2.0999999999999999E-3</v>
      </c>
      <c r="Z149" s="228">
        <v>0.42</v>
      </c>
      <c r="AA149" s="228">
        <v>-0.32</v>
      </c>
      <c r="AB149" s="228">
        <v>0.74</v>
      </c>
      <c r="AC149" s="229">
        <v>1.6000000000000001E-3</v>
      </c>
      <c r="AD149" s="228">
        <v>0.42</v>
      </c>
      <c r="AE149" s="228">
        <v>-0.32</v>
      </c>
      <c r="AF149" s="228">
        <v>0.74</v>
      </c>
      <c r="AG149" s="229">
        <v>1.6000000000000001E-3</v>
      </c>
      <c r="AH149" s="228">
        <v>-1.25</v>
      </c>
      <c r="AI149" s="228">
        <v>-1.97</v>
      </c>
      <c r="AJ149" s="228">
        <v>0.72</v>
      </c>
      <c r="AK149" s="229">
        <v>-4.7000000000000002E-3</v>
      </c>
      <c r="AL149" s="228">
        <v>-2.52</v>
      </c>
      <c r="AM149" s="228">
        <v>-3.49</v>
      </c>
      <c r="AN149" s="228">
        <v>0.97</v>
      </c>
      <c r="AO149" s="229">
        <v>-9.4000000000000004E-3</v>
      </c>
      <c r="AP149" s="228">
        <v>269.22000000000003</v>
      </c>
      <c r="AQ149" s="228">
        <v>267.41000000000003</v>
      </c>
      <c r="AR149" s="228">
        <v>0</v>
      </c>
      <c r="AS149" s="230">
        <v>1217</v>
      </c>
      <c r="AT149" s="228">
        <v>326</v>
      </c>
      <c r="AU149" s="228">
        <v>891</v>
      </c>
      <c r="AV149" s="229">
        <v>2.7313000000000001</v>
      </c>
      <c r="AW149" s="228">
        <v>645</v>
      </c>
      <c r="AX149" s="228">
        <v>214</v>
      </c>
      <c r="AY149" s="228">
        <v>431</v>
      </c>
      <c r="AZ149" s="229">
        <v>2.0200999999999998</v>
      </c>
      <c r="BA149" s="228">
        <v>571</v>
      </c>
      <c r="BB149" s="228">
        <v>110</v>
      </c>
      <c r="BC149" s="228">
        <v>461</v>
      </c>
      <c r="BD149" s="229">
        <v>4.1769999999999996</v>
      </c>
      <c r="BE149" s="228">
        <v>1</v>
      </c>
      <c r="BF149" s="228">
        <v>2</v>
      </c>
      <c r="BG149" s="228">
        <v>-1</v>
      </c>
      <c r="BH149" s="229">
        <v>-0.46429999999999999</v>
      </c>
      <c r="BI149" s="228">
        <v>667</v>
      </c>
      <c r="BJ149" s="228">
        <v>930</v>
      </c>
      <c r="BK149" s="228">
        <v>-263</v>
      </c>
      <c r="BL149" s="229">
        <v>-0.28289999999999998</v>
      </c>
      <c r="BM149" s="228">
        <v>269</v>
      </c>
      <c r="BN149" s="228">
        <v>424</v>
      </c>
      <c r="BO149" s="228">
        <v>-155</v>
      </c>
      <c r="BP149" s="229">
        <v>-0.3659</v>
      </c>
      <c r="BQ149" s="230">
        <v>2153</v>
      </c>
      <c r="BR149" s="230">
        <v>1680</v>
      </c>
      <c r="BS149" s="228">
        <v>473</v>
      </c>
      <c r="BT149" s="229">
        <v>0.28149999999999997</v>
      </c>
      <c r="BU149" s="230">
        <v>4050002</v>
      </c>
      <c r="BV149" s="230">
        <v>3982093</v>
      </c>
      <c r="BW149" s="230">
        <v>67909</v>
      </c>
      <c r="BX149" s="229">
        <v>1.7100000000000001E-2</v>
      </c>
      <c r="BY149" s="230">
        <v>1627</v>
      </c>
      <c r="BZ149" s="230">
        <v>1741</v>
      </c>
      <c r="CA149" s="228">
        <v>-113</v>
      </c>
      <c r="CB149" s="229">
        <v>-6.5100000000000005E-2</v>
      </c>
      <c r="CC149" s="230">
        <v>1113</v>
      </c>
      <c r="CD149" s="230">
        <v>1548</v>
      </c>
      <c r="CE149" s="228">
        <v>-435</v>
      </c>
      <c r="CF149" s="229">
        <v>-0.28089999999999998</v>
      </c>
      <c r="CG149" s="228">
        <v>508</v>
      </c>
      <c r="CH149" s="228">
        <v>186</v>
      </c>
      <c r="CI149" s="228">
        <v>322</v>
      </c>
      <c r="CJ149" s="229">
        <v>1.7295</v>
      </c>
      <c r="CK149" s="228">
        <v>6</v>
      </c>
      <c r="CL149" s="228">
        <v>6</v>
      </c>
      <c r="CM149" s="228">
        <v>0</v>
      </c>
      <c r="CN149" s="229">
        <v>-1.3299999999999999E-2</v>
      </c>
      <c r="CO149" s="228">
        <v>519</v>
      </c>
      <c r="CP149" s="228">
        <v>555</v>
      </c>
      <c r="CQ149" s="228">
        <v>-35</v>
      </c>
      <c r="CR149" s="229">
        <v>-6.3799999999999996E-2</v>
      </c>
      <c r="CS149" s="228">
        <v>307</v>
      </c>
      <c r="CT149" s="228">
        <v>336</v>
      </c>
      <c r="CU149" s="228">
        <v>-29</v>
      </c>
      <c r="CV149" s="229">
        <v>-8.5199999999999998E-2</v>
      </c>
      <c r="CW149" s="230">
        <v>2454</v>
      </c>
      <c r="CX149" s="230">
        <v>2631</v>
      </c>
      <c r="CY149" s="228">
        <v>-177</v>
      </c>
      <c r="CZ149" s="229">
        <v>-6.7400000000000002E-2</v>
      </c>
      <c r="DA149" s="228">
        <v>29.99</v>
      </c>
      <c r="DB149" s="228">
        <v>27.86</v>
      </c>
      <c r="DC149" s="228">
        <v>2.13</v>
      </c>
      <c r="DD149" s="228">
        <v>2.13</v>
      </c>
      <c r="DE149" s="228">
        <v>37.229999999999997</v>
      </c>
      <c r="DF149" s="228">
        <v>37.32</v>
      </c>
      <c r="DG149" s="228">
        <v>-7.24</v>
      </c>
      <c r="DH149" s="228">
        <v>-0.09</v>
      </c>
      <c r="DI149" s="228">
        <v>30.04</v>
      </c>
      <c r="DJ149" s="228">
        <v>27.48</v>
      </c>
      <c r="DK149" s="228">
        <v>2.56</v>
      </c>
      <c r="DL149" s="228">
        <v>2.56</v>
      </c>
      <c r="DM149" s="228">
        <v>29.83</v>
      </c>
      <c r="DN149" s="228">
        <v>28.69</v>
      </c>
      <c r="DO149" s="228">
        <v>1.1399999999999999</v>
      </c>
      <c r="DP149" s="228">
        <v>1.1399999999999999</v>
      </c>
      <c r="DQ149" s="228">
        <v>0.59</v>
      </c>
      <c r="DR149" s="228">
        <v>0.61</v>
      </c>
      <c r="DS149" s="228">
        <v>-0.02</v>
      </c>
      <c r="DT149" s="229">
        <v>-3.2800000000000003E-2</v>
      </c>
      <c r="DU149" s="228">
        <v>270</v>
      </c>
      <c r="DV149" s="228">
        <v>260</v>
      </c>
      <c r="DW149" s="228">
        <v>0.4</v>
      </c>
      <c r="DX149" s="228">
        <v>0.46</v>
      </c>
      <c r="DY149" s="228">
        <v>-0.06</v>
      </c>
      <c r="DZ149" s="229">
        <v>-0.13039999999999999</v>
      </c>
      <c r="EA149" s="229">
        <v>0.31580000000000003</v>
      </c>
      <c r="EB149" s="230">
        <v>7143750</v>
      </c>
      <c r="EC149" s="229">
        <v>-6.1999999999999998E-3</v>
      </c>
      <c r="ED149" s="229">
        <v>0.31580000000000003</v>
      </c>
      <c r="EE149" s="228">
        <v>-1.81</v>
      </c>
      <c r="EF149" s="229">
        <v>-6.7000000000000002E-3</v>
      </c>
      <c r="EG149" s="230">
        <v>2037461</v>
      </c>
      <c r="EH149" s="230">
        <v>1934728</v>
      </c>
      <c r="EI149" s="229">
        <v>5.3100000000000001E-2</v>
      </c>
      <c r="EJ149" s="229">
        <v>0.50309999999999999</v>
      </c>
      <c r="EK149" s="228">
        <v>685.41</v>
      </c>
      <c r="EL149" s="228">
        <v>263.64</v>
      </c>
      <c r="EM149" s="231">
        <v>1213.54</v>
      </c>
      <c r="EN149" s="228">
        <v>45.5</v>
      </c>
      <c r="EO149" s="231">
        <v>2162.59</v>
      </c>
      <c r="EP149" s="231">
        <v>1693.28</v>
      </c>
      <c r="EQ149" s="228">
        <v>469.32</v>
      </c>
      <c r="ER149" s="229">
        <v>0.2772</v>
      </c>
      <c r="ES149" s="228">
        <v>523.72</v>
      </c>
      <c r="ET149" s="228">
        <v>289.39999999999998</v>
      </c>
      <c r="EU149" s="231">
        <v>1624.02</v>
      </c>
      <c r="EV149" s="231">
        <v>205324177</v>
      </c>
      <c r="EW149" s="231">
        <v>2437.14</v>
      </c>
      <c r="EX149" s="231">
        <v>2612.42</v>
      </c>
      <c r="EY149" s="228">
        <v>-175.28</v>
      </c>
      <c r="EZ149" s="229">
        <v>-6.7100000000000007E-2</v>
      </c>
      <c r="FA149" s="229">
        <v>0.44400000000000001</v>
      </c>
      <c r="FB149" s="227" t="s">
        <v>556</v>
      </c>
      <c r="FC149">
        <f t="shared" ref="FC149:FC194" si="3">BY216-CC216</f>
        <v>443</v>
      </c>
    </row>
    <row r="150" spans="1:159" ht="17.25" thickBot="1" x14ac:dyDescent="0.3">
      <c r="A150" s="226">
        <v>45981</v>
      </c>
      <c r="B150" s="227" t="s">
        <v>206</v>
      </c>
      <c r="C150" s="227" t="s">
        <v>528</v>
      </c>
      <c r="D150" s="228">
        <v>350</v>
      </c>
      <c r="E150" s="228">
        <v>5</v>
      </c>
      <c r="F150" s="231">
        <v>1709.5</v>
      </c>
      <c r="G150" s="231">
        <v>1714.2</v>
      </c>
      <c r="H150" s="228">
        <v>-4.7</v>
      </c>
      <c r="I150" s="229">
        <v>-2.7000000000000001E-3</v>
      </c>
      <c r="J150" s="231">
        <v>1708.5</v>
      </c>
      <c r="K150" s="231">
        <v>1708.7</v>
      </c>
      <c r="L150" s="228">
        <v>-0.2</v>
      </c>
      <c r="M150" s="229">
        <v>-1E-4</v>
      </c>
      <c r="N150" s="231">
        <v>1709.5</v>
      </c>
      <c r="O150" s="231">
        <v>1714.2</v>
      </c>
      <c r="P150" s="228">
        <v>-4.7</v>
      </c>
      <c r="Q150" s="229">
        <v>-2.7000000000000001E-3</v>
      </c>
      <c r="R150" s="231">
        <v>1705.7</v>
      </c>
      <c r="S150" s="231">
        <v>1711.2</v>
      </c>
      <c r="T150" s="228">
        <v>-5.5</v>
      </c>
      <c r="U150" s="229">
        <v>-3.2000000000000002E-3</v>
      </c>
      <c r="V150" s="231">
        <v>1714.1</v>
      </c>
      <c r="W150" s="231">
        <v>1730</v>
      </c>
      <c r="X150" s="228">
        <v>-15.9</v>
      </c>
      <c r="Y150" s="229">
        <v>-9.1999999999999998E-3</v>
      </c>
      <c r="Z150" s="228">
        <v>1</v>
      </c>
      <c r="AA150" s="228">
        <v>5.5</v>
      </c>
      <c r="AB150" s="228">
        <v>-4.5</v>
      </c>
      <c r="AC150" s="229">
        <v>5.9999999999999995E-4</v>
      </c>
      <c r="AD150" s="228">
        <v>1</v>
      </c>
      <c r="AE150" s="228">
        <v>5.5</v>
      </c>
      <c r="AF150" s="228">
        <v>-4.5</v>
      </c>
      <c r="AG150" s="229">
        <v>5.9999999999999995E-4</v>
      </c>
      <c r="AH150" s="228">
        <v>-2.8</v>
      </c>
      <c r="AI150" s="228">
        <v>2.5</v>
      </c>
      <c r="AJ150" s="228">
        <v>-5.3</v>
      </c>
      <c r="AK150" s="229">
        <v>-1.6000000000000001E-3</v>
      </c>
      <c r="AL150" s="228">
        <v>5.6</v>
      </c>
      <c r="AM150" s="228">
        <v>21.3</v>
      </c>
      <c r="AN150" s="228">
        <v>-15.7</v>
      </c>
      <c r="AO150" s="229">
        <v>3.3E-3</v>
      </c>
      <c r="AP150" s="231">
        <v>1713.39</v>
      </c>
      <c r="AQ150" s="231">
        <v>1711.2</v>
      </c>
      <c r="AR150" s="228">
        <v>0</v>
      </c>
      <c r="AS150" s="228">
        <v>655</v>
      </c>
      <c r="AT150" s="228">
        <v>218</v>
      </c>
      <c r="AU150" s="228">
        <v>437</v>
      </c>
      <c r="AV150" s="229">
        <v>1.9997</v>
      </c>
      <c r="AW150" s="228">
        <v>339</v>
      </c>
      <c r="AX150" s="228">
        <v>146</v>
      </c>
      <c r="AY150" s="228">
        <v>192</v>
      </c>
      <c r="AZ150" s="229">
        <v>1.3179000000000001</v>
      </c>
      <c r="BA150" s="228">
        <v>316</v>
      </c>
      <c r="BB150" s="228">
        <v>72</v>
      </c>
      <c r="BC150" s="228">
        <v>244</v>
      </c>
      <c r="BD150" s="229">
        <v>3.3917999999999999</v>
      </c>
      <c r="BE150" s="228">
        <v>1</v>
      </c>
      <c r="BF150" s="228">
        <v>0</v>
      </c>
      <c r="BG150" s="228">
        <v>0</v>
      </c>
      <c r="BH150" s="229">
        <v>0.875</v>
      </c>
      <c r="BI150" s="228">
        <v>176</v>
      </c>
      <c r="BJ150" s="228">
        <v>349</v>
      </c>
      <c r="BK150" s="228">
        <v>-172</v>
      </c>
      <c r="BL150" s="229">
        <v>-0.49440000000000001</v>
      </c>
      <c r="BM150" s="228">
        <v>76</v>
      </c>
      <c r="BN150" s="228">
        <v>159</v>
      </c>
      <c r="BO150" s="228">
        <v>-83</v>
      </c>
      <c r="BP150" s="229">
        <v>-0.52429999999999999</v>
      </c>
      <c r="BQ150" s="228">
        <v>907</v>
      </c>
      <c r="BR150" s="228">
        <v>726</v>
      </c>
      <c r="BS150" s="228">
        <v>181</v>
      </c>
      <c r="BT150" s="229">
        <v>0.24959999999999999</v>
      </c>
      <c r="BU150" s="230">
        <v>157143</v>
      </c>
      <c r="BV150" s="230">
        <v>337511</v>
      </c>
      <c r="BW150" s="230">
        <v>-180368</v>
      </c>
      <c r="BX150" s="229">
        <v>-0.53439999999999999</v>
      </c>
      <c r="BY150" s="228">
        <v>741</v>
      </c>
      <c r="BZ150" s="228">
        <v>825</v>
      </c>
      <c r="CA150" s="228">
        <v>-84</v>
      </c>
      <c r="CB150" s="229">
        <v>-0.1023</v>
      </c>
      <c r="CC150" s="228">
        <v>447</v>
      </c>
      <c r="CD150" s="228">
        <v>714</v>
      </c>
      <c r="CE150" s="228">
        <v>-267</v>
      </c>
      <c r="CF150" s="229">
        <v>-0.37440000000000001</v>
      </c>
      <c r="CG150" s="228">
        <v>290</v>
      </c>
      <c r="CH150" s="228">
        <v>107</v>
      </c>
      <c r="CI150" s="228">
        <v>183</v>
      </c>
      <c r="CJ150" s="229">
        <v>1.7109000000000001</v>
      </c>
      <c r="CK150" s="228">
        <v>4</v>
      </c>
      <c r="CL150" s="228">
        <v>4</v>
      </c>
      <c r="CM150" s="228">
        <v>0</v>
      </c>
      <c r="CN150" s="229">
        <v>4.1700000000000001E-2</v>
      </c>
      <c r="CO150" s="228">
        <v>249</v>
      </c>
      <c r="CP150" s="228">
        <v>267</v>
      </c>
      <c r="CQ150" s="228">
        <v>-18</v>
      </c>
      <c r="CR150" s="229">
        <v>-6.59E-2</v>
      </c>
      <c r="CS150" s="228">
        <v>164</v>
      </c>
      <c r="CT150" s="228">
        <v>164</v>
      </c>
      <c r="CU150" s="228">
        <v>0</v>
      </c>
      <c r="CV150" s="229">
        <v>2.8999999999999998E-3</v>
      </c>
      <c r="CW150" s="230">
        <v>1154</v>
      </c>
      <c r="CX150" s="230">
        <v>1256</v>
      </c>
      <c r="CY150" s="228">
        <v>-102</v>
      </c>
      <c r="CZ150" s="229">
        <v>-8.09E-2</v>
      </c>
      <c r="DA150" s="228">
        <v>25.83</v>
      </c>
      <c r="DB150" s="228">
        <v>27.32</v>
      </c>
      <c r="DC150" s="228">
        <v>-1.49</v>
      </c>
      <c r="DD150" s="228">
        <v>-1.49</v>
      </c>
      <c r="DE150" s="228">
        <v>37.369999999999997</v>
      </c>
      <c r="DF150" s="228">
        <v>37.47</v>
      </c>
      <c r="DG150" s="228">
        <v>-11.54</v>
      </c>
      <c r="DH150" s="228">
        <v>-0.1</v>
      </c>
      <c r="DI150" s="228">
        <v>26</v>
      </c>
      <c r="DJ150" s="228">
        <v>27.74</v>
      </c>
      <c r="DK150" s="228">
        <v>-1.74</v>
      </c>
      <c r="DL150" s="228">
        <v>-1.74</v>
      </c>
      <c r="DM150" s="228">
        <v>25.64</v>
      </c>
      <c r="DN150" s="228">
        <v>26.4</v>
      </c>
      <c r="DO150" s="228">
        <v>-0.76</v>
      </c>
      <c r="DP150" s="228">
        <v>-0.76</v>
      </c>
      <c r="DQ150" s="228">
        <v>0.66</v>
      </c>
      <c r="DR150" s="228">
        <v>0.61</v>
      </c>
      <c r="DS150" s="228">
        <v>0.05</v>
      </c>
      <c r="DT150" s="229">
        <v>8.2000000000000003E-2</v>
      </c>
      <c r="DU150" s="231">
        <v>1800</v>
      </c>
      <c r="DV150" s="231">
        <v>1800</v>
      </c>
      <c r="DW150" s="228">
        <v>0.43</v>
      </c>
      <c r="DX150" s="228">
        <v>0.46</v>
      </c>
      <c r="DY150" s="228">
        <v>-0.03</v>
      </c>
      <c r="DZ150" s="229">
        <v>-6.5199999999999994E-2</v>
      </c>
      <c r="EA150" s="229">
        <v>0.39689999999999998</v>
      </c>
      <c r="EB150" s="230">
        <v>649950</v>
      </c>
      <c r="EC150" s="229">
        <v>-2.2000000000000001E-3</v>
      </c>
      <c r="ED150" s="229">
        <v>0.39689999999999998</v>
      </c>
      <c r="EE150" s="228">
        <v>-2.19</v>
      </c>
      <c r="EF150" s="229">
        <v>-1.2999999999999999E-3</v>
      </c>
      <c r="EG150" s="230">
        <v>66653</v>
      </c>
      <c r="EH150" s="230">
        <v>201639</v>
      </c>
      <c r="EI150" s="229">
        <v>-0.6694</v>
      </c>
      <c r="EJ150" s="229">
        <v>0.42420000000000002</v>
      </c>
      <c r="EK150" s="228">
        <v>183.34</v>
      </c>
      <c r="EL150" s="228">
        <v>75.36</v>
      </c>
      <c r="EM150" s="228">
        <v>656.37</v>
      </c>
      <c r="EN150" s="228">
        <v>19.8</v>
      </c>
      <c r="EO150" s="228">
        <v>915.08</v>
      </c>
      <c r="EP150" s="228">
        <v>739.23</v>
      </c>
      <c r="EQ150" s="228">
        <v>175.84</v>
      </c>
      <c r="ER150" s="229">
        <v>0.2379</v>
      </c>
      <c r="ES150" s="228">
        <v>260.14999999999998</v>
      </c>
      <c r="ET150" s="228">
        <v>164.38</v>
      </c>
      <c r="EU150" s="228">
        <v>740.09</v>
      </c>
      <c r="EV150" s="231">
        <v>17614093</v>
      </c>
      <c r="EW150" s="231">
        <v>1164.6199999999999</v>
      </c>
      <c r="EX150" s="231">
        <v>1270.47</v>
      </c>
      <c r="EY150" s="228">
        <v>-105.85</v>
      </c>
      <c r="EZ150" s="229">
        <v>-8.3299999999999999E-2</v>
      </c>
      <c r="FA150" s="229">
        <v>0.38329999999999997</v>
      </c>
      <c r="FB150" s="227" t="s">
        <v>568</v>
      </c>
      <c r="FC150">
        <f t="shared" si="3"/>
        <v>0</v>
      </c>
    </row>
    <row r="151" spans="1:159" ht="17.25" thickBot="1" x14ac:dyDescent="0.3">
      <c r="A151" s="226">
        <v>45981</v>
      </c>
      <c r="B151" s="227" t="s">
        <v>221</v>
      </c>
      <c r="C151" s="227" t="s">
        <v>518</v>
      </c>
      <c r="D151" s="228">
        <v>75</v>
      </c>
      <c r="E151" s="228">
        <v>5</v>
      </c>
      <c r="F151" s="231">
        <v>8398</v>
      </c>
      <c r="G151" s="231">
        <v>8356</v>
      </c>
      <c r="H151" s="228">
        <v>42</v>
      </c>
      <c r="I151" s="229">
        <v>5.0000000000000001E-3</v>
      </c>
      <c r="J151" s="231">
        <v>8372.5</v>
      </c>
      <c r="K151" s="231">
        <v>8333</v>
      </c>
      <c r="L151" s="228">
        <v>39.5</v>
      </c>
      <c r="M151" s="229">
        <v>4.7000000000000002E-3</v>
      </c>
      <c r="N151" s="231">
        <v>8398</v>
      </c>
      <c r="O151" s="231">
        <v>8356</v>
      </c>
      <c r="P151" s="228">
        <v>42</v>
      </c>
      <c r="Q151" s="229">
        <v>5.0000000000000001E-3</v>
      </c>
      <c r="R151" s="231">
        <v>8439.5</v>
      </c>
      <c r="S151" s="231">
        <v>8393.5</v>
      </c>
      <c r="T151" s="228">
        <v>46</v>
      </c>
      <c r="U151" s="229">
        <v>5.4999999999999997E-3</v>
      </c>
      <c r="V151" s="231">
        <v>8472.5</v>
      </c>
      <c r="W151" s="231">
        <v>8447</v>
      </c>
      <c r="X151" s="228">
        <v>25.5</v>
      </c>
      <c r="Y151" s="229">
        <v>3.0000000000000001E-3</v>
      </c>
      <c r="Z151" s="228">
        <v>25.5</v>
      </c>
      <c r="AA151" s="228">
        <v>23</v>
      </c>
      <c r="AB151" s="228">
        <v>2.5</v>
      </c>
      <c r="AC151" s="229">
        <v>3.0000000000000001E-3</v>
      </c>
      <c r="AD151" s="228">
        <v>25.5</v>
      </c>
      <c r="AE151" s="228">
        <v>23</v>
      </c>
      <c r="AF151" s="228">
        <v>2.5</v>
      </c>
      <c r="AG151" s="229">
        <v>3.0000000000000001E-3</v>
      </c>
      <c r="AH151" s="228">
        <v>67</v>
      </c>
      <c r="AI151" s="228">
        <v>60.5</v>
      </c>
      <c r="AJ151" s="228">
        <v>6.5</v>
      </c>
      <c r="AK151" s="229">
        <v>8.0000000000000002E-3</v>
      </c>
      <c r="AL151" s="228">
        <v>100</v>
      </c>
      <c r="AM151" s="228">
        <v>114</v>
      </c>
      <c r="AN151" s="228">
        <v>-14</v>
      </c>
      <c r="AO151" s="229">
        <v>1.1900000000000001E-2</v>
      </c>
      <c r="AP151" s="231">
        <v>8446.41</v>
      </c>
      <c r="AQ151" s="231">
        <v>8478.43</v>
      </c>
      <c r="AR151" s="228">
        <v>0</v>
      </c>
      <c r="AS151" s="228">
        <v>998</v>
      </c>
      <c r="AT151" s="228">
        <v>350</v>
      </c>
      <c r="AU151" s="228">
        <v>648</v>
      </c>
      <c r="AV151" s="229">
        <v>1.8531</v>
      </c>
      <c r="AW151" s="228">
        <v>537</v>
      </c>
      <c r="AX151" s="228">
        <v>248</v>
      </c>
      <c r="AY151" s="228">
        <v>289</v>
      </c>
      <c r="AZ151" s="229">
        <v>1.1664000000000001</v>
      </c>
      <c r="BA151" s="228">
        <v>453</v>
      </c>
      <c r="BB151" s="228">
        <v>97</v>
      </c>
      <c r="BC151" s="228">
        <v>356</v>
      </c>
      <c r="BD151" s="229">
        <v>3.6598000000000002</v>
      </c>
      <c r="BE151" s="228">
        <v>8</v>
      </c>
      <c r="BF151" s="228">
        <v>5</v>
      </c>
      <c r="BG151" s="228">
        <v>3</v>
      </c>
      <c r="BH151" s="229">
        <v>0.73329999999999995</v>
      </c>
      <c r="BI151" s="230">
        <v>2750</v>
      </c>
      <c r="BJ151" s="230">
        <v>1662</v>
      </c>
      <c r="BK151" s="230">
        <v>1089</v>
      </c>
      <c r="BL151" s="229">
        <v>0.65510000000000002</v>
      </c>
      <c r="BM151" s="228">
        <v>741</v>
      </c>
      <c r="BN151" s="228">
        <v>497</v>
      </c>
      <c r="BO151" s="228">
        <v>244</v>
      </c>
      <c r="BP151" s="229">
        <v>0.4904</v>
      </c>
      <c r="BQ151" s="230">
        <v>4489</v>
      </c>
      <c r="BR151" s="230">
        <v>2509</v>
      </c>
      <c r="BS151" s="230">
        <v>1981</v>
      </c>
      <c r="BT151" s="229">
        <v>0.78949999999999998</v>
      </c>
      <c r="BU151" s="230">
        <v>141075</v>
      </c>
      <c r="BV151" s="230">
        <v>152215</v>
      </c>
      <c r="BW151" s="230">
        <v>-11140</v>
      </c>
      <c r="BX151" s="229">
        <v>-7.3200000000000001E-2</v>
      </c>
      <c r="BY151" s="230">
        <v>1164</v>
      </c>
      <c r="BZ151" s="230">
        <v>1206</v>
      </c>
      <c r="CA151" s="228">
        <v>-42</v>
      </c>
      <c r="CB151" s="229">
        <v>-3.4799999999999998E-2</v>
      </c>
      <c r="CC151" s="228">
        <v>777</v>
      </c>
      <c r="CD151" s="230">
        <v>1078</v>
      </c>
      <c r="CE151" s="228">
        <v>-301</v>
      </c>
      <c r="CF151" s="229">
        <v>-0.27950000000000003</v>
      </c>
      <c r="CG151" s="228">
        <v>375</v>
      </c>
      <c r="CH151" s="228">
        <v>118</v>
      </c>
      <c r="CI151" s="228">
        <v>258</v>
      </c>
      <c r="CJ151" s="229">
        <v>2.1865999999999999</v>
      </c>
      <c r="CK151" s="228">
        <v>11</v>
      </c>
      <c r="CL151" s="228">
        <v>9</v>
      </c>
      <c r="CM151" s="228">
        <v>2</v>
      </c>
      <c r="CN151" s="229">
        <v>0.19589999999999999</v>
      </c>
      <c r="CO151" s="228">
        <v>753</v>
      </c>
      <c r="CP151" s="228">
        <v>760</v>
      </c>
      <c r="CQ151" s="228">
        <v>-7</v>
      </c>
      <c r="CR151" s="229">
        <v>-8.8999999999999999E-3</v>
      </c>
      <c r="CS151" s="228">
        <v>385</v>
      </c>
      <c r="CT151" s="228">
        <v>391</v>
      </c>
      <c r="CU151" s="228">
        <v>-6</v>
      </c>
      <c r="CV151" s="229">
        <v>-1.55E-2</v>
      </c>
      <c r="CW151" s="230">
        <v>2302</v>
      </c>
      <c r="CX151" s="230">
        <v>2357</v>
      </c>
      <c r="CY151" s="228">
        <v>-55</v>
      </c>
      <c r="CZ151" s="229">
        <v>-2.3300000000000001E-2</v>
      </c>
      <c r="DA151" s="228">
        <v>26.26</v>
      </c>
      <c r="DB151" s="228">
        <v>29.67</v>
      </c>
      <c r="DC151" s="228">
        <v>-3.41</v>
      </c>
      <c r="DD151" s="228">
        <v>-3.41</v>
      </c>
      <c r="DE151" s="228">
        <v>40.17</v>
      </c>
      <c r="DF151" s="228">
        <v>40.26</v>
      </c>
      <c r="DG151" s="228">
        <v>-13.91</v>
      </c>
      <c r="DH151" s="228">
        <v>-0.09</v>
      </c>
      <c r="DI151" s="228">
        <v>26.21</v>
      </c>
      <c r="DJ151" s="228">
        <v>29.91</v>
      </c>
      <c r="DK151" s="228">
        <v>-3.7</v>
      </c>
      <c r="DL151" s="228">
        <v>-3.7</v>
      </c>
      <c r="DM151" s="228">
        <v>26.41</v>
      </c>
      <c r="DN151" s="228">
        <v>28.85</v>
      </c>
      <c r="DO151" s="228">
        <v>-2.44</v>
      </c>
      <c r="DP151" s="228">
        <v>-2.44</v>
      </c>
      <c r="DQ151" s="228">
        <v>0.51</v>
      </c>
      <c r="DR151" s="228">
        <v>0.51</v>
      </c>
      <c r="DS151" s="228">
        <v>0</v>
      </c>
      <c r="DT151" s="229">
        <v>0</v>
      </c>
      <c r="DU151" s="231">
        <v>8500</v>
      </c>
      <c r="DV151" s="231">
        <v>8000</v>
      </c>
      <c r="DW151" s="228">
        <v>0.27</v>
      </c>
      <c r="DX151" s="228">
        <v>0.3</v>
      </c>
      <c r="DY151" s="228">
        <v>-0.03</v>
      </c>
      <c r="DZ151" s="229">
        <v>-0.1</v>
      </c>
      <c r="EA151" s="229">
        <v>0.3322</v>
      </c>
      <c r="EB151" s="230">
        <v>151350</v>
      </c>
      <c r="EC151" s="229">
        <v>4.8999999999999998E-3</v>
      </c>
      <c r="ED151" s="229">
        <v>0.3322</v>
      </c>
      <c r="EE151" s="228">
        <v>32.020000000000003</v>
      </c>
      <c r="EF151" s="229">
        <v>3.8E-3</v>
      </c>
      <c r="EG151" s="230">
        <v>40855</v>
      </c>
      <c r="EH151" s="230">
        <v>62156</v>
      </c>
      <c r="EI151" s="229">
        <v>-0.3427</v>
      </c>
      <c r="EJ151" s="229">
        <v>0.28960000000000002</v>
      </c>
      <c r="EK151" s="231">
        <v>2854.65</v>
      </c>
      <c r="EL151" s="228">
        <v>732.39</v>
      </c>
      <c r="EM151" s="231">
        <v>1005.81</v>
      </c>
      <c r="EN151" s="228">
        <v>28.67</v>
      </c>
      <c r="EO151" s="231">
        <v>4592.8500000000004</v>
      </c>
      <c r="EP151" s="231">
        <v>2540.5</v>
      </c>
      <c r="EQ151" s="231">
        <v>2052.35</v>
      </c>
      <c r="ER151" s="229">
        <v>0.80789999999999995</v>
      </c>
      <c r="ES151" s="228">
        <v>791.67</v>
      </c>
      <c r="ET151" s="228">
        <v>377.4</v>
      </c>
      <c r="EU151" s="231">
        <v>1165.48</v>
      </c>
      <c r="EV151" s="231">
        <v>3401732</v>
      </c>
      <c r="EW151" s="231">
        <v>2334.54</v>
      </c>
      <c r="EX151" s="231">
        <v>2381.23</v>
      </c>
      <c r="EY151" s="228">
        <v>-46.69</v>
      </c>
      <c r="EZ151" s="229">
        <v>-1.9599999999999999E-2</v>
      </c>
      <c r="FA151" s="229">
        <v>0.80569999999999997</v>
      </c>
      <c r="FB151" s="227" t="s">
        <v>556</v>
      </c>
      <c r="FC151">
        <f t="shared" si="3"/>
        <v>0</v>
      </c>
    </row>
    <row r="152" spans="1:159" ht="17.25" thickBot="1" x14ac:dyDescent="0.3">
      <c r="A152" s="226">
        <v>45981</v>
      </c>
      <c r="B152" s="227" t="s">
        <v>193</v>
      </c>
      <c r="C152" s="227" t="s">
        <v>587</v>
      </c>
      <c r="D152" s="228">
        <v>1400</v>
      </c>
      <c r="E152" s="228">
        <v>5</v>
      </c>
      <c r="F152" s="228">
        <v>433.05</v>
      </c>
      <c r="G152" s="228">
        <v>433.5</v>
      </c>
      <c r="H152" s="228">
        <v>-0.45</v>
      </c>
      <c r="I152" s="229">
        <v>-1E-3</v>
      </c>
      <c r="J152" s="228">
        <v>436.2</v>
      </c>
      <c r="K152" s="228">
        <v>436.85</v>
      </c>
      <c r="L152" s="228">
        <v>-0.65</v>
      </c>
      <c r="M152" s="229">
        <v>-1.5E-3</v>
      </c>
      <c r="N152" s="228">
        <v>433.05</v>
      </c>
      <c r="O152" s="228">
        <v>433.5</v>
      </c>
      <c r="P152" s="228">
        <v>-0.45</v>
      </c>
      <c r="Q152" s="229">
        <v>-1E-3</v>
      </c>
      <c r="R152" s="228">
        <v>435.5</v>
      </c>
      <c r="S152" s="228">
        <v>435.95</v>
      </c>
      <c r="T152" s="228">
        <v>-0.45</v>
      </c>
      <c r="U152" s="229">
        <v>-1E-3</v>
      </c>
      <c r="V152" s="228">
        <v>437.5</v>
      </c>
      <c r="W152" s="228">
        <v>437.35</v>
      </c>
      <c r="X152" s="228">
        <v>0.15</v>
      </c>
      <c r="Y152" s="229">
        <v>2.9999999999999997E-4</v>
      </c>
      <c r="Z152" s="228">
        <v>-3.15</v>
      </c>
      <c r="AA152" s="228">
        <v>-3.35</v>
      </c>
      <c r="AB152" s="228">
        <v>0.2</v>
      </c>
      <c r="AC152" s="229">
        <v>-7.1999999999999998E-3</v>
      </c>
      <c r="AD152" s="228">
        <v>-3.15</v>
      </c>
      <c r="AE152" s="228">
        <v>-3.35</v>
      </c>
      <c r="AF152" s="228">
        <v>0.2</v>
      </c>
      <c r="AG152" s="229">
        <v>-7.1999999999999998E-3</v>
      </c>
      <c r="AH152" s="228">
        <v>-0.7</v>
      </c>
      <c r="AI152" s="228">
        <v>-0.9</v>
      </c>
      <c r="AJ152" s="228">
        <v>0.2</v>
      </c>
      <c r="AK152" s="229">
        <v>-1.6000000000000001E-3</v>
      </c>
      <c r="AL152" s="228">
        <v>1.3</v>
      </c>
      <c r="AM152" s="228">
        <v>0.5</v>
      </c>
      <c r="AN152" s="228">
        <v>0.8</v>
      </c>
      <c r="AO152" s="229">
        <v>3.0000000000000001E-3</v>
      </c>
      <c r="AP152" s="228">
        <v>433.76</v>
      </c>
      <c r="AQ152" s="228">
        <v>436.07</v>
      </c>
      <c r="AR152" s="228">
        <v>0</v>
      </c>
      <c r="AS152" s="228">
        <v>381</v>
      </c>
      <c r="AT152" s="228">
        <v>51</v>
      </c>
      <c r="AU152" s="228">
        <v>330</v>
      </c>
      <c r="AV152" s="229">
        <v>6.4809999999999999</v>
      </c>
      <c r="AW152" s="228">
        <v>206</v>
      </c>
      <c r="AX152" s="228">
        <v>38</v>
      </c>
      <c r="AY152" s="228">
        <v>168</v>
      </c>
      <c r="AZ152" s="229">
        <v>4.4200999999999997</v>
      </c>
      <c r="BA152" s="228">
        <v>175</v>
      </c>
      <c r="BB152" s="228">
        <v>13</v>
      </c>
      <c r="BC152" s="228">
        <v>162</v>
      </c>
      <c r="BD152" s="229">
        <v>12.589600000000001</v>
      </c>
      <c r="BE152" s="228">
        <v>1</v>
      </c>
      <c r="BF152" s="228">
        <v>0</v>
      </c>
      <c r="BG152" s="228">
        <v>0</v>
      </c>
      <c r="BH152" s="229">
        <v>4</v>
      </c>
      <c r="BI152" s="228">
        <v>258</v>
      </c>
      <c r="BJ152" s="228">
        <v>189</v>
      </c>
      <c r="BK152" s="228">
        <v>69</v>
      </c>
      <c r="BL152" s="229">
        <v>0.36430000000000001</v>
      </c>
      <c r="BM152" s="228">
        <v>96</v>
      </c>
      <c r="BN152" s="228">
        <v>51</v>
      </c>
      <c r="BO152" s="228">
        <v>46</v>
      </c>
      <c r="BP152" s="229">
        <v>0.90049999999999997</v>
      </c>
      <c r="BQ152" s="228">
        <v>735</v>
      </c>
      <c r="BR152" s="228">
        <v>291</v>
      </c>
      <c r="BS152" s="228">
        <v>444</v>
      </c>
      <c r="BT152" s="229">
        <v>1.5298</v>
      </c>
      <c r="BU152" s="230">
        <v>1177425</v>
      </c>
      <c r="BV152" s="230">
        <v>810620</v>
      </c>
      <c r="BW152" s="230">
        <v>366805</v>
      </c>
      <c r="BX152" s="229">
        <v>0.45250000000000001</v>
      </c>
      <c r="BY152" s="228">
        <v>519</v>
      </c>
      <c r="BZ152" s="228">
        <v>533</v>
      </c>
      <c r="CA152" s="228">
        <v>-14</v>
      </c>
      <c r="CB152" s="229">
        <v>-2.63E-2</v>
      </c>
      <c r="CC152" s="228">
        <v>340</v>
      </c>
      <c r="CD152" s="228">
        <v>483</v>
      </c>
      <c r="CE152" s="228">
        <v>-142</v>
      </c>
      <c r="CF152" s="229">
        <v>-0.29499999999999998</v>
      </c>
      <c r="CG152" s="228">
        <v>176</v>
      </c>
      <c r="CH152" s="228">
        <v>48</v>
      </c>
      <c r="CI152" s="228">
        <v>128</v>
      </c>
      <c r="CJ152" s="229">
        <v>2.6785000000000001</v>
      </c>
      <c r="CK152" s="228">
        <v>3</v>
      </c>
      <c r="CL152" s="228">
        <v>3</v>
      </c>
      <c r="CM152" s="228">
        <v>0</v>
      </c>
      <c r="CN152" s="229">
        <v>2.3800000000000002E-2</v>
      </c>
      <c r="CO152" s="228">
        <v>299</v>
      </c>
      <c r="CP152" s="228">
        <v>323</v>
      </c>
      <c r="CQ152" s="228">
        <v>-24</v>
      </c>
      <c r="CR152" s="229">
        <v>-7.3800000000000004E-2</v>
      </c>
      <c r="CS152" s="228">
        <v>168</v>
      </c>
      <c r="CT152" s="228">
        <v>170</v>
      </c>
      <c r="CU152" s="228">
        <v>-2</v>
      </c>
      <c r="CV152" s="229">
        <v>-1.17E-2</v>
      </c>
      <c r="CW152" s="228">
        <v>986</v>
      </c>
      <c r="CX152" s="230">
        <v>1026</v>
      </c>
      <c r="CY152" s="228">
        <v>-40</v>
      </c>
      <c r="CZ152" s="229">
        <v>-3.8800000000000001E-2</v>
      </c>
      <c r="DA152" s="228">
        <v>24.23</v>
      </c>
      <c r="DB152" s="228">
        <v>28.4</v>
      </c>
      <c r="DC152" s="228">
        <v>-4.17</v>
      </c>
      <c r="DD152" s="228">
        <v>-4.17</v>
      </c>
      <c r="DE152" s="228">
        <v>42.9</v>
      </c>
      <c r="DF152" s="228">
        <v>43</v>
      </c>
      <c r="DG152" s="228">
        <v>-18.670000000000002</v>
      </c>
      <c r="DH152" s="228">
        <v>-0.1</v>
      </c>
      <c r="DI152" s="228">
        <v>24.51</v>
      </c>
      <c r="DJ152" s="228">
        <v>28.57</v>
      </c>
      <c r="DK152" s="228">
        <v>-4.0599999999999996</v>
      </c>
      <c r="DL152" s="228">
        <v>-4.0599999999999996</v>
      </c>
      <c r="DM152" s="228">
        <v>23.85</v>
      </c>
      <c r="DN152" s="228">
        <v>27.76</v>
      </c>
      <c r="DO152" s="228">
        <v>-3.91</v>
      </c>
      <c r="DP152" s="228">
        <v>-3.91</v>
      </c>
      <c r="DQ152" s="228">
        <v>0.56000000000000005</v>
      </c>
      <c r="DR152" s="228">
        <v>0.53</v>
      </c>
      <c r="DS152" s="228">
        <v>0.03</v>
      </c>
      <c r="DT152" s="229">
        <v>5.6599999999999998E-2</v>
      </c>
      <c r="DU152" s="228">
        <v>450</v>
      </c>
      <c r="DV152" s="228">
        <v>420</v>
      </c>
      <c r="DW152" s="228">
        <v>0.37</v>
      </c>
      <c r="DX152" s="228">
        <v>0.27</v>
      </c>
      <c r="DY152" s="228">
        <v>0.1</v>
      </c>
      <c r="DZ152" s="229">
        <v>0.37040000000000001</v>
      </c>
      <c r="EA152" s="229">
        <v>0.34449999999999997</v>
      </c>
      <c r="EB152" s="230">
        <v>1164800</v>
      </c>
      <c r="EC152" s="229">
        <v>5.7000000000000002E-3</v>
      </c>
      <c r="ED152" s="229">
        <v>0.34449999999999997</v>
      </c>
      <c r="EE152" s="228">
        <v>2.31</v>
      </c>
      <c r="EF152" s="229">
        <v>5.3E-3</v>
      </c>
      <c r="EG152" s="230">
        <v>519959</v>
      </c>
      <c r="EH152" s="230">
        <v>369805</v>
      </c>
      <c r="EI152" s="229">
        <v>0.40600000000000003</v>
      </c>
      <c r="EJ152" s="229">
        <v>0.44159999999999999</v>
      </c>
      <c r="EK152" s="228">
        <v>265.08999999999997</v>
      </c>
      <c r="EL152" s="228">
        <v>95.6</v>
      </c>
      <c r="EM152" s="228">
        <v>382.54</v>
      </c>
      <c r="EN152" s="228">
        <v>22.87</v>
      </c>
      <c r="EO152" s="228">
        <v>743.23</v>
      </c>
      <c r="EP152" s="228">
        <v>296.77999999999997</v>
      </c>
      <c r="EQ152" s="228">
        <v>446.46</v>
      </c>
      <c r="ER152" s="229">
        <v>1.5044</v>
      </c>
      <c r="ES152" s="228">
        <v>311.83</v>
      </c>
      <c r="ET152" s="228">
        <v>163.27000000000001</v>
      </c>
      <c r="EU152" s="228">
        <v>520.04999999999995</v>
      </c>
      <c r="EV152" s="231">
        <v>94123587</v>
      </c>
      <c r="EW152" s="228">
        <v>995.15</v>
      </c>
      <c r="EX152" s="231">
        <v>1035.28</v>
      </c>
      <c r="EY152" s="228">
        <v>-40.130000000000003</v>
      </c>
      <c r="EZ152" s="229">
        <v>-3.8800000000000001E-2</v>
      </c>
      <c r="FA152" s="229">
        <v>0.24199999999999999</v>
      </c>
      <c r="FB152" s="227" t="s">
        <v>568</v>
      </c>
      <c r="FC152">
        <f t="shared" si="3"/>
        <v>0</v>
      </c>
    </row>
    <row r="153" spans="1:159" ht="17.25" thickBot="1" x14ac:dyDescent="0.3">
      <c r="A153" s="226">
        <v>45981</v>
      </c>
      <c r="B153" s="227" t="s">
        <v>193</v>
      </c>
      <c r="C153" s="227" t="s">
        <v>269</v>
      </c>
      <c r="D153" s="228">
        <v>2250</v>
      </c>
      <c r="E153" s="228">
        <v>5</v>
      </c>
      <c r="F153" s="228">
        <v>248.1</v>
      </c>
      <c r="G153" s="228">
        <v>249.05</v>
      </c>
      <c r="H153" s="228">
        <v>-0.95</v>
      </c>
      <c r="I153" s="229">
        <v>-3.8E-3</v>
      </c>
      <c r="J153" s="228">
        <v>248.05</v>
      </c>
      <c r="K153" s="228">
        <v>249</v>
      </c>
      <c r="L153" s="228">
        <v>-0.95</v>
      </c>
      <c r="M153" s="229">
        <v>-3.8E-3</v>
      </c>
      <c r="N153" s="228">
        <v>248.1</v>
      </c>
      <c r="O153" s="228">
        <v>249.05</v>
      </c>
      <c r="P153" s="228">
        <v>-0.95</v>
      </c>
      <c r="Q153" s="229">
        <v>-3.8E-3</v>
      </c>
      <c r="R153" s="228">
        <v>249.85</v>
      </c>
      <c r="S153" s="228">
        <v>250.8</v>
      </c>
      <c r="T153" s="228">
        <v>-0.95</v>
      </c>
      <c r="U153" s="229">
        <v>-3.8E-3</v>
      </c>
      <c r="V153" s="228">
        <v>251.25</v>
      </c>
      <c r="W153" s="228">
        <v>252.3</v>
      </c>
      <c r="X153" s="228">
        <v>-1.05</v>
      </c>
      <c r="Y153" s="229">
        <v>-4.1999999999999997E-3</v>
      </c>
      <c r="Z153" s="228">
        <v>0.05</v>
      </c>
      <c r="AA153" s="228">
        <v>0.05</v>
      </c>
      <c r="AB153" s="228">
        <v>0</v>
      </c>
      <c r="AC153" s="229">
        <v>2.0000000000000001E-4</v>
      </c>
      <c r="AD153" s="228">
        <v>0.05</v>
      </c>
      <c r="AE153" s="228">
        <v>0.05</v>
      </c>
      <c r="AF153" s="228">
        <v>0</v>
      </c>
      <c r="AG153" s="229">
        <v>2.0000000000000001E-4</v>
      </c>
      <c r="AH153" s="228">
        <v>1.8</v>
      </c>
      <c r="AI153" s="228">
        <v>1.8</v>
      </c>
      <c r="AJ153" s="228">
        <v>0</v>
      </c>
      <c r="AK153" s="229">
        <v>7.3000000000000001E-3</v>
      </c>
      <c r="AL153" s="228">
        <v>3.2</v>
      </c>
      <c r="AM153" s="228">
        <v>3.3</v>
      </c>
      <c r="AN153" s="228">
        <v>-0.1</v>
      </c>
      <c r="AO153" s="229">
        <v>1.29E-2</v>
      </c>
      <c r="AP153" s="228">
        <v>249.11</v>
      </c>
      <c r="AQ153" s="228">
        <v>250.84</v>
      </c>
      <c r="AR153" s="228">
        <v>0</v>
      </c>
      <c r="AS153" s="230">
        <v>1224</v>
      </c>
      <c r="AT153" s="228">
        <v>401</v>
      </c>
      <c r="AU153" s="228">
        <v>824</v>
      </c>
      <c r="AV153" s="229">
        <v>2.0562999999999998</v>
      </c>
      <c r="AW153" s="228">
        <v>657</v>
      </c>
      <c r="AX153" s="228">
        <v>260</v>
      </c>
      <c r="AY153" s="228">
        <v>397</v>
      </c>
      <c r="AZ153" s="229">
        <v>1.5274000000000001</v>
      </c>
      <c r="BA153" s="228">
        <v>561</v>
      </c>
      <c r="BB153" s="228">
        <v>133</v>
      </c>
      <c r="BC153" s="228">
        <v>428</v>
      </c>
      <c r="BD153" s="229">
        <v>3.2033</v>
      </c>
      <c r="BE153" s="228">
        <v>6</v>
      </c>
      <c r="BF153" s="228">
        <v>7</v>
      </c>
      <c r="BG153" s="228">
        <v>-1</v>
      </c>
      <c r="BH153" s="229">
        <v>-0.1085</v>
      </c>
      <c r="BI153" s="228">
        <v>942</v>
      </c>
      <c r="BJ153" s="230">
        <v>1107</v>
      </c>
      <c r="BK153" s="228">
        <v>-165</v>
      </c>
      <c r="BL153" s="229">
        <v>-0.14940000000000001</v>
      </c>
      <c r="BM153" s="228">
        <v>453</v>
      </c>
      <c r="BN153" s="228">
        <v>522</v>
      </c>
      <c r="BO153" s="228">
        <v>-69</v>
      </c>
      <c r="BP153" s="229">
        <v>-0.13239999999999999</v>
      </c>
      <c r="BQ153" s="230">
        <v>2620</v>
      </c>
      <c r="BR153" s="230">
        <v>2030</v>
      </c>
      <c r="BS153" s="228">
        <v>589</v>
      </c>
      <c r="BT153" s="229">
        <v>0.29020000000000001</v>
      </c>
      <c r="BU153" s="230">
        <v>7243517</v>
      </c>
      <c r="BV153" s="230">
        <v>7512870</v>
      </c>
      <c r="BW153" s="230">
        <v>-269353</v>
      </c>
      <c r="BX153" s="229">
        <v>-3.5900000000000001E-2</v>
      </c>
      <c r="BY153" s="230">
        <v>2300</v>
      </c>
      <c r="BZ153" s="230">
        <v>2325</v>
      </c>
      <c r="CA153" s="228">
        <v>-25</v>
      </c>
      <c r="CB153" s="229">
        <v>-1.0800000000000001E-2</v>
      </c>
      <c r="CC153" s="230">
        <v>1573</v>
      </c>
      <c r="CD153" s="230">
        <v>2044</v>
      </c>
      <c r="CE153" s="228">
        <v>-471</v>
      </c>
      <c r="CF153" s="229">
        <v>-0.23050000000000001</v>
      </c>
      <c r="CG153" s="228">
        <v>714</v>
      </c>
      <c r="CH153" s="228">
        <v>270</v>
      </c>
      <c r="CI153" s="228">
        <v>444</v>
      </c>
      <c r="CJ153" s="229">
        <v>1.647</v>
      </c>
      <c r="CK153" s="228">
        <v>14</v>
      </c>
      <c r="CL153" s="228">
        <v>12</v>
      </c>
      <c r="CM153" s="228">
        <v>2</v>
      </c>
      <c r="CN153" s="229">
        <v>0.16189999999999999</v>
      </c>
      <c r="CO153" s="230">
        <v>1446</v>
      </c>
      <c r="CP153" s="230">
        <v>1410</v>
      </c>
      <c r="CQ153" s="228">
        <v>36</v>
      </c>
      <c r="CR153" s="229">
        <v>2.53E-2</v>
      </c>
      <c r="CS153" s="228">
        <v>552</v>
      </c>
      <c r="CT153" s="228">
        <v>530</v>
      </c>
      <c r="CU153" s="228">
        <v>22</v>
      </c>
      <c r="CV153" s="229">
        <v>4.1599999999999998E-2</v>
      </c>
      <c r="CW153" s="230">
        <v>4298</v>
      </c>
      <c r="CX153" s="230">
        <v>4266</v>
      </c>
      <c r="CY153" s="228">
        <v>33</v>
      </c>
      <c r="CZ153" s="229">
        <v>7.7000000000000002E-3</v>
      </c>
      <c r="DA153" s="228">
        <v>18.399999999999999</v>
      </c>
      <c r="DB153" s="228">
        <v>17.89</v>
      </c>
      <c r="DC153" s="228">
        <v>0.51</v>
      </c>
      <c r="DD153" s="228">
        <v>0.51</v>
      </c>
      <c r="DE153" s="228">
        <v>31.07</v>
      </c>
      <c r="DF153" s="228">
        <v>31.15</v>
      </c>
      <c r="DG153" s="228">
        <v>-12.67</v>
      </c>
      <c r="DH153" s="228">
        <v>-0.08</v>
      </c>
      <c r="DI153" s="228">
        <v>18.77</v>
      </c>
      <c r="DJ153" s="228">
        <v>17.329999999999998</v>
      </c>
      <c r="DK153" s="228">
        <v>1.44</v>
      </c>
      <c r="DL153" s="228">
        <v>1.44</v>
      </c>
      <c r="DM153" s="228">
        <v>17.88</v>
      </c>
      <c r="DN153" s="228">
        <v>19.09</v>
      </c>
      <c r="DO153" s="228">
        <v>-1.21</v>
      </c>
      <c r="DP153" s="228">
        <v>-1.21</v>
      </c>
      <c r="DQ153" s="228">
        <v>0.38</v>
      </c>
      <c r="DR153" s="228">
        <v>0.38</v>
      </c>
      <c r="DS153" s="228">
        <v>0</v>
      </c>
      <c r="DT153" s="229">
        <v>0</v>
      </c>
      <c r="DU153" s="228">
        <v>254</v>
      </c>
      <c r="DV153" s="228">
        <v>234</v>
      </c>
      <c r="DW153" s="228">
        <v>0.48</v>
      </c>
      <c r="DX153" s="228">
        <v>0.47</v>
      </c>
      <c r="DY153" s="228">
        <v>0.01</v>
      </c>
      <c r="DZ153" s="229">
        <v>2.1299999999999999E-2</v>
      </c>
      <c r="EA153" s="229">
        <v>0.31619999999999998</v>
      </c>
      <c r="EB153" s="230">
        <v>11340000</v>
      </c>
      <c r="EC153" s="229">
        <v>7.1000000000000004E-3</v>
      </c>
      <c r="ED153" s="229">
        <v>0.31619999999999998</v>
      </c>
      <c r="EE153" s="228">
        <v>1.73</v>
      </c>
      <c r="EF153" s="229">
        <v>6.8999999999999999E-3</v>
      </c>
      <c r="EG153" s="230">
        <v>4703741</v>
      </c>
      <c r="EH153" s="230">
        <v>4786662</v>
      </c>
      <c r="EI153" s="229">
        <v>-1.7299999999999999E-2</v>
      </c>
      <c r="EJ153" s="229">
        <v>0.64939999999999998</v>
      </c>
      <c r="EK153" s="228">
        <v>966.06</v>
      </c>
      <c r="EL153" s="228">
        <v>463.28</v>
      </c>
      <c r="EM153" s="231">
        <v>1233.42</v>
      </c>
      <c r="EN153" s="228">
        <v>63.09</v>
      </c>
      <c r="EO153" s="231">
        <v>2662.76</v>
      </c>
      <c r="EP153" s="231">
        <v>2053.21</v>
      </c>
      <c r="EQ153" s="228">
        <v>609.54999999999995</v>
      </c>
      <c r="ER153" s="229">
        <v>0.2969</v>
      </c>
      <c r="ES153" s="231">
        <v>1484.55</v>
      </c>
      <c r="ET153" s="228">
        <v>539.85</v>
      </c>
      <c r="EU153" s="231">
        <v>2305.04</v>
      </c>
      <c r="EV153" s="231">
        <v>517141211</v>
      </c>
      <c r="EW153" s="231">
        <v>4329.43</v>
      </c>
      <c r="EX153" s="231">
        <v>4299.2299999999996</v>
      </c>
      <c r="EY153" s="228">
        <v>30.2</v>
      </c>
      <c r="EZ153" s="229">
        <v>7.0000000000000001E-3</v>
      </c>
      <c r="FA153" s="229">
        <v>0.33500000000000002</v>
      </c>
      <c r="FB153" s="227" t="s">
        <v>568</v>
      </c>
      <c r="FC153">
        <f t="shared" si="3"/>
        <v>0</v>
      </c>
    </row>
    <row r="154" spans="1:159" ht="17.25" thickBot="1" x14ac:dyDescent="0.3">
      <c r="A154" s="226">
        <v>45981</v>
      </c>
      <c r="B154" s="227" t="s">
        <v>197</v>
      </c>
      <c r="C154" s="227" t="s">
        <v>270</v>
      </c>
      <c r="D154" s="228">
        <v>15</v>
      </c>
      <c r="E154" s="228">
        <v>5</v>
      </c>
      <c r="F154" s="231">
        <v>38670</v>
      </c>
      <c r="G154" s="231">
        <v>38945</v>
      </c>
      <c r="H154" s="228">
        <v>-275</v>
      </c>
      <c r="I154" s="229">
        <v>-7.1000000000000004E-3</v>
      </c>
      <c r="J154" s="231">
        <v>38565</v>
      </c>
      <c r="K154" s="231">
        <v>38810</v>
      </c>
      <c r="L154" s="228">
        <v>-245</v>
      </c>
      <c r="M154" s="229">
        <v>-6.3E-3</v>
      </c>
      <c r="N154" s="231">
        <v>38670</v>
      </c>
      <c r="O154" s="231">
        <v>38945</v>
      </c>
      <c r="P154" s="228">
        <v>-275</v>
      </c>
      <c r="Q154" s="229">
        <v>-7.1000000000000004E-3</v>
      </c>
      <c r="R154" s="231">
        <v>38390</v>
      </c>
      <c r="S154" s="231">
        <v>38640</v>
      </c>
      <c r="T154" s="228">
        <v>-250</v>
      </c>
      <c r="U154" s="229">
        <v>-6.4999999999999997E-3</v>
      </c>
      <c r="V154" s="231">
        <v>38340</v>
      </c>
      <c r="W154" s="231">
        <v>38600</v>
      </c>
      <c r="X154" s="228">
        <v>-260</v>
      </c>
      <c r="Y154" s="229">
        <v>-6.7000000000000002E-3</v>
      </c>
      <c r="Z154" s="228">
        <v>105</v>
      </c>
      <c r="AA154" s="228">
        <v>135</v>
      </c>
      <c r="AB154" s="228">
        <v>-30</v>
      </c>
      <c r="AC154" s="229">
        <v>2.7000000000000001E-3</v>
      </c>
      <c r="AD154" s="228">
        <v>105</v>
      </c>
      <c r="AE154" s="228">
        <v>135</v>
      </c>
      <c r="AF154" s="228">
        <v>-30</v>
      </c>
      <c r="AG154" s="229">
        <v>2.7000000000000001E-3</v>
      </c>
      <c r="AH154" s="228">
        <v>-175</v>
      </c>
      <c r="AI154" s="228">
        <v>-170</v>
      </c>
      <c r="AJ154" s="228">
        <v>-5</v>
      </c>
      <c r="AK154" s="229">
        <v>-4.4999999999999997E-3</v>
      </c>
      <c r="AL154" s="228">
        <v>-225</v>
      </c>
      <c r="AM154" s="228">
        <v>-210</v>
      </c>
      <c r="AN154" s="228">
        <v>-15</v>
      </c>
      <c r="AO154" s="229">
        <v>-5.7999999999999996E-3</v>
      </c>
      <c r="AP154" s="231">
        <v>38877.599999999999</v>
      </c>
      <c r="AQ154" s="231">
        <v>38587.360000000001</v>
      </c>
      <c r="AR154" s="228">
        <v>0</v>
      </c>
      <c r="AS154" s="228">
        <v>721</v>
      </c>
      <c r="AT154" s="228">
        <v>195</v>
      </c>
      <c r="AU154" s="228">
        <v>526</v>
      </c>
      <c r="AV154" s="229">
        <v>2.7023999999999999</v>
      </c>
      <c r="AW154" s="228">
        <v>363</v>
      </c>
      <c r="AX154" s="228">
        <v>123</v>
      </c>
      <c r="AY154" s="228">
        <v>239</v>
      </c>
      <c r="AZ154" s="229">
        <v>1.9360999999999999</v>
      </c>
      <c r="BA154" s="228">
        <v>354</v>
      </c>
      <c r="BB154" s="228">
        <v>70</v>
      </c>
      <c r="BC154" s="228">
        <v>284</v>
      </c>
      <c r="BD154" s="229">
        <v>4.0731999999999999</v>
      </c>
      <c r="BE154" s="228">
        <v>4</v>
      </c>
      <c r="BF154" s="228">
        <v>1</v>
      </c>
      <c r="BG154" s="228">
        <v>3</v>
      </c>
      <c r="BH154" s="229">
        <v>2</v>
      </c>
      <c r="BI154" s="230">
        <v>1331</v>
      </c>
      <c r="BJ154" s="230">
        <v>1173</v>
      </c>
      <c r="BK154" s="228">
        <v>157</v>
      </c>
      <c r="BL154" s="229">
        <v>0.13400000000000001</v>
      </c>
      <c r="BM154" s="228">
        <v>271</v>
      </c>
      <c r="BN154" s="228">
        <v>307</v>
      </c>
      <c r="BO154" s="228">
        <v>-36</v>
      </c>
      <c r="BP154" s="229">
        <v>-0.1172</v>
      </c>
      <c r="BQ154" s="230">
        <v>2323</v>
      </c>
      <c r="BR154" s="230">
        <v>1676</v>
      </c>
      <c r="BS154" s="228">
        <v>647</v>
      </c>
      <c r="BT154" s="229">
        <v>0.38640000000000002</v>
      </c>
      <c r="BU154" s="230">
        <v>15346</v>
      </c>
      <c r="BV154" s="230">
        <v>20320</v>
      </c>
      <c r="BW154" s="230">
        <v>-4974</v>
      </c>
      <c r="BX154" s="229">
        <v>-0.24479999999999999</v>
      </c>
      <c r="BY154" s="230">
        <v>1049</v>
      </c>
      <c r="BZ154" s="230">
        <v>1103</v>
      </c>
      <c r="CA154" s="228">
        <v>-55</v>
      </c>
      <c r="CB154" s="229">
        <v>-4.9500000000000002E-2</v>
      </c>
      <c r="CC154" s="228">
        <v>657</v>
      </c>
      <c r="CD154" s="228">
        <v>906</v>
      </c>
      <c r="CE154" s="228">
        <v>-249</v>
      </c>
      <c r="CF154" s="229">
        <v>-0.27479999999999999</v>
      </c>
      <c r="CG154" s="228">
        <v>375</v>
      </c>
      <c r="CH154" s="228">
        <v>184</v>
      </c>
      <c r="CI154" s="228">
        <v>192</v>
      </c>
      <c r="CJ154" s="229">
        <v>1.0426</v>
      </c>
      <c r="CK154" s="228">
        <v>16</v>
      </c>
      <c r="CL154" s="228">
        <v>13</v>
      </c>
      <c r="CM154" s="228">
        <v>3</v>
      </c>
      <c r="CN154" s="229">
        <v>0.214</v>
      </c>
      <c r="CO154" s="228">
        <v>782</v>
      </c>
      <c r="CP154" s="228">
        <v>779</v>
      </c>
      <c r="CQ154" s="228">
        <v>3</v>
      </c>
      <c r="CR154" s="229">
        <v>3.8999999999999998E-3</v>
      </c>
      <c r="CS154" s="228">
        <v>282</v>
      </c>
      <c r="CT154" s="228">
        <v>268</v>
      </c>
      <c r="CU154" s="228">
        <v>14</v>
      </c>
      <c r="CV154" s="229">
        <v>5.2200000000000003E-2</v>
      </c>
      <c r="CW154" s="230">
        <v>2112</v>
      </c>
      <c r="CX154" s="230">
        <v>2150</v>
      </c>
      <c r="CY154" s="228">
        <v>-38</v>
      </c>
      <c r="CZ154" s="229">
        <v>-1.7500000000000002E-2</v>
      </c>
      <c r="DA154" s="228">
        <v>23.88</v>
      </c>
      <c r="DB154" s="228">
        <v>27.53</v>
      </c>
      <c r="DC154" s="228">
        <v>-3.65</v>
      </c>
      <c r="DD154" s="228">
        <v>-3.65</v>
      </c>
      <c r="DE154" s="228">
        <v>28.59</v>
      </c>
      <c r="DF154" s="228">
        <v>28.65</v>
      </c>
      <c r="DG154" s="228">
        <v>-4.71</v>
      </c>
      <c r="DH154" s="228">
        <v>-0.06</v>
      </c>
      <c r="DI154" s="228">
        <v>24.16</v>
      </c>
      <c r="DJ154" s="228">
        <v>28.15</v>
      </c>
      <c r="DK154" s="228">
        <v>-3.99</v>
      </c>
      <c r="DL154" s="228">
        <v>-3.99</v>
      </c>
      <c r="DM154" s="228">
        <v>23.31</v>
      </c>
      <c r="DN154" s="228">
        <v>25.16</v>
      </c>
      <c r="DO154" s="228">
        <v>-1.85</v>
      </c>
      <c r="DP154" s="228">
        <v>-1.85</v>
      </c>
      <c r="DQ154" s="228">
        <v>0.36</v>
      </c>
      <c r="DR154" s="228">
        <v>0.34</v>
      </c>
      <c r="DS154" s="228">
        <v>0.02</v>
      </c>
      <c r="DT154" s="229">
        <v>5.8799999999999998E-2</v>
      </c>
      <c r="DU154" s="231">
        <v>41000</v>
      </c>
      <c r="DV154" s="231">
        <v>37000</v>
      </c>
      <c r="DW154" s="228">
        <v>0.2</v>
      </c>
      <c r="DX154" s="228">
        <v>0.26</v>
      </c>
      <c r="DY154" s="228">
        <v>-0.06</v>
      </c>
      <c r="DZ154" s="229">
        <v>-0.23080000000000001</v>
      </c>
      <c r="EA154" s="229">
        <v>0.37330000000000002</v>
      </c>
      <c r="EB154" s="230">
        <v>50955</v>
      </c>
      <c r="EC154" s="229">
        <v>-7.1999999999999998E-3</v>
      </c>
      <c r="ED154" s="229">
        <v>0.37330000000000002</v>
      </c>
      <c r="EE154" s="228">
        <v>-290.24</v>
      </c>
      <c r="EF154" s="229">
        <v>-7.4999999999999997E-3</v>
      </c>
      <c r="EG154" s="230">
        <v>8938</v>
      </c>
      <c r="EH154" s="230">
        <v>13308</v>
      </c>
      <c r="EI154" s="229">
        <v>-0.32840000000000003</v>
      </c>
      <c r="EJ154" s="229">
        <v>0.58240000000000003</v>
      </c>
      <c r="EK154" s="231">
        <v>1417.96</v>
      </c>
      <c r="EL154" s="228">
        <v>268.5</v>
      </c>
      <c r="EM154" s="228">
        <v>722.11</v>
      </c>
      <c r="EN154" s="228">
        <v>54.78</v>
      </c>
      <c r="EO154" s="231">
        <v>2408.5700000000002</v>
      </c>
      <c r="EP154" s="231">
        <v>1745.51</v>
      </c>
      <c r="EQ154" s="228">
        <v>663.06</v>
      </c>
      <c r="ER154" s="229">
        <v>0.37990000000000002</v>
      </c>
      <c r="ES154" s="228">
        <v>835.11</v>
      </c>
      <c r="ET154" s="228">
        <v>280.08999999999997</v>
      </c>
      <c r="EU154" s="231">
        <v>1045.82</v>
      </c>
      <c r="EV154" s="231">
        <v>955549</v>
      </c>
      <c r="EW154" s="231">
        <v>2161.0100000000002</v>
      </c>
      <c r="EX154" s="231">
        <v>2212.17</v>
      </c>
      <c r="EY154" s="228">
        <v>-51.16</v>
      </c>
      <c r="EZ154" s="229">
        <v>-2.3099999999999999E-2</v>
      </c>
      <c r="FA154" s="229">
        <v>0.57169999999999999</v>
      </c>
      <c r="FB154" s="227" t="s">
        <v>568</v>
      </c>
      <c r="FC154">
        <f t="shared" si="3"/>
        <v>0</v>
      </c>
    </row>
    <row r="155" spans="1:159" ht="17.25" thickBot="1" x14ac:dyDescent="0.3">
      <c r="A155" s="226">
        <v>45981</v>
      </c>
      <c r="B155" s="227" t="s">
        <v>168</v>
      </c>
      <c r="C155" s="227" t="s">
        <v>666</v>
      </c>
      <c r="D155" s="228">
        <v>900</v>
      </c>
      <c r="E155" s="228">
        <v>5</v>
      </c>
      <c r="F155" s="228">
        <v>582.9</v>
      </c>
      <c r="G155" s="228">
        <v>582.04999999999995</v>
      </c>
      <c r="H155" s="228">
        <v>0.85</v>
      </c>
      <c r="I155" s="229">
        <v>1.5E-3</v>
      </c>
      <c r="J155" s="228">
        <v>584.25</v>
      </c>
      <c r="K155" s="228">
        <v>582.9</v>
      </c>
      <c r="L155" s="228">
        <v>1.35</v>
      </c>
      <c r="M155" s="229">
        <v>2.3E-3</v>
      </c>
      <c r="N155" s="228">
        <v>582.9</v>
      </c>
      <c r="O155" s="228">
        <v>582.04999999999995</v>
      </c>
      <c r="P155" s="228">
        <v>0.85</v>
      </c>
      <c r="Q155" s="229">
        <v>1.5E-3</v>
      </c>
      <c r="R155" s="228">
        <v>585.79999999999995</v>
      </c>
      <c r="S155" s="228">
        <v>586.04999999999995</v>
      </c>
      <c r="T155" s="228">
        <v>-0.25</v>
      </c>
      <c r="U155" s="229">
        <v>-4.0000000000000002E-4</v>
      </c>
      <c r="V155" s="228">
        <v>589</v>
      </c>
      <c r="W155" s="228">
        <v>585.9</v>
      </c>
      <c r="X155" s="228">
        <v>3.1</v>
      </c>
      <c r="Y155" s="229">
        <v>5.3E-3</v>
      </c>
      <c r="Z155" s="228">
        <v>-1.35</v>
      </c>
      <c r="AA155" s="228">
        <v>-0.85</v>
      </c>
      <c r="AB155" s="228">
        <v>-0.5</v>
      </c>
      <c r="AC155" s="229">
        <v>-2.3E-3</v>
      </c>
      <c r="AD155" s="228">
        <v>-1.35</v>
      </c>
      <c r="AE155" s="228">
        <v>-0.85</v>
      </c>
      <c r="AF155" s="228">
        <v>-0.5</v>
      </c>
      <c r="AG155" s="229">
        <v>-2.3E-3</v>
      </c>
      <c r="AH155" s="228">
        <v>1.55</v>
      </c>
      <c r="AI155" s="228">
        <v>3.15</v>
      </c>
      <c r="AJ155" s="228">
        <v>-1.6</v>
      </c>
      <c r="AK155" s="229">
        <v>2.7000000000000001E-3</v>
      </c>
      <c r="AL155" s="228">
        <v>4.75</v>
      </c>
      <c r="AM155" s="228">
        <v>3</v>
      </c>
      <c r="AN155" s="228">
        <v>1.75</v>
      </c>
      <c r="AO155" s="229">
        <v>8.0999999999999996E-3</v>
      </c>
      <c r="AP155" s="228">
        <v>583.69000000000005</v>
      </c>
      <c r="AQ155" s="228">
        <v>586.75</v>
      </c>
      <c r="AR155" s="228">
        <v>0</v>
      </c>
      <c r="AS155" s="228">
        <v>662</v>
      </c>
      <c r="AT155" s="228">
        <v>210</v>
      </c>
      <c r="AU155" s="228">
        <v>451</v>
      </c>
      <c r="AV155" s="229">
        <v>2.1436000000000002</v>
      </c>
      <c r="AW155" s="228">
        <v>361</v>
      </c>
      <c r="AX155" s="228">
        <v>156</v>
      </c>
      <c r="AY155" s="228">
        <v>205</v>
      </c>
      <c r="AZ155" s="229">
        <v>1.3137000000000001</v>
      </c>
      <c r="BA155" s="228">
        <v>301</v>
      </c>
      <c r="BB155" s="228">
        <v>54</v>
      </c>
      <c r="BC155" s="228">
        <v>246</v>
      </c>
      <c r="BD155" s="229">
        <v>4.5479000000000003</v>
      </c>
      <c r="BE155" s="228">
        <v>0</v>
      </c>
      <c r="BF155" s="228">
        <v>0</v>
      </c>
      <c r="BG155" s="228">
        <v>0</v>
      </c>
      <c r="BH155" s="229">
        <v>-0.125</v>
      </c>
      <c r="BI155" s="228">
        <v>316</v>
      </c>
      <c r="BJ155" s="228">
        <v>364</v>
      </c>
      <c r="BK155" s="228">
        <v>-47</v>
      </c>
      <c r="BL155" s="229">
        <v>-0.13</v>
      </c>
      <c r="BM155" s="228">
        <v>97</v>
      </c>
      <c r="BN155" s="228">
        <v>105</v>
      </c>
      <c r="BO155" s="228">
        <v>-7</v>
      </c>
      <c r="BP155" s="229">
        <v>-6.8199999999999997E-2</v>
      </c>
      <c r="BQ155" s="230">
        <v>1075</v>
      </c>
      <c r="BR155" s="228">
        <v>679</v>
      </c>
      <c r="BS155" s="228">
        <v>397</v>
      </c>
      <c r="BT155" s="229">
        <v>0.5847</v>
      </c>
      <c r="BU155" s="230">
        <v>588456</v>
      </c>
      <c r="BV155" s="230">
        <v>492503</v>
      </c>
      <c r="BW155" s="230">
        <v>95953</v>
      </c>
      <c r="BX155" s="229">
        <v>0.1948</v>
      </c>
      <c r="BY155" s="230">
        <v>2007</v>
      </c>
      <c r="BZ155" s="230">
        <v>2026</v>
      </c>
      <c r="CA155" s="228">
        <v>-19</v>
      </c>
      <c r="CB155" s="229">
        <v>-9.2999999999999992E-3</v>
      </c>
      <c r="CC155" s="230">
        <v>1644</v>
      </c>
      <c r="CD155" s="230">
        <v>1886</v>
      </c>
      <c r="CE155" s="228">
        <v>-243</v>
      </c>
      <c r="CF155" s="229">
        <v>-0.12859999999999999</v>
      </c>
      <c r="CG155" s="228">
        <v>361</v>
      </c>
      <c r="CH155" s="228">
        <v>138</v>
      </c>
      <c r="CI155" s="228">
        <v>223</v>
      </c>
      <c r="CJ155" s="229">
        <v>1.6246</v>
      </c>
      <c r="CK155" s="228">
        <v>2</v>
      </c>
      <c r="CL155" s="228">
        <v>2</v>
      </c>
      <c r="CM155" s="228">
        <v>0</v>
      </c>
      <c r="CN155" s="229">
        <v>0.16220000000000001</v>
      </c>
      <c r="CO155" s="228">
        <v>601</v>
      </c>
      <c r="CP155" s="228">
        <v>627</v>
      </c>
      <c r="CQ155" s="228">
        <v>-26</v>
      </c>
      <c r="CR155" s="229">
        <v>-4.2099999999999999E-2</v>
      </c>
      <c r="CS155" s="228">
        <v>223</v>
      </c>
      <c r="CT155" s="228">
        <v>236</v>
      </c>
      <c r="CU155" s="228">
        <v>-13</v>
      </c>
      <c r="CV155" s="229">
        <v>-5.7099999999999998E-2</v>
      </c>
      <c r="CW155" s="230">
        <v>2830</v>
      </c>
      <c r="CX155" s="230">
        <v>2889</v>
      </c>
      <c r="CY155" s="228">
        <v>-59</v>
      </c>
      <c r="CZ155" s="229">
        <v>-2.0400000000000001E-2</v>
      </c>
      <c r="DA155" s="228">
        <v>24.65</v>
      </c>
      <c r="DB155" s="228">
        <v>27.67</v>
      </c>
      <c r="DC155" s="228">
        <v>-3.02</v>
      </c>
      <c r="DD155" s="228">
        <v>-3.02</v>
      </c>
      <c r="DE155" s="228">
        <v>33.409999999999997</v>
      </c>
      <c r="DF155" s="228">
        <v>33.49</v>
      </c>
      <c r="DG155" s="228">
        <v>-8.76</v>
      </c>
      <c r="DH155" s="228">
        <v>-0.08</v>
      </c>
      <c r="DI155" s="228">
        <v>24.71</v>
      </c>
      <c r="DJ155" s="228">
        <v>28.7</v>
      </c>
      <c r="DK155" s="228">
        <v>-3.99</v>
      </c>
      <c r="DL155" s="228">
        <v>-3.99</v>
      </c>
      <c r="DM155" s="228">
        <v>24.45</v>
      </c>
      <c r="DN155" s="228">
        <v>24.09</v>
      </c>
      <c r="DO155" s="228">
        <v>0.36</v>
      </c>
      <c r="DP155" s="228">
        <v>0.36</v>
      </c>
      <c r="DQ155" s="228">
        <v>0.37</v>
      </c>
      <c r="DR155" s="228">
        <v>0.38</v>
      </c>
      <c r="DS155" s="228">
        <v>-0.01</v>
      </c>
      <c r="DT155" s="229">
        <v>-2.63E-2</v>
      </c>
      <c r="DU155" s="228">
        <v>600</v>
      </c>
      <c r="DV155" s="228">
        <v>600</v>
      </c>
      <c r="DW155" s="228">
        <v>0.31</v>
      </c>
      <c r="DX155" s="228">
        <v>0.28999999999999998</v>
      </c>
      <c r="DY155" s="228">
        <v>0.02</v>
      </c>
      <c r="DZ155" s="229">
        <v>6.9000000000000006E-2</v>
      </c>
      <c r="EA155" s="229">
        <v>0.18090000000000001</v>
      </c>
      <c r="EB155" s="230">
        <v>2392200</v>
      </c>
      <c r="EC155" s="229">
        <v>5.0000000000000001E-3</v>
      </c>
      <c r="ED155" s="229">
        <v>0.18090000000000001</v>
      </c>
      <c r="EE155" s="228">
        <v>3.06</v>
      </c>
      <c r="EF155" s="229">
        <v>5.1999999999999998E-3</v>
      </c>
      <c r="EG155" s="230">
        <v>264281</v>
      </c>
      <c r="EH155" s="230">
        <v>212679</v>
      </c>
      <c r="EI155" s="229">
        <v>0.24260000000000001</v>
      </c>
      <c r="EJ155" s="229">
        <v>0.4491</v>
      </c>
      <c r="EK155" s="228">
        <v>328.14</v>
      </c>
      <c r="EL155" s="228">
        <v>97.46</v>
      </c>
      <c r="EM155" s="228">
        <v>664.12</v>
      </c>
      <c r="EN155" s="228">
        <v>66.89</v>
      </c>
      <c r="EO155" s="231">
        <v>1089.72</v>
      </c>
      <c r="EP155" s="228">
        <v>694.25</v>
      </c>
      <c r="EQ155" s="228">
        <v>395.47</v>
      </c>
      <c r="ER155" s="229">
        <v>0.5696</v>
      </c>
      <c r="ES155" s="228">
        <v>626.75</v>
      </c>
      <c r="ET155" s="228">
        <v>221.73</v>
      </c>
      <c r="EU155" s="231">
        <v>2008.77</v>
      </c>
      <c r="EV155" s="231">
        <v>50840137</v>
      </c>
      <c r="EW155" s="231">
        <v>2857.25</v>
      </c>
      <c r="EX155" s="231">
        <v>2913.11</v>
      </c>
      <c r="EY155" s="228">
        <v>-55.86</v>
      </c>
      <c r="EZ155" s="229">
        <v>-1.9199999999999998E-2</v>
      </c>
      <c r="FA155" s="229">
        <v>0.95509999999999995</v>
      </c>
      <c r="FB155" s="227" t="s">
        <v>556</v>
      </c>
      <c r="FC155">
        <f t="shared" si="3"/>
        <v>0</v>
      </c>
    </row>
    <row r="156" spans="1:159" ht="17.25" thickBot="1" x14ac:dyDescent="0.3">
      <c r="A156" s="226">
        <v>45981</v>
      </c>
      <c r="B156" s="227" t="s">
        <v>615</v>
      </c>
      <c r="C156" s="227" t="s">
        <v>575</v>
      </c>
      <c r="D156" s="228">
        <v>725</v>
      </c>
      <c r="E156" s="228">
        <v>5</v>
      </c>
      <c r="F156" s="231">
        <v>1283.8</v>
      </c>
      <c r="G156" s="231">
        <v>1284.5999999999999</v>
      </c>
      <c r="H156" s="228">
        <v>-0.8</v>
      </c>
      <c r="I156" s="229">
        <v>-5.9999999999999995E-4</v>
      </c>
      <c r="J156" s="231">
        <v>1283.9000000000001</v>
      </c>
      <c r="K156" s="231">
        <v>1282.5999999999999</v>
      </c>
      <c r="L156" s="228">
        <v>1.3</v>
      </c>
      <c r="M156" s="229">
        <v>1E-3</v>
      </c>
      <c r="N156" s="231">
        <v>1283.8</v>
      </c>
      <c r="O156" s="231">
        <v>1284.5999999999999</v>
      </c>
      <c r="P156" s="228">
        <v>-0.8</v>
      </c>
      <c r="Q156" s="229">
        <v>-5.9999999999999995E-4</v>
      </c>
      <c r="R156" s="231">
        <v>1291.8</v>
      </c>
      <c r="S156" s="231">
        <v>1291</v>
      </c>
      <c r="T156" s="228">
        <v>0.8</v>
      </c>
      <c r="U156" s="229">
        <v>5.9999999999999995E-4</v>
      </c>
      <c r="V156" s="231">
        <v>1295.8</v>
      </c>
      <c r="W156" s="231">
        <v>1293.5</v>
      </c>
      <c r="X156" s="228">
        <v>2.2999999999999998</v>
      </c>
      <c r="Y156" s="229">
        <v>1.8E-3</v>
      </c>
      <c r="Z156" s="228">
        <v>-0.1</v>
      </c>
      <c r="AA156" s="228">
        <v>2</v>
      </c>
      <c r="AB156" s="228">
        <v>-2.1</v>
      </c>
      <c r="AC156" s="229">
        <v>-1E-4</v>
      </c>
      <c r="AD156" s="228">
        <v>-0.1</v>
      </c>
      <c r="AE156" s="228">
        <v>2</v>
      </c>
      <c r="AF156" s="228">
        <v>-2.1</v>
      </c>
      <c r="AG156" s="229">
        <v>-1E-4</v>
      </c>
      <c r="AH156" s="228">
        <v>7.9</v>
      </c>
      <c r="AI156" s="228">
        <v>8.4</v>
      </c>
      <c r="AJ156" s="228">
        <v>-0.5</v>
      </c>
      <c r="AK156" s="229">
        <v>6.1999999999999998E-3</v>
      </c>
      <c r="AL156" s="228">
        <v>11.9</v>
      </c>
      <c r="AM156" s="228">
        <v>10.9</v>
      </c>
      <c r="AN156" s="228">
        <v>1</v>
      </c>
      <c r="AO156" s="229">
        <v>9.2999999999999992E-3</v>
      </c>
      <c r="AP156" s="231">
        <v>1287.1600000000001</v>
      </c>
      <c r="AQ156" s="231">
        <v>1294.4100000000001</v>
      </c>
      <c r="AR156" s="228">
        <v>0</v>
      </c>
      <c r="AS156" s="230">
        <v>1366</v>
      </c>
      <c r="AT156" s="228">
        <v>741</v>
      </c>
      <c r="AU156" s="228">
        <v>625</v>
      </c>
      <c r="AV156" s="229">
        <v>0.84309999999999996</v>
      </c>
      <c r="AW156" s="228">
        <v>744</v>
      </c>
      <c r="AX156" s="228">
        <v>498</v>
      </c>
      <c r="AY156" s="228">
        <v>246</v>
      </c>
      <c r="AZ156" s="229">
        <v>0.49469999999999997</v>
      </c>
      <c r="BA156" s="228">
        <v>620</v>
      </c>
      <c r="BB156" s="228">
        <v>239</v>
      </c>
      <c r="BC156" s="228">
        <v>381</v>
      </c>
      <c r="BD156" s="229">
        <v>1.5983000000000001</v>
      </c>
      <c r="BE156" s="228">
        <v>2</v>
      </c>
      <c r="BF156" s="228">
        <v>5</v>
      </c>
      <c r="BG156" s="228">
        <v>-3</v>
      </c>
      <c r="BH156" s="229">
        <v>-0.55769999999999997</v>
      </c>
      <c r="BI156" s="230">
        <v>2501</v>
      </c>
      <c r="BJ156" s="230">
        <v>2684</v>
      </c>
      <c r="BK156" s="228">
        <v>-183</v>
      </c>
      <c r="BL156" s="229">
        <v>-6.8199999999999997E-2</v>
      </c>
      <c r="BM156" s="228">
        <v>868</v>
      </c>
      <c r="BN156" s="230">
        <v>1549</v>
      </c>
      <c r="BO156" s="228">
        <v>-681</v>
      </c>
      <c r="BP156" s="229">
        <v>-0.43940000000000001</v>
      </c>
      <c r="BQ156" s="230">
        <v>4736</v>
      </c>
      <c r="BR156" s="230">
        <v>4974</v>
      </c>
      <c r="BS156" s="228">
        <v>-239</v>
      </c>
      <c r="BT156" s="229">
        <v>-4.8000000000000001E-2</v>
      </c>
      <c r="BU156" s="230">
        <v>2830811</v>
      </c>
      <c r="BV156" s="230">
        <v>3814835</v>
      </c>
      <c r="BW156" s="230">
        <v>-984024</v>
      </c>
      <c r="BX156" s="229">
        <v>-0.25790000000000002</v>
      </c>
      <c r="BY156" s="230">
        <v>2904</v>
      </c>
      <c r="BZ156" s="230">
        <v>2787</v>
      </c>
      <c r="CA156" s="228">
        <v>117</v>
      </c>
      <c r="CB156" s="229">
        <v>4.2000000000000003E-2</v>
      </c>
      <c r="CC156" s="230">
        <v>2093</v>
      </c>
      <c r="CD156" s="230">
        <v>2440</v>
      </c>
      <c r="CE156" s="228">
        <v>-346</v>
      </c>
      <c r="CF156" s="229">
        <v>-0.1419</v>
      </c>
      <c r="CG156" s="228">
        <v>797</v>
      </c>
      <c r="CH156" s="228">
        <v>334</v>
      </c>
      <c r="CI156" s="228">
        <v>462</v>
      </c>
      <c r="CJ156" s="229">
        <v>1.3821000000000001</v>
      </c>
      <c r="CK156" s="228">
        <v>14</v>
      </c>
      <c r="CL156" s="228">
        <v>13</v>
      </c>
      <c r="CM156" s="228">
        <v>1</v>
      </c>
      <c r="CN156" s="229">
        <v>7.7499999999999999E-2</v>
      </c>
      <c r="CO156" s="230">
        <v>1301</v>
      </c>
      <c r="CP156" s="230">
        <v>1324</v>
      </c>
      <c r="CQ156" s="228">
        <v>-23</v>
      </c>
      <c r="CR156" s="229">
        <v>-1.7100000000000001E-2</v>
      </c>
      <c r="CS156" s="228">
        <v>828</v>
      </c>
      <c r="CT156" s="228">
        <v>839</v>
      </c>
      <c r="CU156" s="228">
        <v>-11</v>
      </c>
      <c r="CV156" s="229">
        <v>-1.2999999999999999E-2</v>
      </c>
      <c r="CW156" s="230">
        <v>5034</v>
      </c>
      <c r="CX156" s="230">
        <v>4950</v>
      </c>
      <c r="CY156" s="228">
        <v>83</v>
      </c>
      <c r="CZ156" s="229">
        <v>1.6899999999999998E-2</v>
      </c>
      <c r="DA156" s="228">
        <v>31.82</v>
      </c>
      <c r="DB156" s="228">
        <v>33.299999999999997</v>
      </c>
      <c r="DC156" s="228">
        <v>-1.48</v>
      </c>
      <c r="DD156" s="228">
        <v>-1.48</v>
      </c>
      <c r="DE156" s="228">
        <v>53.69</v>
      </c>
      <c r="DF156" s="228">
        <v>53.82</v>
      </c>
      <c r="DG156" s="228">
        <v>-21.87</v>
      </c>
      <c r="DH156" s="228">
        <v>-0.13</v>
      </c>
      <c r="DI156" s="228">
        <v>31.4</v>
      </c>
      <c r="DJ156" s="228">
        <v>34.01</v>
      </c>
      <c r="DK156" s="228">
        <v>-2.61</v>
      </c>
      <c r="DL156" s="228">
        <v>-2.61</v>
      </c>
      <c r="DM156" s="228">
        <v>33.200000000000003</v>
      </c>
      <c r="DN156" s="228">
        <v>32.06</v>
      </c>
      <c r="DO156" s="228">
        <v>1.1399999999999999</v>
      </c>
      <c r="DP156" s="228">
        <v>1.1399999999999999</v>
      </c>
      <c r="DQ156" s="228">
        <v>0.64</v>
      </c>
      <c r="DR156" s="228">
        <v>0.63</v>
      </c>
      <c r="DS156" s="228">
        <v>0.01</v>
      </c>
      <c r="DT156" s="229">
        <v>1.5900000000000001E-2</v>
      </c>
      <c r="DU156" s="231">
        <v>1300</v>
      </c>
      <c r="DV156" s="231">
        <v>1200</v>
      </c>
      <c r="DW156" s="228">
        <v>0.35</v>
      </c>
      <c r="DX156" s="228">
        <v>0.57999999999999996</v>
      </c>
      <c r="DY156" s="228">
        <v>-0.23</v>
      </c>
      <c r="DZ156" s="229">
        <v>-0.39660000000000001</v>
      </c>
      <c r="EA156" s="229">
        <v>0.2792</v>
      </c>
      <c r="EB156" s="230">
        <v>2707875</v>
      </c>
      <c r="EC156" s="229">
        <v>6.1999999999999998E-3</v>
      </c>
      <c r="ED156" s="229">
        <v>0.2792</v>
      </c>
      <c r="EE156" s="228">
        <v>7.25</v>
      </c>
      <c r="EF156" s="229">
        <v>5.5999999999999999E-3</v>
      </c>
      <c r="EG156" s="230">
        <v>1540989</v>
      </c>
      <c r="EH156" s="230">
        <v>1995620</v>
      </c>
      <c r="EI156" s="229">
        <v>-0.2278</v>
      </c>
      <c r="EJ156" s="229">
        <v>0.5444</v>
      </c>
      <c r="EK156" s="231">
        <v>2625.05</v>
      </c>
      <c r="EL156" s="228">
        <v>853.95</v>
      </c>
      <c r="EM156" s="231">
        <v>1373.16</v>
      </c>
      <c r="EN156" s="228">
        <v>68.650000000000006</v>
      </c>
      <c r="EO156" s="231">
        <v>4852.17</v>
      </c>
      <c r="EP156" s="231">
        <v>5092.6000000000004</v>
      </c>
      <c r="EQ156" s="228">
        <v>-240.44</v>
      </c>
      <c r="ER156" s="229">
        <v>-4.7199999999999999E-2</v>
      </c>
      <c r="ES156" s="231">
        <v>1369.39</v>
      </c>
      <c r="ET156" s="228">
        <v>802.91</v>
      </c>
      <c r="EU156" s="231">
        <v>2909.24</v>
      </c>
      <c r="EV156" s="231">
        <v>95715382</v>
      </c>
      <c r="EW156" s="231">
        <v>5081.53</v>
      </c>
      <c r="EX156" s="231">
        <v>4999.29</v>
      </c>
      <c r="EY156" s="228">
        <v>82.24</v>
      </c>
      <c r="EZ156" s="229">
        <v>1.6500000000000001E-2</v>
      </c>
      <c r="FA156" s="229">
        <v>0.40970000000000001</v>
      </c>
      <c r="FB156" s="227" t="s">
        <v>567</v>
      </c>
      <c r="FC156">
        <f t="shared" si="3"/>
        <v>0</v>
      </c>
    </row>
    <row r="157" spans="1:159" ht="17.25" thickBot="1" x14ac:dyDescent="0.3">
      <c r="A157" s="226">
        <v>45981</v>
      </c>
      <c r="B157" s="227" t="s">
        <v>221</v>
      </c>
      <c r="C157" s="227" t="s">
        <v>529</v>
      </c>
      <c r="D157" s="228">
        <v>100</v>
      </c>
      <c r="E157" s="228">
        <v>5</v>
      </c>
      <c r="F157" s="231">
        <v>6350</v>
      </c>
      <c r="G157" s="231">
        <v>6321</v>
      </c>
      <c r="H157" s="228">
        <v>29</v>
      </c>
      <c r="I157" s="229">
        <v>4.5999999999999999E-3</v>
      </c>
      <c r="J157" s="231">
        <v>6350.5</v>
      </c>
      <c r="K157" s="231">
        <v>6316</v>
      </c>
      <c r="L157" s="228">
        <v>34.5</v>
      </c>
      <c r="M157" s="229">
        <v>5.4999999999999997E-3</v>
      </c>
      <c r="N157" s="231">
        <v>6350</v>
      </c>
      <c r="O157" s="231">
        <v>6321</v>
      </c>
      <c r="P157" s="228">
        <v>29</v>
      </c>
      <c r="Q157" s="229">
        <v>4.5999999999999999E-3</v>
      </c>
      <c r="R157" s="231">
        <v>6391.5</v>
      </c>
      <c r="S157" s="231">
        <v>6357.5</v>
      </c>
      <c r="T157" s="228">
        <v>34</v>
      </c>
      <c r="U157" s="229">
        <v>5.3E-3</v>
      </c>
      <c r="V157" s="231">
        <v>6417</v>
      </c>
      <c r="W157" s="231">
        <v>6386</v>
      </c>
      <c r="X157" s="228">
        <v>31</v>
      </c>
      <c r="Y157" s="229">
        <v>4.8999999999999998E-3</v>
      </c>
      <c r="Z157" s="228">
        <v>-0.5</v>
      </c>
      <c r="AA157" s="228">
        <v>5</v>
      </c>
      <c r="AB157" s="228">
        <v>-5.5</v>
      </c>
      <c r="AC157" s="229">
        <v>-1E-4</v>
      </c>
      <c r="AD157" s="228">
        <v>-0.5</v>
      </c>
      <c r="AE157" s="228">
        <v>5</v>
      </c>
      <c r="AF157" s="228">
        <v>-5.5</v>
      </c>
      <c r="AG157" s="229">
        <v>-1E-4</v>
      </c>
      <c r="AH157" s="228">
        <v>41</v>
      </c>
      <c r="AI157" s="228">
        <v>41.5</v>
      </c>
      <c r="AJ157" s="228">
        <v>-0.5</v>
      </c>
      <c r="AK157" s="229">
        <v>6.4999999999999997E-3</v>
      </c>
      <c r="AL157" s="228">
        <v>66.5</v>
      </c>
      <c r="AM157" s="228">
        <v>70</v>
      </c>
      <c r="AN157" s="228">
        <v>-3.5</v>
      </c>
      <c r="AO157" s="229">
        <v>1.0500000000000001E-2</v>
      </c>
      <c r="AP157" s="231">
        <v>6383.83</v>
      </c>
      <c r="AQ157" s="231">
        <v>6425.31</v>
      </c>
      <c r="AR157" s="228">
        <v>0</v>
      </c>
      <c r="AS157" s="228">
        <v>936</v>
      </c>
      <c r="AT157" s="228">
        <v>797</v>
      </c>
      <c r="AU157" s="228">
        <v>139</v>
      </c>
      <c r="AV157" s="229">
        <v>0.17449999999999999</v>
      </c>
      <c r="AW157" s="228">
        <v>514</v>
      </c>
      <c r="AX157" s="228">
        <v>588</v>
      </c>
      <c r="AY157" s="228">
        <v>-74</v>
      </c>
      <c r="AZ157" s="229">
        <v>-0.126</v>
      </c>
      <c r="BA157" s="228">
        <v>415</v>
      </c>
      <c r="BB157" s="228">
        <v>199</v>
      </c>
      <c r="BC157" s="228">
        <v>216</v>
      </c>
      <c r="BD157" s="229">
        <v>1.0886</v>
      </c>
      <c r="BE157" s="228">
        <v>7</v>
      </c>
      <c r="BF157" s="228">
        <v>10</v>
      </c>
      <c r="BG157" s="228">
        <v>-3</v>
      </c>
      <c r="BH157" s="229">
        <v>-0.3019</v>
      </c>
      <c r="BI157" s="230">
        <v>4080</v>
      </c>
      <c r="BJ157" s="230">
        <v>10234</v>
      </c>
      <c r="BK157" s="230">
        <v>-6154</v>
      </c>
      <c r="BL157" s="229">
        <v>-0.60129999999999995</v>
      </c>
      <c r="BM157" s="230">
        <v>2155</v>
      </c>
      <c r="BN157" s="230">
        <v>3830</v>
      </c>
      <c r="BO157" s="230">
        <v>-1675</v>
      </c>
      <c r="BP157" s="229">
        <v>-0.43719999999999998</v>
      </c>
      <c r="BQ157" s="230">
        <v>7171</v>
      </c>
      <c r="BR157" s="230">
        <v>14861</v>
      </c>
      <c r="BS157" s="230">
        <v>-7689</v>
      </c>
      <c r="BT157" s="229">
        <v>-0.51739999999999997</v>
      </c>
      <c r="BU157" s="230">
        <v>495005</v>
      </c>
      <c r="BV157" s="230">
        <v>917771</v>
      </c>
      <c r="BW157" s="230">
        <v>-422766</v>
      </c>
      <c r="BX157" s="229">
        <v>-0.46060000000000001</v>
      </c>
      <c r="BY157" s="230">
        <v>1434</v>
      </c>
      <c r="BZ157" s="230">
        <v>1461</v>
      </c>
      <c r="CA157" s="228">
        <v>-27</v>
      </c>
      <c r="CB157" s="229">
        <v>-1.8800000000000001E-2</v>
      </c>
      <c r="CC157" s="230">
        <v>1052</v>
      </c>
      <c r="CD157" s="230">
        <v>1347</v>
      </c>
      <c r="CE157" s="228">
        <v>-296</v>
      </c>
      <c r="CF157" s="229">
        <v>-0.2195</v>
      </c>
      <c r="CG157" s="228">
        <v>374</v>
      </c>
      <c r="CH157" s="228">
        <v>106</v>
      </c>
      <c r="CI157" s="228">
        <v>268</v>
      </c>
      <c r="CJ157" s="229">
        <v>2.5387</v>
      </c>
      <c r="CK157" s="228">
        <v>8</v>
      </c>
      <c r="CL157" s="228">
        <v>8</v>
      </c>
      <c r="CM157" s="228">
        <v>0</v>
      </c>
      <c r="CN157" s="229">
        <v>-2.3800000000000002E-2</v>
      </c>
      <c r="CO157" s="228">
        <v>624</v>
      </c>
      <c r="CP157" s="228">
        <v>648</v>
      </c>
      <c r="CQ157" s="228">
        <v>-24</v>
      </c>
      <c r="CR157" s="229">
        <v>-3.6900000000000002E-2</v>
      </c>
      <c r="CS157" s="228">
        <v>720</v>
      </c>
      <c r="CT157" s="228">
        <v>746</v>
      </c>
      <c r="CU157" s="228">
        <v>-26</v>
      </c>
      <c r="CV157" s="229">
        <v>-3.5200000000000002E-2</v>
      </c>
      <c r="CW157" s="230">
        <v>2778</v>
      </c>
      <c r="CX157" s="230">
        <v>2856</v>
      </c>
      <c r="CY157" s="228">
        <v>-78</v>
      </c>
      <c r="CZ157" s="229">
        <v>-2.7199999999999998E-2</v>
      </c>
      <c r="DA157" s="228">
        <v>27.37</v>
      </c>
      <c r="DB157" s="228">
        <v>30.95</v>
      </c>
      <c r="DC157" s="228">
        <v>-3.58</v>
      </c>
      <c r="DD157" s="228">
        <v>-3.58</v>
      </c>
      <c r="DE157" s="228">
        <v>40.97</v>
      </c>
      <c r="DF157" s="228">
        <v>41.07</v>
      </c>
      <c r="DG157" s="228">
        <v>-13.6</v>
      </c>
      <c r="DH157" s="228">
        <v>-0.1</v>
      </c>
      <c r="DI157" s="228">
        <v>27.14</v>
      </c>
      <c r="DJ157" s="228">
        <v>30.01</v>
      </c>
      <c r="DK157" s="228">
        <v>-2.87</v>
      </c>
      <c r="DL157" s="228">
        <v>-2.87</v>
      </c>
      <c r="DM157" s="228">
        <v>27.82</v>
      </c>
      <c r="DN157" s="228">
        <v>33.450000000000003</v>
      </c>
      <c r="DO157" s="228">
        <v>-5.63</v>
      </c>
      <c r="DP157" s="228">
        <v>-5.63</v>
      </c>
      <c r="DQ157" s="228">
        <v>1.1499999999999999</v>
      </c>
      <c r="DR157" s="228">
        <v>1.1499999999999999</v>
      </c>
      <c r="DS157" s="228">
        <v>0</v>
      </c>
      <c r="DT157" s="229">
        <v>0</v>
      </c>
      <c r="DU157" s="231">
        <v>6400</v>
      </c>
      <c r="DV157" s="231">
        <v>5800</v>
      </c>
      <c r="DW157" s="228">
        <v>0.53</v>
      </c>
      <c r="DX157" s="228">
        <v>0.37</v>
      </c>
      <c r="DY157" s="228">
        <v>0.16</v>
      </c>
      <c r="DZ157" s="229">
        <v>0.43240000000000001</v>
      </c>
      <c r="EA157" s="229">
        <v>0.26640000000000003</v>
      </c>
      <c r="EB157" s="230">
        <v>179100</v>
      </c>
      <c r="EC157" s="229">
        <v>6.4999999999999997E-3</v>
      </c>
      <c r="ED157" s="229">
        <v>0.26640000000000003</v>
      </c>
      <c r="EE157" s="228">
        <v>41.48</v>
      </c>
      <c r="EF157" s="229">
        <v>6.4999999999999997E-3</v>
      </c>
      <c r="EG157" s="230">
        <v>233017</v>
      </c>
      <c r="EH157" s="230">
        <v>314220</v>
      </c>
      <c r="EI157" s="229">
        <v>-0.25840000000000002</v>
      </c>
      <c r="EJ157" s="229">
        <v>0.47070000000000001</v>
      </c>
      <c r="EK157" s="231">
        <v>4211.8999999999996</v>
      </c>
      <c r="EL157" s="231">
        <v>2101.6999999999998</v>
      </c>
      <c r="EM157" s="228">
        <v>943.37</v>
      </c>
      <c r="EN157" s="228">
        <v>58.26</v>
      </c>
      <c r="EO157" s="231">
        <v>7256.96</v>
      </c>
      <c r="EP157" s="231">
        <v>14878.28</v>
      </c>
      <c r="EQ157" s="231">
        <v>-7621.32</v>
      </c>
      <c r="ER157" s="229">
        <v>-0.51219999999999999</v>
      </c>
      <c r="ES157" s="228">
        <v>631</v>
      </c>
      <c r="ET157" s="228">
        <v>674.43</v>
      </c>
      <c r="EU157" s="231">
        <v>1436.17</v>
      </c>
      <c r="EV157" s="231">
        <v>16151851</v>
      </c>
      <c r="EW157" s="231">
        <v>2741.6</v>
      </c>
      <c r="EX157" s="231">
        <v>2802.79</v>
      </c>
      <c r="EY157" s="228">
        <v>-61.19</v>
      </c>
      <c r="EZ157" s="229">
        <v>-2.18E-2</v>
      </c>
      <c r="FA157" s="229">
        <v>0.27079999999999999</v>
      </c>
      <c r="FB157" s="227" t="s">
        <v>556</v>
      </c>
      <c r="FC157">
        <f t="shared" si="3"/>
        <v>0</v>
      </c>
    </row>
    <row r="158" spans="1:159" ht="17.25" thickBot="1" x14ac:dyDescent="0.3">
      <c r="A158" s="226">
        <v>45981</v>
      </c>
      <c r="B158" s="227" t="s">
        <v>193</v>
      </c>
      <c r="C158" s="227" t="s">
        <v>272</v>
      </c>
      <c r="D158" s="228">
        <v>1800</v>
      </c>
      <c r="E158" s="228">
        <v>5</v>
      </c>
      <c r="F158" s="228">
        <v>274.14999999999998</v>
      </c>
      <c r="G158" s="228">
        <v>274.35000000000002</v>
      </c>
      <c r="H158" s="228">
        <v>-0.2</v>
      </c>
      <c r="I158" s="229">
        <v>-6.9999999999999999E-4</v>
      </c>
      <c r="J158" s="228">
        <v>274.35000000000002</v>
      </c>
      <c r="K158" s="228">
        <v>274.25</v>
      </c>
      <c r="L158" s="228">
        <v>0.1</v>
      </c>
      <c r="M158" s="229">
        <v>4.0000000000000002E-4</v>
      </c>
      <c r="N158" s="228">
        <v>274.14999999999998</v>
      </c>
      <c r="O158" s="228">
        <v>274.35000000000002</v>
      </c>
      <c r="P158" s="228">
        <v>-0.2</v>
      </c>
      <c r="Q158" s="229">
        <v>-6.9999999999999999E-4</v>
      </c>
      <c r="R158" s="228">
        <v>276</v>
      </c>
      <c r="S158" s="228">
        <v>276.10000000000002</v>
      </c>
      <c r="T158" s="228">
        <v>-0.1</v>
      </c>
      <c r="U158" s="229">
        <v>-4.0000000000000002E-4</v>
      </c>
      <c r="V158" s="228">
        <v>277.89999999999998</v>
      </c>
      <c r="W158" s="228">
        <v>278.10000000000002</v>
      </c>
      <c r="X158" s="228">
        <v>-0.2</v>
      </c>
      <c r="Y158" s="229">
        <v>-6.9999999999999999E-4</v>
      </c>
      <c r="Z158" s="228">
        <v>-0.2</v>
      </c>
      <c r="AA158" s="228">
        <v>0.1</v>
      </c>
      <c r="AB158" s="228">
        <v>-0.3</v>
      </c>
      <c r="AC158" s="229">
        <v>-6.9999999999999999E-4</v>
      </c>
      <c r="AD158" s="228">
        <v>-0.2</v>
      </c>
      <c r="AE158" s="228">
        <v>0.1</v>
      </c>
      <c r="AF158" s="228">
        <v>-0.3</v>
      </c>
      <c r="AG158" s="229">
        <v>-6.9999999999999999E-4</v>
      </c>
      <c r="AH158" s="228">
        <v>1.65</v>
      </c>
      <c r="AI158" s="228">
        <v>1.85</v>
      </c>
      <c r="AJ158" s="228">
        <v>-0.2</v>
      </c>
      <c r="AK158" s="229">
        <v>6.0000000000000001E-3</v>
      </c>
      <c r="AL158" s="228">
        <v>3.55</v>
      </c>
      <c r="AM158" s="228">
        <v>3.85</v>
      </c>
      <c r="AN158" s="228">
        <v>-0.3</v>
      </c>
      <c r="AO158" s="229">
        <v>1.29E-2</v>
      </c>
      <c r="AP158" s="228">
        <v>274.68</v>
      </c>
      <c r="AQ158" s="228">
        <v>276.52</v>
      </c>
      <c r="AR158" s="228">
        <v>0</v>
      </c>
      <c r="AS158" s="228">
        <v>729</v>
      </c>
      <c r="AT158" s="228">
        <v>89</v>
      </c>
      <c r="AU158" s="228">
        <v>640</v>
      </c>
      <c r="AV158" s="229">
        <v>7.2260999999999997</v>
      </c>
      <c r="AW158" s="228">
        <v>378</v>
      </c>
      <c r="AX158" s="228">
        <v>57</v>
      </c>
      <c r="AY158" s="228">
        <v>321</v>
      </c>
      <c r="AZ158" s="229">
        <v>5.6597</v>
      </c>
      <c r="BA158" s="228">
        <v>350</v>
      </c>
      <c r="BB158" s="228">
        <v>31</v>
      </c>
      <c r="BC158" s="228">
        <v>319</v>
      </c>
      <c r="BD158" s="229">
        <v>10.141299999999999</v>
      </c>
      <c r="BE158" s="228">
        <v>1</v>
      </c>
      <c r="BF158" s="228">
        <v>0</v>
      </c>
      <c r="BG158" s="228">
        <v>1</v>
      </c>
      <c r="BH158" s="229">
        <v>1.5</v>
      </c>
      <c r="BI158" s="228">
        <v>192</v>
      </c>
      <c r="BJ158" s="228">
        <v>99</v>
      </c>
      <c r="BK158" s="228">
        <v>94</v>
      </c>
      <c r="BL158" s="229">
        <v>0.9466</v>
      </c>
      <c r="BM158" s="228">
        <v>199</v>
      </c>
      <c r="BN158" s="228">
        <v>90</v>
      </c>
      <c r="BO158" s="228">
        <v>108</v>
      </c>
      <c r="BP158" s="229">
        <v>1.196</v>
      </c>
      <c r="BQ158" s="230">
        <v>1120</v>
      </c>
      <c r="BR158" s="228">
        <v>278</v>
      </c>
      <c r="BS158" s="228">
        <v>842</v>
      </c>
      <c r="BT158" s="229">
        <v>3.0305</v>
      </c>
      <c r="BU158" s="230">
        <v>2095211</v>
      </c>
      <c r="BV158" s="230">
        <v>1420372</v>
      </c>
      <c r="BW158" s="230">
        <v>674839</v>
      </c>
      <c r="BX158" s="229">
        <v>0.47510000000000002</v>
      </c>
      <c r="BY158" s="230">
        <v>1202</v>
      </c>
      <c r="BZ158" s="230">
        <v>1210</v>
      </c>
      <c r="CA158" s="228">
        <v>-8</v>
      </c>
      <c r="CB158" s="229">
        <v>-6.6E-3</v>
      </c>
      <c r="CC158" s="228">
        <v>825</v>
      </c>
      <c r="CD158" s="230">
        <v>1144</v>
      </c>
      <c r="CE158" s="228">
        <v>-320</v>
      </c>
      <c r="CF158" s="229">
        <v>-0.27950000000000003</v>
      </c>
      <c r="CG158" s="228">
        <v>372</v>
      </c>
      <c r="CH158" s="228">
        <v>61</v>
      </c>
      <c r="CI158" s="228">
        <v>311</v>
      </c>
      <c r="CJ158" s="229">
        <v>5.0643000000000002</v>
      </c>
      <c r="CK158" s="228">
        <v>5</v>
      </c>
      <c r="CL158" s="228">
        <v>4</v>
      </c>
      <c r="CM158" s="228">
        <v>1</v>
      </c>
      <c r="CN158" s="229">
        <v>0.22090000000000001</v>
      </c>
      <c r="CO158" s="228">
        <v>388</v>
      </c>
      <c r="CP158" s="228">
        <v>379</v>
      </c>
      <c r="CQ158" s="228">
        <v>9</v>
      </c>
      <c r="CR158" s="229">
        <v>2.4400000000000002E-2</v>
      </c>
      <c r="CS158" s="228">
        <v>469</v>
      </c>
      <c r="CT158" s="228">
        <v>453</v>
      </c>
      <c r="CU158" s="228">
        <v>16</v>
      </c>
      <c r="CV158" s="229">
        <v>3.49E-2</v>
      </c>
      <c r="CW158" s="230">
        <v>2059</v>
      </c>
      <c r="CX158" s="230">
        <v>2042</v>
      </c>
      <c r="CY158" s="228">
        <v>17</v>
      </c>
      <c r="CZ158" s="229">
        <v>8.3999999999999995E-3</v>
      </c>
      <c r="DA158" s="228">
        <v>19.760000000000002</v>
      </c>
      <c r="DB158" s="228">
        <v>22.97</v>
      </c>
      <c r="DC158" s="228">
        <v>-3.21</v>
      </c>
      <c r="DD158" s="228">
        <v>-3.21</v>
      </c>
      <c r="DE158" s="228">
        <v>31.61</v>
      </c>
      <c r="DF158" s="228">
        <v>31.69</v>
      </c>
      <c r="DG158" s="228">
        <v>-11.85</v>
      </c>
      <c r="DH158" s="228">
        <v>-0.08</v>
      </c>
      <c r="DI158" s="228">
        <v>18.84</v>
      </c>
      <c r="DJ158" s="228">
        <v>22.76</v>
      </c>
      <c r="DK158" s="228">
        <v>-3.92</v>
      </c>
      <c r="DL158" s="228">
        <v>-3.92</v>
      </c>
      <c r="DM158" s="228">
        <v>20.34</v>
      </c>
      <c r="DN158" s="228">
        <v>23.2</v>
      </c>
      <c r="DO158" s="228">
        <v>-2.86</v>
      </c>
      <c r="DP158" s="228">
        <v>-2.86</v>
      </c>
      <c r="DQ158" s="228">
        <v>1.21</v>
      </c>
      <c r="DR158" s="228">
        <v>1.2</v>
      </c>
      <c r="DS158" s="228">
        <v>0.01</v>
      </c>
      <c r="DT158" s="229">
        <v>8.3000000000000001E-3</v>
      </c>
      <c r="DU158" s="228">
        <v>293</v>
      </c>
      <c r="DV158" s="228">
        <v>263</v>
      </c>
      <c r="DW158" s="228">
        <v>1.03</v>
      </c>
      <c r="DX158" s="228">
        <v>0.91</v>
      </c>
      <c r="DY158" s="228">
        <v>0.12</v>
      </c>
      <c r="DZ158" s="229">
        <v>0.13189999999999999</v>
      </c>
      <c r="EA158" s="229">
        <v>0.31419999999999998</v>
      </c>
      <c r="EB158" s="230">
        <v>2402600</v>
      </c>
      <c r="EC158" s="229">
        <v>6.7000000000000002E-3</v>
      </c>
      <c r="ED158" s="229">
        <v>0.31419999999999998</v>
      </c>
      <c r="EE158" s="228">
        <v>1.84</v>
      </c>
      <c r="EF158" s="229">
        <v>6.7000000000000002E-3</v>
      </c>
      <c r="EG158" s="230">
        <v>1524431</v>
      </c>
      <c r="EH158" s="230">
        <v>943388</v>
      </c>
      <c r="EI158" s="229">
        <v>0.6159</v>
      </c>
      <c r="EJ158" s="229">
        <v>0.72760000000000002</v>
      </c>
      <c r="EK158" s="228">
        <v>199.79</v>
      </c>
      <c r="EL158" s="228">
        <v>208.36</v>
      </c>
      <c r="EM158" s="228">
        <v>732.9</v>
      </c>
      <c r="EN158" s="228">
        <v>20.92</v>
      </c>
      <c r="EO158" s="231">
        <v>1141.05</v>
      </c>
      <c r="EP158" s="228">
        <v>280.35000000000002</v>
      </c>
      <c r="EQ158" s="228">
        <v>860.7</v>
      </c>
      <c r="ER158" s="229">
        <v>3.0701999999999998</v>
      </c>
      <c r="ES158" s="228">
        <v>406.24</v>
      </c>
      <c r="ET158" s="228">
        <v>465.57</v>
      </c>
      <c r="EU158" s="231">
        <v>1204.92</v>
      </c>
      <c r="EV158" s="231">
        <v>93668136</v>
      </c>
      <c r="EW158" s="231">
        <v>2076.7199999999998</v>
      </c>
      <c r="EX158" s="231">
        <v>2058.38</v>
      </c>
      <c r="EY158" s="228">
        <v>18.34</v>
      </c>
      <c r="EZ158" s="229">
        <v>8.8999999999999999E-3</v>
      </c>
      <c r="FA158" s="229">
        <v>0.80200000000000005</v>
      </c>
      <c r="FB158" s="227" t="s">
        <v>568</v>
      </c>
      <c r="FC158">
        <f t="shared" si="3"/>
        <v>0</v>
      </c>
    </row>
    <row r="159" spans="1:159" ht="17.25" thickBot="1" x14ac:dyDescent="0.3">
      <c r="A159" s="226">
        <v>45981</v>
      </c>
      <c r="B159" s="227" t="s">
        <v>175</v>
      </c>
      <c r="C159" s="227" t="s">
        <v>273</v>
      </c>
      <c r="D159" s="228">
        <v>1300</v>
      </c>
      <c r="E159" s="228">
        <v>5</v>
      </c>
      <c r="F159" s="228">
        <v>373.4</v>
      </c>
      <c r="G159" s="228">
        <v>374.15</v>
      </c>
      <c r="H159" s="228">
        <v>-0.75</v>
      </c>
      <c r="I159" s="229">
        <v>-2E-3</v>
      </c>
      <c r="J159" s="228">
        <v>372.75</v>
      </c>
      <c r="K159" s="228">
        <v>373.65</v>
      </c>
      <c r="L159" s="228">
        <v>-0.9</v>
      </c>
      <c r="M159" s="229">
        <v>-2.3999999999999998E-3</v>
      </c>
      <c r="N159" s="228">
        <v>373.4</v>
      </c>
      <c r="O159" s="228">
        <v>374.15</v>
      </c>
      <c r="P159" s="228">
        <v>-0.75</v>
      </c>
      <c r="Q159" s="229">
        <v>-2E-3</v>
      </c>
      <c r="R159" s="228">
        <v>372.25</v>
      </c>
      <c r="S159" s="228">
        <v>373</v>
      </c>
      <c r="T159" s="228">
        <v>-0.75</v>
      </c>
      <c r="U159" s="229">
        <v>-2E-3</v>
      </c>
      <c r="V159" s="228">
        <v>374.7</v>
      </c>
      <c r="W159" s="228">
        <v>375.35</v>
      </c>
      <c r="X159" s="228">
        <v>-0.65</v>
      </c>
      <c r="Y159" s="229">
        <v>-1.6999999999999999E-3</v>
      </c>
      <c r="Z159" s="228">
        <v>0.65</v>
      </c>
      <c r="AA159" s="228">
        <v>0.5</v>
      </c>
      <c r="AB159" s="228">
        <v>0.15</v>
      </c>
      <c r="AC159" s="229">
        <v>1.6999999999999999E-3</v>
      </c>
      <c r="AD159" s="228">
        <v>0.65</v>
      </c>
      <c r="AE159" s="228">
        <v>0.5</v>
      </c>
      <c r="AF159" s="228">
        <v>0.15</v>
      </c>
      <c r="AG159" s="229">
        <v>1.6999999999999999E-3</v>
      </c>
      <c r="AH159" s="228">
        <v>-0.5</v>
      </c>
      <c r="AI159" s="228">
        <v>-0.65</v>
      </c>
      <c r="AJ159" s="228">
        <v>0.15</v>
      </c>
      <c r="AK159" s="229">
        <v>-1.2999999999999999E-3</v>
      </c>
      <c r="AL159" s="228">
        <v>1.95</v>
      </c>
      <c r="AM159" s="228">
        <v>1.7</v>
      </c>
      <c r="AN159" s="228">
        <v>0.25</v>
      </c>
      <c r="AO159" s="229">
        <v>5.1999999999999998E-3</v>
      </c>
      <c r="AP159" s="228">
        <v>375.28</v>
      </c>
      <c r="AQ159" s="228">
        <v>374.06</v>
      </c>
      <c r="AR159" s="228">
        <v>0</v>
      </c>
      <c r="AS159" s="228">
        <v>901</v>
      </c>
      <c r="AT159" s="228">
        <v>426</v>
      </c>
      <c r="AU159" s="228">
        <v>475</v>
      </c>
      <c r="AV159" s="229">
        <v>1.1166</v>
      </c>
      <c r="AW159" s="228">
        <v>454</v>
      </c>
      <c r="AX159" s="228">
        <v>230</v>
      </c>
      <c r="AY159" s="228">
        <v>224</v>
      </c>
      <c r="AZ159" s="229">
        <v>0.97699999999999998</v>
      </c>
      <c r="BA159" s="228">
        <v>427</v>
      </c>
      <c r="BB159" s="228">
        <v>186</v>
      </c>
      <c r="BC159" s="228">
        <v>242</v>
      </c>
      <c r="BD159" s="229">
        <v>1.3026</v>
      </c>
      <c r="BE159" s="228">
        <v>20</v>
      </c>
      <c r="BF159" s="228">
        <v>11</v>
      </c>
      <c r="BG159" s="228">
        <v>9</v>
      </c>
      <c r="BH159" s="229">
        <v>0.88529999999999998</v>
      </c>
      <c r="BI159" s="230">
        <v>1146</v>
      </c>
      <c r="BJ159" s="230">
        <v>1147</v>
      </c>
      <c r="BK159" s="228">
        <v>-2</v>
      </c>
      <c r="BL159" s="229">
        <v>-1.5E-3</v>
      </c>
      <c r="BM159" s="228">
        <v>599</v>
      </c>
      <c r="BN159" s="228">
        <v>532</v>
      </c>
      <c r="BO159" s="228">
        <v>67</v>
      </c>
      <c r="BP159" s="229">
        <v>0.1263</v>
      </c>
      <c r="BQ159" s="230">
        <v>2646</v>
      </c>
      <c r="BR159" s="230">
        <v>2105</v>
      </c>
      <c r="BS159" s="228">
        <v>541</v>
      </c>
      <c r="BT159" s="229">
        <v>0.25690000000000002</v>
      </c>
      <c r="BU159" s="230">
        <v>4503949</v>
      </c>
      <c r="BV159" s="230">
        <v>5961479</v>
      </c>
      <c r="BW159" s="230">
        <v>-1457530</v>
      </c>
      <c r="BX159" s="229">
        <v>-0.2445</v>
      </c>
      <c r="BY159" s="230">
        <v>2826</v>
      </c>
      <c r="BZ159" s="230">
        <v>2852</v>
      </c>
      <c r="CA159" s="228">
        <v>-26</v>
      </c>
      <c r="CB159" s="229">
        <v>-9.1999999999999998E-3</v>
      </c>
      <c r="CC159" s="230">
        <v>1521</v>
      </c>
      <c r="CD159" s="230">
        <v>1839</v>
      </c>
      <c r="CE159" s="228">
        <v>-318</v>
      </c>
      <c r="CF159" s="229">
        <v>-0.1729</v>
      </c>
      <c r="CG159" s="230">
        <v>1245</v>
      </c>
      <c r="CH159" s="228">
        <v>966</v>
      </c>
      <c r="CI159" s="228">
        <v>279</v>
      </c>
      <c r="CJ159" s="229">
        <v>0.28939999999999999</v>
      </c>
      <c r="CK159" s="228">
        <v>60</v>
      </c>
      <c r="CL159" s="228">
        <v>48</v>
      </c>
      <c r="CM159" s="228">
        <v>12</v>
      </c>
      <c r="CN159" s="229">
        <v>0.2581</v>
      </c>
      <c r="CO159" s="230">
        <v>1621</v>
      </c>
      <c r="CP159" s="230">
        <v>1777</v>
      </c>
      <c r="CQ159" s="228">
        <v>-156</v>
      </c>
      <c r="CR159" s="229">
        <v>-8.7999999999999995E-2</v>
      </c>
      <c r="CS159" s="230">
        <v>1146</v>
      </c>
      <c r="CT159" s="230">
        <v>1174</v>
      </c>
      <c r="CU159" s="228">
        <v>-28</v>
      </c>
      <c r="CV159" s="229">
        <v>-2.3800000000000002E-2</v>
      </c>
      <c r="CW159" s="230">
        <v>5593</v>
      </c>
      <c r="CX159" s="230">
        <v>5803</v>
      </c>
      <c r="CY159" s="228">
        <v>-211</v>
      </c>
      <c r="CZ159" s="229">
        <v>-3.6299999999999999E-2</v>
      </c>
      <c r="DA159" s="228">
        <v>23.65</v>
      </c>
      <c r="DB159" s="228">
        <v>25.92</v>
      </c>
      <c r="DC159" s="228">
        <v>-2.27</v>
      </c>
      <c r="DD159" s="228">
        <v>-2.27</v>
      </c>
      <c r="DE159" s="228">
        <v>42.87</v>
      </c>
      <c r="DF159" s="228">
        <v>42.98</v>
      </c>
      <c r="DG159" s="228">
        <v>-19.22</v>
      </c>
      <c r="DH159" s="228">
        <v>-0.11</v>
      </c>
      <c r="DI159" s="228">
        <v>23.59</v>
      </c>
      <c r="DJ159" s="228">
        <v>26.8</v>
      </c>
      <c r="DK159" s="228">
        <v>-3.21</v>
      </c>
      <c r="DL159" s="228">
        <v>-3.21</v>
      </c>
      <c r="DM159" s="228">
        <v>23.73</v>
      </c>
      <c r="DN159" s="228">
        <v>24.01</v>
      </c>
      <c r="DO159" s="228">
        <v>-0.28000000000000003</v>
      </c>
      <c r="DP159" s="228">
        <v>-0.28000000000000003</v>
      </c>
      <c r="DQ159" s="228">
        <v>0.71</v>
      </c>
      <c r="DR159" s="228">
        <v>0.66</v>
      </c>
      <c r="DS159" s="228">
        <v>0.05</v>
      </c>
      <c r="DT159" s="229">
        <v>7.5800000000000006E-2</v>
      </c>
      <c r="DU159" s="228">
        <v>400</v>
      </c>
      <c r="DV159" s="228">
        <v>400</v>
      </c>
      <c r="DW159" s="228">
        <v>0.52</v>
      </c>
      <c r="DX159" s="228">
        <v>0.46</v>
      </c>
      <c r="DY159" s="228">
        <v>0.06</v>
      </c>
      <c r="DZ159" s="229">
        <v>0.13039999999999999</v>
      </c>
      <c r="EA159" s="229">
        <v>0.46189999999999998</v>
      </c>
      <c r="EB159" s="230">
        <v>27142700</v>
      </c>
      <c r="EC159" s="229">
        <v>-3.0999999999999999E-3</v>
      </c>
      <c r="ED159" s="229">
        <v>0.46189999999999998</v>
      </c>
      <c r="EE159" s="228">
        <v>-1.22</v>
      </c>
      <c r="EF159" s="229">
        <v>-3.3E-3</v>
      </c>
      <c r="EG159" s="230">
        <v>3229292</v>
      </c>
      <c r="EH159" s="230">
        <v>4008492</v>
      </c>
      <c r="EI159" s="229">
        <v>-0.19439999999999999</v>
      </c>
      <c r="EJ159" s="229">
        <v>0.71699999999999997</v>
      </c>
      <c r="EK159" s="231">
        <v>1200.45</v>
      </c>
      <c r="EL159" s="228">
        <v>615.76</v>
      </c>
      <c r="EM159" s="228">
        <v>904.48</v>
      </c>
      <c r="EN159" s="228">
        <v>85.84</v>
      </c>
      <c r="EO159" s="231">
        <v>2720.69</v>
      </c>
      <c r="EP159" s="231">
        <v>2171.2600000000002</v>
      </c>
      <c r="EQ159" s="228">
        <v>549.42999999999995</v>
      </c>
      <c r="ER159" s="229">
        <v>0.253</v>
      </c>
      <c r="ES159" s="231">
        <v>1729.92</v>
      </c>
      <c r="ET159" s="231">
        <v>1184.5999999999999</v>
      </c>
      <c r="EU159" s="231">
        <v>2822.49</v>
      </c>
      <c r="EV159" s="231">
        <v>203602113</v>
      </c>
      <c r="EW159" s="231">
        <v>5737.01</v>
      </c>
      <c r="EX159" s="231">
        <v>5965.81</v>
      </c>
      <c r="EY159" s="228">
        <v>-228.8</v>
      </c>
      <c r="EZ159" s="229">
        <v>-3.8399999999999997E-2</v>
      </c>
      <c r="FA159" s="229">
        <v>0.73560000000000003</v>
      </c>
      <c r="FB159" s="227" t="s">
        <v>568</v>
      </c>
      <c r="FC159">
        <f t="shared" si="3"/>
        <v>0</v>
      </c>
    </row>
    <row r="160" spans="1:159" ht="17.25" thickBot="1" x14ac:dyDescent="0.3">
      <c r="A160" s="226">
        <v>45981</v>
      </c>
      <c r="B160" s="227" t="s">
        <v>184</v>
      </c>
      <c r="C160" s="227" t="s">
        <v>681</v>
      </c>
      <c r="D160" s="228">
        <v>700</v>
      </c>
      <c r="E160" s="228">
        <v>5</v>
      </c>
      <c r="F160" s="228">
        <v>593.15</v>
      </c>
      <c r="G160" s="228">
        <v>581.35</v>
      </c>
      <c r="H160" s="228">
        <v>11.8</v>
      </c>
      <c r="I160" s="229">
        <v>2.0299999999999999E-2</v>
      </c>
      <c r="J160" s="228">
        <v>590.54999999999995</v>
      </c>
      <c r="K160" s="228">
        <v>579.79999999999995</v>
      </c>
      <c r="L160" s="228">
        <v>10.75</v>
      </c>
      <c r="M160" s="229">
        <v>1.8499999999999999E-2</v>
      </c>
      <c r="N160" s="228">
        <v>593.15</v>
      </c>
      <c r="O160" s="228">
        <v>581.35</v>
      </c>
      <c r="P160" s="228">
        <v>11.8</v>
      </c>
      <c r="Q160" s="229">
        <v>2.0299999999999999E-2</v>
      </c>
      <c r="R160" s="228">
        <v>595.79999999999995</v>
      </c>
      <c r="S160" s="228">
        <v>584.75</v>
      </c>
      <c r="T160" s="228">
        <v>11.05</v>
      </c>
      <c r="U160" s="229">
        <v>1.89E-2</v>
      </c>
      <c r="V160" s="228">
        <v>597.45000000000005</v>
      </c>
      <c r="W160" s="228">
        <v>586.9</v>
      </c>
      <c r="X160" s="228">
        <v>10.55</v>
      </c>
      <c r="Y160" s="229">
        <v>1.7999999999999999E-2</v>
      </c>
      <c r="Z160" s="228">
        <v>2.6</v>
      </c>
      <c r="AA160" s="228">
        <v>1.55</v>
      </c>
      <c r="AB160" s="228">
        <v>1.05</v>
      </c>
      <c r="AC160" s="229">
        <v>4.4000000000000003E-3</v>
      </c>
      <c r="AD160" s="228">
        <v>2.6</v>
      </c>
      <c r="AE160" s="228">
        <v>1.55</v>
      </c>
      <c r="AF160" s="228">
        <v>1.05</v>
      </c>
      <c r="AG160" s="229">
        <v>4.4000000000000003E-3</v>
      </c>
      <c r="AH160" s="228">
        <v>5.25</v>
      </c>
      <c r="AI160" s="228">
        <v>4.95</v>
      </c>
      <c r="AJ160" s="228">
        <v>0.3</v>
      </c>
      <c r="AK160" s="229">
        <v>8.8999999999999999E-3</v>
      </c>
      <c r="AL160" s="228">
        <v>6.9</v>
      </c>
      <c r="AM160" s="228">
        <v>7.1</v>
      </c>
      <c r="AN160" s="228">
        <v>-0.2</v>
      </c>
      <c r="AO160" s="229">
        <v>1.17E-2</v>
      </c>
      <c r="AP160" s="228">
        <v>589.4</v>
      </c>
      <c r="AQ160" s="228">
        <v>592.51</v>
      </c>
      <c r="AR160" s="228">
        <v>0</v>
      </c>
      <c r="AS160" s="228">
        <v>549</v>
      </c>
      <c r="AT160" s="228">
        <v>304</v>
      </c>
      <c r="AU160" s="228">
        <v>246</v>
      </c>
      <c r="AV160" s="229">
        <v>0.80900000000000005</v>
      </c>
      <c r="AW160" s="228">
        <v>297</v>
      </c>
      <c r="AX160" s="228">
        <v>200</v>
      </c>
      <c r="AY160" s="228">
        <v>97</v>
      </c>
      <c r="AZ160" s="229">
        <v>0.48359999999999997</v>
      </c>
      <c r="BA160" s="228">
        <v>247</v>
      </c>
      <c r="BB160" s="228">
        <v>103</v>
      </c>
      <c r="BC160" s="228">
        <v>145</v>
      </c>
      <c r="BD160" s="229">
        <v>1.4069</v>
      </c>
      <c r="BE160" s="228">
        <v>5</v>
      </c>
      <c r="BF160" s="228">
        <v>1</v>
      </c>
      <c r="BG160" s="228">
        <v>4</v>
      </c>
      <c r="BH160" s="229">
        <v>5.4737</v>
      </c>
      <c r="BI160" s="230">
        <v>1617</v>
      </c>
      <c r="BJ160" s="228">
        <v>774</v>
      </c>
      <c r="BK160" s="228">
        <v>843</v>
      </c>
      <c r="BL160" s="229">
        <v>1.0895999999999999</v>
      </c>
      <c r="BM160" s="228">
        <v>518</v>
      </c>
      <c r="BN160" s="228">
        <v>477</v>
      </c>
      <c r="BO160" s="228">
        <v>41</v>
      </c>
      <c r="BP160" s="229">
        <v>8.5900000000000004E-2</v>
      </c>
      <c r="BQ160" s="230">
        <v>2685</v>
      </c>
      <c r="BR160" s="230">
        <v>1555</v>
      </c>
      <c r="BS160" s="230">
        <v>1130</v>
      </c>
      <c r="BT160" s="229">
        <v>0.72689999999999999</v>
      </c>
      <c r="BU160" s="230">
        <v>3274463</v>
      </c>
      <c r="BV160" s="230">
        <v>1932972</v>
      </c>
      <c r="BW160" s="230">
        <v>1341491</v>
      </c>
      <c r="BX160" s="229">
        <v>0.69399999999999995</v>
      </c>
      <c r="BY160" s="228">
        <v>715</v>
      </c>
      <c r="BZ160" s="228">
        <v>745</v>
      </c>
      <c r="CA160" s="228">
        <v>-29</v>
      </c>
      <c r="CB160" s="229">
        <v>-3.95E-2</v>
      </c>
      <c r="CC160" s="228">
        <v>444</v>
      </c>
      <c r="CD160" s="228">
        <v>592</v>
      </c>
      <c r="CE160" s="228">
        <v>-148</v>
      </c>
      <c r="CF160" s="229">
        <v>-0.24970000000000001</v>
      </c>
      <c r="CG160" s="228">
        <v>266</v>
      </c>
      <c r="CH160" s="228">
        <v>149</v>
      </c>
      <c r="CI160" s="228">
        <v>117</v>
      </c>
      <c r="CJ160" s="229">
        <v>0.78539999999999999</v>
      </c>
      <c r="CK160" s="228">
        <v>5</v>
      </c>
      <c r="CL160" s="228">
        <v>4</v>
      </c>
      <c r="CM160" s="228">
        <v>1</v>
      </c>
      <c r="CN160" s="229">
        <v>0.3382</v>
      </c>
      <c r="CO160" s="228">
        <v>610</v>
      </c>
      <c r="CP160" s="228">
        <v>569</v>
      </c>
      <c r="CQ160" s="228">
        <v>41</v>
      </c>
      <c r="CR160" s="229">
        <v>7.2700000000000001E-2</v>
      </c>
      <c r="CS160" s="228">
        <v>405</v>
      </c>
      <c r="CT160" s="228">
        <v>449</v>
      </c>
      <c r="CU160" s="228">
        <v>-45</v>
      </c>
      <c r="CV160" s="229">
        <v>-9.9199999999999997E-2</v>
      </c>
      <c r="CW160" s="230">
        <v>1730</v>
      </c>
      <c r="CX160" s="230">
        <v>1763</v>
      </c>
      <c r="CY160" s="228">
        <v>-33</v>
      </c>
      <c r="CZ160" s="229">
        <v>-1.8499999999999999E-2</v>
      </c>
      <c r="DA160" s="228">
        <v>39.19</v>
      </c>
      <c r="DB160" s="228">
        <v>39.92</v>
      </c>
      <c r="DC160" s="228">
        <v>-0.73</v>
      </c>
      <c r="DD160" s="228">
        <v>-0.73</v>
      </c>
      <c r="DE160" s="228">
        <v>67.36</v>
      </c>
      <c r="DF160" s="228">
        <v>67.47</v>
      </c>
      <c r="DG160" s="228">
        <v>-28.17</v>
      </c>
      <c r="DH160" s="228">
        <v>-0.11</v>
      </c>
      <c r="DI160" s="228">
        <v>39.08</v>
      </c>
      <c r="DJ160" s="228">
        <v>37.83</v>
      </c>
      <c r="DK160" s="228">
        <v>1.25</v>
      </c>
      <c r="DL160" s="228">
        <v>1.25</v>
      </c>
      <c r="DM160" s="228">
        <v>39.51</v>
      </c>
      <c r="DN160" s="228">
        <v>43.32</v>
      </c>
      <c r="DO160" s="228">
        <v>-3.81</v>
      </c>
      <c r="DP160" s="228">
        <v>-3.81</v>
      </c>
      <c r="DQ160" s="228">
        <v>0.66</v>
      </c>
      <c r="DR160" s="228">
        <v>0.79</v>
      </c>
      <c r="DS160" s="228">
        <v>-0.13</v>
      </c>
      <c r="DT160" s="229">
        <v>-0.1646</v>
      </c>
      <c r="DU160" s="228">
        <v>580</v>
      </c>
      <c r="DV160" s="228">
        <v>560</v>
      </c>
      <c r="DW160" s="228">
        <v>0.32</v>
      </c>
      <c r="DX160" s="228">
        <v>0.62</v>
      </c>
      <c r="DY160" s="228">
        <v>-0.3</v>
      </c>
      <c r="DZ160" s="229">
        <v>-0.4839</v>
      </c>
      <c r="EA160" s="229">
        <v>0.37909999999999999</v>
      </c>
      <c r="EB160" s="230">
        <v>2576200</v>
      </c>
      <c r="EC160" s="229">
        <v>4.4999999999999997E-3</v>
      </c>
      <c r="ED160" s="229">
        <v>0.37909999999999999</v>
      </c>
      <c r="EE160" s="228">
        <v>3.11</v>
      </c>
      <c r="EF160" s="229">
        <v>5.3E-3</v>
      </c>
      <c r="EG160" s="230">
        <v>1308585</v>
      </c>
      <c r="EH160" s="230">
        <v>597127</v>
      </c>
      <c r="EI160" s="229">
        <v>1.1915</v>
      </c>
      <c r="EJ160" s="229">
        <v>0.39960000000000001</v>
      </c>
      <c r="EK160" s="231">
        <v>1675</v>
      </c>
      <c r="EL160" s="228">
        <v>491.93</v>
      </c>
      <c r="EM160" s="228">
        <v>549.08000000000004</v>
      </c>
      <c r="EN160" s="228">
        <v>110.94</v>
      </c>
      <c r="EO160" s="231">
        <v>2716</v>
      </c>
      <c r="EP160" s="231">
        <v>1529.98</v>
      </c>
      <c r="EQ160" s="231">
        <v>1186.02</v>
      </c>
      <c r="ER160" s="229">
        <v>0.7752</v>
      </c>
      <c r="ES160" s="228">
        <v>619.26</v>
      </c>
      <c r="ET160" s="228">
        <v>367.28</v>
      </c>
      <c r="EU160" s="228">
        <v>716.31</v>
      </c>
      <c r="EV160" s="231">
        <v>23897684</v>
      </c>
      <c r="EW160" s="231">
        <v>1702.85</v>
      </c>
      <c r="EX160" s="231">
        <v>1709.93</v>
      </c>
      <c r="EY160" s="228">
        <v>-7.08</v>
      </c>
      <c r="EZ160" s="229">
        <v>-4.1000000000000003E-3</v>
      </c>
      <c r="FA160" s="229">
        <v>1.2204999999999999</v>
      </c>
      <c r="FB160" s="227" t="s">
        <v>556</v>
      </c>
      <c r="FC160">
        <f t="shared" si="3"/>
        <v>0</v>
      </c>
    </row>
    <row r="161" spans="1:159" ht="17.25" thickBot="1" x14ac:dyDescent="0.3">
      <c r="A161" s="226">
        <v>45981</v>
      </c>
      <c r="B161" s="227" t="s">
        <v>206</v>
      </c>
      <c r="C161" s="227" t="s">
        <v>645</v>
      </c>
      <c r="D161" s="228">
        <v>350</v>
      </c>
      <c r="E161" s="228">
        <v>5</v>
      </c>
      <c r="F161" s="231">
        <v>1718.8</v>
      </c>
      <c r="G161" s="231">
        <v>1717.2</v>
      </c>
      <c r="H161" s="228">
        <v>1.6</v>
      </c>
      <c r="I161" s="229">
        <v>8.9999999999999998E-4</v>
      </c>
      <c r="J161" s="231">
        <v>1715.7</v>
      </c>
      <c r="K161" s="231">
        <v>1715.1</v>
      </c>
      <c r="L161" s="228">
        <v>0.6</v>
      </c>
      <c r="M161" s="229">
        <v>2.9999999999999997E-4</v>
      </c>
      <c r="N161" s="231">
        <v>1718.8</v>
      </c>
      <c r="O161" s="231">
        <v>1717.2</v>
      </c>
      <c r="P161" s="228">
        <v>1.6</v>
      </c>
      <c r="Q161" s="229">
        <v>8.9999999999999998E-4</v>
      </c>
      <c r="R161" s="231">
        <v>1730</v>
      </c>
      <c r="S161" s="231">
        <v>1728.4</v>
      </c>
      <c r="T161" s="228">
        <v>1.6</v>
      </c>
      <c r="U161" s="229">
        <v>8.9999999999999998E-4</v>
      </c>
      <c r="V161" s="231">
        <v>1730</v>
      </c>
      <c r="W161" s="231">
        <v>1724.6</v>
      </c>
      <c r="X161" s="228">
        <v>5.4</v>
      </c>
      <c r="Y161" s="229">
        <v>3.0999999999999999E-3</v>
      </c>
      <c r="Z161" s="228">
        <v>3.1</v>
      </c>
      <c r="AA161" s="228">
        <v>2.1</v>
      </c>
      <c r="AB161" s="228">
        <v>1</v>
      </c>
      <c r="AC161" s="229">
        <v>1.8E-3</v>
      </c>
      <c r="AD161" s="228">
        <v>3.1</v>
      </c>
      <c r="AE161" s="228">
        <v>2.1</v>
      </c>
      <c r="AF161" s="228">
        <v>1</v>
      </c>
      <c r="AG161" s="229">
        <v>1.8E-3</v>
      </c>
      <c r="AH161" s="228">
        <v>14.3</v>
      </c>
      <c r="AI161" s="228">
        <v>13.3</v>
      </c>
      <c r="AJ161" s="228">
        <v>1</v>
      </c>
      <c r="AK161" s="229">
        <v>8.3000000000000001E-3</v>
      </c>
      <c r="AL161" s="228">
        <v>14.3</v>
      </c>
      <c r="AM161" s="228">
        <v>9.5</v>
      </c>
      <c r="AN161" s="228">
        <v>4.8</v>
      </c>
      <c r="AO161" s="229">
        <v>8.3000000000000001E-3</v>
      </c>
      <c r="AP161" s="231">
        <v>1710.11</v>
      </c>
      <c r="AQ161" s="231">
        <v>1721.49</v>
      </c>
      <c r="AR161" s="228">
        <v>0</v>
      </c>
      <c r="AS161" s="228">
        <v>283</v>
      </c>
      <c r="AT161" s="228">
        <v>74</v>
      </c>
      <c r="AU161" s="228">
        <v>210</v>
      </c>
      <c r="AV161" s="229">
        <v>2.8552</v>
      </c>
      <c r="AW161" s="228">
        <v>141</v>
      </c>
      <c r="AX161" s="228">
        <v>56</v>
      </c>
      <c r="AY161" s="228">
        <v>85</v>
      </c>
      <c r="AZ161" s="229">
        <v>1.5296000000000001</v>
      </c>
      <c r="BA161" s="228">
        <v>142</v>
      </c>
      <c r="BB161" s="228">
        <v>18</v>
      </c>
      <c r="BC161" s="228">
        <v>124</v>
      </c>
      <c r="BD161" s="229">
        <v>7.0822000000000003</v>
      </c>
      <c r="BE161" s="228">
        <v>0</v>
      </c>
      <c r="BF161" s="228">
        <v>0</v>
      </c>
      <c r="BG161" s="228">
        <v>0</v>
      </c>
      <c r="BH161" s="229">
        <v>0</v>
      </c>
      <c r="BI161" s="228">
        <v>135</v>
      </c>
      <c r="BJ161" s="228">
        <v>248</v>
      </c>
      <c r="BK161" s="228">
        <v>-114</v>
      </c>
      <c r="BL161" s="229">
        <v>-0.45839999999999997</v>
      </c>
      <c r="BM161" s="228">
        <v>41</v>
      </c>
      <c r="BN161" s="228">
        <v>50</v>
      </c>
      <c r="BO161" s="228">
        <v>-9</v>
      </c>
      <c r="BP161" s="229">
        <v>-0.1862</v>
      </c>
      <c r="BQ161" s="228">
        <v>459</v>
      </c>
      <c r="BR161" s="228">
        <v>372</v>
      </c>
      <c r="BS161" s="228">
        <v>87</v>
      </c>
      <c r="BT161" s="229">
        <v>0.2326</v>
      </c>
      <c r="BU161" s="230">
        <v>335555</v>
      </c>
      <c r="BV161" s="230">
        <v>244623</v>
      </c>
      <c r="BW161" s="230">
        <v>90932</v>
      </c>
      <c r="BX161" s="229">
        <v>0.37169999999999997</v>
      </c>
      <c r="BY161" s="228">
        <v>613</v>
      </c>
      <c r="BZ161" s="228">
        <v>614</v>
      </c>
      <c r="CA161" s="228">
        <v>-1</v>
      </c>
      <c r="CB161" s="229">
        <v>-1E-3</v>
      </c>
      <c r="CC161" s="228">
        <v>477</v>
      </c>
      <c r="CD161" s="228">
        <v>590</v>
      </c>
      <c r="CE161" s="228">
        <v>-114</v>
      </c>
      <c r="CF161" s="229">
        <v>-0.1928</v>
      </c>
      <c r="CG161" s="228">
        <v>136</v>
      </c>
      <c r="CH161" s="228">
        <v>22</v>
      </c>
      <c r="CI161" s="228">
        <v>113</v>
      </c>
      <c r="CJ161" s="229">
        <v>5.0728</v>
      </c>
      <c r="CK161" s="228">
        <v>1</v>
      </c>
      <c r="CL161" s="228">
        <v>1</v>
      </c>
      <c r="CM161" s="228">
        <v>0</v>
      </c>
      <c r="CN161" s="229">
        <v>0</v>
      </c>
      <c r="CO161" s="228">
        <v>182</v>
      </c>
      <c r="CP161" s="228">
        <v>187</v>
      </c>
      <c r="CQ161" s="228">
        <v>-5</v>
      </c>
      <c r="CR161" s="229">
        <v>-2.6100000000000002E-2</v>
      </c>
      <c r="CS161" s="228">
        <v>85</v>
      </c>
      <c r="CT161" s="228">
        <v>88</v>
      </c>
      <c r="CU161" s="228">
        <v>-3</v>
      </c>
      <c r="CV161" s="229">
        <v>-3.2199999999999999E-2</v>
      </c>
      <c r="CW161" s="228">
        <v>880</v>
      </c>
      <c r="CX161" s="228">
        <v>888</v>
      </c>
      <c r="CY161" s="228">
        <v>-8</v>
      </c>
      <c r="CZ161" s="229">
        <v>-9.2999999999999992E-3</v>
      </c>
      <c r="DA161" s="228">
        <v>25.17</v>
      </c>
      <c r="DB161" s="228">
        <v>26.4</v>
      </c>
      <c r="DC161" s="228">
        <v>-1.23</v>
      </c>
      <c r="DD161" s="228">
        <v>-1.23</v>
      </c>
      <c r="DE161" s="228">
        <v>42.78</v>
      </c>
      <c r="DF161" s="228">
        <v>42.89</v>
      </c>
      <c r="DG161" s="228">
        <v>-17.61</v>
      </c>
      <c r="DH161" s="228">
        <v>-0.11</v>
      </c>
      <c r="DI161" s="228">
        <v>25.95</v>
      </c>
      <c r="DJ161" s="228">
        <v>26.44</v>
      </c>
      <c r="DK161" s="228">
        <v>-0.49</v>
      </c>
      <c r="DL161" s="228">
        <v>-0.49</v>
      </c>
      <c r="DM161" s="228">
        <v>23.31</v>
      </c>
      <c r="DN161" s="228">
        <v>26.2</v>
      </c>
      <c r="DO161" s="228">
        <v>-2.89</v>
      </c>
      <c r="DP161" s="228">
        <v>-2.89</v>
      </c>
      <c r="DQ161" s="228">
        <v>0.47</v>
      </c>
      <c r="DR161" s="228">
        <v>0.47</v>
      </c>
      <c r="DS161" s="228">
        <v>0</v>
      </c>
      <c r="DT161" s="229">
        <v>0</v>
      </c>
      <c r="DU161" s="231">
        <v>1800</v>
      </c>
      <c r="DV161" s="231">
        <v>1700</v>
      </c>
      <c r="DW161" s="228">
        <v>0.3</v>
      </c>
      <c r="DX161" s="228">
        <v>0.2</v>
      </c>
      <c r="DY161" s="228">
        <v>0.1</v>
      </c>
      <c r="DZ161" s="229">
        <v>0.5</v>
      </c>
      <c r="EA161" s="229">
        <v>0.22259999999999999</v>
      </c>
      <c r="EB161" s="230">
        <v>135450</v>
      </c>
      <c r="EC161" s="229">
        <v>6.4999999999999997E-3</v>
      </c>
      <c r="ED161" s="229">
        <v>0.22259999999999999</v>
      </c>
      <c r="EE161" s="228">
        <v>11.38</v>
      </c>
      <c r="EF161" s="229">
        <v>6.7000000000000002E-3</v>
      </c>
      <c r="EG161" s="230">
        <v>223037</v>
      </c>
      <c r="EH161" s="230">
        <v>134699</v>
      </c>
      <c r="EI161" s="229">
        <v>0.65580000000000005</v>
      </c>
      <c r="EJ161" s="229">
        <v>0.66469999999999996</v>
      </c>
      <c r="EK161" s="228">
        <v>141.30000000000001</v>
      </c>
      <c r="EL161" s="228">
        <v>40.770000000000003</v>
      </c>
      <c r="EM161" s="228">
        <v>282.91000000000003</v>
      </c>
      <c r="EN161" s="228">
        <v>10.65</v>
      </c>
      <c r="EO161" s="228">
        <v>464.98</v>
      </c>
      <c r="EP161" s="228">
        <v>383.83</v>
      </c>
      <c r="EQ161" s="228">
        <v>81.150000000000006</v>
      </c>
      <c r="ER161" s="229">
        <v>0.2114</v>
      </c>
      <c r="ES161" s="228">
        <v>189.31</v>
      </c>
      <c r="ET161" s="228">
        <v>84.23</v>
      </c>
      <c r="EU161" s="228">
        <v>613.96</v>
      </c>
      <c r="EV161" s="231">
        <v>28283155</v>
      </c>
      <c r="EW161" s="228">
        <v>887.5</v>
      </c>
      <c r="EX161" s="228">
        <v>894.2</v>
      </c>
      <c r="EY161" s="228">
        <v>-6.7</v>
      </c>
      <c r="EZ161" s="229">
        <v>-7.4999999999999997E-3</v>
      </c>
      <c r="FA161" s="229">
        <v>0.18110000000000001</v>
      </c>
      <c r="FB161" s="227" t="s">
        <v>556</v>
      </c>
      <c r="FC161">
        <f t="shared" si="3"/>
        <v>0</v>
      </c>
    </row>
    <row r="162" spans="1:159" ht="17.25" thickBot="1" x14ac:dyDescent="0.3">
      <c r="A162" s="226">
        <v>45981</v>
      </c>
      <c r="B162" s="227" t="s">
        <v>168</v>
      </c>
      <c r="C162" s="227" t="s">
        <v>274</v>
      </c>
      <c r="D162" s="228">
        <v>500</v>
      </c>
      <c r="E162" s="228">
        <v>5</v>
      </c>
      <c r="F162" s="231">
        <v>1488.3</v>
      </c>
      <c r="G162" s="231">
        <v>1475.8</v>
      </c>
      <c r="H162" s="228">
        <v>12.5</v>
      </c>
      <c r="I162" s="229">
        <v>8.5000000000000006E-3</v>
      </c>
      <c r="J162" s="231">
        <v>1489</v>
      </c>
      <c r="K162" s="231">
        <v>1476.7</v>
      </c>
      <c r="L162" s="228">
        <v>12.3</v>
      </c>
      <c r="M162" s="229">
        <v>8.3000000000000001E-3</v>
      </c>
      <c r="N162" s="231">
        <v>1488.3</v>
      </c>
      <c r="O162" s="231">
        <v>1475.8</v>
      </c>
      <c r="P162" s="228">
        <v>12.5</v>
      </c>
      <c r="Q162" s="229">
        <v>8.5000000000000006E-3</v>
      </c>
      <c r="R162" s="231">
        <v>1497.2</v>
      </c>
      <c r="S162" s="231">
        <v>1485.3</v>
      </c>
      <c r="T162" s="228">
        <v>11.9</v>
      </c>
      <c r="U162" s="229">
        <v>8.0000000000000002E-3</v>
      </c>
      <c r="V162" s="231">
        <v>1508.9</v>
      </c>
      <c r="W162" s="231">
        <v>1502</v>
      </c>
      <c r="X162" s="228">
        <v>6.9</v>
      </c>
      <c r="Y162" s="229">
        <v>4.5999999999999999E-3</v>
      </c>
      <c r="Z162" s="228">
        <v>-0.7</v>
      </c>
      <c r="AA162" s="228">
        <v>-0.9</v>
      </c>
      <c r="AB162" s="228">
        <v>0.2</v>
      </c>
      <c r="AC162" s="229">
        <v>-5.0000000000000001E-4</v>
      </c>
      <c r="AD162" s="228">
        <v>-0.7</v>
      </c>
      <c r="AE162" s="228">
        <v>-0.9</v>
      </c>
      <c r="AF162" s="228">
        <v>0.2</v>
      </c>
      <c r="AG162" s="229">
        <v>-5.0000000000000001E-4</v>
      </c>
      <c r="AH162" s="228">
        <v>8.1999999999999993</v>
      </c>
      <c r="AI162" s="228">
        <v>8.6</v>
      </c>
      <c r="AJ162" s="228">
        <v>-0.4</v>
      </c>
      <c r="AK162" s="229">
        <v>5.4999999999999997E-3</v>
      </c>
      <c r="AL162" s="228">
        <v>19.899999999999999</v>
      </c>
      <c r="AM162" s="228">
        <v>25.3</v>
      </c>
      <c r="AN162" s="228">
        <v>-5.4</v>
      </c>
      <c r="AO162" s="229">
        <v>1.34E-2</v>
      </c>
      <c r="AP162" s="231">
        <v>1489.19</v>
      </c>
      <c r="AQ162" s="231">
        <v>1498.85</v>
      </c>
      <c r="AR162" s="228">
        <v>0</v>
      </c>
      <c r="AS162" s="228">
        <v>680</v>
      </c>
      <c r="AT162" s="228">
        <v>126</v>
      </c>
      <c r="AU162" s="228">
        <v>554</v>
      </c>
      <c r="AV162" s="229">
        <v>4.4057000000000004</v>
      </c>
      <c r="AW162" s="228">
        <v>381</v>
      </c>
      <c r="AX162" s="228">
        <v>100</v>
      </c>
      <c r="AY162" s="228">
        <v>281</v>
      </c>
      <c r="AZ162" s="229">
        <v>2.8222999999999998</v>
      </c>
      <c r="BA162" s="228">
        <v>299</v>
      </c>
      <c r="BB162" s="228">
        <v>25</v>
      </c>
      <c r="BC162" s="228">
        <v>274</v>
      </c>
      <c r="BD162" s="229">
        <v>11.0631</v>
      </c>
      <c r="BE162" s="228">
        <v>0</v>
      </c>
      <c r="BF162" s="228">
        <v>1</v>
      </c>
      <c r="BG162" s="228">
        <v>-1</v>
      </c>
      <c r="BH162" s="229">
        <v>-0.68420000000000003</v>
      </c>
      <c r="BI162" s="228">
        <v>388</v>
      </c>
      <c r="BJ162" s="228">
        <v>497</v>
      </c>
      <c r="BK162" s="228">
        <v>-109</v>
      </c>
      <c r="BL162" s="229">
        <v>-0.22009999999999999</v>
      </c>
      <c r="BM162" s="228">
        <v>129</v>
      </c>
      <c r="BN162" s="228">
        <v>150</v>
      </c>
      <c r="BO162" s="228">
        <v>-21</v>
      </c>
      <c r="BP162" s="229">
        <v>-0.13900000000000001</v>
      </c>
      <c r="BQ162" s="230">
        <v>1197</v>
      </c>
      <c r="BR162" s="228">
        <v>773</v>
      </c>
      <c r="BS162" s="228">
        <v>424</v>
      </c>
      <c r="BT162" s="229">
        <v>0.54890000000000005</v>
      </c>
      <c r="BU162" s="230">
        <v>840533</v>
      </c>
      <c r="BV162" s="230">
        <v>1020202</v>
      </c>
      <c r="BW162" s="230">
        <v>-179669</v>
      </c>
      <c r="BX162" s="229">
        <v>-0.17610000000000001</v>
      </c>
      <c r="BY162" s="230">
        <v>1130</v>
      </c>
      <c r="BZ162" s="230">
        <v>1156</v>
      </c>
      <c r="CA162" s="228">
        <v>-26</v>
      </c>
      <c r="CB162" s="229">
        <v>-2.2700000000000001E-2</v>
      </c>
      <c r="CC162" s="228">
        <v>775</v>
      </c>
      <c r="CD162" s="230">
        <v>1063</v>
      </c>
      <c r="CE162" s="228">
        <v>-288</v>
      </c>
      <c r="CF162" s="229">
        <v>-0.2712</v>
      </c>
      <c r="CG162" s="228">
        <v>351</v>
      </c>
      <c r="CH162" s="228">
        <v>88</v>
      </c>
      <c r="CI162" s="228">
        <v>262</v>
      </c>
      <c r="CJ162" s="229">
        <v>2.9638</v>
      </c>
      <c r="CK162" s="228">
        <v>4</v>
      </c>
      <c r="CL162" s="228">
        <v>4</v>
      </c>
      <c r="CM162" s="228">
        <v>0</v>
      </c>
      <c r="CN162" s="229">
        <v>-3.3300000000000003E-2</v>
      </c>
      <c r="CO162" s="228">
        <v>404</v>
      </c>
      <c r="CP162" s="228">
        <v>455</v>
      </c>
      <c r="CQ162" s="228">
        <v>-51</v>
      </c>
      <c r="CR162" s="229">
        <v>-0.1119</v>
      </c>
      <c r="CS162" s="228">
        <v>236</v>
      </c>
      <c r="CT162" s="228">
        <v>253</v>
      </c>
      <c r="CU162" s="228">
        <v>-17</v>
      </c>
      <c r="CV162" s="229">
        <v>-6.7799999999999999E-2</v>
      </c>
      <c r="CW162" s="230">
        <v>1771</v>
      </c>
      <c r="CX162" s="230">
        <v>1865</v>
      </c>
      <c r="CY162" s="228">
        <v>-94</v>
      </c>
      <c r="CZ162" s="229">
        <v>-5.0599999999999999E-2</v>
      </c>
      <c r="DA162" s="228">
        <v>18.47</v>
      </c>
      <c r="DB162" s="228">
        <v>21.46</v>
      </c>
      <c r="DC162" s="228">
        <v>-2.99</v>
      </c>
      <c r="DD162" s="228">
        <v>-2.99</v>
      </c>
      <c r="DE162" s="228">
        <v>21.97</v>
      </c>
      <c r="DF162" s="228">
        <v>21.99</v>
      </c>
      <c r="DG162" s="228">
        <v>-3.5</v>
      </c>
      <c r="DH162" s="228">
        <v>-0.02</v>
      </c>
      <c r="DI162" s="228">
        <v>18.71</v>
      </c>
      <c r="DJ162" s="228">
        <v>21.41</v>
      </c>
      <c r="DK162" s="228">
        <v>-2.7</v>
      </c>
      <c r="DL162" s="228">
        <v>-2.7</v>
      </c>
      <c r="DM162" s="228">
        <v>17.93</v>
      </c>
      <c r="DN162" s="228">
        <v>21.65</v>
      </c>
      <c r="DO162" s="228">
        <v>-3.72</v>
      </c>
      <c r="DP162" s="228">
        <v>-3.72</v>
      </c>
      <c r="DQ162" s="228">
        <v>0.57999999999999996</v>
      </c>
      <c r="DR162" s="228">
        <v>0.56000000000000005</v>
      </c>
      <c r="DS162" s="228">
        <v>0.02</v>
      </c>
      <c r="DT162" s="229">
        <v>3.5700000000000003E-2</v>
      </c>
      <c r="DU162" s="231">
        <v>1500</v>
      </c>
      <c r="DV162" s="231">
        <v>1500</v>
      </c>
      <c r="DW162" s="228">
        <v>0.33</v>
      </c>
      <c r="DX162" s="228">
        <v>0.3</v>
      </c>
      <c r="DY162" s="228">
        <v>0.03</v>
      </c>
      <c r="DZ162" s="229">
        <v>0.1</v>
      </c>
      <c r="EA162" s="229">
        <v>0.31419999999999998</v>
      </c>
      <c r="EB162" s="230">
        <v>624500</v>
      </c>
      <c r="EC162" s="229">
        <v>6.0000000000000001E-3</v>
      </c>
      <c r="ED162" s="229">
        <v>0.31419999999999998</v>
      </c>
      <c r="EE162" s="228">
        <v>9.66</v>
      </c>
      <c r="EF162" s="229">
        <v>6.4999999999999997E-3</v>
      </c>
      <c r="EG162" s="230">
        <v>619557</v>
      </c>
      <c r="EH162" s="230">
        <v>817743</v>
      </c>
      <c r="EI162" s="229">
        <v>-0.2424</v>
      </c>
      <c r="EJ162" s="229">
        <v>0.73709999999999998</v>
      </c>
      <c r="EK162" s="228">
        <v>396.36</v>
      </c>
      <c r="EL162" s="228">
        <v>127.68</v>
      </c>
      <c r="EM162" s="228">
        <v>682.58</v>
      </c>
      <c r="EN162" s="228">
        <v>27.68</v>
      </c>
      <c r="EO162" s="231">
        <v>1206.6199999999999</v>
      </c>
      <c r="EP162" s="228">
        <v>779.96</v>
      </c>
      <c r="EQ162" s="228">
        <v>426.66</v>
      </c>
      <c r="ER162" s="229">
        <v>0.54700000000000004</v>
      </c>
      <c r="ES162" s="228">
        <v>412.93</v>
      </c>
      <c r="ET162" s="228">
        <v>230.56</v>
      </c>
      <c r="EU162" s="231">
        <v>1132.07</v>
      </c>
      <c r="EV162" s="231">
        <v>31170515</v>
      </c>
      <c r="EW162" s="231">
        <v>1775.56</v>
      </c>
      <c r="EX162" s="231">
        <v>1859.01</v>
      </c>
      <c r="EY162" s="228">
        <v>-83.45</v>
      </c>
      <c r="EZ162" s="229">
        <v>-4.4900000000000002E-2</v>
      </c>
      <c r="FA162" s="229">
        <v>0.38169999999999998</v>
      </c>
      <c r="FB162" s="227" t="s">
        <v>556</v>
      </c>
      <c r="FC162">
        <f t="shared" si="3"/>
        <v>0</v>
      </c>
    </row>
    <row r="163" spans="1:159" ht="17.25" thickBot="1" x14ac:dyDescent="0.3">
      <c r="A163" s="226">
        <v>45981</v>
      </c>
      <c r="B163" s="227" t="s">
        <v>498</v>
      </c>
      <c r="C163" s="227" t="s">
        <v>483</v>
      </c>
      <c r="D163" s="228">
        <v>175</v>
      </c>
      <c r="E163" s="228">
        <v>5</v>
      </c>
      <c r="F163" s="231">
        <v>3452.4</v>
      </c>
      <c r="G163" s="231">
        <v>3450.9</v>
      </c>
      <c r="H163" s="228">
        <v>1.5</v>
      </c>
      <c r="I163" s="229">
        <v>4.0000000000000002E-4</v>
      </c>
      <c r="J163" s="231">
        <v>3441.1</v>
      </c>
      <c r="K163" s="231">
        <v>3439.9</v>
      </c>
      <c r="L163" s="228">
        <v>1.2</v>
      </c>
      <c r="M163" s="229">
        <v>2.9999999999999997E-4</v>
      </c>
      <c r="N163" s="231">
        <v>3452.4</v>
      </c>
      <c r="O163" s="231">
        <v>3450.9</v>
      </c>
      <c r="P163" s="228">
        <v>1.5</v>
      </c>
      <c r="Q163" s="229">
        <v>4.0000000000000002E-4</v>
      </c>
      <c r="R163" s="231">
        <v>3464.7</v>
      </c>
      <c r="S163" s="231">
        <v>3468.8</v>
      </c>
      <c r="T163" s="228">
        <v>-4.0999999999999996</v>
      </c>
      <c r="U163" s="229">
        <v>-1.1999999999999999E-3</v>
      </c>
      <c r="V163" s="231">
        <v>3480</v>
      </c>
      <c r="W163" s="231">
        <v>3490</v>
      </c>
      <c r="X163" s="228">
        <v>-10</v>
      </c>
      <c r="Y163" s="229">
        <v>-2.8999999999999998E-3</v>
      </c>
      <c r="Z163" s="228">
        <v>11.3</v>
      </c>
      <c r="AA163" s="228">
        <v>11</v>
      </c>
      <c r="AB163" s="228">
        <v>0.3</v>
      </c>
      <c r="AC163" s="229">
        <v>3.3E-3</v>
      </c>
      <c r="AD163" s="228">
        <v>11.3</v>
      </c>
      <c r="AE163" s="228">
        <v>11</v>
      </c>
      <c r="AF163" s="228">
        <v>0.3</v>
      </c>
      <c r="AG163" s="229">
        <v>3.3E-3</v>
      </c>
      <c r="AH163" s="228">
        <v>23.6</v>
      </c>
      <c r="AI163" s="228">
        <v>28.9</v>
      </c>
      <c r="AJ163" s="228">
        <v>-5.3</v>
      </c>
      <c r="AK163" s="229">
        <v>6.8999999999999999E-3</v>
      </c>
      <c r="AL163" s="228">
        <v>38.9</v>
      </c>
      <c r="AM163" s="228">
        <v>50.1</v>
      </c>
      <c r="AN163" s="228">
        <v>-11.2</v>
      </c>
      <c r="AO163" s="229">
        <v>1.1299999999999999E-2</v>
      </c>
      <c r="AP163" s="231">
        <v>3459.04</v>
      </c>
      <c r="AQ163" s="231">
        <v>3470.47</v>
      </c>
      <c r="AR163" s="228">
        <v>0</v>
      </c>
      <c r="AS163" s="228">
        <v>585</v>
      </c>
      <c r="AT163" s="228">
        <v>119</v>
      </c>
      <c r="AU163" s="228">
        <v>466</v>
      </c>
      <c r="AV163" s="229">
        <v>3.9211999999999998</v>
      </c>
      <c r="AW163" s="228">
        <v>298</v>
      </c>
      <c r="AX163" s="228">
        <v>87</v>
      </c>
      <c r="AY163" s="228">
        <v>211</v>
      </c>
      <c r="AZ163" s="229">
        <v>2.4205000000000001</v>
      </c>
      <c r="BA163" s="228">
        <v>286</v>
      </c>
      <c r="BB163" s="228">
        <v>31</v>
      </c>
      <c r="BC163" s="228">
        <v>255</v>
      </c>
      <c r="BD163" s="229">
        <v>8.1486000000000001</v>
      </c>
      <c r="BE163" s="228">
        <v>1</v>
      </c>
      <c r="BF163" s="228">
        <v>0</v>
      </c>
      <c r="BG163" s="228">
        <v>0</v>
      </c>
      <c r="BH163" s="229">
        <v>0.5</v>
      </c>
      <c r="BI163" s="228">
        <v>772</v>
      </c>
      <c r="BJ163" s="228">
        <v>979</v>
      </c>
      <c r="BK163" s="228">
        <v>-207</v>
      </c>
      <c r="BL163" s="229">
        <v>-0.21099999999999999</v>
      </c>
      <c r="BM163" s="228">
        <v>267</v>
      </c>
      <c r="BN163" s="228">
        <v>422</v>
      </c>
      <c r="BO163" s="228">
        <v>-156</v>
      </c>
      <c r="BP163" s="229">
        <v>-0.36880000000000002</v>
      </c>
      <c r="BQ163" s="230">
        <v>1624</v>
      </c>
      <c r="BR163" s="230">
        <v>1520</v>
      </c>
      <c r="BS163" s="228">
        <v>104</v>
      </c>
      <c r="BT163" s="229">
        <v>6.8199999999999997E-2</v>
      </c>
      <c r="BU163" s="230">
        <v>290113</v>
      </c>
      <c r="BV163" s="230">
        <v>275028</v>
      </c>
      <c r="BW163" s="230">
        <v>15085</v>
      </c>
      <c r="BX163" s="229">
        <v>5.4800000000000001E-2</v>
      </c>
      <c r="BY163" s="228">
        <v>913</v>
      </c>
      <c r="BZ163" s="228">
        <v>952</v>
      </c>
      <c r="CA163" s="228">
        <v>-39</v>
      </c>
      <c r="CB163" s="229">
        <v>-4.1399999999999999E-2</v>
      </c>
      <c r="CC163" s="228">
        <v>630</v>
      </c>
      <c r="CD163" s="228">
        <v>852</v>
      </c>
      <c r="CE163" s="228">
        <v>-222</v>
      </c>
      <c r="CF163" s="229">
        <v>-0.26050000000000001</v>
      </c>
      <c r="CG163" s="228">
        <v>276</v>
      </c>
      <c r="CH163" s="228">
        <v>95</v>
      </c>
      <c r="CI163" s="228">
        <v>182</v>
      </c>
      <c r="CJ163" s="229">
        <v>1.9214</v>
      </c>
      <c r="CK163" s="228">
        <v>7</v>
      </c>
      <c r="CL163" s="228">
        <v>6</v>
      </c>
      <c r="CM163" s="228">
        <v>1</v>
      </c>
      <c r="CN163" s="229">
        <v>0.11219999999999999</v>
      </c>
      <c r="CO163" s="228">
        <v>479</v>
      </c>
      <c r="CP163" s="228">
        <v>545</v>
      </c>
      <c r="CQ163" s="228">
        <v>-66</v>
      </c>
      <c r="CR163" s="229">
        <v>-0.12139999999999999</v>
      </c>
      <c r="CS163" s="228">
        <v>323</v>
      </c>
      <c r="CT163" s="228">
        <v>336</v>
      </c>
      <c r="CU163" s="228">
        <v>-13</v>
      </c>
      <c r="CV163" s="229">
        <v>-3.8800000000000001E-2</v>
      </c>
      <c r="CW163" s="230">
        <v>1715</v>
      </c>
      <c r="CX163" s="230">
        <v>1833</v>
      </c>
      <c r="CY163" s="228">
        <v>-119</v>
      </c>
      <c r="CZ163" s="229">
        <v>-6.4699999999999994E-2</v>
      </c>
      <c r="DA163" s="228">
        <v>23.69</v>
      </c>
      <c r="DB163" s="228">
        <v>27.22</v>
      </c>
      <c r="DC163" s="228">
        <v>-3.53</v>
      </c>
      <c r="DD163" s="228">
        <v>-3.53</v>
      </c>
      <c r="DE163" s="228">
        <v>30.13</v>
      </c>
      <c r="DF163" s="228">
        <v>30.21</v>
      </c>
      <c r="DG163" s="228">
        <v>-6.44</v>
      </c>
      <c r="DH163" s="228">
        <v>-0.08</v>
      </c>
      <c r="DI163" s="228">
        <v>23.66</v>
      </c>
      <c r="DJ163" s="228">
        <v>28.49</v>
      </c>
      <c r="DK163" s="228">
        <v>-4.83</v>
      </c>
      <c r="DL163" s="228">
        <v>-4.83</v>
      </c>
      <c r="DM163" s="228">
        <v>23.77</v>
      </c>
      <c r="DN163" s="228">
        <v>24.27</v>
      </c>
      <c r="DO163" s="228">
        <v>-0.5</v>
      </c>
      <c r="DP163" s="228">
        <v>-0.5</v>
      </c>
      <c r="DQ163" s="228">
        <v>0.67</v>
      </c>
      <c r="DR163" s="228">
        <v>0.62</v>
      </c>
      <c r="DS163" s="228">
        <v>0.05</v>
      </c>
      <c r="DT163" s="229">
        <v>8.0600000000000005E-2</v>
      </c>
      <c r="DU163" s="231">
        <v>3600</v>
      </c>
      <c r="DV163" s="231">
        <v>3600</v>
      </c>
      <c r="DW163" s="228">
        <v>0.35</v>
      </c>
      <c r="DX163" s="228">
        <v>0.43</v>
      </c>
      <c r="DY163" s="228">
        <v>-0.08</v>
      </c>
      <c r="DZ163" s="229">
        <v>-0.186</v>
      </c>
      <c r="EA163" s="229">
        <v>0.30990000000000001</v>
      </c>
      <c r="EB163" s="230">
        <v>291025</v>
      </c>
      <c r="EC163" s="229">
        <v>3.5999999999999999E-3</v>
      </c>
      <c r="ED163" s="229">
        <v>0.30990000000000001</v>
      </c>
      <c r="EE163" s="228">
        <v>11.43</v>
      </c>
      <c r="EF163" s="229">
        <v>3.3E-3</v>
      </c>
      <c r="EG163" s="230">
        <v>232131</v>
      </c>
      <c r="EH163" s="230">
        <v>224007</v>
      </c>
      <c r="EI163" s="229">
        <v>3.6299999999999999E-2</v>
      </c>
      <c r="EJ163" s="229">
        <v>0.80010000000000003</v>
      </c>
      <c r="EK163" s="228">
        <v>808.11</v>
      </c>
      <c r="EL163" s="228">
        <v>266.56</v>
      </c>
      <c r="EM163" s="228">
        <v>586.91999999999996</v>
      </c>
      <c r="EN163" s="228">
        <v>30.43</v>
      </c>
      <c r="EO163" s="231">
        <v>1661.58</v>
      </c>
      <c r="EP163" s="231">
        <v>1577.31</v>
      </c>
      <c r="EQ163" s="228">
        <v>84.27</v>
      </c>
      <c r="ER163" s="229">
        <v>5.3400000000000003E-2</v>
      </c>
      <c r="ES163" s="228">
        <v>514.37</v>
      </c>
      <c r="ET163" s="228">
        <v>329.35</v>
      </c>
      <c r="EU163" s="228">
        <v>913.58</v>
      </c>
      <c r="EV163" s="231">
        <v>8178275</v>
      </c>
      <c r="EW163" s="231">
        <v>1757.3</v>
      </c>
      <c r="EX163" s="231">
        <v>1880.85</v>
      </c>
      <c r="EY163" s="228">
        <v>-123.55</v>
      </c>
      <c r="EZ163" s="229">
        <v>-6.5699999999999995E-2</v>
      </c>
      <c r="FA163" s="229">
        <v>0.60729999999999995</v>
      </c>
      <c r="FB163" s="227" t="s">
        <v>556</v>
      </c>
      <c r="FC163">
        <f t="shared" si="3"/>
        <v>0</v>
      </c>
    </row>
    <row r="164" spans="1:159" ht="17.25" thickBot="1" x14ac:dyDescent="0.3">
      <c r="A164" s="226">
        <v>45981</v>
      </c>
      <c r="B164" s="227" t="s">
        <v>172</v>
      </c>
      <c r="C164" s="227" t="s">
        <v>275</v>
      </c>
      <c r="D164" s="228">
        <v>8000</v>
      </c>
      <c r="E164" s="228">
        <v>5</v>
      </c>
      <c r="F164" s="228">
        <v>123.83</v>
      </c>
      <c r="G164" s="228">
        <v>125.24</v>
      </c>
      <c r="H164" s="228">
        <v>-1.41</v>
      </c>
      <c r="I164" s="229">
        <v>-1.1299999999999999E-2</v>
      </c>
      <c r="J164" s="228">
        <v>123.86</v>
      </c>
      <c r="K164" s="228">
        <v>125.06</v>
      </c>
      <c r="L164" s="228">
        <v>-1.2</v>
      </c>
      <c r="M164" s="229">
        <v>-9.5999999999999992E-3</v>
      </c>
      <c r="N164" s="228">
        <v>123.83</v>
      </c>
      <c r="O164" s="228">
        <v>125.24</v>
      </c>
      <c r="P164" s="228">
        <v>-1.41</v>
      </c>
      <c r="Q164" s="229">
        <v>-1.1299999999999999E-2</v>
      </c>
      <c r="R164" s="228">
        <v>124.68</v>
      </c>
      <c r="S164" s="228">
        <v>126.15</v>
      </c>
      <c r="T164" s="228">
        <v>-1.47</v>
      </c>
      <c r="U164" s="229">
        <v>-1.17E-2</v>
      </c>
      <c r="V164" s="228">
        <v>125.42</v>
      </c>
      <c r="W164" s="228">
        <v>126.94</v>
      </c>
      <c r="X164" s="228">
        <v>-1.52</v>
      </c>
      <c r="Y164" s="229">
        <v>-1.2E-2</v>
      </c>
      <c r="Z164" s="228">
        <v>-0.03</v>
      </c>
      <c r="AA164" s="228">
        <v>0.18</v>
      </c>
      <c r="AB164" s="228">
        <v>-0.21</v>
      </c>
      <c r="AC164" s="229">
        <v>-2.0000000000000001E-4</v>
      </c>
      <c r="AD164" s="228">
        <v>-0.03</v>
      </c>
      <c r="AE164" s="228">
        <v>0.18</v>
      </c>
      <c r="AF164" s="228">
        <v>-0.21</v>
      </c>
      <c r="AG164" s="229">
        <v>-2.0000000000000001E-4</v>
      </c>
      <c r="AH164" s="228">
        <v>0.82</v>
      </c>
      <c r="AI164" s="228">
        <v>1.0900000000000001</v>
      </c>
      <c r="AJ164" s="228">
        <v>-0.27</v>
      </c>
      <c r="AK164" s="229">
        <v>6.6E-3</v>
      </c>
      <c r="AL164" s="228">
        <v>1.56</v>
      </c>
      <c r="AM164" s="228">
        <v>1.88</v>
      </c>
      <c r="AN164" s="228">
        <v>-0.32</v>
      </c>
      <c r="AO164" s="229">
        <v>1.26E-2</v>
      </c>
      <c r="AP164" s="228">
        <v>124.69</v>
      </c>
      <c r="AQ164" s="228">
        <v>125.53</v>
      </c>
      <c r="AR164" s="228">
        <v>0</v>
      </c>
      <c r="AS164" s="230">
        <v>1551</v>
      </c>
      <c r="AT164" s="230">
        <v>1071</v>
      </c>
      <c r="AU164" s="228">
        <v>480</v>
      </c>
      <c r="AV164" s="229">
        <v>0.44850000000000001</v>
      </c>
      <c r="AW164" s="228">
        <v>797</v>
      </c>
      <c r="AX164" s="228">
        <v>671</v>
      </c>
      <c r="AY164" s="228">
        <v>125</v>
      </c>
      <c r="AZ164" s="229">
        <v>0.18629999999999999</v>
      </c>
      <c r="BA164" s="228">
        <v>730</v>
      </c>
      <c r="BB164" s="228">
        <v>375</v>
      </c>
      <c r="BC164" s="228">
        <v>355</v>
      </c>
      <c r="BD164" s="229">
        <v>0.9456</v>
      </c>
      <c r="BE164" s="228">
        <v>25</v>
      </c>
      <c r="BF164" s="228">
        <v>25</v>
      </c>
      <c r="BG164" s="228">
        <v>1</v>
      </c>
      <c r="BH164" s="229">
        <v>2.4199999999999999E-2</v>
      </c>
      <c r="BI164" s="230">
        <v>2673</v>
      </c>
      <c r="BJ164" s="230">
        <v>3843</v>
      </c>
      <c r="BK164" s="230">
        <v>-1170</v>
      </c>
      <c r="BL164" s="229">
        <v>-0.30449999999999999</v>
      </c>
      <c r="BM164" s="230">
        <v>1792</v>
      </c>
      <c r="BN164" s="230">
        <v>1625</v>
      </c>
      <c r="BO164" s="228">
        <v>167</v>
      </c>
      <c r="BP164" s="229">
        <v>0.1028</v>
      </c>
      <c r="BQ164" s="230">
        <v>6016</v>
      </c>
      <c r="BR164" s="230">
        <v>6539</v>
      </c>
      <c r="BS164" s="228">
        <v>-523</v>
      </c>
      <c r="BT164" s="229">
        <v>-7.9899999999999999E-2</v>
      </c>
      <c r="BU164" s="230">
        <v>18370102</v>
      </c>
      <c r="BV164" s="230">
        <v>22854859</v>
      </c>
      <c r="BW164" s="230">
        <v>-4484757</v>
      </c>
      <c r="BX164" s="229">
        <v>-0.19620000000000001</v>
      </c>
      <c r="BY164" s="230">
        <v>2886</v>
      </c>
      <c r="BZ164" s="230">
        <v>2842</v>
      </c>
      <c r="CA164" s="228">
        <v>45</v>
      </c>
      <c r="CB164" s="229">
        <v>1.5800000000000002E-2</v>
      </c>
      <c r="CC164" s="230">
        <v>1844</v>
      </c>
      <c r="CD164" s="230">
        <v>2306</v>
      </c>
      <c r="CE164" s="228">
        <v>-461</v>
      </c>
      <c r="CF164" s="229">
        <v>-0.2001</v>
      </c>
      <c r="CG164" s="228">
        <v>999</v>
      </c>
      <c r="CH164" s="228">
        <v>492</v>
      </c>
      <c r="CI164" s="228">
        <v>507</v>
      </c>
      <c r="CJ164" s="229">
        <v>1.0289999999999999</v>
      </c>
      <c r="CK164" s="228">
        <v>43</v>
      </c>
      <c r="CL164" s="228">
        <v>44</v>
      </c>
      <c r="CM164" s="228">
        <v>0</v>
      </c>
      <c r="CN164" s="229">
        <v>-1.1299999999999999E-2</v>
      </c>
      <c r="CO164" s="230">
        <v>1479</v>
      </c>
      <c r="CP164" s="230">
        <v>1483</v>
      </c>
      <c r="CQ164" s="228">
        <v>-4</v>
      </c>
      <c r="CR164" s="229">
        <v>-2.5000000000000001E-3</v>
      </c>
      <c r="CS164" s="230">
        <v>1043</v>
      </c>
      <c r="CT164" s="230">
        <v>1055</v>
      </c>
      <c r="CU164" s="228">
        <v>-12</v>
      </c>
      <c r="CV164" s="229">
        <v>-1.14E-2</v>
      </c>
      <c r="CW164" s="230">
        <v>5409</v>
      </c>
      <c r="CX164" s="230">
        <v>5380</v>
      </c>
      <c r="CY164" s="228">
        <v>29</v>
      </c>
      <c r="CZ164" s="229">
        <v>5.4000000000000003E-3</v>
      </c>
      <c r="DA164" s="228">
        <v>24.56</v>
      </c>
      <c r="DB164" s="228">
        <v>27.31</v>
      </c>
      <c r="DC164" s="228">
        <v>-2.75</v>
      </c>
      <c r="DD164" s="228">
        <v>-2.75</v>
      </c>
      <c r="DE164" s="228">
        <v>36.08</v>
      </c>
      <c r="DF164" s="228">
        <v>36.14</v>
      </c>
      <c r="DG164" s="228">
        <v>-11.52</v>
      </c>
      <c r="DH164" s="228">
        <v>-0.06</v>
      </c>
      <c r="DI164" s="228">
        <v>24.64</v>
      </c>
      <c r="DJ164" s="228">
        <v>26.65</v>
      </c>
      <c r="DK164" s="228">
        <v>-2.0099999999999998</v>
      </c>
      <c r="DL164" s="228">
        <v>-2.0099999999999998</v>
      </c>
      <c r="DM164" s="228">
        <v>24.4</v>
      </c>
      <c r="DN164" s="228">
        <v>28.88</v>
      </c>
      <c r="DO164" s="228">
        <v>-4.4800000000000004</v>
      </c>
      <c r="DP164" s="228">
        <v>-4.4800000000000004</v>
      </c>
      <c r="DQ164" s="228">
        <v>0.71</v>
      </c>
      <c r="DR164" s="228">
        <v>0.71</v>
      </c>
      <c r="DS164" s="228">
        <v>0</v>
      </c>
      <c r="DT164" s="229">
        <v>0</v>
      </c>
      <c r="DU164" s="228">
        <v>125</v>
      </c>
      <c r="DV164" s="228">
        <v>125</v>
      </c>
      <c r="DW164" s="228">
        <v>0.67</v>
      </c>
      <c r="DX164" s="228">
        <v>0.42</v>
      </c>
      <c r="DY164" s="228">
        <v>0.25</v>
      </c>
      <c r="DZ164" s="229">
        <v>0.59519999999999995</v>
      </c>
      <c r="EA164" s="229">
        <v>0.36109999999999998</v>
      </c>
      <c r="EB164" s="230">
        <v>43296000</v>
      </c>
      <c r="EC164" s="229">
        <v>6.8999999999999999E-3</v>
      </c>
      <c r="ED164" s="229">
        <v>0.36109999999999998</v>
      </c>
      <c r="EE164" s="228">
        <v>0.84</v>
      </c>
      <c r="EF164" s="229">
        <v>6.7000000000000002E-3</v>
      </c>
      <c r="EG164" s="230">
        <v>7016751</v>
      </c>
      <c r="EH164" s="230">
        <v>10351700</v>
      </c>
      <c r="EI164" s="229">
        <v>-0.32219999999999999</v>
      </c>
      <c r="EJ164" s="229">
        <v>0.38200000000000001</v>
      </c>
      <c r="EK164" s="231">
        <v>2770.69</v>
      </c>
      <c r="EL164" s="231">
        <v>1790.15</v>
      </c>
      <c r="EM164" s="231">
        <v>1567.52</v>
      </c>
      <c r="EN164" s="228">
        <v>60.76</v>
      </c>
      <c r="EO164" s="231">
        <v>6128.36</v>
      </c>
      <c r="EP164" s="231">
        <v>6649.93</v>
      </c>
      <c r="EQ164" s="228">
        <v>-521.57000000000005</v>
      </c>
      <c r="ER164" s="229">
        <v>-7.8399999999999997E-2</v>
      </c>
      <c r="ES164" s="231">
        <v>1514.37</v>
      </c>
      <c r="ET164" s="231">
        <v>1006.61</v>
      </c>
      <c r="EU164" s="231">
        <v>2893.84</v>
      </c>
      <c r="EV164" s="231">
        <v>447910372</v>
      </c>
      <c r="EW164" s="231">
        <v>5414.82</v>
      </c>
      <c r="EX164" s="231">
        <v>5407.11</v>
      </c>
      <c r="EY164" s="228">
        <v>7.71</v>
      </c>
      <c r="EZ164" s="229">
        <v>1.4E-3</v>
      </c>
      <c r="FA164" s="229">
        <v>0.97519999999999996</v>
      </c>
      <c r="FB164" s="227" t="s">
        <v>567</v>
      </c>
      <c r="FC164">
        <f t="shared" si="3"/>
        <v>0</v>
      </c>
    </row>
    <row r="165" spans="1:159" ht="17.25" thickBot="1" x14ac:dyDescent="0.3">
      <c r="A165" s="226">
        <v>45981</v>
      </c>
      <c r="B165" s="227" t="s">
        <v>175</v>
      </c>
      <c r="C165" s="227" t="s">
        <v>671</v>
      </c>
      <c r="D165" s="228">
        <v>650</v>
      </c>
      <c r="E165" s="228">
        <v>5</v>
      </c>
      <c r="F165" s="228">
        <v>904.8</v>
      </c>
      <c r="G165" s="228">
        <v>908.9</v>
      </c>
      <c r="H165" s="228">
        <v>-4.0999999999999996</v>
      </c>
      <c r="I165" s="229">
        <v>-4.4999999999999997E-3</v>
      </c>
      <c r="J165" s="228">
        <v>905.25</v>
      </c>
      <c r="K165" s="228">
        <v>908.85</v>
      </c>
      <c r="L165" s="228">
        <v>-3.6</v>
      </c>
      <c r="M165" s="229">
        <v>-4.0000000000000001E-3</v>
      </c>
      <c r="N165" s="228">
        <v>904.8</v>
      </c>
      <c r="O165" s="228">
        <v>908.9</v>
      </c>
      <c r="P165" s="228">
        <v>-4.0999999999999996</v>
      </c>
      <c r="Q165" s="229">
        <v>-4.4999999999999997E-3</v>
      </c>
      <c r="R165" s="228">
        <v>910.75</v>
      </c>
      <c r="S165" s="228">
        <v>914.9</v>
      </c>
      <c r="T165" s="228">
        <v>-4.1500000000000004</v>
      </c>
      <c r="U165" s="229">
        <v>-4.4999999999999997E-3</v>
      </c>
      <c r="V165" s="228">
        <v>915.75</v>
      </c>
      <c r="W165" s="228">
        <v>921</v>
      </c>
      <c r="X165" s="228">
        <v>-5.25</v>
      </c>
      <c r="Y165" s="229">
        <v>-5.7000000000000002E-3</v>
      </c>
      <c r="Z165" s="228">
        <v>-0.45</v>
      </c>
      <c r="AA165" s="228">
        <v>0.05</v>
      </c>
      <c r="AB165" s="228">
        <v>-0.5</v>
      </c>
      <c r="AC165" s="229">
        <v>-5.0000000000000001E-4</v>
      </c>
      <c r="AD165" s="228">
        <v>-0.45</v>
      </c>
      <c r="AE165" s="228">
        <v>0.05</v>
      </c>
      <c r="AF165" s="228">
        <v>-0.5</v>
      </c>
      <c r="AG165" s="229">
        <v>-5.0000000000000001E-4</v>
      </c>
      <c r="AH165" s="228">
        <v>5.5</v>
      </c>
      <c r="AI165" s="228">
        <v>6.05</v>
      </c>
      <c r="AJ165" s="228">
        <v>-0.55000000000000004</v>
      </c>
      <c r="AK165" s="229">
        <v>6.1000000000000004E-3</v>
      </c>
      <c r="AL165" s="228">
        <v>10.5</v>
      </c>
      <c r="AM165" s="228">
        <v>12.15</v>
      </c>
      <c r="AN165" s="228">
        <v>-1.65</v>
      </c>
      <c r="AO165" s="229">
        <v>1.1599999999999999E-2</v>
      </c>
      <c r="AP165" s="228">
        <v>909.35</v>
      </c>
      <c r="AQ165" s="228">
        <v>915.7</v>
      </c>
      <c r="AR165" s="228">
        <v>0</v>
      </c>
      <c r="AS165" s="228">
        <v>490</v>
      </c>
      <c r="AT165" s="228">
        <v>252</v>
      </c>
      <c r="AU165" s="228">
        <v>238</v>
      </c>
      <c r="AV165" s="229">
        <v>0.94310000000000005</v>
      </c>
      <c r="AW165" s="228">
        <v>263</v>
      </c>
      <c r="AX165" s="228">
        <v>158</v>
      </c>
      <c r="AY165" s="228">
        <v>105</v>
      </c>
      <c r="AZ165" s="229">
        <v>0.66669999999999996</v>
      </c>
      <c r="BA165" s="228">
        <v>226</v>
      </c>
      <c r="BB165" s="228">
        <v>93</v>
      </c>
      <c r="BC165" s="228">
        <v>133</v>
      </c>
      <c r="BD165" s="229">
        <v>1.4379999999999999</v>
      </c>
      <c r="BE165" s="228">
        <v>1</v>
      </c>
      <c r="BF165" s="228">
        <v>2</v>
      </c>
      <c r="BG165" s="228">
        <v>0</v>
      </c>
      <c r="BH165" s="229">
        <v>-0.2581</v>
      </c>
      <c r="BI165" s="228">
        <v>311</v>
      </c>
      <c r="BJ165" s="228">
        <v>695</v>
      </c>
      <c r="BK165" s="228">
        <v>-385</v>
      </c>
      <c r="BL165" s="229">
        <v>-0.55330000000000001</v>
      </c>
      <c r="BM165" s="228">
        <v>117</v>
      </c>
      <c r="BN165" s="228">
        <v>380</v>
      </c>
      <c r="BO165" s="228">
        <v>-264</v>
      </c>
      <c r="BP165" s="229">
        <v>-0.69299999999999995</v>
      </c>
      <c r="BQ165" s="228">
        <v>917</v>
      </c>
      <c r="BR165" s="230">
        <v>1328</v>
      </c>
      <c r="BS165" s="228">
        <v>-411</v>
      </c>
      <c r="BT165" s="229">
        <v>-0.30930000000000002</v>
      </c>
      <c r="BU165" s="230">
        <v>377555</v>
      </c>
      <c r="BV165" s="230">
        <v>1043023</v>
      </c>
      <c r="BW165" s="230">
        <v>-665468</v>
      </c>
      <c r="BX165" s="229">
        <v>-0.63800000000000001</v>
      </c>
      <c r="BY165" s="230">
        <v>1436</v>
      </c>
      <c r="BZ165" s="230">
        <v>1463</v>
      </c>
      <c r="CA165" s="228">
        <v>-27</v>
      </c>
      <c r="CB165" s="229">
        <v>-1.83E-2</v>
      </c>
      <c r="CC165" s="230">
        <v>1143</v>
      </c>
      <c r="CD165" s="230">
        <v>1349</v>
      </c>
      <c r="CE165" s="228">
        <v>-205</v>
      </c>
      <c r="CF165" s="229">
        <v>-0.15229999999999999</v>
      </c>
      <c r="CG165" s="228">
        <v>287</v>
      </c>
      <c r="CH165" s="228">
        <v>109</v>
      </c>
      <c r="CI165" s="228">
        <v>178</v>
      </c>
      <c r="CJ165" s="229">
        <v>1.629</v>
      </c>
      <c r="CK165" s="228">
        <v>5</v>
      </c>
      <c r="CL165" s="228">
        <v>5</v>
      </c>
      <c r="CM165" s="228">
        <v>1</v>
      </c>
      <c r="CN165" s="229">
        <v>0.14810000000000001</v>
      </c>
      <c r="CO165" s="228">
        <v>535</v>
      </c>
      <c r="CP165" s="228">
        <v>561</v>
      </c>
      <c r="CQ165" s="228">
        <v>-27</v>
      </c>
      <c r="CR165" s="229">
        <v>-4.7399999999999998E-2</v>
      </c>
      <c r="CS165" s="228">
        <v>427</v>
      </c>
      <c r="CT165" s="228">
        <v>436</v>
      </c>
      <c r="CU165" s="228">
        <v>-9</v>
      </c>
      <c r="CV165" s="229">
        <v>-2.1600000000000001E-2</v>
      </c>
      <c r="CW165" s="230">
        <v>2397</v>
      </c>
      <c r="CX165" s="230">
        <v>2460</v>
      </c>
      <c r="CY165" s="228">
        <v>-63</v>
      </c>
      <c r="CZ165" s="229">
        <v>-2.5499999999999998E-2</v>
      </c>
      <c r="DA165" s="228">
        <v>29.32</v>
      </c>
      <c r="DB165" s="228">
        <v>30.93</v>
      </c>
      <c r="DC165" s="228">
        <v>-1.61</v>
      </c>
      <c r="DD165" s="228">
        <v>-1.61</v>
      </c>
      <c r="DE165" s="228">
        <v>47.04</v>
      </c>
      <c r="DF165" s="228">
        <v>47.16</v>
      </c>
      <c r="DG165" s="228">
        <v>-17.72</v>
      </c>
      <c r="DH165" s="228">
        <v>-0.12</v>
      </c>
      <c r="DI165" s="228">
        <v>29.42</v>
      </c>
      <c r="DJ165" s="228">
        <v>31.24</v>
      </c>
      <c r="DK165" s="228">
        <v>-1.82</v>
      </c>
      <c r="DL165" s="228">
        <v>-1.82</v>
      </c>
      <c r="DM165" s="228">
        <v>29.15</v>
      </c>
      <c r="DN165" s="228">
        <v>30.37</v>
      </c>
      <c r="DO165" s="228">
        <v>-1.22</v>
      </c>
      <c r="DP165" s="228">
        <v>-1.22</v>
      </c>
      <c r="DQ165" s="228">
        <v>0.8</v>
      </c>
      <c r="DR165" s="228">
        <v>0.78</v>
      </c>
      <c r="DS165" s="228">
        <v>0.02</v>
      </c>
      <c r="DT165" s="229">
        <v>2.5600000000000001E-2</v>
      </c>
      <c r="DU165" s="231">
        <v>1000</v>
      </c>
      <c r="DV165" s="228">
        <v>900</v>
      </c>
      <c r="DW165" s="228">
        <v>0.38</v>
      </c>
      <c r="DX165" s="228">
        <v>0.55000000000000004</v>
      </c>
      <c r="DY165" s="228">
        <v>-0.17</v>
      </c>
      <c r="DZ165" s="229">
        <v>-0.30909999999999999</v>
      </c>
      <c r="EA165" s="229">
        <v>0.20380000000000001</v>
      </c>
      <c r="EB165" s="230">
        <v>1259700</v>
      </c>
      <c r="EC165" s="229">
        <v>6.6E-3</v>
      </c>
      <c r="ED165" s="229">
        <v>0.20380000000000001</v>
      </c>
      <c r="EE165" s="228">
        <v>6.35</v>
      </c>
      <c r="EF165" s="229">
        <v>7.0000000000000001E-3</v>
      </c>
      <c r="EG165" s="230">
        <v>162159</v>
      </c>
      <c r="EH165" s="230">
        <v>380841</v>
      </c>
      <c r="EI165" s="229">
        <v>-0.57420000000000004</v>
      </c>
      <c r="EJ165" s="229">
        <v>0.42949999999999999</v>
      </c>
      <c r="EK165" s="228">
        <v>325.2</v>
      </c>
      <c r="EL165" s="228">
        <v>115.58</v>
      </c>
      <c r="EM165" s="228">
        <v>493.85</v>
      </c>
      <c r="EN165" s="228">
        <v>32.020000000000003</v>
      </c>
      <c r="EO165" s="228">
        <v>934.63</v>
      </c>
      <c r="EP165" s="231">
        <v>1357.68</v>
      </c>
      <c r="EQ165" s="228">
        <v>-423.05</v>
      </c>
      <c r="ER165" s="229">
        <v>-0.31159999999999999</v>
      </c>
      <c r="ES165" s="228">
        <v>563.4</v>
      </c>
      <c r="ET165" s="228">
        <v>416.93</v>
      </c>
      <c r="EU165" s="231">
        <v>1437.91</v>
      </c>
      <c r="EV165" s="231">
        <v>28062406</v>
      </c>
      <c r="EW165" s="231">
        <v>2418.2399999999998</v>
      </c>
      <c r="EX165" s="231">
        <v>2488.14</v>
      </c>
      <c r="EY165" s="228">
        <v>-69.900000000000006</v>
      </c>
      <c r="EZ165" s="229">
        <v>-2.81E-2</v>
      </c>
      <c r="FA165" s="229">
        <v>0.94420000000000004</v>
      </c>
      <c r="FB165" s="227" t="s">
        <v>568</v>
      </c>
      <c r="FC165">
        <f t="shared" si="3"/>
        <v>0</v>
      </c>
    </row>
    <row r="166" spans="1:159" ht="17.25" thickBot="1" x14ac:dyDescent="0.3">
      <c r="A166" s="226">
        <v>45981</v>
      </c>
      <c r="B166" s="227" t="s">
        <v>615</v>
      </c>
      <c r="C166" s="227" t="s">
        <v>573</v>
      </c>
      <c r="D166" s="228">
        <v>350</v>
      </c>
      <c r="E166" s="228">
        <v>5</v>
      </c>
      <c r="F166" s="231">
        <v>1842.6</v>
      </c>
      <c r="G166" s="231">
        <v>1853</v>
      </c>
      <c r="H166" s="228">
        <v>-10.4</v>
      </c>
      <c r="I166" s="229">
        <v>-5.5999999999999999E-3</v>
      </c>
      <c r="J166" s="231">
        <v>1843.9</v>
      </c>
      <c r="K166" s="231">
        <v>1850.7</v>
      </c>
      <c r="L166" s="228">
        <v>-6.8</v>
      </c>
      <c r="M166" s="229">
        <v>-3.7000000000000002E-3</v>
      </c>
      <c r="N166" s="231">
        <v>1842.6</v>
      </c>
      <c r="O166" s="231">
        <v>1853</v>
      </c>
      <c r="P166" s="228">
        <v>-10.4</v>
      </c>
      <c r="Q166" s="229">
        <v>-5.5999999999999999E-3</v>
      </c>
      <c r="R166" s="231">
        <v>1855</v>
      </c>
      <c r="S166" s="231">
        <v>1865.7</v>
      </c>
      <c r="T166" s="228">
        <v>-10.7</v>
      </c>
      <c r="U166" s="229">
        <v>-5.7000000000000002E-3</v>
      </c>
      <c r="V166" s="231">
        <v>1869.5</v>
      </c>
      <c r="W166" s="231">
        <v>1871.8</v>
      </c>
      <c r="X166" s="228">
        <v>-2.2999999999999998</v>
      </c>
      <c r="Y166" s="229">
        <v>-1.1999999999999999E-3</v>
      </c>
      <c r="Z166" s="228">
        <v>-1.3</v>
      </c>
      <c r="AA166" s="228">
        <v>2.2999999999999998</v>
      </c>
      <c r="AB166" s="228">
        <v>-3.6</v>
      </c>
      <c r="AC166" s="229">
        <v>-6.9999999999999999E-4</v>
      </c>
      <c r="AD166" s="228">
        <v>-1.3</v>
      </c>
      <c r="AE166" s="228">
        <v>2.2999999999999998</v>
      </c>
      <c r="AF166" s="228">
        <v>-3.6</v>
      </c>
      <c r="AG166" s="229">
        <v>-6.9999999999999999E-4</v>
      </c>
      <c r="AH166" s="228">
        <v>11.1</v>
      </c>
      <c r="AI166" s="228">
        <v>15</v>
      </c>
      <c r="AJ166" s="228">
        <v>-3.9</v>
      </c>
      <c r="AK166" s="229">
        <v>6.0000000000000001E-3</v>
      </c>
      <c r="AL166" s="228">
        <v>25.6</v>
      </c>
      <c r="AM166" s="228">
        <v>21.1</v>
      </c>
      <c r="AN166" s="228">
        <v>4.5</v>
      </c>
      <c r="AO166" s="229">
        <v>1.3899999999999999E-2</v>
      </c>
      <c r="AP166" s="231">
        <v>1846.42</v>
      </c>
      <c r="AQ166" s="231">
        <v>1859</v>
      </c>
      <c r="AR166" s="228">
        <v>0</v>
      </c>
      <c r="AS166" s="228">
        <v>833</v>
      </c>
      <c r="AT166" s="228">
        <v>432</v>
      </c>
      <c r="AU166" s="228">
        <v>401</v>
      </c>
      <c r="AV166" s="229">
        <v>0.92930000000000001</v>
      </c>
      <c r="AW166" s="228">
        <v>457</v>
      </c>
      <c r="AX166" s="228">
        <v>337</v>
      </c>
      <c r="AY166" s="228">
        <v>120</v>
      </c>
      <c r="AZ166" s="229">
        <v>0.35639999999999999</v>
      </c>
      <c r="BA166" s="228">
        <v>374</v>
      </c>
      <c r="BB166" s="228">
        <v>93</v>
      </c>
      <c r="BC166" s="228">
        <v>282</v>
      </c>
      <c r="BD166" s="229">
        <v>3.0347</v>
      </c>
      <c r="BE166" s="228">
        <v>1</v>
      </c>
      <c r="BF166" s="228">
        <v>1</v>
      </c>
      <c r="BG166" s="228">
        <v>-1</v>
      </c>
      <c r="BH166" s="229">
        <v>-0.59089999999999998</v>
      </c>
      <c r="BI166" s="228">
        <v>614</v>
      </c>
      <c r="BJ166" s="230">
        <v>2013</v>
      </c>
      <c r="BK166" s="230">
        <v>-1399</v>
      </c>
      <c r="BL166" s="229">
        <v>-0.69489999999999996</v>
      </c>
      <c r="BM166" s="228">
        <v>357</v>
      </c>
      <c r="BN166" s="228">
        <v>869</v>
      </c>
      <c r="BO166" s="228">
        <v>-512</v>
      </c>
      <c r="BP166" s="229">
        <v>-0.58899999999999997</v>
      </c>
      <c r="BQ166" s="230">
        <v>1804</v>
      </c>
      <c r="BR166" s="230">
        <v>3314</v>
      </c>
      <c r="BS166" s="230">
        <v>-1510</v>
      </c>
      <c r="BT166" s="229">
        <v>-0.45569999999999999</v>
      </c>
      <c r="BU166" s="230">
        <v>861080</v>
      </c>
      <c r="BV166" s="230">
        <v>2517227</v>
      </c>
      <c r="BW166" s="230">
        <v>-1656147</v>
      </c>
      <c r="BX166" s="229">
        <v>-0.65790000000000004</v>
      </c>
      <c r="BY166" s="230">
        <v>1573</v>
      </c>
      <c r="BZ166" s="230">
        <v>1604</v>
      </c>
      <c r="CA166" s="228">
        <v>-32</v>
      </c>
      <c r="CB166" s="229">
        <v>-1.9800000000000002E-2</v>
      </c>
      <c r="CC166" s="230">
        <v>1146</v>
      </c>
      <c r="CD166" s="230">
        <v>1481</v>
      </c>
      <c r="CE166" s="228">
        <v>-335</v>
      </c>
      <c r="CF166" s="229">
        <v>-0.2263</v>
      </c>
      <c r="CG166" s="228">
        <v>423</v>
      </c>
      <c r="CH166" s="228">
        <v>120</v>
      </c>
      <c r="CI166" s="228">
        <v>303</v>
      </c>
      <c r="CJ166" s="229">
        <v>2.5295999999999998</v>
      </c>
      <c r="CK166" s="228">
        <v>3</v>
      </c>
      <c r="CL166" s="228">
        <v>3</v>
      </c>
      <c r="CM166" s="228">
        <v>0</v>
      </c>
      <c r="CN166" s="229">
        <v>2.2700000000000001E-2</v>
      </c>
      <c r="CO166" s="228">
        <v>481</v>
      </c>
      <c r="CP166" s="228">
        <v>517</v>
      </c>
      <c r="CQ166" s="228">
        <v>-36</v>
      </c>
      <c r="CR166" s="229">
        <v>-6.9199999999999998E-2</v>
      </c>
      <c r="CS166" s="228">
        <v>284</v>
      </c>
      <c r="CT166" s="228">
        <v>296</v>
      </c>
      <c r="CU166" s="228">
        <v>-13</v>
      </c>
      <c r="CV166" s="229">
        <v>-4.3099999999999999E-2</v>
      </c>
      <c r="CW166" s="230">
        <v>2337</v>
      </c>
      <c r="CX166" s="230">
        <v>2418</v>
      </c>
      <c r="CY166" s="228">
        <v>-80</v>
      </c>
      <c r="CZ166" s="229">
        <v>-3.32E-2</v>
      </c>
      <c r="DA166" s="228">
        <v>31.4</v>
      </c>
      <c r="DB166" s="228">
        <v>29.17</v>
      </c>
      <c r="DC166" s="228">
        <v>2.23</v>
      </c>
      <c r="DD166" s="228">
        <v>2.23</v>
      </c>
      <c r="DE166" s="228">
        <v>47.63</v>
      </c>
      <c r="DF166" s="228">
        <v>47.75</v>
      </c>
      <c r="DG166" s="228">
        <v>-16.23</v>
      </c>
      <c r="DH166" s="228">
        <v>-0.12</v>
      </c>
      <c r="DI166" s="228">
        <v>31.03</v>
      </c>
      <c r="DJ166" s="228">
        <v>28.24</v>
      </c>
      <c r="DK166" s="228">
        <v>2.79</v>
      </c>
      <c r="DL166" s="228">
        <v>2.79</v>
      </c>
      <c r="DM166" s="228">
        <v>31.78</v>
      </c>
      <c r="DN166" s="228">
        <v>31.33</v>
      </c>
      <c r="DO166" s="228">
        <v>0.45</v>
      </c>
      <c r="DP166" s="228">
        <v>0.45</v>
      </c>
      <c r="DQ166" s="228">
        <v>0.59</v>
      </c>
      <c r="DR166" s="228">
        <v>0.56999999999999995</v>
      </c>
      <c r="DS166" s="228">
        <v>0.02</v>
      </c>
      <c r="DT166" s="229">
        <v>3.5099999999999999E-2</v>
      </c>
      <c r="DU166" s="231">
        <v>1900</v>
      </c>
      <c r="DV166" s="231">
        <v>1800</v>
      </c>
      <c r="DW166" s="228">
        <v>0.57999999999999996</v>
      </c>
      <c r="DX166" s="228">
        <v>0.43</v>
      </c>
      <c r="DY166" s="228">
        <v>0.15</v>
      </c>
      <c r="DZ166" s="229">
        <v>0.3488</v>
      </c>
      <c r="EA166" s="229">
        <v>0.27110000000000001</v>
      </c>
      <c r="EB166" s="230">
        <v>666400</v>
      </c>
      <c r="EC166" s="229">
        <v>6.7000000000000002E-3</v>
      </c>
      <c r="ED166" s="229">
        <v>0.27110000000000001</v>
      </c>
      <c r="EE166" s="228">
        <v>12.58</v>
      </c>
      <c r="EF166" s="229">
        <v>6.7999999999999996E-3</v>
      </c>
      <c r="EG166" s="230">
        <v>511820</v>
      </c>
      <c r="EH166" s="230">
        <v>1707339</v>
      </c>
      <c r="EI166" s="229">
        <v>-0.70020000000000004</v>
      </c>
      <c r="EJ166" s="229">
        <v>0.59440000000000004</v>
      </c>
      <c r="EK166" s="228">
        <v>637.13</v>
      </c>
      <c r="EL166" s="228">
        <v>348.33</v>
      </c>
      <c r="EM166" s="228">
        <v>836.8</v>
      </c>
      <c r="EN166" s="228">
        <v>52.79</v>
      </c>
      <c r="EO166" s="231">
        <v>1822.26</v>
      </c>
      <c r="EP166" s="231">
        <v>3358.11</v>
      </c>
      <c r="EQ166" s="231">
        <v>-1535.85</v>
      </c>
      <c r="ER166" s="229">
        <v>-0.45739999999999997</v>
      </c>
      <c r="ES166" s="228">
        <v>496.3</v>
      </c>
      <c r="ET166" s="228">
        <v>265.79000000000002</v>
      </c>
      <c r="EU166" s="231">
        <v>1575.44</v>
      </c>
      <c r="EV166" s="231">
        <v>51720057</v>
      </c>
      <c r="EW166" s="231">
        <v>2337.5300000000002</v>
      </c>
      <c r="EX166" s="231">
        <v>2425.7600000000002</v>
      </c>
      <c r="EY166" s="228">
        <v>-88.23</v>
      </c>
      <c r="EZ166" s="229">
        <v>-3.6400000000000002E-2</v>
      </c>
      <c r="FA166" s="229">
        <v>0.24529999999999999</v>
      </c>
      <c r="FB166" s="227" t="s">
        <v>568</v>
      </c>
      <c r="FC166">
        <f t="shared" si="3"/>
        <v>0</v>
      </c>
    </row>
    <row r="167" spans="1:159" ht="17.25" thickBot="1" x14ac:dyDescent="0.3">
      <c r="A167" s="226">
        <v>45981</v>
      </c>
      <c r="B167" s="227" t="s">
        <v>184</v>
      </c>
      <c r="C167" s="227" t="s">
        <v>519</v>
      </c>
      <c r="D167" s="228">
        <v>125</v>
      </c>
      <c r="E167" s="228">
        <v>5</v>
      </c>
      <c r="F167" s="231">
        <v>7658.5</v>
      </c>
      <c r="G167" s="231">
        <v>7693.5</v>
      </c>
      <c r="H167" s="228">
        <v>-35</v>
      </c>
      <c r="I167" s="229">
        <v>-4.4999999999999997E-3</v>
      </c>
      <c r="J167" s="231">
        <v>7648.5</v>
      </c>
      <c r="K167" s="231">
        <v>7688</v>
      </c>
      <c r="L167" s="228">
        <v>-39.5</v>
      </c>
      <c r="M167" s="229">
        <v>-5.1000000000000004E-3</v>
      </c>
      <c r="N167" s="231">
        <v>7658.5</v>
      </c>
      <c r="O167" s="231">
        <v>7693.5</v>
      </c>
      <c r="P167" s="228">
        <v>-35</v>
      </c>
      <c r="Q167" s="229">
        <v>-4.4999999999999997E-3</v>
      </c>
      <c r="R167" s="231">
        <v>7712</v>
      </c>
      <c r="S167" s="231">
        <v>7743</v>
      </c>
      <c r="T167" s="228">
        <v>-31</v>
      </c>
      <c r="U167" s="229">
        <v>-4.0000000000000001E-3</v>
      </c>
      <c r="V167" s="231">
        <v>7746</v>
      </c>
      <c r="W167" s="231">
        <v>7786.5</v>
      </c>
      <c r="X167" s="228">
        <v>-40.5</v>
      </c>
      <c r="Y167" s="229">
        <v>-5.1999999999999998E-3</v>
      </c>
      <c r="Z167" s="228">
        <v>10</v>
      </c>
      <c r="AA167" s="228">
        <v>5.5</v>
      </c>
      <c r="AB167" s="228">
        <v>4.5</v>
      </c>
      <c r="AC167" s="229">
        <v>1.2999999999999999E-3</v>
      </c>
      <c r="AD167" s="228">
        <v>10</v>
      </c>
      <c r="AE167" s="228">
        <v>5.5</v>
      </c>
      <c r="AF167" s="228">
        <v>4.5</v>
      </c>
      <c r="AG167" s="229">
        <v>1.2999999999999999E-3</v>
      </c>
      <c r="AH167" s="228">
        <v>63.5</v>
      </c>
      <c r="AI167" s="228">
        <v>55</v>
      </c>
      <c r="AJ167" s="228">
        <v>8.5</v>
      </c>
      <c r="AK167" s="229">
        <v>8.3000000000000001E-3</v>
      </c>
      <c r="AL167" s="228">
        <v>97.5</v>
      </c>
      <c r="AM167" s="228">
        <v>98.5</v>
      </c>
      <c r="AN167" s="228">
        <v>-1</v>
      </c>
      <c r="AO167" s="229">
        <v>1.2699999999999999E-2</v>
      </c>
      <c r="AP167" s="231">
        <v>7689.88</v>
      </c>
      <c r="AQ167" s="231">
        <v>7741.29</v>
      </c>
      <c r="AR167" s="228">
        <v>0</v>
      </c>
      <c r="AS167" s="228">
        <v>820</v>
      </c>
      <c r="AT167" s="228">
        <v>149</v>
      </c>
      <c r="AU167" s="228">
        <v>671</v>
      </c>
      <c r="AV167" s="229">
        <v>4.5054999999999996</v>
      </c>
      <c r="AW167" s="228">
        <v>399</v>
      </c>
      <c r="AX167" s="228">
        <v>118</v>
      </c>
      <c r="AY167" s="228">
        <v>280</v>
      </c>
      <c r="AZ167" s="229">
        <v>2.3654000000000002</v>
      </c>
      <c r="BA167" s="228">
        <v>420</v>
      </c>
      <c r="BB167" s="228">
        <v>29</v>
      </c>
      <c r="BC167" s="228">
        <v>391</v>
      </c>
      <c r="BD167" s="229">
        <v>13.336600000000001</v>
      </c>
      <c r="BE167" s="228">
        <v>1</v>
      </c>
      <c r="BF167" s="228">
        <v>1</v>
      </c>
      <c r="BG167" s="228">
        <v>0</v>
      </c>
      <c r="BH167" s="229">
        <v>-8.3299999999999999E-2</v>
      </c>
      <c r="BI167" s="228">
        <v>736</v>
      </c>
      <c r="BJ167" s="228">
        <v>652</v>
      </c>
      <c r="BK167" s="228">
        <v>84</v>
      </c>
      <c r="BL167" s="229">
        <v>0.129</v>
      </c>
      <c r="BM167" s="228">
        <v>310</v>
      </c>
      <c r="BN167" s="228">
        <v>219</v>
      </c>
      <c r="BO167" s="228">
        <v>91</v>
      </c>
      <c r="BP167" s="229">
        <v>0.41699999999999998</v>
      </c>
      <c r="BQ167" s="230">
        <v>1866</v>
      </c>
      <c r="BR167" s="230">
        <v>1019</v>
      </c>
      <c r="BS167" s="228">
        <v>846</v>
      </c>
      <c r="BT167" s="229">
        <v>0.82989999999999997</v>
      </c>
      <c r="BU167" s="230">
        <v>226372</v>
      </c>
      <c r="BV167" s="230">
        <v>142545</v>
      </c>
      <c r="BW167" s="230">
        <v>83827</v>
      </c>
      <c r="BX167" s="229">
        <v>0.58809999999999996</v>
      </c>
      <c r="BY167" s="230">
        <v>1168</v>
      </c>
      <c r="BZ167" s="230">
        <v>1118</v>
      </c>
      <c r="CA167" s="228">
        <v>50</v>
      </c>
      <c r="CB167" s="229">
        <v>4.4499999999999998E-2</v>
      </c>
      <c r="CC167" s="228">
        <v>770</v>
      </c>
      <c r="CD167" s="230">
        <v>1054</v>
      </c>
      <c r="CE167" s="228">
        <v>-284</v>
      </c>
      <c r="CF167" s="229">
        <v>-0.26929999999999998</v>
      </c>
      <c r="CG167" s="228">
        <v>393</v>
      </c>
      <c r="CH167" s="228">
        <v>60</v>
      </c>
      <c r="CI167" s="228">
        <v>333</v>
      </c>
      <c r="CJ167" s="229">
        <v>5.5237999999999996</v>
      </c>
      <c r="CK167" s="228">
        <v>4</v>
      </c>
      <c r="CL167" s="228">
        <v>4</v>
      </c>
      <c r="CM167" s="228">
        <v>0</v>
      </c>
      <c r="CN167" s="229">
        <v>9.2999999999999999E-2</v>
      </c>
      <c r="CO167" s="228">
        <v>584</v>
      </c>
      <c r="CP167" s="228">
        <v>636</v>
      </c>
      <c r="CQ167" s="228">
        <v>-51</v>
      </c>
      <c r="CR167" s="229">
        <v>-8.0699999999999994E-2</v>
      </c>
      <c r="CS167" s="228">
        <v>289</v>
      </c>
      <c r="CT167" s="228">
        <v>330</v>
      </c>
      <c r="CU167" s="228">
        <v>-41</v>
      </c>
      <c r="CV167" s="229">
        <v>-0.1239</v>
      </c>
      <c r="CW167" s="230">
        <v>2041</v>
      </c>
      <c r="CX167" s="230">
        <v>2083</v>
      </c>
      <c r="CY167" s="228">
        <v>-42</v>
      </c>
      <c r="CZ167" s="229">
        <v>-2.0400000000000001E-2</v>
      </c>
      <c r="DA167" s="228">
        <v>21.58</v>
      </c>
      <c r="DB167" s="228">
        <v>23.72</v>
      </c>
      <c r="DC167" s="228">
        <v>-2.14</v>
      </c>
      <c r="DD167" s="228">
        <v>-2.14</v>
      </c>
      <c r="DE167" s="228">
        <v>39.46</v>
      </c>
      <c r="DF167" s="228">
        <v>39.549999999999997</v>
      </c>
      <c r="DG167" s="228">
        <v>-17.88</v>
      </c>
      <c r="DH167" s="228">
        <v>-0.09</v>
      </c>
      <c r="DI167" s="228">
        <v>22.13</v>
      </c>
      <c r="DJ167" s="228">
        <v>23.23</v>
      </c>
      <c r="DK167" s="228">
        <v>-1.1000000000000001</v>
      </c>
      <c r="DL167" s="228">
        <v>-1.1000000000000001</v>
      </c>
      <c r="DM167" s="228">
        <v>20.96</v>
      </c>
      <c r="DN167" s="228">
        <v>25.17</v>
      </c>
      <c r="DO167" s="228">
        <v>-4.21</v>
      </c>
      <c r="DP167" s="228">
        <v>-4.21</v>
      </c>
      <c r="DQ167" s="228">
        <v>0.49</v>
      </c>
      <c r="DR167" s="228">
        <v>0.52</v>
      </c>
      <c r="DS167" s="228">
        <v>-0.03</v>
      </c>
      <c r="DT167" s="229">
        <v>-5.7700000000000001E-2</v>
      </c>
      <c r="DU167" s="231">
        <v>7800</v>
      </c>
      <c r="DV167" s="231">
        <v>7700</v>
      </c>
      <c r="DW167" s="228">
        <v>0.42</v>
      </c>
      <c r="DX167" s="228">
        <v>0.34</v>
      </c>
      <c r="DY167" s="228">
        <v>0.08</v>
      </c>
      <c r="DZ167" s="229">
        <v>0.23530000000000001</v>
      </c>
      <c r="EA167" s="229">
        <v>0.34079999999999999</v>
      </c>
      <c r="EB167" s="230">
        <v>84125</v>
      </c>
      <c r="EC167" s="229">
        <v>7.0000000000000001E-3</v>
      </c>
      <c r="ED167" s="229">
        <v>0.34079999999999999</v>
      </c>
      <c r="EE167" s="228">
        <v>51.41</v>
      </c>
      <c r="EF167" s="229">
        <v>6.7000000000000002E-3</v>
      </c>
      <c r="EG167" s="230">
        <v>166105</v>
      </c>
      <c r="EH167" s="230">
        <v>90393</v>
      </c>
      <c r="EI167" s="229">
        <v>0.83760000000000001</v>
      </c>
      <c r="EJ167" s="229">
        <v>0.73380000000000001</v>
      </c>
      <c r="EK167" s="228">
        <v>758.88</v>
      </c>
      <c r="EL167" s="228">
        <v>306.93</v>
      </c>
      <c r="EM167" s="228">
        <v>825.74</v>
      </c>
      <c r="EN167" s="228">
        <v>20.85</v>
      </c>
      <c r="EO167" s="231">
        <v>1891.55</v>
      </c>
      <c r="EP167" s="231">
        <v>1035.51</v>
      </c>
      <c r="EQ167" s="228">
        <v>856.04</v>
      </c>
      <c r="ER167" s="229">
        <v>0.82669999999999999</v>
      </c>
      <c r="ES167" s="228">
        <v>604.45000000000005</v>
      </c>
      <c r="ET167" s="228">
        <v>281.75</v>
      </c>
      <c r="EU167" s="231">
        <v>1170.6300000000001</v>
      </c>
      <c r="EV167" s="231">
        <v>8350688</v>
      </c>
      <c r="EW167" s="231">
        <v>2056.83</v>
      </c>
      <c r="EX167" s="231">
        <v>2103.85</v>
      </c>
      <c r="EY167" s="228">
        <v>-47.02</v>
      </c>
      <c r="EZ167" s="229">
        <v>-2.23E-2</v>
      </c>
      <c r="FA167" s="229">
        <v>0.31909999999999999</v>
      </c>
      <c r="FB167" s="227" t="s">
        <v>567</v>
      </c>
      <c r="FC167">
        <f t="shared" si="3"/>
        <v>0</v>
      </c>
    </row>
    <row r="168" spans="1:159" ht="17.25" thickBot="1" x14ac:dyDescent="0.3">
      <c r="A168" s="226">
        <v>45981</v>
      </c>
      <c r="B168" s="227" t="s">
        <v>161</v>
      </c>
      <c r="C168" s="227" t="s">
        <v>276</v>
      </c>
      <c r="D168" s="228">
        <v>1900</v>
      </c>
      <c r="E168" s="228">
        <v>5</v>
      </c>
      <c r="F168" s="228">
        <v>276.95</v>
      </c>
      <c r="G168" s="228">
        <v>275</v>
      </c>
      <c r="H168" s="228">
        <v>1.95</v>
      </c>
      <c r="I168" s="229">
        <v>7.1000000000000004E-3</v>
      </c>
      <c r="J168" s="228">
        <v>277.2</v>
      </c>
      <c r="K168" s="228">
        <v>275.14999999999998</v>
      </c>
      <c r="L168" s="228">
        <v>2.0499999999999998</v>
      </c>
      <c r="M168" s="229">
        <v>7.4999999999999997E-3</v>
      </c>
      <c r="N168" s="228">
        <v>276.95</v>
      </c>
      <c r="O168" s="228">
        <v>275</v>
      </c>
      <c r="P168" s="228">
        <v>1.95</v>
      </c>
      <c r="Q168" s="229">
        <v>7.1000000000000004E-3</v>
      </c>
      <c r="R168" s="228">
        <v>278.8</v>
      </c>
      <c r="S168" s="228">
        <v>276.89999999999998</v>
      </c>
      <c r="T168" s="228">
        <v>1.9</v>
      </c>
      <c r="U168" s="229">
        <v>6.8999999999999999E-3</v>
      </c>
      <c r="V168" s="228">
        <v>280.60000000000002</v>
      </c>
      <c r="W168" s="228">
        <v>278.35000000000002</v>
      </c>
      <c r="X168" s="228">
        <v>2.25</v>
      </c>
      <c r="Y168" s="229">
        <v>8.0999999999999996E-3</v>
      </c>
      <c r="Z168" s="228">
        <v>-0.25</v>
      </c>
      <c r="AA168" s="228">
        <v>-0.15</v>
      </c>
      <c r="AB168" s="228">
        <v>-0.1</v>
      </c>
      <c r="AC168" s="229">
        <v>-8.9999999999999998E-4</v>
      </c>
      <c r="AD168" s="228">
        <v>-0.25</v>
      </c>
      <c r="AE168" s="228">
        <v>-0.15</v>
      </c>
      <c r="AF168" s="228">
        <v>-0.1</v>
      </c>
      <c r="AG168" s="229">
        <v>-8.9999999999999998E-4</v>
      </c>
      <c r="AH168" s="228">
        <v>1.6</v>
      </c>
      <c r="AI168" s="228">
        <v>1.75</v>
      </c>
      <c r="AJ168" s="228">
        <v>-0.15</v>
      </c>
      <c r="AK168" s="229">
        <v>5.7999999999999996E-3</v>
      </c>
      <c r="AL168" s="228">
        <v>3.4</v>
      </c>
      <c r="AM168" s="228">
        <v>3.2</v>
      </c>
      <c r="AN168" s="228">
        <v>0.2</v>
      </c>
      <c r="AO168" s="229">
        <v>1.23E-2</v>
      </c>
      <c r="AP168" s="228">
        <v>277.51</v>
      </c>
      <c r="AQ168" s="228">
        <v>279.33999999999997</v>
      </c>
      <c r="AR168" s="228">
        <v>0</v>
      </c>
      <c r="AS168" s="230">
        <v>1360</v>
      </c>
      <c r="AT168" s="228">
        <v>331</v>
      </c>
      <c r="AU168" s="230">
        <v>1030</v>
      </c>
      <c r="AV168" s="229">
        <v>3.1122999999999998</v>
      </c>
      <c r="AW168" s="228">
        <v>769</v>
      </c>
      <c r="AX168" s="228">
        <v>251</v>
      </c>
      <c r="AY168" s="228">
        <v>518</v>
      </c>
      <c r="AZ168" s="229">
        <v>2.0674000000000001</v>
      </c>
      <c r="BA168" s="228">
        <v>588</v>
      </c>
      <c r="BB168" s="228">
        <v>78</v>
      </c>
      <c r="BC168" s="228">
        <v>510</v>
      </c>
      <c r="BD168" s="229">
        <v>6.5804</v>
      </c>
      <c r="BE168" s="228">
        <v>4</v>
      </c>
      <c r="BF168" s="228">
        <v>3</v>
      </c>
      <c r="BG168" s="228">
        <v>1</v>
      </c>
      <c r="BH168" s="229">
        <v>0.52939999999999998</v>
      </c>
      <c r="BI168" s="230">
        <v>1064</v>
      </c>
      <c r="BJ168" s="228">
        <v>957</v>
      </c>
      <c r="BK168" s="228">
        <v>107</v>
      </c>
      <c r="BL168" s="229">
        <v>0.1116</v>
      </c>
      <c r="BM168" s="228">
        <v>439</v>
      </c>
      <c r="BN168" s="228">
        <v>287</v>
      </c>
      <c r="BO168" s="228">
        <v>152</v>
      </c>
      <c r="BP168" s="229">
        <v>0.53120000000000001</v>
      </c>
      <c r="BQ168" s="230">
        <v>2863</v>
      </c>
      <c r="BR168" s="230">
        <v>1575</v>
      </c>
      <c r="BS168" s="230">
        <v>1289</v>
      </c>
      <c r="BT168" s="229">
        <v>0.81850000000000001</v>
      </c>
      <c r="BU168" s="230">
        <v>16428419</v>
      </c>
      <c r="BV168" s="230">
        <v>16507447</v>
      </c>
      <c r="BW168" s="230">
        <v>-79028</v>
      </c>
      <c r="BX168" s="229">
        <v>-4.7999999999999996E-3</v>
      </c>
      <c r="BY168" s="230">
        <v>2141</v>
      </c>
      <c r="BZ168" s="230">
        <v>2238</v>
      </c>
      <c r="CA168" s="228">
        <v>-97</v>
      </c>
      <c r="CB168" s="229">
        <v>-4.3299999999999998E-2</v>
      </c>
      <c r="CC168" s="230">
        <v>1366</v>
      </c>
      <c r="CD168" s="230">
        <v>1921</v>
      </c>
      <c r="CE168" s="228">
        <v>-555</v>
      </c>
      <c r="CF168" s="229">
        <v>-0.2888</v>
      </c>
      <c r="CG168" s="228">
        <v>746</v>
      </c>
      <c r="CH168" s="228">
        <v>288</v>
      </c>
      <c r="CI168" s="228">
        <v>458</v>
      </c>
      <c r="CJ168" s="229">
        <v>1.5876999999999999</v>
      </c>
      <c r="CK168" s="228">
        <v>29</v>
      </c>
      <c r="CL168" s="228">
        <v>29</v>
      </c>
      <c r="CM168" s="228">
        <v>0</v>
      </c>
      <c r="CN168" s="229">
        <v>9.1000000000000004E-3</v>
      </c>
      <c r="CO168" s="230">
        <v>1023</v>
      </c>
      <c r="CP168" s="230">
        <v>1122</v>
      </c>
      <c r="CQ168" s="228">
        <v>-100</v>
      </c>
      <c r="CR168" s="229">
        <v>-8.8999999999999996E-2</v>
      </c>
      <c r="CS168" s="228">
        <v>577</v>
      </c>
      <c r="CT168" s="228">
        <v>600</v>
      </c>
      <c r="CU168" s="228">
        <v>-23</v>
      </c>
      <c r="CV168" s="229">
        <v>-3.8600000000000002E-2</v>
      </c>
      <c r="CW168" s="230">
        <v>3740</v>
      </c>
      <c r="CX168" s="230">
        <v>3960</v>
      </c>
      <c r="CY168" s="228">
        <v>-220</v>
      </c>
      <c r="CZ168" s="229">
        <v>-5.5500000000000001E-2</v>
      </c>
      <c r="DA168" s="228">
        <v>18.34</v>
      </c>
      <c r="DB168" s="228">
        <v>19.940000000000001</v>
      </c>
      <c r="DC168" s="228">
        <v>-1.6</v>
      </c>
      <c r="DD168" s="228">
        <v>-1.6</v>
      </c>
      <c r="DE168" s="228">
        <v>28.83</v>
      </c>
      <c r="DF168" s="228">
        <v>28.88</v>
      </c>
      <c r="DG168" s="228">
        <v>-10.49</v>
      </c>
      <c r="DH168" s="228">
        <v>-0.05</v>
      </c>
      <c r="DI168" s="228">
        <v>18.72</v>
      </c>
      <c r="DJ168" s="228">
        <v>20.02</v>
      </c>
      <c r="DK168" s="228">
        <v>-1.3</v>
      </c>
      <c r="DL168" s="228">
        <v>-1.3</v>
      </c>
      <c r="DM168" s="228">
        <v>17.84</v>
      </c>
      <c r="DN168" s="228">
        <v>19.690000000000001</v>
      </c>
      <c r="DO168" s="228">
        <v>-1.85</v>
      </c>
      <c r="DP168" s="228">
        <v>-1.85</v>
      </c>
      <c r="DQ168" s="228">
        <v>0.56000000000000005</v>
      </c>
      <c r="DR168" s="228">
        <v>0.53</v>
      </c>
      <c r="DS168" s="228">
        <v>0.03</v>
      </c>
      <c r="DT168" s="229">
        <v>5.6599999999999998E-2</v>
      </c>
      <c r="DU168" s="228">
        <v>290</v>
      </c>
      <c r="DV168" s="228">
        <v>270</v>
      </c>
      <c r="DW168" s="228">
        <v>0.41</v>
      </c>
      <c r="DX168" s="228">
        <v>0.3</v>
      </c>
      <c r="DY168" s="228">
        <v>0.11</v>
      </c>
      <c r="DZ168" s="229">
        <v>0.36670000000000003</v>
      </c>
      <c r="EA168" s="229">
        <v>0.36199999999999999</v>
      </c>
      <c r="EB168" s="230">
        <v>11453200</v>
      </c>
      <c r="EC168" s="229">
        <v>6.7000000000000002E-3</v>
      </c>
      <c r="ED168" s="229">
        <v>0.36199999999999999</v>
      </c>
      <c r="EE168" s="228">
        <v>1.83</v>
      </c>
      <c r="EF168" s="229">
        <v>6.6E-3</v>
      </c>
      <c r="EG168" s="230">
        <v>12189053</v>
      </c>
      <c r="EH168" s="230">
        <v>12535538</v>
      </c>
      <c r="EI168" s="229">
        <v>-2.76E-2</v>
      </c>
      <c r="EJ168" s="229">
        <v>0.7419</v>
      </c>
      <c r="EK168" s="231">
        <v>1091.92</v>
      </c>
      <c r="EL168" s="228">
        <v>443.35</v>
      </c>
      <c r="EM168" s="231">
        <v>1367.12</v>
      </c>
      <c r="EN168" s="228">
        <v>58.29</v>
      </c>
      <c r="EO168" s="231">
        <v>2902.38</v>
      </c>
      <c r="EP168" s="231">
        <v>1591.84</v>
      </c>
      <c r="EQ168" s="231">
        <v>1310.54</v>
      </c>
      <c r="ER168" s="229">
        <v>0.82330000000000003</v>
      </c>
      <c r="ES168" s="231">
        <v>1081.52</v>
      </c>
      <c r="ET168" s="228">
        <v>577.87</v>
      </c>
      <c r="EU168" s="231">
        <v>2146.7600000000002</v>
      </c>
      <c r="EV168" s="231">
        <v>488832949</v>
      </c>
      <c r="EW168" s="231">
        <v>3806.15</v>
      </c>
      <c r="EX168" s="231">
        <v>4009.39</v>
      </c>
      <c r="EY168" s="228">
        <v>-203.24</v>
      </c>
      <c r="EZ168" s="229">
        <v>-5.0700000000000002E-2</v>
      </c>
      <c r="FA168" s="229">
        <v>0.27629999999999999</v>
      </c>
      <c r="FB168" s="227" t="s">
        <v>556</v>
      </c>
      <c r="FC168">
        <f t="shared" si="3"/>
        <v>0</v>
      </c>
    </row>
    <row r="169" spans="1:159" ht="17.25" thickBot="1" x14ac:dyDescent="0.3">
      <c r="A169" s="226">
        <v>45981</v>
      </c>
      <c r="B169" s="227" t="s">
        <v>184</v>
      </c>
      <c r="C169" s="227" t="s">
        <v>688</v>
      </c>
      <c r="D169" s="228">
        <v>50</v>
      </c>
      <c r="E169" s="228">
        <v>5</v>
      </c>
      <c r="F169" s="231">
        <v>22389</v>
      </c>
      <c r="G169" s="231">
        <v>21665</v>
      </c>
      <c r="H169" s="228">
        <v>724</v>
      </c>
      <c r="I169" s="229">
        <v>3.3399999999999999E-2</v>
      </c>
      <c r="J169" s="231">
        <v>22397</v>
      </c>
      <c r="K169" s="231">
        <v>21624</v>
      </c>
      <c r="L169" s="228">
        <v>773</v>
      </c>
      <c r="M169" s="229">
        <v>3.5700000000000003E-2</v>
      </c>
      <c r="N169" s="231">
        <v>22389</v>
      </c>
      <c r="O169" s="231">
        <v>21665</v>
      </c>
      <c r="P169" s="228">
        <v>724</v>
      </c>
      <c r="Q169" s="229">
        <v>3.3399999999999999E-2</v>
      </c>
      <c r="R169" s="231">
        <v>22515</v>
      </c>
      <c r="S169" s="231">
        <v>21770</v>
      </c>
      <c r="T169" s="228">
        <v>745</v>
      </c>
      <c r="U169" s="229">
        <v>3.4200000000000001E-2</v>
      </c>
      <c r="V169" s="231">
        <v>22561</v>
      </c>
      <c r="W169" s="231">
        <v>21815</v>
      </c>
      <c r="X169" s="228">
        <v>746</v>
      </c>
      <c r="Y169" s="229">
        <v>3.4200000000000001E-2</v>
      </c>
      <c r="Z169" s="228">
        <v>-8</v>
      </c>
      <c r="AA169" s="228">
        <v>41</v>
      </c>
      <c r="AB169" s="228">
        <v>-49</v>
      </c>
      <c r="AC169" s="229">
        <v>-4.0000000000000002E-4</v>
      </c>
      <c r="AD169" s="228">
        <v>-8</v>
      </c>
      <c r="AE169" s="228">
        <v>41</v>
      </c>
      <c r="AF169" s="228">
        <v>-49</v>
      </c>
      <c r="AG169" s="229">
        <v>-4.0000000000000002E-4</v>
      </c>
      <c r="AH169" s="228">
        <v>118</v>
      </c>
      <c r="AI169" s="228">
        <v>146</v>
      </c>
      <c r="AJ169" s="228">
        <v>-28</v>
      </c>
      <c r="AK169" s="229">
        <v>5.3E-3</v>
      </c>
      <c r="AL169" s="228">
        <v>164</v>
      </c>
      <c r="AM169" s="228">
        <v>191</v>
      </c>
      <c r="AN169" s="228">
        <v>-27</v>
      </c>
      <c r="AO169" s="229">
        <v>7.3000000000000001E-3</v>
      </c>
      <c r="AP169" s="231">
        <v>22288.5</v>
      </c>
      <c r="AQ169" s="231">
        <v>22395.24</v>
      </c>
      <c r="AR169" s="228">
        <v>0</v>
      </c>
      <c r="AS169" s="228">
        <v>513</v>
      </c>
      <c r="AT169" s="228">
        <v>127</v>
      </c>
      <c r="AU169" s="228">
        <v>386</v>
      </c>
      <c r="AV169" s="229">
        <v>3.0379</v>
      </c>
      <c r="AW169" s="228">
        <v>314</v>
      </c>
      <c r="AX169" s="228">
        <v>96</v>
      </c>
      <c r="AY169" s="228">
        <v>218</v>
      </c>
      <c r="AZ169" s="229">
        <v>2.2625000000000002</v>
      </c>
      <c r="BA169" s="228">
        <v>192</v>
      </c>
      <c r="BB169" s="228">
        <v>30</v>
      </c>
      <c r="BC169" s="228">
        <v>162</v>
      </c>
      <c r="BD169" s="229">
        <v>5.4081999999999999</v>
      </c>
      <c r="BE169" s="228">
        <v>7</v>
      </c>
      <c r="BF169" s="228">
        <v>1</v>
      </c>
      <c r="BG169" s="228">
        <v>6</v>
      </c>
      <c r="BH169" s="229">
        <v>8.8332999999999995</v>
      </c>
      <c r="BI169" s="230">
        <v>6799</v>
      </c>
      <c r="BJ169" s="228">
        <v>844</v>
      </c>
      <c r="BK169" s="230">
        <v>5955</v>
      </c>
      <c r="BL169" s="229">
        <v>7.0557999999999996</v>
      </c>
      <c r="BM169" s="230">
        <v>2225</v>
      </c>
      <c r="BN169" s="228">
        <v>615</v>
      </c>
      <c r="BO169" s="230">
        <v>1610</v>
      </c>
      <c r="BP169" s="229">
        <v>2.62</v>
      </c>
      <c r="BQ169" s="230">
        <v>9536</v>
      </c>
      <c r="BR169" s="230">
        <v>1585</v>
      </c>
      <c r="BS169" s="230">
        <v>7951</v>
      </c>
      <c r="BT169" s="229">
        <v>5.0147000000000004</v>
      </c>
      <c r="BU169" s="230">
        <v>197540</v>
      </c>
      <c r="BV169" s="230">
        <v>79354</v>
      </c>
      <c r="BW169" s="230">
        <v>118186</v>
      </c>
      <c r="BX169" s="229">
        <v>1.4894000000000001</v>
      </c>
      <c r="BY169" s="228">
        <v>397</v>
      </c>
      <c r="BZ169" s="228">
        <v>375</v>
      </c>
      <c r="CA169" s="228">
        <v>22</v>
      </c>
      <c r="CB169" s="229">
        <v>5.9200000000000003E-2</v>
      </c>
      <c r="CC169" s="228">
        <v>272</v>
      </c>
      <c r="CD169" s="228">
        <v>329</v>
      </c>
      <c r="CE169" s="228">
        <v>-57</v>
      </c>
      <c r="CF169" s="229">
        <v>-0.1726</v>
      </c>
      <c r="CG169" s="228">
        <v>118</v>
      </c>
      <c r="CH169" s="228">
        <v>42</v>
      </c>
      <c r="CI169" s="228">
        <v>77</v>
      </c>
      <c r="CJ169" s="229">
        <v>1.8338000000000001</v>
      </c>
      <c r="CK169" s="228">
        <v>6</v>
      </c>
      <c r="CL169" s="228">
        <v>4</v>
      </c>
      <c r="CM169" s="228">
        <v>2</v>
      </c>
      <c r="CN169" s="229">
        <v>0.56759999999999999</v>
      </c>
      <c r="CO169" s="228">
        <v>890</v>
      </c>
      <c r="CP169" s="228">
        <v>638</v>
      </c>
      <c r="CQ169" s="228">
        <v>252</v>
      </c>
      <c r="CR169" s="229">
        <v>0.39439999999999997</v>
      </c>
      <c r="CS169" s="228">
        <v>707</v>
      </c>
      <c r="CT169" s="228">
        <v>615</v>
      </c>
      <c r="CU169" s="228">
        <v>91</v>
      </c>
      <c r="CV169" s="229">
        <v>0.14860000000000001</v>
      </c>
      <c r="CW169" s="230">
        <v>1994</v>
      </c>
      <c r="CX169" s="230">
        <v>1629</v>
      </c>
      <c r="CY169" s="228">
        <v>365</v>
      </c>
      <c r="CZ169" s="229">
        <v>0.22439999999999999</v>
      </c>
      <c r="DA169" s="228">
        <v>33.19</v>
      </c>
      <c r="DB169" s="228">
        <v>35.36</v>
      </c>
      <c r="DC169" s="228">
        <v>-2.17</v>
      </c>
      <c r="DD169" s="228">
        <v>-2.17</v>
      </c>
      <c r="DE169" s="228">
        <v>58.57</v>
      </c>
      <c r="DF169" s="228">
        <v>58.53</v>
      </c>
      <c r="DG169" s="228">
        <v>-25.38</v>
      </c>
      <c r="DH169" s="228">
        <v>0.04</v>
      </c>
      <c r="DI169" s="228">
        <v>33.08</v>
      </c>
      <c r="DJ169" s="228">
        <v>30.61</v>
      </c>
      <c r="DK169" s="228">
        <v>2.4700000000000002</v>
      </c>
      <c r="DL169" s="228">
        <v>2.4700000000000002</v>
      </c>
      <c r="DM169" s="228">
        <v>33.520000000000003</v>
      </c>
      <c r="DN169" s="228">
        <v>41.89</v>
      </c>
      <c r="DO169" s="228">
        <v>-8.3699999999999992</v>
      </c>
      <c r="DP169" s="228">
        <v>-8.3699999999999992</v>
      </c>
      <c r="DQ169" s="228">
        <v>0.79</v>
      </c>
      <c r="DR169" s="228">
        <v>0.96</v>
      </c>
      <c r="DS169" s="228">
        <v>-0.17</v>
      </c>
      <c r="DT169" s="229">
        <v>-0.17710000000000001</v>
      </c>
      <c r="DU169" s="231">
        <v>24000</v>
      </c>
      <c r="DV169" s="231">
        <v>22000</v>
      </c>
      <c r="DW169" s="228">
        <v>0.33</v>
      </c>
      <c r="DX169" s="228">
        <v>0.73</v>
      </c>
      <c r="DY169" s="228">
        <v>-0.4</v>
      </c>
      <c r="DZ169" s="229">
        <v>-0.54790000000000005</v>
      </c>
      <c r="EA169" s="229">
        <v>0.3145</v>
      </c>
      <c r="EB169" s="230">
        <v>20500</v>
      </c>
      <c r="EC169" s="229">
        <v>5.5999999999999999E-3</v>
      </c>
      <c r="ED169" s="229">
        <v>0.3145</v>
      </c>
      <c r="EE169" s="228">
        <v>106.74</v>
      </c>
      <c r="EF169" s="229">
        <v>4.7999999999999996E-3</v>
      </c>
      <c r="EG169" s="230">
        <v>58885</v>
      </c>
      <c r="EH169" s="230">
        <v>25472</v>
      </c>
      <c r="EI169" s="229">
        <v>1.3118000000000001</v>
      </c>
      <c r="EJ169" s="229">
        <v>0.29809999999999998</v>
      </c>
      <c r="EK169" s="231">
        <v>7026.42</v>
      </c>
      <c r="EL169" s="231">
        <v>2076.11</v>
      </c>
      <c r="EM169" s="228">
        <v>511.26</v>
      </c>
      <c r="EN169" s="228">
        <v>10.98</v>
      </c>
      <c r="EO169" s="231">
        <v>9613.7900000000009</v>
      </c>
      <c r="EP169" s="231">
        <v>1521.1</v>
      </c>
      <c r="EQ169" s="231">
        <v>8092.69</v>
      </c>
      <c r="ER169" s="229">
        <v>5.3202999999999996</v>
      </c>
      <c r="ES169" s="228">
        <v>882.22</v>
      </c>
      <c r="ET169" s="228">
        <v>641.48</v>
      </c>
      <c r="EU169" s="228">
        <v>397.56</v>
      </c>
      <c r="EV169" s="231">
        <v>1917916</v>
      </c>
      <c r="EW169" s="231">
        <v>1921.26</v>
      </c>
      <c r="EX169" s="231">
        <v>1520.77</v>
      </c>
      <c r="EY169" s="228">
        <v>400.49</v>
      </c>
      <c r="EZ169" s="229">
        <v>0.26329999999999998</v>
      </c>
      <c r="FA169" s="229">
        <v>0.46439999999999998</v>
      </c>
      <c r="FB169" s="227" t="s">
        <v>555</v>
      </c>
      <c r="FC169">
        <f t="shared" si="3"/>
        <v>0</v>
      </c>
    </row>
    <row r="170" spans="1:159" ht="17.25" thickBot="1" x14ac:dyDescent="0.3">
      <c r="A170" s="226">
        <v>45981</v>
      </c>
      <c r="B170" s="227" t="s">
        <v>170</v>
      </c>
      <c r="C170" s="227" t="s">
        <v>679</v>
      </c>
      <c r="D170" s="228">
        <v>2500</v>
      </c>
      <c r="E170" s="228">
        <v>5</v>
      </c>
      <c r="F170" s="228">
        <v>189.63</v>
      </c>
      <c r="G170" s="228">
        <v>189.34</v>
      </c>
      <c r="H170" s="228">
        <v>0.28999999999999998</v>
      </c>
      <c r="I170" s="229">
        <v>1.5E-3</v>
      </c>
      <c r="J170" s="228">
        <v>189.64</v>
      </c>
      <c r="K170" s="228">
        <v>188.8</v>
      </c>
      <c r="L170" s="228">
        <v>0.84</v>
      </c>
      <c r="M170" s="229">
        <v>4.4000000000000003E-3</v>
      </c>
      <c r="N170" s="228">
        <v>189.63</v>
      </c>
      <c r="O170" s="228">
        <v>189.34</v>
      </c>
      <c r="P170" s="228">
        <v>0.28999999999999998</v>
      </c>
      <c r="Q170" s="229">
        <v>1.5E-3</v>
      </c>
      <c r="R170" s="228">
        <v>190.18</v>
      </c>
      <c r="S170" s="228">
        <v>190.12</v>
      </c>
      <c r="T170" s="228">
        <v>0.06</v>
      </c>
      <c r="U170" s="229">
        <v>2.9999999999999997E-4</v>
      </c>
      <c r="V170" s="228">
        <v>191.8</v>
      </c>
      <c r="W170" s="228">
        <v>191.2</v>
      </c>
      <c r="X170" s="228">
        <v>0.6</v>
      </c>
      <c r="Y170" s="229">
        <v>3.0999999999999999E-3</v>
      </c>
      <c r="Z170" s="228">
        <v>-0.01</v>
      </c>
      <c r="AA170" s="228">
        <v>0.54</v>
      </c>
      <c r="AB170" s="228">
        <v>-0.55000000000000004</v>
      </c>
      <c r="AC170" s="229">
        <v>-1E-4</v>
      </c>
      <c r="AD170" s="228">
        <v>-0.01</v>
      </c>
      <c r="AE170" s="228">
        <v>0.54</v>
      </c>
      <c r="AF170" s="228">
        <v>-0.55000000000000004</v>
      </c>
      <c r="AG170" s="229">
        <v>-1E-4</v>
      </c>
      <c r="AH170" s="228">
        <v>0.54</v>
      </c>
      <c r="AI170" s="228">
        <v>1.32</v>
      </c>
      <c r="AJ170" s="228">
        <v>-0.78</v>
      </c>
      <c r="AK170" s="229">
        <v>2.8E-3</v>
      </c>
      <c r="AL170" s="228">
        <v>2.16</v>
      </c>
      <c r="AM170" s="228">
        <v>2.4</v>
      </c>
      <c r="AN170" s="228">
        <v>-0.24</v>
      </c>
      <c r="AO170" s="229">
        <v>1.14E-2</v>
      </c>
      <c r="AP170" s="228">
        <v>190.21</v>
      </c>
      <c r="AQ170" s="228">
        <v>190.7</v>
      </c>
      <c r="AR170" s="228">
        <v>0</v>
      </c>
      <c r="AS170" s="228">
        <v>294</v>
      </c>
      <c r="AT170" s="228">
        <v>92</v>
      </c>
      <c r="AU170" s="228">
        <v>202</v>
      </c>
      <c r="AV170" s="229">
        <v>2.2042999999999999</v>
      </c>
      <c r="AW170" s="228">
        <v>150</v>
      </c>
      <c r="AX170" s="228">
        <v>58</v>
      </c>
      <c r="AY170" s="228">
        <v>92</v>
      </c>
      <c r="AZ170" s="229">
        <v>1.5921000000000001</v>
      </c>
      <c r="BA170" s="228">
        <v>143</v>
      </c>
      <c r="BB170" s="228">
        <v>33</v>
      </c>
      <c r="BC170" s="228">
        <v>110</v>
      </c>
      <c r="BD170" s="229">
        <v>3.3618000000000001</v>
      </c>
      <c r="BE170" s="228">
        <v>1</v>
      </c>
      <c r="BF170" s="228">
        <v>1</v>
      </c>
      <c r="BG170" s="228">
        <v>0</v>
      </c>
      <c r="BH170" s="229">
        <v>-0.28570000000000001</v>
      </c>
      <c r="BI170" s="228">
        <v>176</v>
      </c>
      <c r="BJ170" s="228">
        <v>250</v>
      </c>
      <c r="BK170" s="228">
        <v>-74</v>
      </c>
      <c r="BL170" s="229">
        <v>-0.29630000000000001</v>
      </c>
      <c r="BM170" s="228">
        <v>44</v>
      </c>
      <c r="BN170" s="228">
        <v>94</v>
      </c>
      <c r="BO170" s="228">
        <v>-50</v>
      </c>
      <c r="BP170" s="229">
        <v>-0.53220000000000001</v>
      </c>
      <c r="BQ170" s="228">
        <v>513</v>
      </c>
      <c r="BR170" s="228">
        <v>435</v>
      </c>
      <c r="BS170" s="228">
        <v>78</v>
      </c>
      <c r="BT170" s="229">
        <v>0.1794</v>
      </c>
      <c r="BU170" s="230">
        <v>1707080</v>
      </c>
      <c r="BV170" s="230">
        <v>3459667</v>
      </c>
      <c r="BW170" s="230">
        <v>-1752587</v>
      </c>
      <c r="BX170" s="229">
        <v>-0.50660000000000005</v>
      </c>
      <c r="BY170" s="228">
        <v>414</v>
      </c>
      <c r="BZ170" s="228">
        <v>457</v>
      </c>
      <c r="CA170" s="228">
        <v>-43</v>
      </c>
      <c r="CB170" s="229">
        <v>-9.4200000000000006E-2</v>
      </c>
      <c r="CC170" s="228">
        <v>270</v>
      </c>
      <c r="CD170" s="228">
        <v>374</v>
      </c>
      <c r="CE170" s="228">
        <v>-103</v>
      </c>
      <c r="CF170" s="229">
        <v>-0.27610000000000001</v>
      </c>
      <c r="CG170" s="228">
        <v>134</v>
      </c>
      <c r="CH170" s="228">
        <v>74</v>
      </c>
      <c r="CI170" s="228">
        <v>59</v>
      </c>
      <c r="CJ170" s="229">
        <v>0.80179999999999996</v>
      </c>
      <c r="CK170" s="228">
        <v>10</v>
      </c>
      <c r="CL170" s="228">
        <v>9</v>
      </c>
      <c r="CM170" s="228">
        <v>1</v>
      </c>
      <c r="CN170" s="229">
        <v>6.9900000000000004E-2</v>
      </c>
      <c r="CO170" s="228">
        <v>332</v>
      </c>
      <c r="CP170" s="228">
        <v>340</v>
      </c>
      <c r="CQ170" s="228">
        <v>-9</v>
      </c>
      <c r="CR170" s="229">
        <v>-2.5600000000000001E-2</v>
      </c>
      <c r="CS170" s="228">
        <v>145</v>
      </c>
      <c r="CT170" s="228">
        <v>146</v>
      </c>
      <c r="CU170" s="228">
        <v>-1</v>
      </c>
      <c r="CV170" s="229">
        <v>-4.8999999999999998E-3</v>
      </c>
      <c r="CW170" s="228">
        <v>890</v>
      </c>
      <c r="CX170" s="228">
        <v>943</v>
      </c>
      <c r="CY170" s="228">
        <v>-52</v>
      </c>
      <c r="CZ170" s="229">
        <v>-5.57E-2</v>
      </c>
      <c r="DA170" s="228">
        <v>28.01</v>
      </c>
      <c r="DB170" s="228">
        <v>30.01</v>
      </c>
      <c r="DC170" s="228">
        <v>-2</v>
      </c>
      <c r="DD170" s="228">
        <v>-2</v>
      </c>
      <c r="DE170" s="228">
        <v>45.1</v>
      </c>
      <c r="DF170" s="228">
        <v>45.21</v>
      </c>
      <c r="DG170" s="228">
        <v>-17.09</v>
      </c>
      <c r="DH170" s="228">
        <v>-0.11</v>
      </c>
      <c r="DI170" s="228">
        <v>28.25</v>
      </c>
      <c r="DJ170" s="228">
        <v>31.43</v>
      </c>
      <c r="DK170" s="228">
        <v>-3.18</v>
      </c>
      <c r="DL170" s="228">
        <v>-3.18</v>
      </c>
      <c r="DM170" s="228">
        <v>27.54</v>
      </c>
      <c r="DN170" s="228">
        <v>26.2</v>
      </c>
      <c r="DO170" s="228">
        <v>1.34</v>
      </c>
      <c r="DP170" s="228">
        <v>1.34</v>
      </c>
      <c r="DQ170" s="228">
        <v>0.44</v>
      </c>
      <c r="DR170" s="228">
        <v>0.43</v>
      </c>
      <c r="DS170" s="228">
        <v>0.01</v>
      </c>
      <c r="DT170" s="229">
        <v>2.3300000000000001E-2</v>
      </c>
      <c r="DU170" s="228">
        <v>210</v>
      </c>
      <c r="DV170" s="228">
        <v>190</v>
      </c>
      <c r="DW170" s="228">
        <v>0.25</v>
      </c>
      <c r="DX170" s="228">
        <v>0.37</v>
      </c>
      <c r="DY170" s="228">
        <v>-0.12</v>
      </c>
      <c r="DZ170" s="229">
        <v>-0.32429999999999998</v>
      </c>
      <c r="EA170" s="229">
        <v>0.34670000000000001</v>
      </c>
      <c r="EB170" s="230">
        <v>4398250</v>
      </c>
      <c r="EC170" s="229">
        <v>2.8999999999999998E-3</v>
      </c>
      <c r="ED170" s="229">
        <v>0.34670000000000001</v>
      </c>
      <c r="EE170" s="228">
        <v>0.49</v>
      </c>
      <c r="EF170" s="229">
        <v>2.5999999999999999E-3</v>
      </c>
      <c r="EG170" s="230">
        <v>689304</v>
      </c>
      <c r="EH170" s="230">
        <v>2012888</v>
      </c>
      <c r="EI170" s="229">
        <v>-0.65759999999999996</v>
      </c>
      <c r="EJ170" s="229">
        <v>0.40379999999999999</v>
      </c>
      <c r="EK170" s="228">
        <v>184.81</v>
      </c>
      <c r="EL170" s="228">
        <v>44.54</v>
      </c>
      <c r="EM170" s="228">
        <v>294.95</v>
      </c>
      <c r="EN170" s="228">
        <v>17.63</v>
      </c>
      <c r="EO170" s="228">
        <v>524.29999999999995</v>
      </c>
      <c r="EP170" s="228">
        <v>451.72</v>
      </c>
      <c r="EQ170" s="228">
        <v>72.58</v>
      </c>
      <c r="ER170" s="229">
        <v>0.16070000000000001</v>
      </c>
      <c r="ES170" s="228">
        <v>360.49</v>
      </c>
      <c r="ET170" s="228">
        <v>147.26</v>
      </c>
      <c r="EU170" s="228">
        <v>414.46</v>
      </c>
      <c r="EV170" s="231">
        <v>120138597</v>
      </c>
      <c r="EW170" s="228">
        <v>922.21</v>
      </c>
      <c r="EX170" s="228">
        <v>975.64</v>
      </c>
      <c r="EY170" s="228">
        <v>-53.43</v>
      </c>
      <c r="EZ170" s="229">
        <v>-5.4800000000000001E-2</v>
      </c>
      <c r="FA170" s="229">
        <v>0.39090000000000003</v>
      </c>
      <c r="FB170" s="227" t="s">
        <v>556</v>
      </c>
      <c r="FC170">
        <f t="shared" si="3"/>
        <v>0</v>
      </c>
    </row>
    <row r="171" spans="1:159" ht="17.25" thickBot="1" x14ac:dyDescent="0.3">
      <c r="A171" s="226">
        <v>45981</v>
      </c>
      <c r="B171" s="227" t="s">
        <v>206</v>
      </c>
      <c r="C171" s="227" t="s">
        <v>605</v>
      </c>
      <c r="D171" s="228">
        <v>450</v>
      </c>
      <c r="E171" s="228">
        <v>5</v>
      </c>
      <c r="F171" s="231">
        <v>1716.8</v>
      </c>
      <c r="G171" s="231">
        <v>1722.3</v>
      </c>
      <c r="H171" s="228">
        <v>-5.5</v>
      </c>
      <c r="I171" s="229">
        <v>-3.2000000000000002E-3</v>
      </c>
      <c r="J171" s="231">
        <v>1717.2</v>
      </c>
      <c r="K171" s="231">
        <v>1717.3</v>
      </c>
      <c r="L171" s="228">
        <v>-0.1</v>
      </c>
      <c r="M171" s="229">
        <v>-1E-4</v>
      </c>
      <c r="N171" s="231">
        <v>1716.8</v>
      </c>
      <c r="O171" s="231">
        <v>1722.3</v>
      </c>
      <c r="P171" s="228">
        <v>-5.5</v>
      </c>
      <c r="Q171" s="229">
        <v>-3.2000000000000002E-3</v>
      </c>
      <c r="R171" s="231">
        <v>1726.8</v>
      </c>
      <c r="S171" s="231">
        <v>1732.1</v>
      </c>
      <c r="T171" s="228">
        <v>-5.3</v>
      </c>
      <c r="U171" s="229">
        <v>-3.0999999999999999E-3</v>
      </c>
      <c r="V171" s="231">
        <v>1737.8</v>
      </c>
      <c r="W171" s="231">
        <v>1742.2</v>
      </c>
      <c r="X171" s="228">
        <v>-4.4000000000000004</v>
      </c>
      <c r="Y171" s="229">
        <v>-2.5000000000000001E-3</v>
      </c>
      <c r="Z171" s="228">
        <v>-0.4</v>
      </c>
      <c r="AA171" s="228">
        <v>5</v>
      </c>
      <c r="AB171" s="228">
        <v>-5.4</v>
      </c>
      <c r="AC171" s="229">
        <v>-2.0000000000000001E-4</v>
      </c>
      <c r="AD171" s="228">
        <v>-0.4</v>
      </c>
      <c r="AE171" s="228">
        <v>5</v>
      </c>
      <c r="AF171" s="228">
        <v>-5.4</v>
      </c>
      <c r="AG171" s="229">
        <v>-2.0000000000000001E-4</v>
      </c>
      <c r="AH171" s="228">
        <v>9.6</v>
      </c>
      <c r="AI171" s="228">
        <v>14.8</v>
      </c>
      <c r="AJ171" s="228">
        <v>-5.2</v>
      </c>
      <c r="AK171" s="229">
        <v>5.5999999999999999E-3</v>
      </c>
      <c r="AL171" s="228">
        <v>20.6</v>
      </c>
      <c r="AM171" s="228">
        <v>24.9</v>
      </c>
      <c r="AN171" s="228">
        <v>-4.3</v>
      </c>
      <c r="AO171" s="229">
        <v>1.2E-2</v>
      </c>
      <c r="AP171" s="231">
        <v>1714.65</v>
      </c>
      <c r="AQ171" s="231">
        <v>1725.22</v>
      </c>
      <c r="AR171" s="228">
        <v>0</v>
      </c>
      <c r="AS171" s="228">
        <v>369</v>
      </c>
      <c r="AT171" s="228">
        <v>190</v>
      </c>
      <c r="AU171" s="228">
        <v>180</v>
      </c>
      <c r="AV171" s="229">
        <v>0.94940000000000002</v>
      </c>
      <c r="AW171" s="228">
        <v>192</v>
      </c>
      <c r="AX171" s="228">
        <v>152</v>
      </c>
      <c r="AY171" s="228">
        <v>40</v>
      </c>
      <c r="AZ171" s="229">
        <v>0.2656</v>
      </c>
      <c r="BA171" s="228">
        <v>177</v>
      </c>
      <c r="BB171" s="228">
        <v>37</v>
      </c>
      <c r="BC171" s="228">
        <v>140</v>
      </c>
      <c r="BD171" s="229">
        <v>3.7987000000000002</v>
      </c>
      <c r="BE171" s="228">
        <v>0</v>
      </c>
      <c r="BF171" s="228">
        <v>1</v>
      </c>
      <c r="BG171" s="228">
        <v>0</v>
      </c>
      <c r="BH171" s="229">
        <v>-0.45450000000000002</v>
      </c>
      <c r="BI171" s="228">
        <v>675</v>
      </c>
      <c r="BJ171" s="228">
        <v>843</v>
      </c>
      <c r="BK171" s="228">
        <v>-167</v>
      </c>
      <c r="BL171" s="229">
        <v>-0.1986</v>
      </c>
      <c r="BM171" s="228">
        <v>158</v>
      </c>
      <c r="BN171" s="228">
        <v>158</v>
      </c>
      <c r="BO171" s="228">
        <v>1</v>
      </c>
      <c r="BP171" s="229">
        <v>4.8999999999999998E-3</v>
      </c>
      <c r="BQ171" s="230">
        <v>1203</v>
      </c>
      <c r="BR171" s="230">
        <v>1190</v>
      </c>
      <c r="BS171" s="228">
        <v>13</v>
      </c>
      <c r="BT171" s="229">
        <v>1.12E-2</v>
      </c>
      <c r="BU171" s="230">
        <v>490912</v>
      </c>
      <c r="BV171" s="230">
        <v>851135</v>
      </c>
      <c r="BW171" s="230">
        <v>-360223</v>
      </c>
      <c r="BX171" s="229">
        <v>-0.42320000000000002</v>
      </c>
      <c r="BY171" s="228">
        <v>646</v>
      </c>
      <c r="BZ171" s="228">
        <v>645</v>
      </c>
      <c r="CA171" s="228">
        <v>1</v>
      </c>
      <c r="CB171" s="229">
        <v>8.0000000000000004E-4</v>
      </c>
      <c r="CC171" s="228">
        <v>483</v>
      </c>
      <c r="CD171" s="228">
        <v>604</v>
      </c>
      <c r="CE171" s="228">
        <v>-121</v>
      </c>
      <c r="CF171" s="229">
        <v>-0.20039999999999999</v>
      </c>
      <c r="CG171" s="228">
        <v>162</v>
      </c>
      <c r="CH171" s="228">
        <v>40</v>
      </c>
      <c r="CI171" s="228">
        <v>122</v>
      </c>
      <c r="CJ171" s="229">
        <v>3.0076000000000001</v>
      </c>
      <c r="CK171" s="228">
        <v>1</v>
      </c>
      <c r="CL171" s="228">
        <v>1</v>
      </c>
      <c r="CM171" s="228">
        <v>0</v>
      </c>
      <c r="CN171" s="229">
        <v>9.0899999999999995E-2</v>
      </c>
      <c r="CO171" s="228">
        <v>373</v>
      </c>
      <c r="CP171" s="228">
        <v>424</v>
      </c>
      <c r="CQ171" s="228">
        <v>-52</v>
      </c>
      <c r="CR171" s="229">
        <v>-0.1215</v>
      </c>
      <c r="CS171" s="228">
        <v>210</v>
      </c>
      <c r="CT171" s="228">
        <v>218</v>
      </c>
      <c r="CU171" s="228">
        <v>-7</v>
      </c>
      <c r="CV171" s="229">
        <v>-3.3399999999999999E-2</v>
      </c>
      <c r="CW171" s="230">
        <v>1229</v>
      </c>
      <c r="CX171" s="230">
        <v>1287</v>
      </c>
      <c r="CY171" s="228">
        <v>-58</v>
      </c>
      <c r="CZ171" s="229">
        <v>-4.53E-2</v>
      </c>
      <c r="DA171" s="228">
        <v>30.44</v>
      </c>
      <c r="DB171" s="228">
        <v>32.6</v>
      </c>
      <c r="DC171" s="228">
        <v>-2.16</v>
      </c>
      <c r="DD171" s="228">
        <v>-2.16</v>
      </c>
      <c r="DE171" s="228">
        <v>45.69</v>
      </c>
      <c r="DF171" s="228">
        <v>45.8</v>
      </c>
      <c r="DG171" s="228">
        <v>-15.25</v>
      </c>
      <c r="DH171" s="228">
        <v>-0.11</v>
      </c>
      <c r="DI171" s="228">
        <v>31.16</v>
      </c>
      <c r="DJ171" s="228">
        <v>32.86</v>
      </c>
      <c r="DK171" s="228">
        <v>-1.7</v>
      </c>
      <c r="DL171" s="228">
        <v>-1.7</v>
      </c>
      <c r="DM171" s="228">
        <v>29.47</v>
      </c>
      <c r="DN171" s="228">
        <v>31.23</v>
      </c>
      <c r="DO171" s="228">
        <v>-1.76</v>
      </c>
      <c r="DP171" s="228">
        <v>-1.76</v>
      </c>
      <c r="DQ171" s="228">
        <v>0.56000000000000005</v>
      </c>
      <c r="DR171" s="228">
        <v>0.51</v>
      </c>
      <c r="DS171" s="228">
        <v>0.05</v>
      </c>
      <c r="DT171" s="229">
        <v>9.8000000000000004E-2</v>
      </c>
      <c r="DU171" s="231">
        <v>1800</v>
      </c>
      <c r="DV171" s="231">
        <v>1660</v>
      </c>
      <c r="DW171" s="228">
        <v>0.23</v>
      </c>
      <c r="DX171" s="228">
        <v>0.19</v>
      </c>
      <c r="DY171" s="228">
        <v>0.04</v>
      </c>
      <c r="DZ171" s="229">
        <v>0.21049999999999999</v>
      </c>
      <c r="EA171" s="229">
        <v>0.25219999999999998</v>
      </c>
      <c r="EB171" s="230">
        <v>240300</v>
      </c>
      <c r="EC171" s="229">
        <v>5.7999999999999996E-3</v>
      </c>
      <c r="ED171" s="229">
        <v>0.25219999999999998</v>
      </c>
      <c r="EE171" s="228">
        <v>10.57</v>
      </c>
      <c r="EF171" s="229">
        <v>6.1999999999999998E-3</v>
      </c>
      <c r="EG171" s="230">
        <v>247059</v>
      </c>
      <c r="EH171" s="230">
        <v>386495</v>
      </c>
      <c r="EI171" s="229">
        <v>-0.36080000000000001</v>
      </c>
      <c r="EJ171" s="229">
        <v>0.50329999999999997</v>
      </c>
      <c r="EK171" s="228">
        <v>705.02</v>
      </c>
      <c r="EL171" s="228">
        <v>159.61000000000001</v>
      </c>
      <c r="EM171" s="228">
        <v>370.07</v>
      </c>
      <c r="EN171" s="228">
        <v>28.52</v>
      </c>
      <c r="EO171" s="231">
        <v>1234.71</v>
      </c>
      <c r="EP171" s="231">
        <v>1232.8399999999999</v>
      </c>
      <c r="EQ171" s="228">
        <v>1.87</v>
      </c>
      <c r="ER171" s="229">
        <v>1.5E-3</v>
      </c>
      <c r="ES171" s="228">
        <v>392.34</v>
      </c>
      <c r="ET171" s="228">
        <v>206.84</v>
      </c>
      <c r="EU171" s="228">
        <v>646.80999999999995</v>
      </c>
      <c r="EV171" s="231">
        <v>25234534</v>
      </c>
      <c r="EW171" s="231">
        <v>1245.99</v>
      </c>
      <c r="EX171" s="231">
        <v>1308.1300000000001</v>
      </c>
      <c r="EY171" s="228">
        <v>-62.14</v>
      </c>
      <c r="EZ171" s="229">
        <v>-4.7500000000000001E-2</v>
      </c>
      <c r="FA171" s="229">
        <v>0.28370000000000001</v>
      </c>
      <c r="FB171" s="227" t="s">
        <v>567</v>
      </c>
      <c r="FC171">
        <f t="shared" si="3"/>
        <v>0</v>
      </c>
    </row>
    <row r="172" spans="1:159" ht="17.25" thickBot="1" x14ac:dyDescent="0.3">
      <c r="A172" s="226">
        <v>45981</v>
      </c>
      <c r="B172" s="227" t="s">
        <v>172</v>
      </c>
      <c r="C172" s="227" t="s">
        <v>279</v>
      </c>
      <c r="D172" s="228">
        <v>3175</v>
      </c>
      <c r="E172" s="228">
        <v>5</v>
      </c>
      <c r="F172" s="228">
        <v>313.5</v>
      </c>
      <c r="G172" s="228">
        <v>310.5</v>
      </c>
      <c r="H172" s="228">
        <v>3</v>
      </c>
      <c r="I172" s="229">
        <v>9.7000000000000003E-3</v>
      </c>
      <c r="J172" s="228">
        <v>313.64999999999998</v>
      </c>
      <c r="K172" s="228">
        <v>309.60000000000002</v>
      </c>
      <c r="L172" s="228">
        <v>4.05</v>
      </c>
      <c r="M172" s="229">
        <v>1.3100000000000001E-2</v>
      </c>
      <c r="N172" s="228">
        <v>313.5</v>
      </c>
      <c r="O172" s="228">
        <v>310.5</v>
      </c>
      <c r="P172" s="228">
        <v>3</v>
      </c>
      <c r="Q172" s="229">
        <v>9.7000000000000003E-3</v>
      </c>
      <c r="R172" s="228">
        <v>315.55</v>
      </c>
      <c r="S172" s="228">
        <v>312.5</v>
      </c>
      <c r="T172" s="228">
        <v>3.05</v>
      </c>
      <c r="U172" s="229">
        <v>9.7999999999999997E-3</v>
      </c>
      <c r="V172" s="228">
        <v>316.89999999999998</v>
      </c>
      <c r="W172" s="228">
        <v>314.14999999999998</v>
      </c>
      <c r="X172" s="228">
        <v>2.75</v>
      </c>
      <c r="Y172" s="229">
        <v>8.8000000000000005E-3</v>
      </c>
      <c r="Z172" s="228">
        <v>-0.15</v>
      </c>
      <c r="AA172" s="228">
        <v>0.9</v>
      </c>
      <c r="AB172" s="228">
        <v>-1.05</v>
      </c>
      <c r="AC172" s="229">
        <v>-5.0000000000000001E-4</v>
      </c>
      <c r="AD172" s="228">
        <v>-0.15</v>
      </c>
      <c r="AE172" s="228">
        <v>0.9</v>
      </c>
      <c r="AF172" s="228">
        <v>-1.05</v>
      </c>
      <c r="AG172" s="229">
        <v>-5.0000000000000001E-4</v>
      </c>
      <c r="AH172" s="228">
        <v>1.9</v>
      </c>
      <c r="AI172" s="228">
        <v>2.9</v>
      </c>
      <c r="AJ172" s="228">
        <v>-1</v>
      </c>
      <c r="AK172" s="229">
        <v>6.1000000000000004E-3</v>
      </c>
      <c r="AL172" s="228">
        <v>3.25</v>
      </c>
      <c r="AM172" s="228">
        <v>4.55</v>
      </c>
      <c r="AN172" s="228">
        <v>-1.3</v>
      </c>
      <c r="AO172" s="229">
        <v>1.04E-2</v>
      </c>
      <c r="AP172" s="228">
        <v>313.56</v>
      </c>
      <c r="AQ172" s="228">
        <v>315.64999999999998</v>
      </c>
      <c r="AR172" s="228">
        <v>0</v>
      </c>
      <c r="AS172" s="228">
        <v>993</v>
      </c>
      <c r="AT172" s="228">
        <v>468</v>
      </c>
      <c r="AU172" s="228">
        <v>525</v>
      </c>
      <c r="AV172" s="229">
        <v>1.1236999999999999</v>
      </c>
      <c r="AW172" s="228">
        <v>510</v>
      </c>
      <c r="AX172" s="228">
        <v>262</v>
      </c>
      <c r="AY172" s="228">
        <v>248</v>
      </c>
      <c r="AZ172" s="229">
        <v>0.94650000000000001</v>
      </c>
      <c r="BA172" s="228">
        <v>482</v>
      </c>
      <c r="BB172" s="228">
        <v>203</v>
      </c>
      <c r="BC172" s="228">
        <v>279</v>
      </c>
      <c r="BD172" s="229">
        <v>1.3727</v>
      </c>
      <c r="BE172" s="228">
        <v>1</v>
      </c>
      <c r="BF172" s="228">
        <v>2</v>
      </c>
      <c r="BG172" s="228">
        <v>-1</v>
      </c>
      <c r="BH172" s="229">
        <v>-0.58330000000000004</v>
      </c>
      <c r="BI172" s="228">
        <v>443</v>
      </c>
      <c r="BJ172" s="228">
        <v>599</v>
      </c>
      <c r="BK172" s="228">
        <v>-156</v>
      </c>
      <c r="BL172" s="229">
        <v>-0.26079999999999998</v>
      </c>
      <c r="BM172" s="228">
        <v>184</v>
      </c>
      <c r="BN172" s="228">
        <v>260</v>
      </c>
      <c r="BO172" s="228">
        <v>-77</v>
      </c>
      <c r="BP172" s="229">
        <v>-0.29399999999999998</v>
      </c>
      <c r="BQ172" s="230">
        <v>1619</v>
      </c>
      <c r="BR172" s="230">
        <v>1327</v>
      </c>
      <c r="BS172" s="228">
        <v>293</v>
      </c>
      <c r="BT172" s="229">
        <v>0.22059999999999999</v>
      </c>
      <c r="BU172" s="230">
        <v>5081457</v>
      </c>
      <c r="BV172" s="230">
        <v>6624846</v>
      </c>
      <c r="BW172" s="230">
        <v>-1543389</v>
      </c>
      <c r="BX172" s="229">
        <v>-0.23300000000000001</v>
      </c>
      <c r="BY172" s="230">
        <v>2466</v>
      </c>
      <c r="BZ172" s="230">
        <v>2493</v>
      </c>
      <c r="CA172" s="228">
        <v>-26</v>
      </c>
      <c r="CB172" s="229">
        <v>-1.0500000000000001E-2</v>
      </c>
      <c r="CC172" s="230">
        <v>1775</v>
      </c>
      <c r="CD172" s="230">
        <v>2189</v>
      </c>
      <c r="CE172" s="228">
        <v>-415</v>
      </c>
      <c r="CF172" s="229">
        <v>-0.18940000000000001</v>
      </c>
      <c r="CG172" s="228">
        <v>687</v>
      </c>
      <c r="CH172" s="228">
        <v>299</v>
      </c>
      <c r="CI172" s="228">
        <v>388</v>
      </c>
      <c r="CJ172" s="229">
        <v>1.3008</v>
      </c>
      <c r="CK172" s="228">
        <v>5</v>
      </c>
      <c r="CL172" s="228">
        <v>5</v>
      </c>
      <c r="CM172" s="228">
        <v>0</v>
      </c>
      <c r="CN172" s="229">
        <v>4.2599999999999999E-2</v>
      </c>
      <c r="CO172" s="228">
        <v>694</v>
      </c>
      <c r="CP172" s="228">
        <v>718</v>
      </c>
      <c r="CQ172" s="228">
        <v>-24</v>
      </c>
      <c r="CR172" s="229">
        <v>-3.3799999999999997E-2</v>
      </c>
      <c r="CS172" s="228">
        <v>489</v>
      </c>
      <c r="CT172" s="228">
        <v>515</v>
      </c>
      <c r="CU172" s="228">
        <v>-26</v>
      </c>
      <c r="CV172" s="229">
        <v>-4.9700000000000001E-2</v>
      </c>
      <c r="CW172" s="230">
        <v>3649</v>
      </c>
      <c r="CX172" s="230">
        <v>3726</v>
      </c>
      <c r="CY172" s="228">
        <v>-76</v>
      </c>
      <c r="CZ172" s="229">
        <v>-2.0400000000000001E-2</v>
      </c>
      <c r="DA172" s="228">
        <v>21.58</v>
      </c>
      <c r="DB172" s="228">
        <v>27.15</v>
      </c>
      <c r="DC172" s="228">
        <v>-5.57</v>
      </c>
      <c r="DD172" s="228">
        <v>-5.57</v>
      </c>
      <c r="DE172" s="228">
        <v>45.89</v>
      </c>
      <c r="DF172" s="228">
        <v>45.97</v>
      </c>
      <c r="DG172" s="228">
        <v>-24.31</v>
      </c>
      <c r="DH172" s="228">
        <v>-0.08</v>
      </c>
      <c r="DI172" s="228">
        <v>21.34</v>
      </c>
      <c r="DJ172" s="228">
        <v>27.8</v>
      </c>
      <c r="DK172" s="228">
        <v>-6.46</v>
      </c>
      <c r="DL172" s="228">
        <v>-6.46</v>
      </c>
      <c r="DM172" s="228">
        <v>22.25</v>
      </c>
      <c r="DN172" s="228">
        <v>25.65</v>
      </c>
      <c r="DO172" s="228">
        <v>-3.4</v>
      </c>
      <c r="DP172" s="228">
        <v>-3.4</v>
      </c>
      <c r="DQ172" s="228">
        <v>0.7</v>
      </c>
      <c r="DR172" s="228">
        <v>0.72</v>
      </c>
      <c r="DS172" s="228">
        <v>-0.02</v>
      </c>
      <c r="DT172" s="229">
        <v>-2.7799999999999998E-2</v>
      </c>
      <c r="DU172" s="228">
        <v>330</v>
      </c>
      <c r="DV172" s="228">
        <v>300</v>
      </c>
      <c r="DW172" s="228">
        <v>0.42</v>
      </c>
      <c r="DX172" s="228">
        <v>0.43</v>
      </c>
      <c r="DY172" s="228">
        <v>-0.01</v>
      </c>
      <c r="DZ172" s="229">
        <v>-2.3300000000000001E-2</v>
      </c>
      <c r="EA172" s="229">
        <v>0.28039999999999998</v>
      </c>
      <c r="EB172" s="230">
        <v>9671050</v>
      </c>
      <c r="EC172" s="229">
        <v>6.4999999999999997E-3</v>
      </c>
      <c r="ED172" s="229">
        <v>0.28039999999999998</v>
      </c>
      <c r="EE172" s="228">
        <v>2.09</v>
      </c>
      <c r="EF172" s="229">
        <v>6.7000000000000002E-3</v>
      </c>
      <c r="EG172" s="230">
        <v>2399705</v>
      </c>
      <c r="EH172" s="230">
        <v>3368778</v>
      </c>
      <c r="EI172" s="229">
        <v>-0.28770000000000001</v>
      </c>
      <c r="EJ172" s="229">
        <v>0.47220000000000001</v>
      </c>
      <c r="EK172" s="228">
        <v>459.96</v>
      </c>
      <c r="EL172" s="228">
        <v>183.89</v>
      </c>
      <c r="EM172" s="228">
        <v>996.28</v>
      </c>
      <c r="EN172" s="228">
        <v>28.18</v>
      </c>
      <c r="EO172" s="231">
        <v>1640.13</v>
      </c>
      <c r="EP172" s="231">
        <v>1346.74</v>
      </c>
      <c r="EQ172" s="228">
        <v>293.39</v>
      </c>
      <c r="ER172" s="229">
        <v>0.21790000000000001</v>
      </c>
      <c r="ES172" s="228">
        <v>721.45</v>
      </c>
      <c r="ET172" s="228">
        <v>486.12</v>
      </c>
      <c r="EU172" s="231">
        <v>2470.9499999999998</v>
      </c>
      <c r="EV172" s="231">
        <v>91351468</v>
      </c>
      <c r="EW172" s="231">
        <v>3678.53</v>
      </c>
      <c r="EX172" s="231">
        <v>3731.3</v>
      </c>
      <c r="EY172" s="228">
        <v>-52.77</v>
      </c>
      <c r="EZ172" s="229">
        <v>-1.41E-2</v>
      </c>
      <c r="FA172" s="229">
        <v>1.2743</v>
      </c>
      <c r="FB172" s="227" t="s">
        <v>556</v>
      </c>
      <c r="FC172">
        <f t="shared" si="3"/>
        <v>0</v>
      </c>
    </row>
    <row r="173" spans="1:159" ht="17.25" thickBot="1" x14ac:dyDescent="0.3">
      <c r="A173" s="226">
        <v>45981</v>
      </c>
      <c r="B173" s="227" t="s">
        <v>175</v>
      </c>
      <c r="C173" s="227" t="s">
        <v>280</v>
      </c>
      <c r="D173" s="228">
        <v>1275</v>
      </c>
      <c r="E173" s="228">
        <v>5</v>
      </c>
      <c r="F173" s="228">
        <v>361.1</v>
      </c>
      <c r="G173" s="228">
        <v>359.2</v>
      </c>
      <c r="H173" s="228">
        <v>1.9</v>
      </c>
      <c r="I173" s="229">
        <v>5.3E-3</v>
      </c>
      <c r="J173" s="228">
        <v>361.4</v>
      </c>
      <c r="K173" s="228">
        <v>359.45</v>
      </c>
      <c r="L173" s="228">
        <v>1.95</v>
      </c>
      <c r="M173" s="229">
        <v>5.4000000000000003E-3</v>
      </c>
      <c r="N173" s="228">
        <v>361.1</v>
      </c>
      <c r="O173" s="228">
        <v>359.2</v>
      </c>
      <c r="P173" s="228">
        <v>1.9</v>
      </c>
      <c r="Q173" s="229">
        <v>5.3E-3</v>
      </c>
      <c r="R173" s="228">
        <v>363.35</v>
      </c>
      <c r="S173" s="228">
        <v>361.55</v>
      </c>
      <c r="T173" s="228">
        <v>1.8</v>
      </c>
      <c r="U173" s="229">
        <v>5.0000000000000001E-3</v>
      </c>
      <c r="V173" s="228">
        <v>365.75</v>
      </c>
      <c r="W173" s="228">
        <v>364.3</v>
      </c>
      <c r="X173" s="228">
        <v>1.45</v>
      </c>
      <c r="Y173" s="229">
        <v>4.0000000000000001E-3</v>
      </c>
      <c r="Z173" s="228">
        <v>-0.3</v>
      </c>
      <c r="AA173" s="228">
        <v>-0.25</v>
      </c>
      <c r="AB173" s="228">
        <v>-0.05</v>
      </c>
      <c r="AC173" s="229">
        <v>-8.0000000000000004E-4</v>
      </c>
      <c r="AD173" s="228">
        <v>-0.3</v>
      </c>
      <c r="AE173" s="228">
        <v>-0.25</v>
      </c>
      <c r="AF173" s="228">
        <v>-0.05</v>
      </c>
      <c r="AG173" s="229">
        <v>-8.0000000000000004E-4</v>
      </c>
      <c r="AH173" s="228">
        <v>1.95</v>
      </c>
      <c r="AI173" s="228">
        <v>2.1</v>
      </c>
      <c r="AJ173" s="228">
        <v>-0.15</v>
      </c>
      <c r="AK173" s="229">
        <v>5.4000000000000003E-3</v>
      </c>
      <c r="AL173" s="228">
        <v>4.3499999999999996</v>
      </c>
      <c r="AM173" s="228">
        <v>4.8499999999999996</v>
      </c>
      <c r="AN173" s="228">
        <v>-0.5</v>
      </c>
      <c r="AO173" s="229">
        <v>1.2E-2</v>
      </c>
      <c r="AP173" s="228">
        <v>362.11</v>
      </c>
      <c r="AQ173" s="228">
        <v>364.43</v>
      </c>
      <c r="AR173" s="228">
        <v>0</v>
      </c>
      <c r="AS173" s="230">
        <v>1405</v>
      </c>
      <c r="AT173" s="228">
        <v>666</v>
      </c>
      <c r="AU173" s="228">
        <v>739</v>
      </c>
      <c r="AV173" s="229">
        <v>1.1099000000000001</v>
      </c>
      <c r="AW173" s="228">
        <v>737</v>
      </c>
      <c r="AX173" s="228">
        <v>367</v>
      </c>
      <c r="AY173" s="228">
        <v>369</v>
      </c>
      <c r="AZ173" s="229">
        <v>1.0059</v>
      </c>
      <c r="BA173" s="228">
        <v>661</v>
      </c>
      <c r="BB173" s="228">
        <v>291</v>
      </c>
      <c r="BC173" s="228">
        <v>370</v>
      </c>
      <c r="BD173" s="229">
        <v>1.2735000000000001</v>
      </c>
      <c r="BE173" s="228">
        <v>7</v>
      </c>
      <c r="BF173" s="228">
        <v>8</v>
      </c>
      <c r="BG173" s="228">
        <v>-1</v>
      </c>
      <c r="BH173" s="229">
        <v>-7.5600000000000001E-2</v>
      </c>
      <c r="BI173" s="230">
        <v>1201</v>
      </c>
      <c r="BJ173" s="230">
        <v>1133</v>
      </c>
      <c r="BK173" s="228">
        <v>68</v>
      </c>
      <c r="BL173" s="229">
        <v>6.0299999999999999E-2</v>
      </c>
      <c r="BM173" s="228">
        <v>659</v>
      </c>
      <c r="BN173" s="228">
        <v>524</v>
      </c>
      <c r="BO173" s="228">
        <v>135</v>
      </c>
      <c r="BP173" s="229">
        <v>0.25740000000000002</v>
      </c>
      <c r="BQ173" s="230">
        <v>3265</v>
      </c>
      <c r="BR173" s="230">
        <v>2323</v>
      </c>
      <c r="BS173" s="228">
        <v>942</v>
      </c>
      <c r="BT173" s="229">
        <v>0.40560000000000002</v>
      </c>
      <c r="BU173" s="230">
        <v>4397114</v>
      </c>
      <c r="BV173" s="230">
        <v>3680596</v>
      </c>
      <c r="BW173" s="230">
        <v>716518</v>
      </c>
      <c r="BX173" s="229">
        <v>0.19470000000000001</v>
      </c>
      <c r="BY173" s="230">
        <v>3741</v>
      </c>
      <c r="BZ173" s="230">
        <v>3831</v>
      </c>
      <c r="CA173" s="228">
        <v>-90</v>
      </c>
      <c r="CB173" s="229">
        <v>-2.3400000000000001E-2</v>
      </c>
      <c r="CC173" s="230">
        <v>2523</v>
      </c>
      <c r="CD173" s="230">
        <v>3085</v>
      </c>
      <c r="CE173" s="228">
        <v>-562</v>
      </c>
      <c r="CF173" s="229">
        <v>-0.18210000000000001</v>
      </c>
      <c r="CG173" s="230">
        <v>1154</v>
      </c>
      <c r="CH173" s="228">
        <v>685</v>
      </c>
      <c r="CI173" s="228">
        <v>470</v>
      </c>
      <c r="CJ173" s="229">
        <v>0.68610000000000004</v>
      </c>
      <c r="CK173" s="228">
        <v>63</v>
      </c>
      <c r="CL173" s="228">
        <v>61</v>
      </c>
      <c r="CM173" s="228">
        <v>3</v>
      </c>
      <c r="CN173" s="229">
        <v>4.3200000000000002E-2</v>
      </c>
      <c r="CO173" s="230">
        <v>1529</v>
      </c>
      <c r="CP173" s="230">
        <v>1702</v>
      </c>
      <c r="CQ173" s="228">
        <v>-174</v>
      </c>
      <c r="CR173" s="229">
        <v>-0.10199999999999999</v>
      </c>
      <c r="CS173" s="230">
        <v>1108</v>
      </c>
      <c r="CT173" s="230">
        <v>1158</v>
      </c>
      <c r="CU173" s="228">
        <v>-51</v>
      </c>
      <c r="CV173" s="229">
        <v>-4.3799999999999999E-2</v>
      </c>
      <c r="CW173" s="230">
        <v>6378</v>
      </c>
      <c r="CX173" s="230">
        <v>6692</v>
      </c>
      <c r="CY173" s="228">
        <v>-314</v>
      </c>
      <c r="CZ173" s="229">
        <v>-4.6899999999999997E-2</v>
      </c>
      <c r="DA173" s="228">
        <v>22.93</v>
      </c>
      <c r="DB173" s="228">
        <v>26.5</v>
      </c>
      <c r="DC173" s="228">
        <v>-3.57</v>
      </c>
      <c r="DD173" s="228">
        <v>-3.57</v>
      </c>
      <c r="DE173" s="228">
        <v>43.48</v>
      </c>
      <c r="DF173" s="228">
        <v>43.58</v>
      </c>
      <c r="DG173" s="228">
        <v>-20.55</v>
      </c>
      <c r="DH173" s="228">
        <v>-0.1</v>
      </c>
      <c r="DI173" s="228">
        <v>23.17</v>
      </c>
      <c r="DJ173" s="228">
        <v>27.21</v>
      </c>
      <c r="DK173" s="228">
        <v>-4.04</v>
      </c>
      <c r="DL173" s="228">
        <v>-4.04</v>
      </c>
      <c r="DM173" s="228">
        <v>22.51</v>
      </c>
      <c r="DN173" s="228">
        <v>24.95</v>
      </c>
      <c r="DO173" s="228">
        <v>-2.44</v>
      </c>
      <c r="DP173" s="228">
        <v>-2.44</v>
      </c>
      <c r="DQ173" s="228">
        <v>0.72</v>
      </c>
      <c r="DR173" s="228">
        <v>0.68</v>
      </c>
      <c r="DS173" s="228">
        <v>0.04</v>
      </c>
      <c r="DT173" s="229">
        <v>5.8799999999999998E-2</v>
      </c>
      <c r="DU173" s="228">
        <v>380</v>
      </c>
      <c r="DV173" s="228">
        <v>370</v>
      </c>
      <c r="DW173" s="228">
        <v>0.55000000000000004</v>
      </c>
      <c r="DX173" s="228">
        <v>0.46</v>
      </c>
      <c r="DY173" s="228">
        <v>0.09</v>
      </c>
      <c r="DZ173" s="229">
        <v>0.19570000000000001</v>
      </c>
      <c r="EA173" s="229">
        <v>0.32550000000000001</v>
      </c>
      <c r="EB173" s="230">
        <v>20646125</v>
      </c>
      <c r="EC173" s="229">
        <v>6.1999999999999998E-3</v>
      </c>
      <c r="ED173" s="229">
        <v>0.32550000000000001</v>
      </c>
      <c r="EE173" s="228">
        <v>2.3199999999999998</v>
      </c>
      <c r="EF173" s="229">
        <v>6.4000000000000003E-3</v>
      </c>
      <c r="EG173" s="230">
        <v>2808958</v>
      </c>
      <c r="EH173" s="230">
        <v>2253176</v>
      </c>
      <c r="EI173" s="229">
        <v>0.2467</v>
      </c>
      <c r="EJ173" s="229">
        <v>0.63880000000000003</v>
      </c>
      <c r="EK173" s="231">
        <v>1255.1600000000001</v>
      </c>
      <c r="EL173" s="228">
        <v>667.34</v>
      </c>
      <c r="EM173" s="231">
        <v>1413.72</v>
      </c>
      <c r="EN173" s="228">
        <v>98.46</v>
      </c>
      <c r="EO173" s="231">
        <v>3336.22</v>
      </c>
      <c r="EP173" s="231">
        <v>2369.31</v>
      </c>
      <c r="EQ173" s="228">
        <v>966.91</v>
      </c>
      <c r="ER173" s="229">
        <v>0.40810000000000002</v>
      </c>
      <c r="ES173" s="231">
        <v>1623.8</v>
      </c>
      <c r="ET173" s="231">
        <v>1122.76</v>
      </c>
      <c r="EU173" s="231">
        <v>3749.16</v>
      </c>
      <c r="EV173" s="231">
        <v>187084550</v>
      </c>
      <c r="EW173" s="231">
        <v>6495.72</v>
      </c>
      <c r="EX173" s="231">
        <v>6798.11</v>
      </c>
      <c r="EY173" s="228">
        <v>-302.39</v>
      </c>
      <c r="EZ173" s="229">
        <v>-4.4499999999999998E-2</v>
      </c>
      <c r="FA173" s="229">
        <v>0.94399999999999995</v>
      </c>
      <c r="FB173" s="227" t="s">
        <v>556</v>
      </c>
      <c r="FC173">
        <f t="shared" si="3"/>
        <v>0</v>
      </c>
    </row>
    <row r="174" spans="1:159" ht="17.25" thickBot="1" x14ac:dyDescent="0.3">
      <c r="A174" s="226">
        <v>45981</v>
      </c>
      <c r="B174" s="227" t="s">
        <v>193</v>
      </c>
      <c r="C174" s="227" t="s">
        <v>281</v>
      </c>
      <c r="D174" s="228">
        <v>500</v>
      </c>
      <c r="E174" s="228">
        <v>5</v>
      </c>
      <c r="F174" s="231">
        <v>1548</v>
      </c>
      <c r="G174" s="231">
        <v>1518.1</v>
      </c>
      <c r="H174" s="228">
        <v>29.9</v>
      </c>
      <c r="I174" s="229">
        <v>1.9699999999999999E-2</v>
      </c>
      <c r="J174" s="231">
        <v>1549.1</v>
      </c>
      <c r="K174" s="231">
        <v>1518.9</v>
      </c>
      <c r="L174" s="228">
        <v>30.2</v>
      </c>
      <c r="M174" s="229">
        <v>1.9900000000000001E-2</v>
      </c>
      <c r="N174" s="231">
        <v>1548</v>
      </c>
      <c r="O174" s="231">
        <v>1518.1</v>
      </c>
      <c r="P174" s="228">
        <v>29.9</v>
      </c>
      <c r="Q174" s="229">
        <v>1.9699999999999999E-2</v>
      </c>
      <c r="R174" s="231">
        <v>1558.6</v>
      </c>
      <c r="S174" s="231">
        <v>1528.4</v>
      </c>
      <c r="T174" s="228">
        <v>30.2</v>
      </c>
      <c r="U174" s="229">
        <v>1.9800000000000002E-2</v>
      </c>
      <c r="V174" s="231">
        <v>1567.4</v>
      </c>
      <c r="W174" s="231">
        <v>1537.5</v>
      </c>
      <c r="X174" s="228">
        <v>29.9</v>
      </c>
      <c r="Y174" s="229">
        <v>1.9400000000000001E-2</v>
      </c>
      <c r="Z174" s="228">
        <v>-1.1000000000000001</v>
      </c>
      <c r="AA174" s="228">
        <v>-0.8</v>
      </c>
      <c r="AB174" s="228">
        <v>-0.3</v>
      </c>
      <c r="AC174" s="229">
        <v>-6.9999999999999999E-4</v>
      </c>
      <c r="AD174" s="228">
        <v>-1.1000000000000001</v>
      </c>
      <c r="AE174" s="228">
        <v>-0.8</v>
      </c>
      <c r="AF174" s="228">
        <v>-0.3</v>
      </c>
      <c r="AG174" s="229">
        <v>-6.9999999999999999E-4</v>
      </c>
      <c r="AH174" s="228">
        <v>9.5</v>
      </c>
      <c r="AI174" s="228">
        <v>9.5</v>
      </c>
      <c r="AJ174" s="228">
        <v>0</v>
      </c>
      <c r="AK174" s="229">
        <v>6.1000000000000004E-3</v>
      </c>
      <c r="AL174" s="228">
        <v>18.3</v>
      </c>
      <c r="AM174" s="228">
        <v>18.600000000000001</v>
      </c>
      <c r="AN174" s="228">
        <v>-0.3</v>
      </c>
      <c r="AO174" s="229">
        <v>1.18E-2</v>
      </c>
      <c r="AP174" s="231">
        <v>1541.92</v>
      </c>
      <c r="AQ174" s="231">
        <v>1552.45</v>
      </c>
      <c r="AR174" s="228">
        <v>0</v>
      </c>
      <c r="AS174" s="230">
        <v>9228</v>
      </c>
      <c r="AT174" s="230">
        <v>2631</v>
      </c>
      <c r="AU174" s="230">
        <v>6598</v>
      </c>
      <c r="AV174" s="229">
        <v>2.5081000000000002</v>
      </c>
      <c r="AW174" s="230">
        <v>5253</v>
      </c>
      <c r="AX174" s="230">
        <v>1578</v>
      </c>
      <c r="AY174" s="230">
        <v>3676</v>
      </c>
      <c r="AZ174" s="229">
        <v>2.3296999999999999</v>
      </c>
      <c r="BA174" s="230">
        <v>3903</v>
      </c>
      <c r="BB174" s="230">
        <v>1007</v>
      </c>
      <c r="BC174" s="230">
        <v>2896</v>
      </c>
      <c r="BD174" s="229">
        <v>2.8761999999999999</v>
      </c>
      <c r="BE174" s="228">
        <v>72</v>
      </c>
      <c r="BF174" s="228">
        <v>46</v>
      </c>
      <c r="BG174" s="228">
        <v>26</v>
      </c>
      <c r="BH174" s="229">
        <v>0.56489999999999996</v>
      </c>
      <c r="BI174" s="230">
        <v>31650</v>
      </c>
      <c r="BJ174" s="230">
        <v>10014</v>
      </c>
      <c r="BK174" s="230">
        <v>21636</v>
      </c>
      <c r="BL174" s="229">
        <v>2.1606000000000001</v>
      </c>
      <c r="BM174" s="230">
        <v>14534</v>
      </c>
      <c r="BN174" s="230">
        <v>5990</v>
      </c>
      <c r="BO174" s="230">
        <v>8544</v>
      </c>
      <c r="BP174" s="229">
        <v>1.4265000000000001</v>
      </c>
      <c r="BQ174" s="230">
        <v>55412</v>
      </c>
      <c r="BR174" s="230">
        <v>18634</v>
      </c>
      <c r="BS174" s="230">
        <v>36778</v>
      </c>
      <c r="BT174" s="229">
        <v>1.9737</v>
      </c>
      <c r="BU174" s="230">
        <v>20045267</v>
      </c>
      <c r="BV174" s="230">
        <v>5982320</v>
      </c>
      <c r="BW174" s="230">
        <v>14062947</v>
      </c>
      <c r="BX174" s="229">
        <v>2.3508</v>
      </c>
      <c r="BY174" s="230">
        <v>16684</v>
      </c>
      <c r="BZ174" s="230">
        <v>16675</v>
      </c>
      <c r="CA174" s="228">
        <v>9</v>
      </c>
      <c r="CB174" s="229">
        <v>5.0000000000000001E-4</v>
      </c>
      <c r="CC174" s="230">
        <v>10580</v>
      </c>
      <c r="CD174" s="230">
        <v>13735</v>
      </c>
      <c r="CE174" s="230">
        <v>-3155</v>
      </c>
      <c r="CF174" s="229">
        <v>-0.22969999999999999</v>
      </c>
      <c r="CG174" s="230">
        <v>5950</v>
      </c>
      <c r="CH174" s="230">
        <v>2805</v>
      </c>
      <c r="CI174" s="230">
        <v>3145</v>
      </c>
      <c r="CJ174" s="229">
        <v>1.1214</v>
      </c>
      <c r="CK174" s="228">
        <v>153</v>
      </c>
      <c r="CL174" s="228">
        <v>135</v>
      </c>
      <c r="CM174" s="228">
        <v>18</v>
      </c>
      <c r="CN174" s="229">
        <v>0.1371</v>
      </c>
      <c r="CO174" s="230">
        <v>7459</v>
      </c>
      <c r="CP174" s="230">
        <v>7167</v>
      </c>
      <c r="CQ174" s="228">
        <v>292</v>
      </c>
      <c r="CR174" s="229">
        <v>4.07E-2</v>
      </c>
      <c r="CS174" s="230">
        <v>5476</v>
      </c>
      <c r="CT174" s="230">
        <v>4644</v>
      </c>
      <c r="CU174" s="228">
        <v>832</v>
      </c>
      <c r="CV174" s="229">
        <v>0.17910000000000001</v>
      </c>
      <c r="CW174" s="230">
        <v>29619</v>
      </c>
      <c r="CX174" s="230">
        <v>28486</v>
      </c>
      <c r="CY174" s="230">
        <v>1133</v>
      </c>
      <c r="CZ174" s="229">
        <v>3.9800000000000002E-2</v>
      </c>
      <c r="DA174" s="228">
        <v>16.97</v>
      </c>
      <c r="DB174" s="228">
        <v>17.47</v>
      </c>
      <c r="DC174" s="228">
        <v>-0.5</v>
      </c>
      <c r="DD174" s="228">
        <v>-0.5</v>
      </c>
      <c r="DE174" s="228">
        <v>24.11</v>
      </c>
      <c r="DF174" s="228">
        <v>24.03</v>
      </c>
      <c r="DG174" s="228">
        <v>-7.14</v>
      </c>
      <c r="DH174" s="228">
        <v>0.08</v>
      </c>
      <c r="DI174" s="228">
        <v>16.78</v>
      </c>
      <c r="DJ174" s="228">
        <v>16.989999999999998</v>
      </c>
      <c r="DK174" s="228">
        <v>-0.21</v>
      </c>
      <c r="DL174" s="228">
        <v>-0.21</v>
      </c>
      <c r="DM174" s="228">
        <v>17.38</v>
      </c>
      <c r="DN174" s="228">
        <v>18.27</v>
      </c>
      <c r="DO174" s="228">
        <v>-0.89</v>
      </c>
      <c r="DP174" s="228">
        <v>-0.89</v>
      </c>
      <c r="DQ174" s="228">
        <v>0.73</v>
      </c>
      <c r="DR174" s="228">
        <v>0.65</v>
      </c>
      <c r="DS174" s="228">
        <v>0.08</v>
      </c>
      <c r="DT174" s="229">
        <v>0.1231</v>
      </c>
      <c r="DU174" s="231">
        <v>1520</v>
      </c>
      <c r="DV174" s="231">
        <v>1500</v>
      </c>
      <c r="DW174" s="228">
        <v>0.46</v>
      </c>
      <c r="DX174" s="228">
        <v>0.6</v>
      </c>
      <c r="DY174" s="228">
        <v>-0.14000000000000001</v>
      </c>
      <c r="DZ174" s="229">
        <v>-0.23330000000000001</v>
      </c>
      <c r="EA174" s="229">
        <v>0.36580000000000001</v>
      </c>
      <c r="EB174" s="230">
        <v>18991000</v>
      </c>
      <c r="EC174" s="229">
        <v>6.7999999999999996E-3</v>
      </c>
      <c r="ED174" s="229">
        <v>0.36580000000000001</v>
      </c>
      <c r="EE174" s="228">
        <v>10.53</v>
      </c>
      <c r="EF174" s="229">
        <v>6.7999999999999996E-3</v>
      </c>
      <c r="EG174" s="230">
        <v>13349682</v>
      </c>
      <c r="EH174" s="230">
        <v>3601275</v>
      </c>
      <c r="EI174" s="229">
        <v>2.7069000000000001</v>
      </c>
      <c r="EJ174" s="229">
        <v>0.66600000000000004</v>
      </c>
      <c r="EK174" s="231">
        <v>32008.23</v>
      </c>
      <c r="EL174" s="231">
        <v>14276.84</v>
      </c>
      <c r="EM174" s="231">
        <v>9219.16</v>
      </c>
      <c r="EN174" s="228">
        <v>253.67</v>
      </c>
      <c r="EO174" s="231">
        <v>55504.23</v>
      </c>
      <c r="EP174" s="231">
        <v>18435.11</v>
      </c>
      <c r="EQ174" s="231">
        <v>37069.120000000003</v>
      </c>
      <c r="ER174" s="229">
        <v>2.0108000000000001</v>
      </c>
      <c r="ES174" s="231">
        <v>7435.17</v>
      </c>
      <c r="ET174" s="231">
        <v>5237.8</v>
      </c>
      <c r="EU174" s="231">
        <v>16726.47</v>
      </c>
      <c r="EV174" s="231">
        <v>662701060</v>
      </c>
      <c r="EW174" s="231">
        <v>29399.439999999999</v>
      </c>
      <c r="EX174" s="231">
        <v>27868.3</v>
      </c>
      <c r="EY174" s="231">
        <v>1531.14</v>
      </c>
      <c r="EZ174" s="229">
        <v>5.4899999999999997E-2</v>
      </c>
      <c r="FA174" s="229">
        <v>0.28870000000000001</v>
      </c>
      <c r="FB174" s="227" t="s">
        <v>555</v>
      </c>
      <c r="FC174">
        <f t="shared" si="3"/>
        <v>0</v>
      </c>
    </row>
    <row r="175" spans="1:159" ht="17.25" thickBot="1" x14ac:dyDescent="0.3">
      <c r="A175" s="226">
        <v>45981</v>
      </c>
      <c r="B175" s="227" t="s">
        <v>215</v>
      </c>
      <c r="C175" s="227" t="s">
        <v>676</v>
      </c>
      <c r="D175" s="228">
        <v>1375</v>
      </c>
      <c r="E175" s="228">
        <v>5</v>
      </c>
      <c r="F175" s="228">
        <v>319.60000000000002</v>
      </c>
      <c r="G175" s="228">
        <v>319.10000000000002</v>
      </c>
      <c r="H175" s="228">
        <v>0.5</v>
      </c>
      <c r="I175" s="229">
        <v>1.6000000000000001E-3</v>
      </c>
      <c r="J175" s="228">
        <v>319.10000000000002</v>
      </c>
      <c r="K175" s="228">
        <v>320.14999999999998</v>
      </c>
      <c r="L175" s="228">
        <v>-1.05</v>
      </c>
      <c r="M175" s="229">
        <v>-3.3E-3</v>
      </c>
      <c r="N175" s="228">
        <v>319.60000000000002</v>
      </c>
      <c r="O175" s="228">
        <v>319.10000000000002</v>
      </c>
      <c r="P175" s="228">
        <v>0.5</v>
      </c>
      <c r="Q175" s="229">
        <v>1.6000000000000001E-3</v>
      </c>
      <c r="R175" s="228">
        <v>314.5</v>
      </c>
      <c r="S175" s="228">
        <v>314</v>
      </c>
      <c r="T175" s="228">
        <v>0.5</v>
      </c>
      <c r="U175" s="229">
        <v>1.6000000000000001E-3</v>
      </c>
      <c r="V175" s="228">
        <v>313.10000000000002</v>
      </c>
      <c r="W175" s="228">
        <v>311.95</v>
      </c>
      <c r="X175" s="228">
        <v>1.1499999999999999</v>
      </c>
      <c r="Y175" s="229">
        <v>3.7000000000000002E-3</v>
      </c>
      <c r="Z175" s="228">
        <v>0.5</v>
      </c>
      <c r="AA175" s="228">
        <v>-1.05</v>
      </c>
      <c r="AB175" s="228">
        <v>1.55</v>
      </c>
      <c r="AC175" s="229">
        <v>1.6000000000000001E-3</v>
      </c>
      <c r="AD175" s="228">
        <v>0.5</v>
      </c>
      <c r="AE175" s="228">
        <v>-1.05</v>
      </c>
      <c r="AF175" s="228">
        <v>1.55</v>
      </c>
      <c r="AG175" s="229">
        <v>1.6000000000000001E-3</v>
      </c>
      <c r="AH175" s="228">
        <v>-4.5999999999999996</v>
      </c>
      <c r="AI175" s="228">
        <v>-6.15</v>
      </c>
      <c r="AJ175" s="228">
        <v>1.55</v>
      </c>
      <c r="AK175" s="229">
        <v>-1.44E-2</v>
      </c>
      <c r="AL175" s="228">
        <v>-6</v>
      </c>
      <c r="AM175" s="228">
        <v>-8.1999999999999993</v>
      </c>
      <c r="AN175" s="228">
        <v>2.2000000000000002</v>
      </c>
      <c r="AO175" s="229">
        <v>-1.8800000000000001E-2</v>
      </c>
      <c r="AP175" s="228">
        <v>321.60000000000002</v>
      </c>
      <c r="AQ175" s="228">
        <v>316.29000000000002</v>
      </c>
      <c r="AR175" s="228">
        <v>0</v>
      </c>
      <c r="AS175" s="230">
        <v>1098</v>
      </c>
      <c r="AT175" s="228">
        <v>254</v>
      </c>
      <c r="AU175" s="228">
        <v>844</v>
      </c>
      <c r="AV175" s="229">
        <v>3.3269000000000002</v>
      </c>
      <c r="AW175" s="228">
        <v>556</v>
      </c>
      <c r="AX175" s="228">
        <v>138</v>
      </c>
      <c r="AY175" s="228">
        <v>418</v>
      </c>
      <c r="AZ175" s="229">
        <v>3.0215999999999998</v>
      </c>
      <c r="BA175" s="228">
        <v>535</v>
      </c>
      <c r="BB175" s="228">
        <v>109</v>
      </c>
      <c r="BC175" s="228">
        <v>426</v>
      </c>
      <c r="BD175" s="229">
        <v>3.9220000000000002</v>
      </c>
      <c r="BE175" s="228">
        <v>7</v>
      </c>
      <c r="BF175" s="228">
        <v>7</v>
      </c>
      <c r="BG175" s="228">
        <v>0</v>
      </c>
      <c r="BH175" s="229">
        <v>7.0099999999999996E-2</v>
      </c>
      <c r="BI175" s="228">
        <v>470</v>
      </c>
      <c r="BJ175" s="228">
        <v>560</v>
      </c>
      <c r="BK175" s="228">
        <v>-90</v>
      </c>
      <c r="BL175" s="229">
        <v>-0.161</v>
      </c>
      <c r="BM175" s="228">
        <v>183</v>
      </c>
      <c r="BN175" s="228">
        <v>201</v>
      </c>
      <c r="BO175" s="228">
        <v>-19</v>
      </c>
      <c r="BP175" s="229">
        <v>-9.2799999999999994E-2</v>
      </c>
      <c r="BQ175" s="230">
        <v>1751</v>
      </c>
      <c r="BR175" s="230">
        <v>1016</v>
      </c>
      <c r="BS175" s="228">
        <v>735</v>
      </c>
      <c r="BT175" s="229">
        <v>0.72409999999999997</v>
      </c>
      <c r="BU175" s="230">
        <v>2675638</v>
      </c>
      <c r="BV175" s="230">
        <v>3086851</v>
      </c>
      <c r="BW175" s="230">
        <v>-411213</v>
      </c>
      <c r="BX175" s="229">
        <v>-0.13320000000000001</v>
      </c>
      <c r="BY175" s="230">
        <v>1265</v>
      </c>
      <c r="BZ175" s="230">
        <v>1548</v>
      </c>
      <c r="CA175" s="228">
        <v>-283</v>
      </c>
      <c r="CB175" s="229">
        <v>-0.183</v>
      </c>
      <c r="CC175" s="228">
        <v>674</v>
      </c>
      <c r="CD175" s="230">
        <v>1103</v>
      </c>
      <c r="CE175" s="228">
        <v>-429</v>
      </c>
      <c r="CF175" s="229">
        <v>-0.38879999999999998</v>
      </c>
      <c r="CG175" s="228">
        <v>547</v>
      </c>
      <c r="CH175" s="228">
        <v>404</v>
      </c>
      <c r="CI175" s="228">
        <v>143</v>
      </c>
      <c r="CJ175" s="229">
        <v>0.35339999999999999</v>
      </c>
      <c r="CK175" s="228">
        <v>44</v>
      </c>
      <c r="CL175" s="228">
        <v>41</v>
      </c>
      <c r="CM175" s="228">
        <v>3</v>
      </c>
      <c r="CN175" s="229">
        <v>6.4899999999999999E-2</v>
      </c>
      <c r="CO175" s="228">
        <v>532</v>
      </c>
      <c r="CP175" s="228">
        <v>592</v>
      </c>
      <c r="CQ175" s="228">
        <v>-59</v>
      </c>
      <c r="CR175" s="229">
        <v>-0.1002</v>
      </c>
      <c r="CS175" s="228">
        <v>286</v>
      </c>
      <c r="CT175" s="228">
        <v>302</v>
      </c>
      <c r="CU175" s="228">
        <v>-15</v>
      </c>
      <c r="CV175" s="229">
        <v>-0.05</v>
      </c>
      <c r="CW175" s="230">
        <v>2084</v>
      </c>
      <c r="CX175" s="230">
        <v>2441</v>
      </c>
      <c r="CY175" s="228">
        <v>-358</v>
      </c>
      <c r="CZ175" s="229">
        <v>-0.14649999999999999</v>
      </c>
      <c r="DA175" s="228">
        <v>31.18</v>
      </c>
      <c r="DB175" s="228">
        <v>33.54</v>
      </c>
      <c r="DC175" s="228">
        <v>-2.36</v>
      </c>
      <c r="DD175" s="228">
        <v>-2.36</v>
      </c>
      <c r="DE175" s="228">
        <v>55.35</v>
      </c>
      <c r="DF175" s="228">
        <v>55.49</v>
      </c>
      <c r="DG175" s="228">
        <v>-24.17</v>
      </c>
      <c r="DH175" s="228">
        <v>-0.14000000000000001</v>
      </c>
      <c r="DI175" s="228">
        <v>31.44</v>
      </c>
      <c r="DJ175" s="228">
        <v>34.68</v>
      </c>
      <c r="DK175" s="228">
        <v>-3.24</v>
      </c>
      <c r="DL175" s="228">
        <v>-3.24</v>
      </c>
      <c r="DM175" s="228">
        <v>30.4</v>
      </c>
      <c r="DN175" s="228">
        <v>30.36</v>
      </c>
      <c r="DO175" s="228">
        <v>0.04</v>
      </c>
      <c r="DP175" s="228">
        <v>0.04</v>
      </c>
      <c r="DQ175" s="228">
        <v>0.54</v>
      </c>
      <c r="DR175" s="228">
        <v>0.51</v>
      </c>
      <c r="DS175" s="228">
        <v>0.03</v>
      </c>
      <c r="DT175" s="229">
        <v>5.8799999999999998E-2</v>
      </c>
      <c r="DU175" s="228">
        <v>330</v>
      </c>
      <c r="DV175" s="228">
        <v>310</v>
      </c>
      <c r="DW175" s="228">
        <v>0.39</v>
      </c>
      <c r="DX175" s="228">
        <v>0.36</v>
      </c>
      <c r="DY175" s="228">
        <v>0.03</v>
      </c>
      <c r="DZ175" s="229">
        <v>8.3299999999999999E-2</v>
      </c>
      <c r="EA175" s="229">
        <v>0.4672</v>
      </c>
      <c r="EB175" s="230">
        <v>13940300</v>
      </c>
      <c r="EC175" s="229">
        <v>-1.6E-2</v>
      </c>
      <c r="ED175" s="229">
        <v>0.4672</v>
      </c>
      <c r="EE175" s="228">
        <v>-5.31</v>
      </c>
      <c r="EF175" s="229">
        <v>-1.6500000000000001E-2</v>
      </c>
      <c r="EG175" s="230">
        <v>895199</v>
      </c>
      <c r="EH175" s="230">
        <v>999578</v>
      </c>
      <c r="EI175" s="229">
        <v>-0.10440000000000001</v>
      </c>
      <c r="EJ175" s="229">
        <v>0.33460000000000001</v>
      </c>
      <c r="EK175" s="228">
        <v>493.2</v>
      </c>
      <c r="EL175" s="228">
        <v>182.96</v>
      </c>
      <c r="EM175" s="231">
        <v>1096.72</v>
      </c>
      <c r="EN175" s="228">
        <v>77.81</v>
      </c>
      <c r="EO175" s="231">
        <v>1772.88</v>
      </c>
      <c r="EP175" s="231">
        <v>1041.22</v>
      </c>
      <c r="EQ175" s="228">
        <v>731.67</v>
      </c>
      <c r="ER175" s="229">
        <v>0.70269999999999999</v>
      </c>
      <c r="ES175" s="228">
        <v>564.13</v>
      </c>
      <c r="ET175" s="228">
        <v>281.18</v>
      </c>
      <c r="EU175" s="231">
        <v>1255.44</v>
      </c>
      <c r="EV175" s="231">
        <v>84941460</v>
      </c>
      <c r="EW175" s="231">
        <v>2100.75</v>
      </c>
      <c r="EX175" s="231">
        <v>2460.65</v>
      </c>
      <c r="EY175" s="228">
        <v>-359.9</v>
      </c>
      <c r="EZ175" s="229">
        <v>-0.14630000000000001</v>
      </c>
      <c r="FA175" s="229">
        <v>0.76759999999999995</v>
      </c>
      <c r="FB175" s="227" t="s">
        <v>556</v>
      </c>
      <c r="FC175">
        <f t="shared" si="3"/>
        <v>0</v>
      </c>
    </row>
    <row r="176" spans="1:159" ht="17.25" thickBot="1" x14ac:dyDescent="0.3">
      <c r="A176" s="226">
        <v>45981</v>
      </c>
      <c r="B176" s="227" t="s">
        <v>227</v>
      </c>
      <c r="C176" s="227" t="s">
        <v>282</v>
      </c>
      <c r="D176" s="228">
        <v>4700</v>
      </c>
      <c r="E176" s="228">
        <v>5</v>
      </c>
      <c r="F176" s="228">
        <v>138.38</v>
      </c>
      <c r="G176" s="228">
        <v>139.93</v>
      </c>
      <c r="H176" s="228">
        <v>-1.55</v>
      </c>
      <c r="I176" s="229">
        <v>-1.11E-2</v>
      </c>
      <c r="J176" s="228">
        <v>138.19</v>
      </c>
      <c r="K176" s="228">
        <v>139.99</v>
      </c>
      <c r="L176" s="228">
        <v>-1.8</v>
      </c>
      <c r="M176" s="229">
        <v>-1.29E-2</v>
      </c>
      <c r="N176" s="228">
        <v>138.38</v>
      </c>
      <c r="O176" s="228">
        <v>139.93</v>
      </c>
      <c r="P176" s="228">
        <v>-1.55</v>
      </c>
      <c r="Q176" s="229">
        <v>-1.11E-2</v>
      </c>
      <c r="R176" s="228">
        <v>139.49</v>
      </c>
      <c r="S176" s="228">
        <v>140.66</v>
      </c>
      <c r="T176" s="228">
        <v>-1.17</v>
      </c>
      <c r="U176" s="229">
        <v>-8.3000000000000001E-3</v>
      </c>
      <c r="V176" s="228">
        <v>141.16999999999999</v>
      </c>
      <c r="W176" s="228">
        <v>140</v>
      </c>
      <c r="X176" s="228">
        <v>1.17</v>
      </c>
      <c r="Y176" s="229">
        <v>8.3999999999999995E-3</v>
      </c>
      <c r="Z176" s="228">
        <v>0.19</v>
      </c>
      <c r="AA176" s="228">
        <v>-0.06</v>
      </c>
      <c r="AB176" s="228">
        <v>0.25</v>
      </c>
      <c r="AC176" s="229">
        <v>1.4E-3</v>
      </c>
      <c r="AD176" s="228">
        <v>0.19</v>
      </c>
      <c r="AE176" s="228">
        <v>-0.06</v>
      </c>
      <c r="AF176" s="228">
        <v>0.25</v>
      </c>
      <c r="AG176" s="229">
        <v>1.4E-3</v>
      </c>
      <c r="AH176" s="228">
        <v>1.3</v>
      </c>
      <c r="AI176" s="228">
        <v>0.67</v>
      </c>
      <c r="AJ176" s="228">
        <v>0.63</v>
      </c>
      <c r="AK176" s="229">
        <v>9.4000000000000004E-3</v>
      </c>
      <c r="AL176" s="228">
        <v>2.98</v>
      </c>
      <c r="AM176" s="228">
        <v>0.01</v>
      </c>
      <c r="AN176" s="228">
        <v>2.97</v>
      </c>
      <c r="AO176" s="229">
        <v>2.1600000000000001E-2</v>
      </c>
      <c r="AP176" s="228">
        <v>138.9</v>
      </c>
      <c r="AQ176" s="228">
        <v>139.9</v>
      </c>
      <c r="AR176" s="228">
        <v>0</v>
      </c>
      <c r="AS176" s="228">
        <v>167</v>
      </c>
      <c r="AT176" s="228">
        <v>16</v>
      </c>
      <c r="AU176" s="228">
        <v>150</v>
      </c>
      <c r="AV176" s="229">
        <v>9.1667000000000005</v>
      </c>
      <c r="AW176" s="228">
        <v>93</v>
      </c>
      <c r="AX176" s="228">
        <v>15</v>
      </c>
      <c r="AY176" s="228">
        <v>78</v>
      </c>
      <c r="AZ176" s="229">
        <v>5.1645000000000003</v>
      </c>
      <c r="BA176" s="228">
        <v>74</v>
      </c>
      <c r="BB176" s="228">
        <v>1</v>
      </c>
      <c r="BC176" s="228">
        <v>72</v>
      </c>
      <c r="BD176" s="229">
        <v>53</v>
      </c>
      <c r="BE176" s="228">
        <v>0</v>
      </c>
      <c r="BF176" s="228">
        <v>0</v>
      </c>
      <c r="BG176" s="228">
        <v>0</v>
      </c>
      <c r="BH176" s="229">
        <v>0</v>
      </c>
      <c r="BI176" s="228">
        <v>43</v>
      </c>
      <c r="BJ176" s="228">
        <v>28</v>
      </c>
      <c r="BK176" s="228">
        <v>14</v>
      </c>
      <c r="BL176" s="229">
        <v>0.51149999999999995</v>
      </c>
      <c r="BM176" s="228">
        <v>12</v>
      </c>
      <c r="BN176" s="228">
        <v>12</v>
      </c>
      <c r="BO176" s="228">
        <v>0</v>
      </c>
      <c r="BP176" s="229">
        <v>0</v>
      </c>
      <c r="BQ176" s="228">
        <v>222</v>
      </c>
      <c r="BR176" s="228">
        <v>57</v>
      </c>
      <c r="BS176" s="228">
        <v>165</v>
      </c>
      <c r="BT176" s="229">
        <v>2.8904000000000001</v>
      </c>
      <c r="BU176" s="230">
        <v>10666281</v>
      </c>
      <c r="BV176" s="230">
        <v>11503469</v>
      </c>
      <c r="BW176" s="230">
        <v>-837188</v>
      </c>
      <c r="BX176" s="229">
        <v>-7.2800000000000004E-2</v>
      </c>
      <c r="BY176" s="230">
        <v>2516</v>
      </c>
      <c r="BZ176" s="230">
        <v>2530</v>
      </c>
      <c r="CA176" s="228">
        <v>-14</v>
      </c>
      <c r="CB176" s="229">
        <v>-5.4999999999999997E-3</v>
      </c>
      <c r="CC176" s="230">
        <v>2262</v>
      </c>
      <c r="CD176" s="230">
        <v>2341</v>
      </c>
      <c r="CE176" s="228">
        <v>-79</v>
      </c>
      <c r="CF176" s="229">
        <v>-3.3599999999999998E-2</v>
      </c>
      <c r="CG176" s="228">
        <v>241</v>
      </c>
      <c r="CH176" s="228">
        <v>176</v>
      </c>
      <c r="CI176" s="228">
        <v>65</v>
      </c>
      <c r="CJ176" s="229">
        <v>0.3679</v>
      </c>
      <c r="CK176" s="228">
        <v>12</v>
      </c>
      <c r="CL176" s="228">
        <v>12</v>
      </c>
      <c r="CM176" s="228">
        <v>0</v>
      </c>
      <c r="CN176" s="229">
        <v>-1.6E-2</v>
      </c>
      <c r="CO176" s="228">
        <v>665</v>
      </c>
      <c r="CP176" s="228">
        <v>692</v>
      </c>
      <c r="CQ176" s="228">
        <v>-27</v>
      </c>
      <c r="CR176" s="229">
        <v>-3.8899999999999997E-2</v>
      </c>
      <c r="CS176" s="228">
        <v>590</v>
      </c>
      <c r="CT176" s="228">
        <v>598</v>
      </c>
      <c r="CU176" s="228">
        <v>-8</v>
      </c>
      <c r="CV176" s="229">
        <v>-1.3599999999999999E-2</v>
      </c>
      <c r="CW176" s="230">
        <v>3771</v>
      </c>
      <c r="CX176" s="230">
        <v>3820</v>
      </c>
      <c r="CY176" s="228">
        <v>-49</v>
      </c>
      <c r="CZ176" s="229">
        <v>-1.2800000000000001E-2</v>
      </c>
      <c r="DA176" s="228">
        <v>29.73</v>
      </c>
      <c r="DB176" s="228">
        <v>34.380000000000003</v>
      </c>
      <c r="DC176" s="228">
        <v>-4.6500000000000004</v>
      </c>
      <c r="DD176" s="228">
        <v>-4.6500000000000004</v>
      </c>
      <c r="DE176" s="228">
        <v>44.45</v>
      </c>
      <c r="DF176" s="228">
        <v>44.54</v>
      </c>
      <c r="DG176" s="228">
        <v>-14.72</v>
      </c>
      <c r="DH176" s="228">
        <v>-0.09</v>
      </c>
      <c r="DI176" s="228">
        <v>29.73</v>
      </c>
      <c r="DJ176" s="228">
        <v>31.8</v>
      </c>
      <c r="DK176" s="228">
        <v>-2.0699999999999998</v>
      </c>
      <c r="DL176" s="228">
        <v>-2.0699999999999998</v>
      </c>
      <c r="DM176" s="228">
        <v>29.73</v>
      </c>
      <c r="DN176" s="228">
        <v>40.29</v>
      </c>
      <c r="DO176" s="228">
        <v>-10.56</v>
      </c>
      <c r="DP176" s="228">
        <v>-10.56</v>
      </c>
      <c r="DQ176" s="228">
        <v>0.89</v>
      </c>
      <c r="DR176" s="228">
        <v>0.86</v>
      </c>
      <c r="DS176" s="228">
        <v>0.03</v>
      </c>
      <c r="DT176" s="229">
        <v>3.49E-2</v>
      </c>
      <c r="DU176" s="228">
        <v>145</v>
      </c>
      <c r="DV176" s="228">
        <v>145</v>
      </c>
      <c r="DW176" s="228">
        <v>0.28999999999999998</v>
      </c>
      <c r="DX176" s="228">
        <v>0.44</v>
      </c>
      <c r="DY176" s="228">
        <v>-0.15</v>
      </c>
      <c r="DZ176" s="229">
        <v>-0.34089999999999998</v>
      </c>
      <c r="EA176" s="229">
        <v>0.1007</v>
      </c>
      <c r="EB176" s="230">
        <v>13630000</v>
      </c>
      <c r="EC176" s="229">
        <v>8.0000000000000002E-3</v>
      </c>
      <c r="ED176" s="229">
        <v>0.1007</v>
      </c>
      <c r="EE176" s="228">
        <v>1</v>
      </c>
      <c r="EF176" s="229">
        <v>7.1999999999999998E-3</v>
      </c>
      <c r="EG176" s="230">
        <v>5102453</v>
      </c>
      <c r="EH176" s="230">
        <v>5935870</v>
      </c>
      <c r="EI176" s="229">
        <v>-0.1404</v>
      </c>
      <c r="EJ176" s="229">
        <v>0.47839999999999999</v>
      </c>
      <c r="EK176" s="228">
        <v>45.17</v>
      </c>
      <c r="EL176" s="228">
        <v>12.3</v>
      </c>
      <c r="EM176" s="228">
        <v>167.79</v>
      </c>
      <c r="EN176" s="228">
        <v>7.01</v>
      </c>
      <c r="EO176" s="228">
        <v>225.26</v>
      </c>
      <c r="EP176" s="228">
        <v>59.38</v>
      </c>
      <c r="EQ176" s="228">
        <v>165.88</v>
      </c>
      <c r="ER176" s="229">
        <v>2.7934000000000001</v>
      </c>
      <c r="ES176" s="228">
        <v>688.79</v>
      </c>
      <c r="ET176" s="228">
        <v>583.26</v>
      </c>
      <c r="EU176" s="231">
        <v>2517.81</v>
      </c>
      <c r="EV176" s="231">
        <v>216861410</v>
      </c>
      <c r="EW176" s="231">
        <v>3789.85</v>
      </c>
      <c r="EX176" s="231">
        <v>3867.38</v>
      </c>
      <c r="EY176" s="228">
        <v>-77.53</v>
      </c>
      <c r="EZ176" s="229">
        <v>-0.02</v>
      </c>
      <c r="FA176" s="229">
        <v>1.2565999999999999</v>
      </c>
      <c r="FB176" s="227" t="s">
        <v>568</v>
      </c>
      <c r="FC176">
        <f t="shared" si="3"/>
        <v>0</v>
      </c>
    </row>
    <row r="177" spans="1:159" ht="17.25" thickBot="1" x14ac:dyDescent="0.3">
      <c r="A177" s="226">
        <v>45981</v>
      </c>
      <c r="B177" s="227" t="s">
        <v>175</v>
      </c>
      <c r="C177" s="227" t="s">
        <v>687</v>
      </c>
      <c r="D177" s="228">
        <v>4300</v>
      </c>
      <c r="E177" s="228">
        <v>5</v>
      </c>
      <c r="F177" s="228">
        <v>157.49</v>
      </c>
      <c r="G177" s="228">
        <v>160.13</v>
      </c>
      <c r="H177" s="228">
        <v>-2.64</v>
      </c>
      <c r="I177" s="229">
        <v>-1.6500000000000001E-2</v>
      </c>
      <c r="J177" s="228">
        <v>157.02000000000001</v>
      </c>
      <c r="K177" s="228">
        <v>159.55000000000001</v>
      </c>
      <c r="L177" s="228">
        <v>-2.5299999999999998</v>
      </c>
      <c r="M177" s="229">
        <v>-1.5900000000000001E-2</v>
      </c>
      <c r="N177" s="228">
        <v>157.49</v>
      </c>
      <c r="O177" s="228">
        <v>160.13</v>
      </c>
      <c r="P177" s="228">
        <v>-2.64</v>
      </c>
      <c r="Q177" s="229">
        <v>-1.6500000000000001E-2</v>
      </c>
      <c r="R177" s="228">
        <v>158.78</v>
      </c>
      <c r="S177" s="228">
        <v>161.12</v>
      </c>
      <c r="T177" s="228">
        <v>-2.34</v>
      </c>
      <c r="U177" s="229">
        <v>-1.4500000000000001E-2</v>
      </c>
      <c r="V177" s="228">
        <v>157.80000000000001</v>
      </c>
      <c r="W177" s="228">
        <v>161.96</v>
      </c>
      <c r="X177" s="228">
        <v>-4.16</v>
      </c>
      <c r="Y177" s="229">
        <v>-2.5700000000000001E-2</v>
      </c>
      <c r="Z177" s="228">
        <v>0.47</v>
      </c>
      <c r="AA177" s="228">
        <v>0.57999999999999996</v>
      </c>
      <c r="AB177" s="228">
        <v>-0.11</v>
      </c>
      <c r="AC177" s="229">
        <v>3.0000000000000001E-3</v>
      </c>
      <c r="AD177" s="228">
        <v>0.47</v>
      </c>
      <c r="AE177" s="228">
        <v>0.57999999999999996</v>
      </c>
      <c r="AF177" s="228">
        <v>-0.11</v>
      </c>
      <c r="AG177" s="229">
        <v>3.0000000000000001E-3</v>
      </c>
      <c r="AH177" s="228">
        <v>1.76</v>
      </c>
      <c r="AI177" s="228">
        <v>1.57</v>
      </c>
      <c r="AJ177" s="228">
        <v>0.19</v>
      </c>
      <c r="AK177" s="229">
        <v>1.12E-2</v>
      </c>
      <c r="AL177" s="228">
        <v>0.78</v>
      </c>
      <c r="AM177" s="228">
        <v>2.41</v>
      </c>
      <c r="AN177" s="228">
        <v>-1.63</v>
      </c>
      <c r="AO177" s="229">
        <v>5.0000000000000001E-3</v>
      </c>
      <c r="AP177" s="228">
        <v>159.08000000000001</v>
      </c>
      <c r="AQ177" s="228">
        <v>160.72999999999999</v>
      </c>
      <c r="AR177" s="228">
        <v>0</v>
      </c>
      <c r="AS177" s="228">
        <v>483</v>
      </c>
      <c r="AT177" s="230">
        <v>2376</v>
      </c>
      <c r="AU177" s="230">
        <v>-1893</v>
      </c>
      <c r="AV177" s="229">
        <v>-0.79669999999999996</v>
      </c>
      <c r="AW177" s="228">
        <v>317</v>
      </c>
      <c r="AX177" s="230">
        <v>1442</v>
      </c>
      <c r="AY177" s="230">
        <v>-1125</v>
      </c>
      <c r="AZ177" s="229">
        <v>-0.7802</v>
      </c>
      <c r="BA177" s="228">
        <v>165</v>
      </c>
      <c r="BB177" s="228">
        <v>854</v>
      </c>
      <c r="BC177" s="228">
        <v>-689</v>
      </c>
      <c r="BD177" s="229">
        <v>-0.80640000000000001</v>
      </c>
      <c r="BE177" s="228">
        <v>1</v>
      </c>
      <c r="BF177" s="228">
        <v>80</v>
      </c>
      <c r="BG177" s="228">
        <v>-79</v>
      </c>
      <c r="BH177" s="229">
        <v>-0.99239999999999995</v>
      </c>
      <c r="BI177" s="228">
        <v>337</v>
      </c>
      <c r="BJ177" s="230">
        <v>4704</v>
      </c>
      <c r="BK177" s="230">
        <v>-4367</v>
      </c>
      <c r="BL177" s="229">
        <v>-0.9284</v>
      </c>
      <c r="BM177" s="228">
        <v>299</v>
      </c>
      <c r="BN177" s="230">
        <v>4513</v>
      </c>
      <c r="BO177" s="230">
        <v>-4214</v>
      </c>
      <c r="BP177" s="229">
        <v>-0.93379999999999996</v>
      </c>
      <c r="BQ177" s="230">
        <v>1119</v>
      </c>
      <c r="BR177" s="230">
        <v>11593</v>
      </c>
      <c r="BS177" s="230">
        <v>-10474</v>
      </c>
      <c r="BT177" s="229">
        <v>-0.90349999999999997</v>
      </c>
      <c r="BU177" s="230">
        <v>102179494</v>
      </c>
      <c r="BV177" s="230">
        <v>67471907</v>
      </c>
      <c r="BW177" s="230">
        <v>34707587</v>
      </c>
      <c r="BX177" s="229">
        <v>0.51439999999999997</v>
      </c>
      <c r="BY177" s="230">
        <v>1736</v>
      </c>
      <c r="BZ177" s="230">
        <v>1929</v>
      </c>
      <c r="CA177" s="228">
        <v>-193</v>
      </c>
      <c r="CB177" s="229">
        <v>-0.10009999999999999</v>
      </c>
      <c r="CC177" s="228">
        <v>896</v>
      </c>
      <c r="CD177" s="230">
        <v>1119</v>
      </c>
      <c r="CE177" s="228">
        <v>-223</v>
      </c>
      <c r="CF177" s="229">
        <v>-0.19889999999999999</v>
      </c>
      <c r="CG177" s="228">
        <v>817</v>
      </c>
      <c r="CH177" s="228">
        <v>787</v>
      </c>
      <c r="CI177" s="228">
        <v>30</v>
      </c>
      <c r="CJ177" s="229">
        <v>3.8199999999999998E-2</v>
      </c>
      <c r="CK177" s="228">
        <v>23</v>
      </c>
      <c r="CL177" s="228">
        <v>23</v>
      </c>
      <c r="CM177" s="228">
        <v>-1</v>
      </c>
      <c r="CN177" s="229">
        <v>-2.3300000000000001E-2</v>
      </c>
      <c r="CO177" s="230">
        <v>1045</v>
      </c>
      <c r="CP177" s="230">
        <v>1195</v>
      </c>
      <c r="CQ177" s="228">
        <v>-151</v>
      </c>
      <c r="CR177" s="229">
        <v>-0.126</v>
      </c>
      <c r="CS177" s="228">
        <v>612</v>
      </c>
      <c r="CT177" s="228">
        <v>740</v>
      </c>
      <c r="CU177" s="228">
        <v>-128</v>
      </c>
      <c r="CV177" s="229">
        <v>-0.17349999999999999</v>
      </c>
      <c r="CW177" s="230">
        <v>3392</v>
      </c>
      <c r="CX177" s="230">
        <v>3864</v>
      </c>
      <c r="CY177" s="228">
        <v>-472</v>
      </c>
      <c r="CZ177" s="229">
        <v>-0.1221</v>
      </c>
      <c r="DA177" s="228">
        <v>39.56</v>
      </c>
      <c r="DB177" s="228">
        <v>62.88</v>
      </c>
      <c r="DC177" s="228">
        <v>-23.32</v>
      </c>
      <c r="DD177" s="228">
        <v>-23.32</v>
      </c>
      <c r="DE177" s="228">
        <v>58.9</v>
      </c>
      <c r="DF177" s="228">
        <v>59.01</v>
      </c>
      <c r="DG177" s="228">
        <v>-19.34</v>
      </c>
      <c r="DH177" s="228">
        <v>-0.11</v>
      </c>
      <c r="DI177" s="228">
        <v>39.61</v>
      </c>
      <c r="DJ177" s="228">
        <v>63</v>
      </c>
      <c r="DK177" s="228">
        <v>-23.39</v>
      </c>
      <c r="DL177" s="228">
        <v>-23.39</v>
      </c>
      <c r="DM177" s="228">
        <v>39.51</v>
      </c>
      <c r="DN177" s="228">
        <v>62.75</v>
      </c>
      <c r="DO177" s="228">
        <v>-23.24</v>
      </c>
      <c r="DP177" s="228">
        <v>-23.24</v>
      </c>
      <c r="DQ177" s="228">
        <v>0.59</v>
      </c>
      <c r="DR177" s="228">
        <v>0.62</v>
      </c>
      <c r="DS177" s="228">
        <v>-0.03</v>
      </c>
      <c r="DT177" s="229">
        <v>-4.8399999999999999E-2</v>
      </c>
      <c r="DU177" s="228">
        <v>190</v>
      </c>
      <c r="DV177" s="228">
        <v>190</v>
      </c>
      <c r="DW177" s="228">
        <v>0.89</v>
      </c>
      <c r="DX177" s="228">
        <v>0.96</v>
      </c>
      <c r="DY177" s="228">
        <v>-7.0000000000000007E-2</v>
      </c>
      <c r="DZ177" s="229">
        <v>-7.2900000000000006E-2</v>
      </c>
      <c r="EA177" s="229">
        <v>0.48370000000000002</v>
      </c>
      <c r="EB177" s="230">
        <v>51432300</v>
      </c>
      <c r="EC177" s="229">
        <v>8.2000000000000007E-3</v>
      </c>
      <c r="ED177" s="229">
        <v>0.48370000000000002</v>
      </c>
      <c r="EE177" s="228">
        <v>1.65</v>
      </c>
      <c r="EF177" s="229">
        <v>1.04E-2</v>
      </c>
      <c r="EG177" s="230">
        <v>22183564</v>
      </c>
      <c r="EH177" s="230">
        <v>20891223</v>
      </c>
      <c r="EI177" s="229">
        <v>6.1899999999999997E-2</v>
      </c>
      <c r="EJ177" s="229">
        <v>0.21709999999999999</v>
      </c>
      <c r="EK177" s="228">
        <v>374.21</v>
      </c>
      <c r="EL177" s="228">
        <v>311.68</v>
      </c>
      <c r="EM177" s="228">
        <v>489.68</v>
      </c>
      <c r="EN177" s="228">
        <v>119.58</v>
      </c>
      <c r="EO177" s="231">
        <v>1175.57</v>
      </c>
      <c r="EP177" s="231">
        <v>12753.34</v>
      </c>
      <c r="EQ177" s="231">
        <v>-11577.77</v>
      </c>
      <c r="ER177" s="229">
        <v>-0.90780000000000005</v>
      </c>
      <c r="ES177" s="231">
        <v>1207.46</v>
      </c>
      <c r="ET177" s="228">
        <v>650.76</v>
      </c>
      <c r="EU177" s="231">
        <v>1742.55</v>
      </c>
      <c r="EV177" s="231">
        <v>122326971</v>
      </c>
      <c r="EW177" s="231">
        <v>3600.77</v>
      </c>
      <c r="EX177" s="231">
        <v>4121</v>
      </c>
      <c r="EY177" s="228">
        <v>-520.23</v>
      </c>
      <c r="EZ177" s="229">
        <v>-0.12620000000000001</v>
      </c>
      <c r="FA177" s="229">
        <v>1.7607999999999999</v>
      </c>
      <c r="FB177" s="227" t="s">
        <v>568</v>
      </c>
      <c r="FC177">
        <f t="shared" si="3"/>
        <v>0</v>
      </c>
    </row>
    <row r="178" spans="1:159" ht="17.25" thickBot="1" x14ac:dyDescent="0.3">
      <c r="A178" s="226">
        <v>45981</v>
      </c>
      <c r="B178" s="227" t="s">
        <v>175</v>
      </c>
      <c r="C178" s="227" t="s">
        <v>536</v>
      </c>
      <c r="D178" s="228">
        <v>800</v>
      </c>
      <c r="E178" s="228">
        <v>5</v>
      </c>
      <c r="F178" s="228">
        <v>875.35</v>
      </c>
      <c r="G178" s="228">
        <v>866.6</v>
      </c>
      <c r="H178" s="228">
        <v>8.75</v>
      </c>
      <c r="I178" s="229">
        <v>1.01E-2</v>
      </c>
      <c r="J178" s="228">
        <v>874.1</v>
      </c>
      <c r="K178" s="228">
        <v>863.7</v>
      </c>
      <c r="L178" s="228">
        <v>10.4</v>
      </c>
      <c r="M178" s="229">
        <v>1.2E-2</v>
      </c>
      <c r="N178" s="228">
        <v>875.35</v>
      </c>
      <c r="O178" s="228">
        <v>866.6</v>
      </c>
      <c r="P178" s="228">
        <v>8.75</v>
      </c>
      <c r="Q178" s="229">
        <v>1.01E-2</v>
      </c>
      <c r="R178" s="228">
        <v>868.05</v>
      </c>
      <c r="S178" s="228">
        <v>858.75</v>
      </c>
      <c r="T178" s="228">
        <v>9.3000000000000007</v>
      </c>
      <c r="U178" s="229">
        <v>1.0800000000000001E-2</v>
      </c>
      <c r="V178" s="228">
        <v>862.6</v>
      </c>
      <c r="W178" s="228">
        <v>854.5</v>
      </c>
      <c r="X178" s="228">
        <v>8.1</v>
      </c>
      <c r="Y178" s="229">
        <v>9.4999999999999998E-3</v>
      </c>
      <c r="Z178" s="228">
        <v>1.25</v>
      </c>
      <c r="AA178" s="228">
        <v>2.9</v>
      </c>
      <c r="AB178" s="228">
        <v>-1.65</v>
      </c>
      <c r="AC178" s="229">
        <v>1.4E-3</v>
      </c>
      <c r="AD178" s="228">
        <v>1.25</v>
      </c>
      <c r="AE178" s="228">
        <v>2.9</v>
      </c>
      <c r="AF178" s="228">
        <v>-1.65</v>
      </c>
      <c r="AG178" s="229">
        <v>1.4E-3</v>
      </c>
      <c r="AH178" s="228">
        <v>-6.05</v>
      </c>
      <c r="AI178" s="228">
        <v>-4.95</v>
      </c>
      <c r="AJ178" s="228">
        <v>-1.1000000000000001</v>
      </c>
      <c r="AK178" s="229">
        <v>-6.8999999999999999E-3</v>
      </c>
      <c r="AL178" s="228">
        <v>-11.5</v>
      </c>
      <c r="AM178" s="228">
        <v>-9.1999999999999993</v>
      </c>
      <c r="AN178" s="228">
        <v>-2.2999999999999998</v>
      </c>
      <c r="AO178" s="229">
        <v>-1.32E-2</v>
      </c>
      <c r="AP178" s="228">
        <v>874.85</v>
      </c>
      <c r="AQ178" s="228">
        <v>866.72</v>
      </c>
      <c r="AR178" s="228">
        <v>0</v>
      </c>
      <c r="AS178" s="230">
        <v>1089</v>
      </c>
      <c r="AT178" s="228">
        <v>342</v>
      </c>
      <c r="AU178" s="228">
        <v>746</v>
      </c>
      <c r="AV178" s="229">
        <v>2.1806999999999999</v>
      </c>
      <c r="AW178" s="228">
        <v>566</v>
      </c>
      <c r="AX178" s="228">
        <v>213</v>
      </c>
      <c r="AY178" s="228">
        <v>353</v>
      </c>
      <c r="AZ178" s="229">
        <v>1.6596</v>
      </c>
      <c r="BA178" s="228">
        <v>515</v>
      </c>
      <c r="BB178" s="228">
        <v>123</v>
      </c>
      <c r="BC178" s="228">
        <v>392</v>
      </c>
      <c r="BD178" s="229">
        <v>3.1974999999999998</v>
      </c>
      <c r="BE178" s="228">
        <v>8</v>
      </c>
      <c r="BF178" s="228">
        <v>7</v>
      </c>
      <c r="BG178" s="228">
        <v>1</v>
      </c>
      <c r="BH178" s="229">
        <v>0.13400000000000001</v>
      </c>
      <c r="BI178" s="228">
        <v>640</v>
      </c>
      <c r="BJ178" s="230">
        <v>1119</v>
      </c>
      <c r="BK178" s="228">
        <v>-478</v>
      </c>
      <c r="BL178" s="229">
        <v>-0.42759999999999998</v>
      </c>
      <c r="BM178" s="228">
        <v>246</v>
      </c>
      <c r="BN178" s="228">
        <v>354</v>
      </c>
      <c r="BO178" s="228">
        <v>-109</v>
      </c>
      <c r="BP178" s="229">
        <v>-0.307</v>
      </c>
      <c r="BQ178" s="230">
        <v>1974</v>
      </c>
      <c r="BR178" s="230">
        <v>1815</v>
      </c>
      <c r="BS178" s="228">
        <v>159</v>
      </c>
      <c r="BT178" s="229">
        <v>8.7599999999999997E-2</v>
      </c>
      <c r="BU178" s="230">
        <v>406565</v>
      </c>
      <c r="BV178" s="230">
        <v>893110</v>
      </c>
      <c r="BW178" s="230">
        <v>-486545</v>
      </c>
      <c r="BX178" s="229">
        <v>-0.54479999999999995</v>
      </c>
      <c r="BY178" s="230">
        <v>1750</v>
      </c>
      <c r="BZ178" s="230">
        <v>1985</v>
      </c>
      <c r="CA178" s="228">
        <v>-236</v>
      </c>
      <c r="CB178" s="229">
        <v>-0.1187</v>
      </c>
      <c r="CC178" s="230">
        <v>1209</v>
      </c>
      <c r="CD178" s="230">
        <v>1629</v>
      </c>
      <c r="CE178" s="228">
        <v>-420</v>
      </c>
      <c r="CF178" s="229">
        <v>-0.25779999999999997</v>
      </c>
      <c r="CG178" s="228">
        <v>483</v>
      </c>
      <c r="CH178" s="228">
        <v>299</v>
      </c>
      <c r="CI178" s="228">
        <v>184</v>
      </c>
      <c r="CJ178" s="229">
        <v>0.61450000000000005</v>
      </c>
      <c r="CK178" s="228">
        <v>57</v>
      </c>
      <c r="CL178" s="228">
        <v>57</v>
      </c>
      <c r="CM178" s="228">
        <v>0</v>
      </c>
      <c r="CN178" s="229">
        <v>3.7000000000000002E-3</v>
      </c>
      <c r="CO178" s="228">
        <v>736</v>
      </c>
      <c r="CP178" s="228">
        <v>840</v>
      </c>
      <c r="CQ178" s="228">
        <v>-104</v>
      </c>
      <c r="CR178" s="229">
        <v>-0.12379999999999999</v>
      </c>
      <c r="CS178" s="228">
        <v>357</v>
      </c>
      <c r="CT178" s="228">
        <v>388</v>
      </c>
      <c r="CU178" s="228">
        <v>-31</v>
      </c>
      <c r="CV178" s="229">
        <v>-7.9399999999999998E-2</v>
      </c>
      <c r="CW178" s="230">
        <v>2843</v>
      </c>
      <c r="CX178" s="230">
        <v>3213</v>
      </c>
      <c r="CY178" s="228">
        <v>-371</v>
      </c>
      <c r="CZ178" s="229">
        <v>-0.1153</v>
      </c>
      <c r="DA178" s="228">
        <v>21.97</v>
      </c>
      <c r="DB178" s="228">
        <v>26.71</v>
      </c>
      <c r="DC178" s="228">
        <v>-4.74</v>
      </c>
      <c r="DD178" s="228">
        <v>-4.74</v>
      </c>
      <c r="DE178" s="228">
        <v>29.69</v>
      </c>
      <c r="DF178" s="228">
        <v>29.72</v>
      </c>
      <c r="DG178" s="228">
        <v>-7.72</v>
      </c>
      <c r="DH178" s="228">
        <v>-0.03</v>
      </c>
      <c r="DI178" s="228">
        <v>22.11</v>
      </c>
      <c r="DJ178" s="228">
        <v>27.43</v>
      </c>
      <c r="DK178" s="228">
        <v>-5.32</v>
      </c>
      <c r="DL178" s="228">
        <v>-5.32</v>
      </c>
      <c r="DM178" s="228">
        <v>21.8</v>
      </c>
      <c r="DN178" s="228">
        <v>24.43</v>
      </c>
      <c r="DO178" s="228">
        <v>-2.63</v>
      </c>
      <c r="DP178" s="228">
        <v>-2.63</v>
      </c>
      <c r="DQ178" s="228">
        <v>0.49</v>
      </c>
      <c r="DR178" s="228">
        <v>0.46</v>
      </c>
      <c r="DS178" s="228">
        <v>0.03</v>
      </c>
      <c r="DT178" s="229">
        <v>6.5199999999999994E-2</v>
      </c>
      <c r="DU178" s="228">
        <v>950</v>
      </c>
      <c r="DV178" s="228">
        <v>800</v>
      </c>
      <c r="DW178" s="228">
        <v>0.38</v>
      </c>
      <c r="DX178" s="228">
        <v>0.32</v>
      </c>
      <c r="DY178" s="228">
        <v>0.06</v>
      </c>
      <c r="DZ178" s="229">
        <v>0.1875</v>
      </c>
      <c r="EA178" s="229">
        <v>0.309</v>
      </c>
      <c r="EB178" s="230">
        <v>4071200</v>
      </c>
      <c r="EC178" s="229">
        <v>-8.3000000000000001E-3</v>
      </c>
      <c r="ED178" s="229">
        <v>0.309</v>
      </c>
      <c r="EE178" s="228">
        <v>-8.1300000000000008</v>
      </c>
      <c r="EF178" s="229">
        <v>-9.2999999999999992E-3</v>
      </c>
      <c r="EG178" s="230">
        <v>187591</v>
      </c>
      <c r="EH178" s="230">
        <v>453790</v>
      </c>
      <c r="EI178" s="229">
        <v>-0.58660000000000001</v>
      </c>
      <c r="EJ178" s="229">
        <v>0.46139999999999998</v>
      </c>
      <c r="EK178" s="228">
        <v>664.98</v>
      </c>
      <c r="EL178" s="228">
        <v>240.74</v>
      </c>
      <c r="EM178" s="231">
        <v>1082.99</v>
      </c>
      <c r="EN178" s="228">
        <v>44.03</v>
      </c>
      <c r="EO178" s="231">
        <v>1988.71</v>
      </c>
      <c r="EP178" s="231">
        <v>1845.4</v>
      </c>
      <c r="EQ178" s="228">
        <v>143.32</v>
      </c>
      <c r="ER178" s="229">
        <v>7.7700000000000005E-2</v>
      </c>
      <c r="ES178" s="228">
        <v>785.17</v>
      </c>
      <c r="ET178" s="228">
        <v>346.99</v>
      </c>
      <c r="EU178" s="231">
        <v>1744.72</v>
      </c>
      <c r="EV178" s="231">
        <v>39583537</v>
      </c>
      <c r="EW178" s="231">
        <v>2876.88</v>
      </c>
      <c r="EX178" s="231">
        <v>3230.69</v>
      </c>
      <c r="EY178" s="228">
        <v>-353.81</v>
      </c>
      <c r="EZ178" s="229">
        <v>-0.1095</v>
      </c>
      <c r="FA178" s="229">
        <v>0.82040000000000002</v>
      </c>
      <c r="FB178" s="227" t="s">
        <v>556</v>
      </c>
      <c r="FC178">
        <f t="shared" si="3"/>
        <v>0</v>
      </c>
    </row>
    <row r="179" spans="1:159" ht="17.25" thickBot="1" x14ac:dyDescent="0.3">
      <c r="A179" s="226">
        <v>45981</v>
      </c>
      <c r="B179" s="227" t="s">
        <v>175</v>
      </c>
      <c r="C179" s="227" t="s">
        <v>462</v>
      </c>
      <c r="D179" s="228">
        <v>375</v>
      </c>
      <c r="E179" s="228">
        <v>5</v>
      </c>
      <c r="F179" s="231">
        <v>2021.1</v>
      </c>
      <c r="G179" s="231">
        <v>2002.4</v>
      </c>
      <c r="H179" s="228">
        <v>18.7</v>
      </c>
      <c r="I179" s="229">
        <v>9.2999999999999992E-3</v>
      </c>
      <c r="J179" s="231">
        <v>2027.1</v>
      </c>
      <c r="K179" s="231">
        <v>2004.8</v>
      </c>
      <c r="L179" s="228">
        <v>22.3</v>
      </c>
      <c r="M179" s="229">
        <v>1.11E-2</v>
      </c>
      <c r="N179" s="231">
        <v>2021.1</v>
      </c>
      <c r="O179" s="231">
        <v>2002.4</v>
      </c>
      <c r="P179" s="228">
        <v>18.7</v>
      </c>
      <c r="Q179" s="229">
        <v>9.2999999999999992E-3</v>
      </c>
      <c r="R179" s="231">
        <v>2035</v>
      </c>
      <c r="S179" s="231">
        <v>2015.5</v>
      </c>
      <c r="T179" s="228">
        <v>19.5</v>
      </c>
      <c r="U179" s="229">
        <v>9.7000000000000003E-3</v>
      </c>
      <c r="V179" s="231">
        <v>2047.1</v>
      </c>
      <c r="W179" s="231">
        <v>2028</v>
      </c>
      <c r="X179" s="228">
        <v>19.100000000000001</v>
      </c>
      <c r="Y179" s="229">
        <v>9.4000000000000004E-3</v>
      </c>
      <c r="Z179" s="228">
        <v>-6</v>
      </c>
      <c r="AA179" s="228">
        <v>-2.4</v>
      </c>
      <c r="AB179" s="228">
        <v>-3.6</v>
      </c>
      <c r="AC179" s="229">
        <v>-3.0000000000000001E-3</v>
      </c>
      <c r="AD179" s="228">
        <v>-6</v>
      </c>
      <c r="AE179" s="228">
        <v>-2.4</v>
      </c>
      <c r="AF179" s="228">
        <v>-3.6</v>
      </c>
      <c r="AG179" s="229">
        <v>-3.0000000000000001E-3</v>
      </c>
      <c r="AH179" s="228">
        <v>7.9</v>
      </c>
      <c r="AI179" s="228">
        <v>10.7</v>
      </c>
      <c r="AJ179" s="228">
        <v>-2.8</v>
      </c>
      <c r="AK179" s="229">
        <v>3.8999999999999998E-3</v>
      </c>
      <c r="AL179" s="228">
        <v>20</v>
      </c>
      <c r="AM179" s="228">
        <v>23.2</v>
      </c>
      <c r="AN179" s="228">
        <v>-3.2</v>
      </c>
      <c r="AO179" s="229">
        <v>9.9000000000000008E-3</v>
      </c>
      <c r="AP179" s="231">
        <v>2012.34</v>
      </c>
      <c r="AQ179" s="231">
        <v>2025.88</v>
      </c>
      <c r="AR179" s="228">
        <v>0</v>
      </c>
      <c r="AS179" s="230">
        <v>1053</v>
      </c>
      <c r="AT179" s="228">
        <v>215</v>
      </c>
      <c r="AU179" s="228">
        <v>838</v>
      </c>
      <c r="AV179" s="229">
        <v>3.9039999999999999</v>
      </c>
      <c r="AW179" s="228">
        <v>585</v>
      </c>
      <c r="AX179" s="228">
        <v>163</v>
      </c>
      <c r="AY179" s="228">
        <v>421</v>
      </c>
      <c r="AZ179" s="229">
        <v>2.5840999999999998</v>
      </c>
      <c r="BA179" s="228">
        <v>464</v>
      </c>
      <c r="BB179" s="228">
        <v>51</v>
      </c>
      <c r="BC179" s="228">
        <v>413</v>
      </c>
      <c r="BD179" s="229">
        <v>8.1236999999999995</v>
      </c>
      <c r="BE179" s="228">
        <v>4</v>
      </c>
      <c r="BF179" s="228">
        <v>1</v>
      </c>
      <c r="BG179" s="228">
        <v>3</v>
      </c>
      <c r="BH179" s="229">
        <v>4.8888999999999996</v>
      </c>
      <c r="BI179" s="230">
        <v>1684</v>
      </c>
      <c r="BJ179" s="228">
        <v>685</v>
      </c>
      <c r="BK179" s="230">
        <v>1000</v>
      </c>
      <c r="BL179" s="229">
        <v>1.4593</v>
      </c>
      <c r="BM179" s="228">
        <v>686</v>
      </c>
      <c r="BN179" s="228">
        <v>507</v>
      </c>
      <c r="BO179" s="228">
        <v>179</v>
      </c>
      <c r="BP179" s="229">
        <v>0.35199999999999998</v>
      </c>
      <c r="BQ179" s="230">
        <v>3423</v>
      </c>
      <c r="BR179" s="230">
        <v>1407</v>
      </c>
      <c r="BS179" s="230">
        <v>2016</v>
      </c>
      <c r="BT179" s="229">
        <v>1.4330000000000001</v>
      </c>
      <c r="BU179" s="230">
        <v>817218</v>
      </c>
      <c r="BV179" s="230">
        <v>902870</v>
      </c>
      <c r="BW179" s="230">
        <v>-85652</v>
      </c>
      <c r="BX179" s="229">
        <v>-9.4899999999999998E-2</v>
      </c>
      <c r="BY179" s="230">
        <v>1658</v>
      </c>
      <c r="BZ179" s="230">
        <v>1593</v>
      </c>
      <c r="CA179" s="228">
        <v>65</v>
      </c>
      <c r="CB179" s="229">
        <v>4.0899999999999999E-2</v>
      </c>
      <c r="CC179" s="230">
        <v>1131</v>
      </c>
      <c r="CD179" s="230">
        <v>1457</v>
      </c>
      <c r="CE179" s="228">
        <v>-326</v>
      </c>
      <c r="CF179" s="229">
        <v>-0.2235</v>
      </c>
      <c r="CG179" s="228">
        <v>520</v>
      </c>
      <c r="CH179" s="228">
        <v>130</v>
      </c>
      <c r="CI179" s="228">
        <v>390</v>
      </c>
      <c r="CJ179" s="229">
        <v>2.9971000000000001</v>
      </c>
      <c r="CK179" s="228">
        <v>7</v>
      </c>
      <c r="CL179" s="228">
        <v>6</v>
      </c>
      <c r="CM179" s="228">
        <v>1</v>
      </c>
      <c r="CN179" s="229">
        <v>0.22969999999999999</v>
      </c>
      <c r="CO179" s="230">
        <v>1152</v>
      </c>
      <c r="CP179" s="230">
        <v>1061</v>
      </c>
      <c r="CQ179" s="228">
        <v>91</v>
      </c>
      <c r="CR179" s="229">
        <v>8.5699999999999998E-2</v>
      </c>
      <c r="CS179" s="228">
        <v>754</v>
      </c>
      <c r="CT179" s="228">
        <v>677</v>
      </c>
      <c r="CU179" s="228">
        <v>76</v>
      </c>
      <c r="CV179" s="229">
        <v>0.1128</v>
      </c>
      <c r="CW179" s="230">
        <v>3563</v>
      </c>
      <c r="CX179" s="230">
        <v>3331</v>
      </c>
      <c r="CY179" s="228">
        <v>232</v>
      </c>
      <c r="CZ179" s="229">
        <v>6.9800000000000001E-2</v>
      </c>
      <c r="DA179" s="228">
        <v>19.489999999999998</v>
      </c>
      <c r="DB179" s="228">
        <v>16.11</v>
      </c>
      <c r="DC179" s="228">
        <v>3.38</v>
      </c>
      <c r="DD179" s="228">
        <v>3.38</v>
      </c>
      <c r="DE179" s="228">
        <v>25.06</v>
      </c>
      <c r="DF179" s="228">
        <v>25.08</v>
      </c>
      <c r="DG179" s="228">
        <v>-5.57</v>
      </c>
      <c r="DH179" s="228">
        <v>-0.02</v>
      </c>
      <c r="DI179" s="228">
        <v>19.350000000000001</v>
      </c>
      <c r="DJ179" s="228">
        <v>13.83</v>
      </c>
      <c r="DK179" s="228">
        <v>5.52</v>
      </c>
      <c r="DL179" s="228">
        <v>5.52</v>
      </c>
      <c r="DM179" s="228">
        <v>19.93</v>
      </c>
      <c r="DN179" s="228">
        <v>19.2</v>
      </c>
      <c r="DO179" s="228">
        <v>0.73</v>
      </c>
      <c r="DP179" s="228">
        <v>0.73</v>
      </c>
      <c r="DQ179" s="228">
        <v>0.65</v>
      </c>
      <c r="DR179" s="228">
        <v>0.64</v>
      </c>
      <c r="DS179" s="228">
        <v>0.01</v>
      </c>
      <c r="DT179" s="229">
        <v>1.5599999999999999E-2</v>
      </c>
      <c r="DU179" s="231">
        <v>2020</v>
      </c>
      <c r="DV179" s="231">
        <v>2000</v>
      </c>
      <c r="DW179" s="228">
        <v>0.41</v>
      </c>
      <c r="DX179" s="228">
        <v>0.74</v>
      </c>
      <c r="DY179" s="228">
        <v>-0.33</v>
      </c>
      <c r="DZ179" s="229">
        <v>-0.44590000000000002</v>
      </c>
      <c r="EA179" s="229">
        <v>0.3175</v>
      </c>
      <c r="EB179" s="230">
        <v>670875</v>
      </c>
      <c r="EC179" s="229">
        <v>6.8999999999999999E-3</v>
      </c>
      <c r="ED179" s="229">
        <v>0.3175</v>
      </c>
      <c r="EE179" s="228">
        <v>13.54</v>
      </c>
      <c r="EF179" s="229">
        <v>6.7000000000000002E-3</v>
      </c>
      <c r="EG179" s="230">
        <v>559028</v>
      </c>
      <c r="EH179" s="230">
        <v>691084</v>
      </c>
      <c r="EI179" s="229">
        <v>-0.19109999999999999</v>
      </c>
      <c r="EJ179" s="229">
        <v>0.68410000000000004</v>
      </c>
      <c r="EK179" s="231">
        <v>1704.12</v>
      </c>
      <c r="EL179" s="228">
        <v>672.66</v>
      </c>
      <c r="EM179" s="231">
        <v>1051.19</v>
      </c>
      <c r="EN179" s="228">
        <v>27.98</v>
      </c>
      <c r="EO179" s="231">
        <v>3427.98</v>
      </c>
      <c r="EP179" s="231">
        <v>1392.94</v>
      </c>
      <c r="EQ179" s="231">
        <v>2035.03</v>
      </c>
      <c r="ER179" s="229">
        <v>1.4610000000000001</v>
      </c>
      <c r="ES179" s="231">
        <v>1153.08</v>
      </c>
      <c r="ET179" s="228">
        <v>721.7</v>
      </c>
      <c r="EU179" s="231">
        <v>1661.6</v>
      </c>
      <c r="EV179" s="231">
        <v>44735132</v>
      </c>
      <c r="EW179" s="231">
        <v>3536.37</v>
      </c>
      <c r="EX179" s="231">
        <v>3283.08</v>
      </c>
      <c r="EY179" s="228">
        <v>253.29</v>
      </c>
      <c r="EZ179" s="229">
        <v>7.7200000000000005E-2</v>
      </c>
      <c r="FA179" s="229">
        <v>0.39410000000000001</v>
      </c>
      <c r="FB179" s="227" t="s">
        <v>555</v>
      </c>
      <c r="FC179">
        <f t="shared" si="3"/>
        <v>0</v>
      </c>
    </row>
    <row r="180" spans="1:159" ht="17.25" thickBot="1" x14ac:dyDescent="0.3">
      <c r="A180" s="226">
        <v>45981</v>
      </c>
      <c r="B180" s="227" t="s">
        <v>172</v>
      </c>
      <c r="C180" s="227" t="s">
        <v>283</v>
      </c>
      <c r="D180" s="228">
        <v>750</v>
      </c>
      <c r="E180" s="228">
        <v>5</v>
      </c>
      <c r="F180" s="228">
        <v>980.5</v>
      </c>
      <c r="G180" s="228">
        <v>982.15</v>
      </c>
      <c r="H180" s="228">
        <v>-1.65</v>
      </c>
      <c r="I180" s="229">
        <v>-1.6999999999999999E-3</v>
      </c>
      <c r="J180" s="228">
        <v>981.55</v>
      </c>
      <c r="K180" s="228">
        <v>982.75</v>
      </c>
      <c r="L180" s="228">
        <v>-1.2</v>
      </c>
      <c r="M180" s="229">
        <v>-1.1999999999999999E-3</v>
      </c>
      <c r="N180" s="228">
        <v>980.5</v>
      </c>
      <c r="O180" s="228">
        <v>982.15</v>
      </c>
      <c r="P180" s="228">
        <v>-1.65</v>
      </c>
      <c r="Q180" s="229">
        <v>-1.6999999999999999E-3</v>
      </c>
      <c r="R180" s="228">
        <v>987.55</v>
      </c>
      <c r="S180" s="228">
        <v>988.65</v>
      </c>
      <c r="T180" s="228">
        <v>-1.1000000000000001</v>
      </c>
      <c r="U180" s="229">
        <v>-1.1000000000000001E-3</v>
      </c>
      <c r="V180" s="228">
        <v>993.6</v>
      </c>
      <c r="W180" s="228">
        <v>994.6</v>
      </c>
      <c r="X180" s="228">
        <v>-1</v>
      </c>
      <c r="Y180" s="229">
        <v>-1E-3</v>
      </c>
      <c r="Z180" s="228">
        <v>-1.05</v>
      </c>
      <c r="AA180" s="228">
        <v>-0.6</v>
      </c>
      <c r="AB180" s="228">
        <v>-0.45</v>
      </c>
      <c r="AC180" s="229">
        <v>-1.1000000000000001E-3</v>
      </c>
      <c r="AD180" s="228">
        <v>-1.05</v>
      </c>
      <c r="AE180" s="228">
        <v>-0.6</v>
      </c>
      <c r="AF180" s="228">
        <v>-0.45</v>
      </c>
      <c r="AG180" s="229">
        <v>-1.1000000000000001E-3</v>
      </c>
      <c r="AH180" s="228">
        <v>6</v>
      </c>
      <c r="AI180" s="228">
        <v>5.9</v>
      </c>
      <c r="AJ180" s="228">
        <v>0.1</v>
      </c>
      <c r="AK180" s="229">
        <v>6.1000000000000004E-3</v>
      </c>
      <c r="AL180" s="228">
        <v>12.05</v>
      </c>
      <c r="AM180" s="228">
        <v>11.85</v>
      </c>
      <c r="AN180" s="228">
        <v>0.2</v>
      </c>
      <c r="AO180" s="229">
        <v>1.23E-2</v>
      </c>
      <c r="AP180" s="228">
        <v>981.26</v>
      </c>
      <c r="AQ180" s="228">
        <v>987.98</v>
      </c>
      <c r="AR180" s="228">
        <v>0</v>
      </c>
      <c r="AS180" s="230">
        <v>4170</v>
      </c>
      <c r="AT180" s="230">
        <v>2008</v>
      </c>
      <c r="AU180" s="230">
        <v>2162</v>
      </c>
      <c r="AV180" s="229">
        <v>1.0764</v>
      </c>
      <c r="AW180" s="230">
        <v>2239</v>
      </c>
      <c r="AX180" s="230">
        <v>1377</v>
      </c>
      <c r="AY180" s="228">
        <v>861</v>
      </c>
      <c r="AZ180" s="229">
        <v>0.62529999999999997</v>
      </c>
      <c r="BA180" s="230">
        <v>1915</v>
      </c>
      <c r="BB180" s="228">
        <v>593</v>
      </c>
      <c r="BC180" s="230">
        <v>1322</v>
      </c>
      <c r="BD180" s="229">
        <v>2.2280000000000002</v>
      </c>
      <c r="BE180" s="228">
        <v>16</v>
      </c>
      <c r="BF180" s="228">
        <v>38</v>
      </c>
      <c r="BG180" s="228">
        <v>-22</v>
      </c>
      <c r="BH180" s="229">
        <v>-0.57340000000000002</v>
      </c>
      <c r="BI180" s="230">
        <v>7048</v>
      </c>
      <c r="BJ180" s="230">
        <v>10390</v>
      </c>
      <c r="BK180" s="230">
        <v>-3341</v>
      </c>
      <c r="BL180" s="229">
        <v>-0.3216</v>
      </c>
      <c r="BM180" s="230">
        <v>4840</v>
      </c>
      <c r="BN180" s="230">
        <v>7371</v>
      </c>
      <c r="BO180" s="230">
        <v>-2531</v>
      </c>
      <c r="BP180" s="229">
        <v>-0.34329999999999999</v>
      </c>
      <c r="BQ180" s="230">
        <v>16058</v>
      </c>
      <c r="BR180" s="230">
        <v>19768</v>
      </c>
      <c r="BS180" s="230">
        <v>-3710</v>
      </c>
      <c r="BT180" s="229">
        <v>-0.18770000000000001</v>
      </c>
      <c r="BU180" s="230">
        <v>7450855</v>
      </c>
      <c r="BV180" s="230">
        <v>8532004</v>
      </c>
      <c r="BW180" s="230">
        <v>-1081149</v>
      </c>
      <c r="BX180" s="229">
        <v>-0.12670000000000001</v>
      </c>
      <c r="BY180" s="230">
        <v>7261</v>
      </c>
      <c r="BZ180" s="230">
        <v>7369</v>
      </c>
      <c r="CA180" s="228">
        <v>-108</v>
      </c>
      <c r="CB180" s="229">
        <v>-1.46E-2</v>
      </c>
      <c r="CC180" s="230">
        <v>4505</v>
      </c>
      <c r="CD180" s="230">
        <v>6088</v>
      </c>
      <c r="CE180" s="230">
        <v>-1583</v>
      </c>
      <c r="CF180" s="229">
        <v>-0.26</v>
      </c>
      <c r="CG180" s="230">
        <v>2659</v>
      </c>
      <c r="CH180" s="230">
        <v>1192</v>
      </c>
      <c r="CI180" s="230">
        <v>1467</v>
      </c>
      <c r="CJ180" s="229">
        <v>1.2313000000000001</v>
      </c>
      <c r="CK180" s="228">
        <v>97</v>
      </c>
      <c r="CL180" s="228">
        <v>89</v>
      </c>
      <c r="CM180" s="228">
        <v>8</v>
      </c>
      <c r="CN180" s="229">
        <v>8.6300000000000002E-2</v>
      </c>
      <c r="CO180" s="230">
        <v>4736</v>
      </c>
      <c r="CP180" s="230">
        <v>4670</v>
      </c>
      <c r="CQ180" s="228">
        <v>66</v>
      </c>
      <c r="CR180" s="229">
        <v>1.41E-2</v>
      </c>
      <c r="CS180" s="230">
        <v>4317</v>
      </c>
      <c r="CT180" s="230">
        <v>4612</v>
      </c>
      <c r="CU180" s="228">
        <v>-295</v>
      </c>
      <c r="CV180" s="229">
        <v>-6.4000000000000001E-2</v>
      </c>
      <c r="CW180" s="230">
        <v>16313</v>
      </c>
      <c r="CX180" s="230">
        <v>16651</v>
      </c>
      <c r="CY180" s="228">
        <v>-337</v>
      </c>
      <c r="CZ180" s="229">
        <v>-2.0299999999999999E-2</v>
      </c>
      <c r="DA180" s="228">
        <v>16.98</v>
      </c>
      <c r="DB180" s="228">
        <v>17.059999999999999</v>
      </c>
      <c r="DC180" s="228">
        <v>-0.08</v>
      </c>
      <c r="DD180" s="228">
        <v>-0.08</v>
      </c>
      <c r="DE180" s="228">
        <v>25.3</v>
      </c>
      <c r="DF180" s="228">
        <v>25.36</v>
      </c>
      <c r="DG180" s="228">
        <v>-8.32</v>
      </c>
      <c r="DH180" s="228">
        <v>-0.06</v>
      </c>
      <c r="DI180" s="228">
        <v>16.63</v>
      </c>
      <c r="DJ180" s="228">
        <v>15.74</v>
      </c>
      <c r="DK180" s="228">
        <v>0.89</v>
      </c>
      <c r="DL180" s="228">
        <v>0.89</v>
      </c>
      <c r="DM180" s="228">
        <v>17.600000000000001</v>
      </c>
      <c r="DN180" s="228">
        <v>18.920000000000002</v>
      </c>
      <c r="DO180" s="228">
        <v>-1.32</v>
      </c>
      <c r="DP180" s="228">
        <v>-1.32</v>
      </c>
      <c r="DQ180" s="228">
        <v>0.91</v>
      </c>
      <c r="DR180" s="228">
        <v>0.99</v>
      </c>
      <c r="DS180" s="228">
        <v>-0.08</v>
      </c>
      <c r="DT180" s="229">
        <v>-8.0799999999999997E-2</v>
      </c>
      <c r="DU180" s="228">
        <v>970</v>
      </c>
      <c r="DV180" s="228">
        <v>960</v>
      </c>
      <c r="DW180" s="228">
        <v>0.69</v>
      </c>
      <c r="DX180" s="228">
        <v>0.71</v>
      </c>
      <c r="DY180" s="228">
        <v>-0.02</v>
      </c>
      <c r="DZ180" s="229">
        <v>-2.8199999999999999E-2</v>
      </c>
      <c r="EA180" s="229">
        <v>0.3795</v>
      </c>
      <c r="EB180" s="230">
        <v>13065000</v>
      </c>
      <c r="EC180" s="229">
        <v>7.1999999999999998E-3</v>
      </c>
      <c r="ED180" s="229">
        <v>0.3795</v>
      </c>
      <c r="EE180" s="228">
        <v>6.72</v>
      </c>
      <c r="EF180" s="229">
        <v>6.7999999999999996E-3</v>
      </c>
      <c r="EG180" s="230">
        <v>4119040</v>
      </c>
      <c r="EH180" s="230">
        <v>5026102</v>
      </c>
      <c r="EI180" s="229">
        <v>-0.18049999999999999</v>
      </c>
      <c r="EJ180" s="229">
        <v>0.55279999999999996</v>
      </c>
      <c r="EK180" s="231">
        <v>7172.47</v>
      </c>
      <c r="EL180" s="231">
        <v>4764.74</v>
      </c>
      <c r="EM180" s="231">
        <v>4186.6400000000003</v>
      </c>
      <c r="EN180" s="228">
        <v>190.01</v>
      </c>
      <c r="EO180" s="231">
        <v>16123.85</v>
      </c>
      <c r="EP180" s="231">
        <v>19762.64</v>
      </c>
      <c r="EQ180" s="231">
        <v>-3638.79</v>
      </c>
      <c r="ER180" s="229">
        <v>-0.18410000000000001</v>
      </c>
      <c r="ES180" s="231">
        <v>4719.6099999999997</v>
      </c>
      <c r="ET180" s="231">
        <v>4098.3</v>
      </c>
      <c r="EU180" s="231">
        <v>7281.58</v>
      </c>
      <c r="EV180" s="231">
        <v>407307212</v>
      </c>
      <c r="EW180" s="231">
        <v>16099.49</v>
      </c>
      <c r="EX180" s="231">
        <v>16409.509999999998</v>
      </c>
      <c r="EY180" s="228">
        <v>-310.02</v>
      </c>
      <c r="EZ180" s="229">
        <v>-1.89E-2</v>
      </c>
      <c r="FA180" s="229">
        <v>0.40849999999999997</v>
      </c>
      <c r="FB180" s="227" t="s">
        <v>568</v>
      </c>
      <c r="FC180">
        <f t="shared" si="3"/>
        <v>0</v>
      </c>
    </row>
    <row r="181" spans="1:159" ht="17.25" thickBot="1" x14ac:dyDescent="0.3">
      <c r="A181" s="226">
        <v>45981</v>
      </c>
      <c r="B181" s="227" t="s">
        <v>157</v>
      </c>
      <c r="C181" s="227" t="s">
        <v>284</v>
      </c>
      <c r="D181" s="228">
        <v>25</v>
      </c>
      <c r="E181" s="228">
        <v>5</v>
      </c>
      <c r="F181" s="231">
        <v>26565</v>
      </c>
      <c r="G181" s="231">
        <v>26550</v>
      </c>
      <c r="H181" s="228">
        <v>15</v>
      </c>
      <c r="I181" s="229">
        <v>5.9999999999999995E-4</v>
      </c>
      <c r="J181" s="231">
        <v>26480</v>
      </c>
      <c r="K181" s="231">
        <v>26510</v>
      </c>
      <c r="L181" s="228">
        <v>-30</v>
      </c>
      <c r="M181" s="229">
        <v>-1.1000000000000001E-3</v>
      </c>
      <c r="N181" s="231">
        <v>26565</v>
      </c>
      <c r="O181" s="231">
        <v>26550</v>
      </c>
      <c r="P181" s="228">
        <v>15</v>
      </c>
      <c r="Q181" s="229">
        <v>5.9999999999999995E-4</v>
      </c>
      <c r="R181" s="231">
        <v>26685</v>
      </c>
      <c r="S181" s="231">
        <v>26685</v>
      </c>
      <c r="T181" s="228">
        <v>0</v>
      </c>
      <c r="U181" s="229">
        <v>0</v>
      </c>
      <c r="V181" s="231">
        <v>26830</v>
      </c>
      <c r="W181" s="231">
        <v>26850</v>
      </c>
      <c r="X181" s="228">
        <v>-20</v>
      </c>
      <c r="Y181" s="229">
        <v>-6.9999999999999999E-4</v>
      </c>
      <c r="Z181" s="228">
        <v>85</v>
      </c>
      <c r="AA181" s="228">
        <v>40</v>
      </c>
      <c r="AB181" s="228">
        <v>45</v>
      </c>
      <c r="AC181" s="229">
        <v>3.2000000000000002E-3</v>
      </c>
      <c r="AD181" s="228">
        <v>85</v>
      </c>
      <c r="AE181" s="228">
        <v>40</v>
      </c>
      <c r="AF181" s="228">
        <v>45</v>
      </c>
      <c r="AG181" s="229">
        <v>3.2000000000000002E-3</v>
      </c>
      <c r="AH181" s="228">
        <v>205</v>
      </c>
      <c r="AI181" s="228">
        <v>175</v>
      </c>
      <c r="AJ181" s="228">
        <v>30</v>
      </c>
      <c r="AK181" s="229">
        <v>7.7000000000000002E-3</v>
      </c>
      <c r="AL181" s="228">
        <v>350</v>
      </c>
      <c r="AM181" s="228">
        <v>340</v>
      </c>
      <c r="AN181" s="228">
        <v>10</v>
      </c>
      <c r="AO181" s="229">
        <v>1.32E-2</v>
      </c>
      <c r="AP181" s="231">
        <v>26596.38</v>
      </c>
      <c r="AQ181" s="231">
        <v>26702.400000000001</v>
      </c>
      <c r="AR181" s="228">
        <v>0</v>
      </c>
      <c r="AS181" s="228">
        <v>506</v>
      </c>
      <c r="AT181" s="228">
        <v>75</v>
      </c>
      <c r="AU181" s="228">
        <v>431</v>
      </c>
      <c r="AV181" s="229">
        <v>5.7792000000000003</v>
      </c>
      <c r="AW181" s="228">
        <v>274</v>
      </c>
      <c r="AX181" s="228">
        <v>55</v>
      </c>
      <c r="AY181" s="228">
        <v>219</v>
      </c>
      <c r="AZ181" s="229">
        <v>3.9759000000000002</v>
      </c>
      <c r="BA181" s="228">
        <v>230</v>
      </c>
      <c r="BB181" s="228">
        <v>19</v>
      </c>
      <c r="BC181" s="228">
        <v>211</v>
      </c>
      <c r="BD181" s="229">
        <v>10.9345</v>
      </c>
      <c r="BE181" s="228">
        <v>1</v>
      </c>
      <c r="BF181" s="228">
        <v>0</v>
      </c>
      <c r="BG181" s="228">
        <v>1</v>
      </c>
      <c r="BH181" s="229">
        <v>6.3333000000000004</v>
      </c>
      <c r="BI181" s="228">
        <v>346</v>
      </c>
      <c r="BJ181" s="228">
        <v>451</v>
      </c>
      <c r="BK181" s="228">
        <v>-105</v>
      </c>
      <c r="BL181" s="229">
        <v>-0.2321</v>
      </c>
      <c r="BM181" s="228">
        <v>38</v>
      </c>
      <c r="BN181" s="228">
        <v>58</v>
      </c>
      <c r="BO181" s="228">
        <v>-20</v>
      </c>
      <c r="BP181" s="229">
        <v>-0.35049999999999998</v>
      </c>
      <c r="BQ181" s="228">
        <v>889</v>
      </c>
      <c r="BR181" s="228">
        <v>583</v>
      </c>
      <c r="BS181" s="228">
        <v>306</v>
      </c>
      <c r="BT181" s="229">
        <v>0.52480000000000004</v>
      </c>
      <c r="BU181" s="230">
        <v>15843</v>
      </c>
      <c r="BV181" s="230">
        <v>12747</v>
      </c>
      <c r="BW181" s="230">
        <v>3096</v>
      </c>
      <c r="BX181" s="229">
        <v>0.2429</v>
      </c>
      <c r="BY181" s="228">
        <v>795</v>
      </c>
      <c r="BZ181" s="228">
        <v>817</v>
      </c>
      <c r="CA181" s="228">
        <v>-22</v>
      </c>
      <c r="CB181" s="229">
        <v>-2.75E-2</v>
      </c>
      <c r="CC181" s="228">
        <v>563</v>
      </c>
      <c r="CD181" s="228">
        <v>758</v>
      </c>
      <c r="CE181" s="228">
        <v>-195</v>
      </c>
      <c r="CF181" s="229">
        <v>-0.25750000000000001</v>
      </c>
      <c r="CG181" s="228">
        <v>227</v>
      </c>
      <c r="CH181" s="228">
        <v>55</v>
      </c>
      <c r="CI181" s="228">
        <v>172</v>
      </c>
      <c r="CJ181" s="229">
        <v>3.1244000000000001</v>
      </c>
      <c r="CK181" s="228">
        <v>5</v>
      </c>
      <c r="CL181" s="228">
        <v>5</v>
      </c>
      <c r="CM181" s="228">
        <v>1</v>
      </c>
      <c r="CN181" s="229">
        <v>0.18840000000000001</v>
      </c>
      <c r="CO181" s="228">
        <v>440</v>
      </c>
      <c r="CP181" s="228">
        <v>494</v>
      </c>
      <c r="CQ181" s="228">
        <v>-55</v>
      </c>
      <c r="CR181" s="229">
        <v>-0.1103</v>
      </c>
      <c r="CS181" s="228">
        <v>152</v>
      </c>
      <c r="CT181" s="228">
        <v>154</v>
      </c>
      <c r="CU181" s="228">
        <v>-2</v>
      </c>
      <c r="CV181" s="229">
        <v>-1.46E-2</v>
      </c>
      <c r="CW181" s="230">
        <v>1387</v>
      </c>
      <c r="CX181" s="230">
        <v>1466</v>
      </c>
      <c r="CY181" s="228">
        <v>-79</v>
      </c>
      <c r="CZ181" s="229">
        <v>-5.4100000000000002E-2</v>
      </c>
      <c r="DA181" s="228">
        <v>21.38</v>
      </c>
      <c r="DB181" s="228">
        <v>25.5</v>
      </c>
      <c r="DC181" s="228">
        <v>-4.12</v>
      </c>
      <c r="DD181" s="228">
        <v>-4.12</v>
      </c>
      <c r="DE181" s="228">
        <v>25.15</v>
      </c>
      <c r="DF181" s="228">
        <v>25.21</v>
      </c>
      <c r="DG181" s="228">
        <v>-3.77</v>
      </c>
      <c r="DH181" s="228">
        <v>-0.06</v>
      </c>
      <c r="DI181" s="228">
        <v>21.47</v>
      </c>
      <c r="DJ181" s="228">
        <v>26</v>
      </c>
      <c r="DK181" s="228">
        <v>-4.53</v>
      </c>
      <c r="DL181" s="228">
        <v>-4.53</v>
      </c>
      <c r="DM181" s="228">
        <v>21.17</v>
      </c>
      <c r="DN181" s="228">
        <v>21.6</v>
      </c>
      <c r="DO181" s="228">
        <v>-0.43</v>
      </c>
      <c r="DP181" s="228">
        <v>-0.43</v>
      </c>
      <c r="DQ181" s="228">
        <v>0.35</v>
      </c>
      <c r="DR181" s="228">
        <v>0.31</v>
      </c>
      <c r="DS181" s="228">
        <v>0.04</v>
      </c>
      <c r="DT181" s="229">
        <v>0.129</v>
      </c>
      <c r="DU181" s="231">
        <v>30000</v>
      </c>
      <c r="DV181" s="231">
        <v>27000</v>
      </c>
      <c r="DW181" s="228">
        <v>0.11</v>
      </c>
      <c r="DX181" s="228">
        <v>0.13</v>
      </c>
      <c r="DY181" s="228">
        <v>-0.02</v>
      </c>
      <c r="DZ181" s="229">
        <v>-0.15379999999999999</v>
      </c>
      <c r="EA181" s="229">
        <v>0.29220000000000002</v>
      </c>
      <c r="EB181" s="230">
        <v>22425</v>
      </c>
      <c r="EC181" s="229">
        <v>4.4999999999999997E-3</v>
      </c>
      <c r="ED181" s="229">
        <v>0.29220000000000002</v>
      </c>
      <c r="EE181" s="228">
        <v>106.02</v>
      </c>
      <c r="EF181" s="229">
        <v>4.0000000000000001E-3</v>
      </c>
      <c r="EG181" s="230">
        <v>10818</v>
      </c>
      <c r="EH181" s="230">
        <v>7794</v>
      </c>
      <c r="EI181" s="229">
        <v>0.38800000000000001</v>
      </c>
      <c r="EJ181" s="229">
        <v>0.68279999999999996</v>
      </c>
      <c r="EK181" s="228">
        <v>365.7</v>
      </c>
      <c r="EL181" s="228">
        <v>38.21</v>
      </c>
      <c r="EM181" s="228">
        <v>507.13</v>
      </c>
      <c r="EN181" s="228">
        <v>14.78</v>
      </c>
      <c r="EO181" s="228">
        <v>911.04</v>
      </c>
      <c r="EP181" s="228">
        <v>608.55999999999995</v>
      </c>
      <c r="EQ181" s="228">
        <v>302.48</v>
      </c>
      <c r="ER181" s="229">
        <v>0.497</v>
      </c>
      <c r="ES181" s="228">
        <v>471.2</v>
      </c>
      <c r="ET181" s="228">
        <v>155.35</v>
      </c>
      <c r="EU181" s="228">
        <v>795.84</v>
      </c>
      <c r="EV181" s="231">
        <v>1548028</v>
      </c>
      <c r="EW181" s="231">
        <v>1422.38</v>
      </c>
      <c r="EX181" s="231">
        <v>1504.92</v>
      </c>
      <c r="EY181" s="228">
        <v>-82.54</v>
      </c>
      <c r="EZ181" s="229">
        <v>-5.4800000000000001E-2</v>
      </c>
      <c r="FA181" s="229">
        <v>0.3372</v>
      </c>
      <c r="FB181" s="227" t="s">
        <v>556</v>
      </c>
      <c r="FC181">
        <f t="shared" si="3"/>
        <v>0</v>
      </c>
    </row>
    <row r="182" spans="1:159" ht="17.25" thickBot="1" x14ac:dyDescent="0.3">
      <c r="A182" s="226">
        <v>45981</v>
      </c>
      <c r="B182" s="227" t="s">
        <v>175</v>
      </c>
      <c r="C182" s="227" t="s">
        <v>562</v>
      </c>
      <c r="D182" s="228">
        <v>825</v>
      </c>
      <c r="E182" s="228">
        <v>5</v>
      </c>
      <c r="F182" s="228">
        <v>826.6</v>
      </c>
      <c r="G182" s="228">
        <v>819.3</v>
      </c>
      <c r="H182" s="228">
        <v>7.3</v>
      </c>
      <c r="I182" s="229">
        <v>8.8999999999999999E-3</v>
      </c>
      <c r="J182" s="228">
        <v>826.6</v>
      </c>
      <c r="K182" s="228">
        <v>818.05</v>
      </c>
      <c r="L182" s="228">
        <v>8.5500000000000007</v>
      </c>
      <c r="M182" s="229">
        <v>1.0500000000000001E-2</v>
      </c>
      <c r="N182" s="228">
        <v>826.6</v>
      </c>
      <c r="O182" s="228">
        <v>819.3</v>
      </c>
      <c r="P182" s="228">
        <v>7.3</v>
      </c>
      <c r="Q182" s="229">
        <v>8.8999999999999999E-3</v>
      </c>
      <c r="R182" s="228">
        <v>832.2</v>
      </c>
      <c r="S182" s="228">
        <v>824.7</v>
      </c>
      <c r="T182" s="228">
        <v>7.5</v>
      </c>
      <c r="U182" s="229">
        <v>9.1000000000000004E-3</v>
      </c>
      <c r="V182" s="228">
        <v>836.65</v>
      </c>
      <c r="W182" s="228">
        <v>829.9</v>
      </c>
      <c r="X182" s="228">
        <v>6.75</v>
      </c>
      <c r="Y182" s="229">
        <v>8.0999999999999996E-3</v>
      </c>
      <c r="Z182" s="228">
        <v>0</v>
      </c>
      <c r="AA182" s="228">
        <v>1.25</v>
      </c>
      <c r="AB182" s="228">
        <v>-1.25</v>
      </c>
      <c r="AC182" s="229">
        <v>0</v>
      </c>
      <c r="AD182" s="228">
        <v>0</v>
      </c>
      <c r="AE182" s="228">
        <v>1.25</v>
      </c>
      <c r="AF182" s="228">
        <v>-1.25</v>
      </c>
      <c r="AG182" s="229">
        <v>0</v>
      </c>
      <c r="AH182" s="228">
        <v>5.6</v>
      </c>
      <c r="AI182" s="228">
        <v>6.65</v>
      </c>
      <c r="AJ182" s="228">
        <v>-1.05</v>
      </c>
      <c r="AK182" s="229">
        <v>6.7999999999999996E-3</v>
      </c>
      <c r="AL182" s="228">
        <v>10.050000000000001</v>
      </c>
      <c r="AM182" s="228">
        <v>11.85</v>
      </c>
      <c r="AN182" s="228">
        <v>-1.8</v>
      </c>
      <c r="AO182" s="229">
        <v>1.2200000000000001E-2</v>
      </c>
      <c r="AP182" s="228">
        <v>822.73</v>
      </c>
      <c r="AQ182" s="228">
        <v>828.31</v>
      </c>
      <c r="AR182" s="228">
        <v>0</v>
      </c>
      <c r="AS182" s="230">
        <v>2365</v>
      </c>
      <c r="AT182" s="228">
        <v>660</v>
      </c>
      <c r="AU182" s="230">
        <v>1705</v>
      </c>
      <c r="AV182" s="229">
        <v>2.5808</v>
      </c>
      <c r="AW182" s="230">
        <v>1252</v>
      </c>
      <c r="AX182" s="228">
        <v>405</v>
      </c>
      <c r="AY182" s="228">
        <v>847</v>
      </c>
      <c r="AZ182" s="229">
        <v>2.0941999999999998</v>
      </c>
      <c r="BA182" s="230">
        <v>1109</v>
      </c>
      <c r="BB182" s="228">
        <v>252</v>
      </c>
      <c r="BC182" s="228">
        <v>857</v>
      </c>
      <c r="BD182" s="229">
        <v>3.4018000000000002</v>
      </c>
      <c r="BE182" s="228">
        <v>3</v>
      </c>
      <c r="BF182" s="228">
        <v>4</v>
      </c>
      <c r="BG182" s="228">
        <v>0</v>
      </c>
      <c r="BH182" s="229">
        <v>-9.0899999999999995E-2</v>
      </c>
      <c r="BI182" s="230">
        <v>1381</v>
      </c>
      <c r="BJ182" s="230">
        <v>1328</v>
      </c>
      <c r="BK182" s="228">
        <v>53</v>
      </c>
      <c r="BL182" s="229">
        <v>3.95E-2</v>
      </c>
      <c r="BM182" s="228">
        <v>783</v>
      </c>
      <c r="BN182" s="228">
        <v>878</v>
      </c>
      <c r="BO182" s="228">
        <v>-95</v>
      </c>
      <c r="BP182" s="229">
        <v>-0.1082</v>
      </c>
      <c r="BQ182" s="230">
        <v>4528</v>
      </c>
      <c r="BR182" s="230">
        <v>2866</v>
      </c>
      <c r="BS182" s="230">
        <v>1662</v>
      </c>
      <c r="BT182" s="229">
        <v>0.57979999999999998</v>
      </c>
      <c r="BU182" s="230">
        <v>3266810</v>
      </c>
      <c r="BV182" s="230">
        <v>3805005</v>
      </c>
      <c r="BW182" s="230">
        <v>-538195</v>
      </c>
      <c r="BX182" s="229">
        <v>-0.1414</v>
      </c>
      <c r="BY182" s="230">
        <v>4664</v>
      </c>
      <c r="BZ182" s="230">
        <v>4709</v>
      </c>
      <c r="CA182" s="228">
        <v>-45</v>
      </c>
      <c r="CB182" s="229">
        <v>-9.4999999999999998E-3</v>
      </c>
      <c r="CC182" s="230">
        <v>2993</v>
      </c>
      <c r="CD182" s="230">
        <v>3991</v>
      </c>
      <c r="CE182" s="228">
        <v>-998</v>
      </c>
      <c r="CF182" s="229">
        <v>-0.25009999999999999</v>
      </c>
      <c r="CG182" s="230">
        <v>1637</v>
      </c>
      <c r="CH182" s="228">
        <v>684</v>
      </c>
      <c r="CI182" s="228">
        <v>953</v>
      </c>
      <c r="CJ182" s="229">
        <v>1.393</v>
      </c>
      <c r="CK182" s="228">
        <v>35</v>
      </c>
      <c r="CL182" s="228">
        <v>34</v>
      </c>
      <c r="CM182" s="228">
        <v>1</v>
      </c>
      <c r="CN182" s="229">
        <v>1.7999999999999999E-2</v>
      </c>
      <c r="CO182" s="230">
        <v>1354</v>
      </c>
      <c r="CP182" s="230">
        <v>1469</v>
      </c>
      <c r="CQ182" s="228">
        <v>-115</v>
      </c>
      <c r="CR182" s="229">
        <v>-7.8399999999999997E-2</v>
      </c>
      <c r="CS182" s="230">
        <v>1230</v>
      </c>
      <c r="CT182" s="230">
        <v>1288</v>
      </c>
      <c r="CU182" s="228">
        <v>-58</v>
      </c>
      <c r="CV182" s="229">
        <v>-4.4999999999999998E-2</v>
      </c>
      <c r="CW182" s="230">
        <v>7248</v>
      </c>
      <c r="CX182" s="230">
        <v>7466</v>
      </c>
      <c r="CY182" s="228">
        <v>-218</v>
      </c>
      <c r="CZ182" s="229">
        <v>-2.92E-2</v>
      </c>
      <c r="DA182" s="228">
        <v>29.51</v>
      </c>
      <c r="DB182" s="228">
        <v>30.75</v>
      </c>
      <c r="DC182" s="228">
        <v>-1.24</v>
      </c>
      <c r="DD182" s="228">
        <v>-1.24</v>
      </c>
      <c r="DE182" s="228">
        <v>40.049999999999997</v>
      </c>
      <c r="DF182" s="228">
        <v>40.119999999999997</v>
      </c>
      <c r="DG182" s="228">
        <v>-10.54</v>
      </c>
      <c r="DH182" s="228">
        <v>-7.0000000000000007E-2</v>
      </c>
      <c r="DI182" s="228">
        <v>29.27</v>
      </c>
      <c r="DJ182" s="228">
        <v>29.96</v>
      </c>
      <c r="DK182" s="228">
        <v>-0.69</v>
      </c>
      <c r="DL182" s="228">
        <v>-0.69</v>
      </c>
      <c r="DM182" s="228">
        <v>29.89</v>
      </c>
      <c r="DN182" s="228">
        <v>31.94</v>
      </c>
      <c r="DO182" s="228">
        <v>-2.0499999999999998</v>
      </c>
      <c r="DP182" s="228">
        <v>-2.0499999999999998</v>
      </c>
      <c r="DQ182" s="228">
        <v>0.91</v>
      </c>
      <c r="DR182" s="228">
        <v>0.88</v>
      </c>
      <c r="DS182" s="228">
        <v>0.03</v>
      </c>
      <c r="DT182" s="229">
        <v>3.4099999999999998E-2</v>
      </c>
      <c r="DU182" s="228">
        <v>820</v>
      </c>
      <c r="DV182" s="228">
        <v>800</v>
      </c>
      <c r="DW182" s="228">
        <v>0.56999999999999995</v>
      </c>
      <c r="DX182" s="228">
        <v>0.66</v>
      </c>
      <c r="DY182" s="228">
        <v>-0.09</v>
      </c>
      <c r="DZ182" s="229">
        <v>-0.13639999999999999</v>
      </c>
      <c r="EA182" s="229">
        <v>0.35830000000000001</v>
      </c>
      <c r="EB182" s="230">
        <v>8687250</v>
      </c>
      <c r="EC182" s="229">
        <v>6.7999999999999996E-3</v>
      </c>
      <c r="ED182" s="229">
        <v>0.35830000000000001</v>
      </c>
      <c r="EE182" s="228">
        <v>5.58</v>
      </c>
      <c r="EF182" s="229">
        <v>6.7999999999999996E-3</v>
      </c>
      <c r="EG182" s="230">
        <v>1639400</v>
      </c>
      <c r="EH182" s="230">
        <v>2184574</v>
      </c>
      <c r="EI182" s="229">
        <v>-0.24959999999999999</v>
      </c>
      <c r="EJ182" s="229">
        <v>0.50180000000000002</v>
      </c>
      <c r="EK182" s="231">
        <v>1416.56</v>
      </c>
      <c r="EL182" s="228">
        <v>754.03</v>
      </c>
      <c r="EM182" s="231">
        <v>2361.4499999999998</v>
      </c>
      <c r="EN182" s="228">
        <v>111.18</v>
      </c>
      <c r="EO182" s="231">
        <v>4532.04</v>
      </c>
      <c r="EP182" s="231">
        <v>2869.97</v>
      </c>
      <c r="EQ182" s="231">
        <v>1662.06</v>
      </c>
      <c r="ER182" s="229">
        <v>0.57909999999999995</v>
      </c>
      <c r="ES182" s="231">
        <v>1353.69</v>
      </c>
      <c r="ET182" s="231">
        <v>1125.18</v>
      </c>
      <c r="EU182" s="231">
        <v>4675.95</v>
      </c>
      <c r="EV182" s="231">
        <v>210459276</v>
      </c>
      <c r="EW182" s="231">
        <v>7154.82</v>
      </c>
      <c r="EX182" s="231">
        <v>7321.19</v>
      </c>
      <c r="EY182" s="228">
        <v>-166.37</v>
      </c>
      <c r="EZ182" s="229">
        <v>-2.2700000000000001E-2</v>
      </c>
      <c r="FA182" s="229">
        <v>0.41670000000000001</v>
      </c>
      <c r="FB182" s="227" t="s">
        <v>556</v>
      </c>
      <c r="FC182">
        <f t="shared" si="3"/>
        <v>0</v>
      </c>
    </row>
    <row r="183" spans="1:159" ht="17.25" thickBot="1" x14ac:dyDescent="0.3">
      <c r="A183" s="226">
        <v>45981</v>
      </c>
      <c r="B183" s="227" t="s">
        <v>184</v>
      </c>
      <c r="C183" s="227" t="s">
        <v>285</v>
      </c>
      <c r="D183" s="228">
        <v>125</v>
      </c>
      <c r="E183" s="228">
        <v>5</v>
      </c>
      <c r="F183" s="231">
        <v>3222.8</v>
      </c>
      <c r="G183" s="231">
        <v>3212.7</v>
      </c>
      <c r="H183" s="228">
        <v>10.1</v>
      </c>
      <c r="I183" s="229">
        <v>3.0999999999999999E-3</v>
      </c>
      <c r="J183" s="231">
        <v>3216.3</v>
      </c>
      <c r="K183" s="231">
        <v>3211.5</v>
      </c>
      <c r="L183" s="228">
        <v>4.8</v>
      </c>
      <c r="M183" s="229">
        <v>1.5E-3</v>
      </c>
      <c r="N183" s="231">
        <v>3222.8</v>
      </c>
      <c r="O183" s="231">
        <v>3212.7</v>
      </c>
      <c r="P183" s="228">
        <v>10.1</v>
      </c>
      <c r="Q183" s="229">
        <v>3.0999999999999999E-3</v>
      </c>
      <c r="R183" s="231">
        <v>3238.1</v>
      </c>
      <c r="S183" s="231">
        <v>3227.3</v>
      </c>
      <c r="T183" s="228">
        <v>10.8</v>
      </c>
      <c r="U183" s="229">
        <v>3.3E-3</v>
      </c>
      <c r="V183" s="231">
        <v>3261.2</v>
      </c>
      <c r="W183" s="231">
        <v>3273.3</v>
      </c>
      <c r="X183" s="228">
        <v>-12.1</v>
      </c>
      <c r="Y183" s="229">
        <v>-3.7000000000000002E-3</v>
      </c>
      <c r="Z183" s="228">
        <v>6.5</v>
      </c>
      <c r="AA183" s="228">
        <v>1.2</v>
      </c>
      <c r="AB183" s="228">
        <v>5.3</v>
      </c>
      <c r="AC183" s="229">
        <v>2E-3</v>
      </c>
      <c r="AD183" s="228">
        <v>6.5</v>
      </c>
      <c r="AE183" s="228">
        <v>1.2</v>
      </c>
      <c r="AF183" s="228">
        <v>5.3</v>
      </c>
      <c r="AG183" s="229">
        <v>2E-3</v>
      </c>
      <c r="AH183" s="228">
        <v>21.8</v>
      </c>
      <c r="AI183" s="228">
        <v>15.8</v>
      </c>
      <c r="AJ183" s="228">
        <v>6</v>
      </c>
      <c r="AK183" s="229">
        <v>6.7999999999999996E-3</v>
      </c>
      <c r="AL183" s="228">
        <v>44.9</v>
      </c>
      <c r="AM183" s="228">
        <v>61.8</v>
      </c>
      <c r="AN183" s="228">
        <v>-16.899999999999999</v>
      </c>
      <c r="AO183" s="229">
        <v>1.4E-2</v>
      </c>
      <c r="AP183" s="231">
        <v>3229.66</v>
      </c>
      <c r="AQ183" s="231">
        <v>3245.34</v>
      </c>
      <c r="AR183" s="228">
        <v>0</v>
      </c>
      <c r="AS183" s="228">
        <v>623</v>
      </c>
      <c r="AT183" s="228">
        <v>192</v>
      </c>
      <c r="AU183" s="228">
        <v>431</v>
      </c>
      <c r="AV183" s="229">
        <v>2.2418999999999998</v>
      </c>
      <c r="AW183" s="228">
        <v>332</v>
      </c>
      <c r="AX183" s="228">
        <v>139</v>
      </c>
      <c r="AY183" s="228">
        <v>193</v>
      </c>
      <c r="AZ183" s="229">
        <v>1.3866000000000001</v>
      </c>
      <c r="BA183" s="228">
        <v>290</v>
      </c>
      <c r="BB183" s="228">
        <v>52</v>
      </c>
      <c r="BC183" s="228">
        <v>238</v>
      </c>
      <c r="BD183" s="229">
        <v>4.5559000000000003</v>
      </c>
      <c r="BE183" s="228">
        <v>1</v>
      </c>
      <c r="BF183" s="228">
        <v>1</v>
      </c>
      <c r="BG183" s="228">
        <v>0</v>
      </c>
      <c r="BH183" s="229">
        <v>-0.27779999999999999</v>
      </c>
      <c r="BI183" s="230">
        <v>1506</v>
      </c>
      <c r="BJ183" s="230">
        <v>1470</v>
      </c>
      <c r="BK183" s="228">
        <v>36</v>
      </c>
      <c r="BL183" s="229">
        <v>2.47E-2</v>
      </c>
      <c r="BM183" s="228">
        <v>664</v>
      </c>
      <c r="BN183" s="230">
        <v>1047</v>
      </c>
      <c r="BO183" s="228">
        <v>-383</v>
      </c>
      <c r="BP183" s="229">
        <v>-0.36580000000000001</v>
      </c>
      <c r="BQ183" s="230">
        <v>2793</v>
      </c>
      <c r="BR183" s="230">
        <v>2708</v>
      </c>
      <c r="BS183" s="228">
        <v>84</v>
      </c>
      <c r="BT183" s="229">
        <v>3.1099999999999999E-2</v>
      </c>
      <c r="BU183" s="230">
        <v>352759</v>
      </c>
      <c r="BV183" s="230">
        <v>352370</v>
      </c>
      <c r="BW183" s="228">
        <v>389</v>
      </c>
      <c r="BX183" s="229">
        <v>1.1000000000000001E-3</v>
      </c>
      <c r="BY183" s="228">
        <v>926</v>
      </c>
      <c r="BZ183" s="228">
        <v>952</v>
      </c>
      <c r="CA183" s="228">
        <v>-26</v>
      </c>
      <c r="CB183" s="229">
        <v>-2.7400000000000001E-2</v>
      </c>
      <c r="CC183" s="228">
        <v>655</v>
      </c>
      <c r="CD183" s="228">
        <v>858</v>
      </c>
      <c r="CE183" s="228">
        <v>-203</v>
      </c>
      <c r="CF183" s="229">
        <v>-0.23649999999999999</v>
      </c>
      <c r="CG183" s="228">
        <v>266</v>
      </c>
      <c r="CH183" s="228">
        <v>89</v>
      </c>
      <c r="CI183" s="228">
        <v>177</v>
      </c>
      <c r="CJ183" s="229">
        <v>1.9764999999999999</v>
      </c>
      <c r="CK183" s="228">
        <v>5</v>
      </c>
      <c r="CL183" s="228">
        <v>5</v>
      </c>
      <c r="CM183" s="228">
        <v>0</v>
      </c>
      <c r="CN183" s="229">
        <v>8.3299999999999999E-2</v>
      </c>
      <c r="CO183" s="228">
        <v>407</v>
      </c>
      <c r="CP183" s="228">
        <v>470</v>
      </c>
      <c r="CQ183" s="228">
        <v>-63</v>
      </c>
      <c r="CR183" s="229">
        <v>-0.1333</v>
      </c>
      <c r="CS183" s="228">
        <v>286</v>
      </c>
      <c r="CT183" s="228">
        <v>326</v>
      </c>
      <c r="CU183" s="228">
        <v>-39</v>
      </c>
      <c r="CV183" s="229">
        <v>-0.1203</v>
      </c>
      <c r="CW183" s="230">
        <v>1620</v>
      </c>
      <c r="CX183" s="230">
        <v>1748</v>
      </c>
      <c r="CY183" s="228">
        <v>-128</v>
      </c>
      <c r="CZ183" s="229">
        <v>-7.3200000000000001E-2</v>
      </c>
      <c r="DA183" s="228">
        <v>25.56</v>
      </c>
      <c r="DB183" s="228">
        <v>26.56</v>
      </c>
      <c r="DC183" s="228">
        <v>-1</v>
      </c>
      <c r="DD183" s="228">
        <v>-1</v>
      </c>
      <c r="DE183" s="228">
        <v>38.46</v>
      </c>
      <c r="DF183" s="228">
        <v>38.56</v>
      </c>
      <c r="DG183" s="228">
        <v>-12.9</v>
      </c>
      <c r="DH183" s="228">
        <v>-0.1</v>
      </c>
      <c r="DI183" s="228">
        <v>25.57</v>
      </c>
      <c r="DJ183" s="228">
        <v>26.74</v>
      </c>
      <c r="DK183" s="228">
        <v>-1.17</v>
      </c>
      <c r="DL183" s="228">
        <v>-1.17</v>
      </c>
      <c r="DM183" s="228">
        <v>25.53</v>
      </c>
      <c r="DN183" s="228">
        <v>26.31</v>
      </c>
      <c r="DO183" s="228">
        <v>-0.78</v>
      </c>
      <c r="DP183" s="228">
        <v>-0.78</v>
      </c>
      <c r="DQ183" s="228">
        <v>0.7</v>
      </c>
      <c r="DR183" s="228">
        <v>0.69</v>
      </c>
      <c r="DS183" s="228">
        <v>0.01</v>
      </c>
      <c r="DT183" s="229">
        <v>1.4500000000000001E-2</v>
      </c>
      <c r="DU183" s="231">
        <v>3300</v>
      </c>
      <c r="DV183" s="231">
        <v>3100</v>
      </c>
      <c r="DW183" s="228">
        <v>0.44</v>
      </c>
      <c r="DX183" s="228">
        <v>0.71</v>
      </c>
      <c r="DY183" s="228">
        <v>-0.27</v>
      </c>
      <c r="DZ183" s="229">
        <v>-0.38030000000000003</v>
      </c>
      <c r="EA183" s="229">
        <v>0.29249999999999998</v>
      </c>
      <c r="EB183" s="230">
        <v>291825</v>
      </c>
      <c r="EC183" s="229">
        <v>4.7000000000000002E-3</v>
      </c>
      <c r="ED183" s="229">
        <v>0.29249999999999998</v>
      </c>
      <c r="EE183" s="228">
        <v>15.68</v>
      </c>
      <c r="EF183" s="229">
        <v>4.8999999999999998E-3</v>
      </c>
      <c r="EG183" s="230">
        <v>166577</v>
      </c>
      <c r="EH183" s="230">
        <v>173110</v>
      </c>
      <c r="EI183" s="229">
        <v>-3.7699999999999997E-2</v>
      </c>
      <c r="EJ183" s="229">
        <v>0.47220000000000001</v>
      </c>
      <c r="EK183" s="231">
        <v>1556.29</v>
      </c>
      <c r="EL183" s="228">
        <v>654.29</v>
      </c>
      <c r="EM183" s="228">
        <v>626.04999999999995</v>
      </c>
      <c r="EN183" s="228">
        <v>75</v>
      </c>
      <c r="EO183" s="231">
        <v>2836.63</v>
      </c>
      <c r="EP183" s="231">
        <v>2734.29</v>
      </c>
      <c r="EQ183" s="228">
        <v>102.33</v>
      </c>
      <c r="ER183" s="229">
        <v>3.7400000000000003E-2</v>
      </c>
      <c r="ES183" s="228">
        <v>418.72</v>
      </c>
      <c r="ET183" s="228">
        <v>272.47000000000003</v>
      </c>
      <c r="EU183" s="228">
        <v>927.69</v>
      </c>
      <c r="EV183" s="231">
        <v>13354588</v>
      </c>
      <c r="EW183" s="231">
        <v>1618.89</v>
      </c>
      <c r="EX183" s="231">
        <v>1742.95</v>
      </c>
      <c r="EY183" s="228">
        <v>-124.06</v>
      </c>
      <c r="EZ183" s="229">
        <v>-7.1199999999999999E-2</v>
      </c>
      <c r="FA183" s="229">
        <v>0.3765</v>
      </c>
      <c r="FB183" s="227" t="s">
        <v>556</v>
      </c>
      <c r="FC183">
        <f t="shared" si="3"/>
        <v>0</v>
      </c>
    </row>
    <row r="184" spans="1:159" ht="17.25" thickBot="1" x14ac:dyDescent="0.3">
      <c r="A184" s="226">
        <v>45981</v>
      </c>
      <c r="B184" s="227" t="s">
        <v>498</v>
      </c>
      <c r="C184" s="227" t="s">
        <v>646</v>
      </c>
      <c r="D184" s="228">
        <v>75</v>
      </c>
      <c r="E184" s="228">
        <v>5</v>
      </c>
      <c r="F184" s="231">
        <v>13968</v>
      </c>
      <c r="G184" s="231">
        <v>13804</v>
      </c>
      <c r="H184" s="228">
        <v>164</v>
      </c>
      <c r="I184" s="229">
        <v>1.1900000000000001E-2</v>
      </c>
      <c r="J184" s="231">
        <v>13951</v>
      </c>
      <c r="K184" s="231">
        <v>13809</v>
      </c>
      <c r="L184" s="228">
        <v>142</v>
      </c>
      <c r="M184" s="229">
        <v>1.03E-2</v>
      </c>
      <c r="N184" s="231">
        <v>13968</v>
      </c>
      <c r="O184" s="231">
        <v>13804</v>
      </c>
      <c r="P184" s="228">
        <v>164</v>
      </c>
      <c r="Q184" s="229">
        <v>1.1900000000000001E-2</v>
      </c>
      <c r="R184" s="231">
        <v>14063</v>
      </c>
      <c r="S184" s="231">
        <v>13890</v>
      </c>
      <c r="T184" s="228">
        <v>173</v>
      </c>
      <c r="U184" s="229">
        <v>1.2500000000000001E-2</v>
      </c>
      <c r="V184" s="231">
        <v>14190</v>
      </c>
      <c r="W184" s="231">
        <v>13986</v>
      </c>
      <c r="X184" s="228">
        <v>204</v>
      </c>
      <c r="Y184" s="229">
        <v>1.46E-2</v>
      </c>
      <c r="Z184" s="228">
        <v>17</v>
      </c>
      <c r="AA184" s="228">
        <v>-5</v>
      </c>
      <c r="AB184" s="228">
        <v>22</v>
      </c>
      <c r="AC184" s="229">
        <v>1.1999999999999999E-3</v>
      </c>
      <c r="AD184" s="228">
        <v>17</v>
      </c>
      <c r="AE184" s="228">
        <v>-5</v>
      </c>
      <c r="AF184" s="228">
        <v>22</v>
      </c>
      <c r="AG184" s="229">
        <v>1.1999999999999999E-3</v>
      </c>
      <c r="AH184" s="228">
        <v>112</v>
      </c>
      <c r="AI184" s="228">
        <v>81</v>
      </c>
      <c r="AJ184" s="228">
        <v>31</v>
      </c>
      <c r="AK184" s="229">
        <v>8.0000000000000002E-3</v>
      </c>
      <c r="AL184" s="228">
        <v>239</v>
      </c>
      <c r="AM184" s="228">
        <v>177</v>
      </c>
      <c r="AN184" s="228">
        <v>62</v>
      </c>
      <c r="AO184" s="229">
        <v>1.7100000000000001E-2</v>
      </c>
      <c r="AP184" s="231">
        <v>13942.29</v>
      </c>
      <c r="AQ184" s="231">
        <v>14034.22</v>
      </c>
      <c r="AR184" s="228">
        <v>0</v>
      </c>
      <c r="AS184" s="228">
        <v>648</v>
      </c>
      <c r="AT184" s="228">
        <v>416</v>
      </c>
      <c r="AU184" s="228">
        <v>232</v>
      </c>
      <c r="AV184" s="229">
        <v>0.55840000000000001</v>
      </c>
      <c r="AW184" s="228">
        <v>377</v>
      </c>
      <c r="AX184" s="228">
        <v>289</v>
      </c>
      <c r="AY184" s="228">
        <v>87</v>
      </c>
      <c r="AZ184" s="229">
        <v>0.30170000000000002</v>
      </c>
      <c r="BA184" s="228">
        <v>266</v>
      </c>
      <c r="BB184" s="228">
        <v>113</v>
      </c>
      <c r="BC184" s="228">
        <v>153</v>
      </c>
      <c r="BD184" s="229">
        <v>1.3613</v>
      </c>
      <c r="BE184" s="228">
        <v>6</v>
      </c>
      <c r="BF184" s="228">
        <v>14</v>
      </c>
      <c r="BG184" s="228">
        <v>-8</v>
      </c>
      <c r="BH184" s="229">
        <v>-0.57779999999999998</v>
      </c>
      <c r="BI184" s="230">
        <v>2917</v>
      </c>
      <c r="BJ184" s="230">
        <v>5496</v>
      </c>
      <c r="BK184" s="230">
        <v>-2579</v>
      </c>
      <c r="BL184" s="229">
        <v>-0.46920000000000001</v>
      </c>
      <c r="BM184" s="228">
        <v>846</v>
      </c>
      <c r="BN184" s="228">
        <v>876</v>
      </c>
      <c r="BO184" s="228">
        <v>-30</v>
      </c>
      <c r="BP184" s="229">
        <v>-3.4700000000000002E-2</v>
      </c>
      <c r="BQ184" s="230">
        <v>4411</v>
      </c>
      <c r="BR184" s="230">
        <v>6788</v>
      </c>
      <c r="BS184" s="230">
        <v>-2377</v>
      </c>
      <c r="BT184" s="229">
        <v>-0.35010000000000002</v>
      </c>
      <c r="BU184" s="230">
        <v>107895</v>
      </c>
      <c r="BV184" s="230">
        <v>185709</v>
      </c>
      <c r="BW184" s="230">
        <v>-77814</v>
      </c>
      <c r="BX184" s="229">
        <v>-0.41899999999999998</v>
      </c>
      <c r="BY184" s="230">
        <v>1266</v>
      </c>
      <c r="BZ184" s="230">
        <v>1370</v>
      </c>
      <c r="CA184" s="228">
        <v>-105</v>
      </c>
      <c r="CB184" s="229">
        <v>-7.6399999999999996E-2</v>
      </c>
      <c r="CC184" s="228">
        <v>954</v>
      </c>
      <c r="CD184" s="230">
        <v>1188</v>
      </c>
      <c r="CE184" s="228">
        <v>-234</v>
      </c>
      <c r="CF184" s="229">
        <v>-0.19689999999999999</v>
      </c>
      <c r="CG184" s="228">
        <v>286</v>
      </c>
      <c r="CH184" s="228">
        <v>156</v>
      </c>
      <c r="CI184" s="228">
        <v>130</v>
      </c>
      <c r="CJ184" s="229">
        <v>0.83099999999999996</v>
      </c>
      <c r="CK184" s="228">
        <v>25</v>
      </c>
      <c r="CL184" s="228">
        <v>26</v>
      </c>
      <c r="CM184" s="228">
        <v>0</v>
      </c>
      <c r="CN184" s="229">
        <v>-1.9E-2</v>
      </c>
      <c r="CO184" s="228">
        <v>873</v>
      </c>
      <c r="CP184" s="230">
        <v>1213</v>
      </c>
      <c r="CQ184" s="228">
        <v>-340</v>
      </c>
      <c r="CR184" s="229">
        <v>-0.27989999999999998</v>
      </c>
      <c r="CS184" s="228">
        <v>405</v>
      </c>
      <c r="CT184" s="228">
        <v>456</v>
      </c>
      <c r="CU184" s="228">
        <v>-51</v>
      </c>
      <c r="CV184" s="229">
        <v>-0.1115</v>
      </c>
      <c r="CW184" s="230">
        <v>2544</v>
      </c>
      <c r="CX184" s="230">
        <v>3039</v>
      </c>
      <c r="CY184" s="228">
        <v>-495</v>
      </c>
      <c r="CZ184" s="229">
        <v>-0.16289999999999999</v>
      </c>
      <c r="DA184" s="228">
        <v>27.8</v>
      </c>
      <c r="DB184" s="228">
        <v>34.729999999999997</v>
      </c>
      <c r="DC184" s="228">
        <v>-6.93</v>
      </c>
      <c r="DD184" s="228">
        <v>-6.93</v>
      </c>
      <c r="DE184" s="228">
        <v>39.92</v>
      </c>
      <c r="DF184" s="228">
        <v>39.99</v>
      </c>
      <c r="DG184" s="228">
        <v>-12.12</v>
      </c>
      <c r="DH184" s="228">
        <v>-7.0000000000000007E-2</v>
      </c>
      <c r="DI184" s="228">
        <v>27.9</v>
      </c>
      <c r="DJ184" s="228">
        <v>35</v>
      </c>
      <c r="DK184" s="228">
        <v>-7.1</v>
      </c>
      <c r="DL184" s="228">
        <v>-7.1</v>
      </c>
      <c r="DM184" s="228">
        <v>27.54</v>
      </c>
      <c r="DN184" s="228">
        <v>33</v>
      </c>
      <c r="DO184" s="228">
        <v>-5.46</v>
      </c>
      <c r="DP184" s="228">
        <v>-5.46</v>
      </c>
      <c r="DQ184" s="228">
        <v>0.46</v>
      </c>
      <c r="DR184" s="228">
        <v>0.38</v>
      </c>
      <c r="DS184" s="228">
        <v>0.08</v>
      </c>
      <c r="DT184" s="229">
        <v>0.21049999999999999</v>
      </c>
      <c r="DU184" s="231">
        <v>15000</v>
      </c>
      <c r="DV184" s="231">
        <v>13000</v>
      </c>
      <c r="DW184" s="228">
        <v>0.28999999999999998</v>
      </c>
      <c r="DX184" s="228">
        <v>0.16</v>
      </c>
      <c r="DY184" s="228">
        <v>0.13</v>
      </c>
      <c r="DZ184" s="229">
        <v>0.8125</v>
      </c>
      <c r="EA184" s="229">
        <v>0.24590000000000001</v>
      </c>
      <c r="EB184" s="230">
        <v>130225</v>
      </c>
      <c r="EC184" s="229">
        <v>6.7999999999999996E-3</v>
      </c>
      <c r="ED184" s="229">
        <v>0.24590000000000001</v>
      </c>
      <c r="EE184" s="228">
        <v>91.93</v>
      </c>
      <c r="EF184" s="229">
        <v>6.6E-3</v>
      </c>
      <c r="EG184" s="230">
        <v>43088</v>
      </c>
      <c r="EH184" s="230">
        <v>57675</v>
      </c>
      <c r="EI184" s="229">
        <v>-0.25290000000000001</v>
      </c>
      <c r="EJ184" s="229">
        <v>0.39939999999999998</v>
      </c>
      <c r="EK184" s="231">
        <v>3047.57</v>
      </c>
      <c r="EL184" s="228">
        <v>818.5</v>
      </c>
      <c r="EM184" s="228">
        <v>646.77</v>
      </c>
      <c r="EN184" s="228">
        <v>26.64</v>
      </c>
      <c r="EO184" s="231">
        <v>4512.83</v>
      </c>
      <c r="EP184" s="231">
        <v>6964.6</v>
      </c>
      <c r="EQ184" s="231">
        <v>-2451.7600000000002</v>
      </c>
      <c r="ER184" s="229">
        <v>-0.35199999999999998</v>
      </c>
      <c r="ES184" s="228">
        <v>919.73</v>
      </c>
      <c r="ET184" s="228">
        <v>390.66</v>
      </c>
      <c r="EU184" s="231">
        <v>1267.92</v>
      </c>
      <c r="EV184" s="231">
        <v>3644817</v>
      </c>
      <c r="EW184" s="231">
        <v>2578.3000000000002</v>
      </c>
      <c r="EX184" s="231">
        <v>3061.53</v>
      </c>
      <c r="EY184" s="228">
        <v>-483.23</v>
      </c>
      <c r="EZ184" s="229">
        <v>-0.1578</v>
      </c>
      <c r="FA184" s="229">
        <v>0.49969999999999998</v>
      </c>
      <c r="FB184" s="227" t="s">
        <v>556</v>
      </c>
      <c r="FC184">
        <f t="shared" si="3"/>
        <v>0</v>
      </c>
    </row>
    <row r="185" spans="1:159" ht="17.25" thickBot="1" x14ac:dyDescent="0.3">
      <c r="A185" s="226">
        <v>45981</v>
      </c>
      <c r="B185" s="227" t="s">
        <v>162</v>
      </c>
      <c r="C185" s="227" t="s">
        <v>614</v>
      </c>
      <c r="D185" s="228">
        <v>1050</v>
      </c>
      <c r="E185" s="228">
        <v>5</v>
      </c>
      <c r="F185" s="228">
        <v>507.6</v>
      </c>
      <c r="G185" s="228">
        <v>506.65</v>
      </c>
      <c r="H185" s="228">
        <v>0.95</v>
      </c>
      <c r="I185" s="229">
        <v>1.9E-3</v>
      </c>
      <c r="J185" s="228">
        <v>507.65</v>
      </c>
      <c r="K185" s="228">
        <v>506.95</v>
      </c>
      <c r="L185" s="228">
        <v>0.7</v>
      </c>
      <c r="M185" s="229">
        <v>1.4E-3</v>
      </c>
      <c r="N185" s="228">
        <v>507.6</v>
      </c>
      <c r="O185" s="228">
        <v>506.65</v>
      </c>
      <c r="P185" s="228">
        <v>0.95</v>
      </c>
      <c r="Q185" s="229">
        <v>1.9E-3</v>
      </c>
      <c r="R185" s="228">
        <v>510.9</v>
      </c>
      <c r="S185" s="228">
        <v>509.95</v>
      </c>
      <c r="T185" s="228">
        <v>0.95</v>
      </c>
      <c r="U185" s="229">
        <v>1.9E-3</v>
      </c>
      <c r="V185" s="228">
        <v>514.70000000000005</v>
      </c>
      <c r="W185" s="228">
        <v>513.15</v>
      </c>
      <c r="X185" s="228">
        <v>1.55</v>
      </c>
      <c r="Y185" s="229">
        <v>3.0000000000000001E-3</v>
      </c>
      <c r="Z185" s="228">
        <v>-0.05</v>
      </c>
      <c r="AA185" s="228">
        <v>-0.3</v>
      </c>
      <c r="AB185" s="228">
        <v>0.25</v>
      </c>
      <c r="AC185" s="229">
        <v>-1E-4</v>
      </c>
      <c r="AD185" s="228">
        <v>-0.05</v>
      </c>
      <c r="AE185" s="228">
        <v>-0.3</v>
      </c>
      <c r="AF185" s="228">
        <v>0.25</v>
      </c>
      <c r="AG185" s="229">
        <v>-1E-4</v>
      </c>
      <c r="AH185" s="228">
        <v>3.25</v>
      </c>
      <c r="AI185" s="228">
        <v>3</v>
      </c>
      <c r="AJ185" s="228">
        <v>0.25</v>
      </c>
      <c r="AK185" s="229">
        <v>6.4000000000000003E-3</v>
      </c>
      <c r="AL185" s="228">
        <v>7.05</v>
      </c>
      <c r="AM185" s="228">
        <v>6.2</v>
      </c>
      <c r="AN185" s="228">
        <v>0.85</v>
      </c>
      <c r="AO185" s="229">
        <v>1.3899999999999999E-2</v>
      </c>
      <c r="AP185" s="228">
        <v>508.9</v>
      </c>
      <c r="AQ185" s="228">
        <v>512.1</v>
      </c>
      <c r="AR185" s="228">
        <v>0</v>
      </c>
      <c r="AS185" s="228">
        <v>508</v>
      </c>
      <c r="AT185" s="228">
        <v>305</v>
      </c>
      <c r="AU185" s="228">
        <v>202</v>
      </c>
      <c r="AV185" s="229">
        <v>0.66349999999999998</v>
      </c>
      <c r="AW185" s="228">
        <v>261</v>
      </c>
      <c r="AX185" s="228">
        <v>213</v>
      </c>
      <c r="AY185" s="228">
        <v>48</v>
      </c>
      <c r="AZ185" s="229">
        <v>0.22720000000000001</v>
      </c>
      <c r="BA185" s="228">
        <v>244</v>
      </c>
      <c r="BB185" s="228">
        <v>89</v>
      </c>
      <c r="BC185" s="228">
        <v>155</v>
      </c>
      <c r="BD185" s="229">
        <v>1.7336</v>
      </c>
      <c r="BE185" s="228">
        <v>2</v>
      </c>
      <c r="BF185" s="228">
        <v>3</v>
      </c>
      <c r="BG185" s="228">
        <v>-1</v>
      </c>
      <c r="BH185" s="229">
        <v>-0.38779999999999998</v>
      </c>
      <c r="BI185" s="228">
        <v>834</v>
      </c>
      <c r="BJ185" s="230">
        <v>2559</v>
      </c>
      <c r="BK185" s="230">
        <v>-1725</v>
      </c>
      <c r="BL185" s="229">
        <v>-0.67420000000000002</v>
      </c>
      <c r="BM185" s="228">
        <v>348</v>
      </c>
      <c r="BN185" s="228">
        <v>658</v>
      </c>
      <c r="BO185" s="228">
        <v>-310</v>
      </c>
      <c r="BP185" s="229">
        <v>-0.47160000000000002</v>
      </c>
      <c r="BQ185" s="230">
        <v>1689</v>
      </c>
      <c r="BR185" s="230">
        <v>3521</v>
      </c>
      <c r="BS185" s="230">
        <v>-1833</v>
      </c>
      <c r="BT185" s="229">
        <v>-0.52039999999999997</v>
      </c>
      <c r="BU185" s="230">
        <v>2790487</v>
      </c>
      <c r="BV185" s="230">
        <v>6044250</v>
      </c>
      <c r="BW185" s="230">
        <v>-3253763</v>
      </c>
      <c r="BX185" s="229">
        <v>-0.5383</v>
      </c>
      <c r="BY185" s="228">
        <v>770</v>
      </c>
      <c r="BZ185" s="228">
        <v>778</v>
      </c>
      <c r="CA185" s="228">
        <v>-8</v>
      </c>
      <c r="CB185" s="229">
        <v>-9.7999999999999997E-3</v>
      </c>
      <c r="CC185" s="228">
        <v>521</v>
      </c>
      <c r="CD185" s="228">
        <v>696</v>
      </c>
      <c r="CE185" s="228">
        <v>-175</v>
      </c>
      <c r="CF185" s="229">
        <v>-0.25130000000000002</v>
      </c>
      <c r="CG185" s="228">
        <v>246</v>
      </c>
      <c r="CH185" s="228">
        <v>80</v>
      </c>
      <c r="CI185" s="228">
        <v>167</v>
      </c>
      <c r="CJ185" s="229">
        <v>2.0916999999999999</v>
      </c>
      <c r="CK185" s="228">
        <v>3</v>
      </c>
      <c r="CL185" s="228">
        <v>3</v>
      </c>
      <c r="CM185" s="228">
        <v>1</v>
      </c>
      <c r="CN185" s="229">
        <v>0.2273</v>
      </c>
      <c r="CO185" s="228">
        <v>310</v>
      </c>
      <c r="CP185" s="228">
        <v>317</v>
      </c>
      <c r="CQ185" s="228">
        <v>-7</v>
      </c>
      <c r="CR185" s="229">
        <v>-2.1000000000000001E-2</v>
      </c>
      <c r="CS185" s="228">
        <v>186</v>
      </c>
      <c r="CT185" s="228">
        <v>170</v>
      </c>
      <c r="CU185" s="228">
        <v>16</v>
      </c>
      <c r="CV185" s="229">
        <v>9.2499999999999999E-2</v>
      </c>
      <c r="CW185" s="230">
        <v>1266</v>
      </c>
      <c r="CX185" s="230">
        <v>1265</v>
      </c>
      <c r="CY185" s="228">
        <v>1</v>
      </c>
      <c r="CZ185" s="229">
        <v>1.1999999999999999E-3</v>
      </c>
      <c r="DA185" s="228">
        <v>31.14</v>
      </c>
      <c r="DB185" s="228">
        <v>32.17</v>
      </c>
      <c r="DC185" s="228">
        <v>-1.03</v>
      </c>
      <c r="DD185" s="228">
        <v>-1.03</v>
      </c>
      <c r="DE185" s="228">
        <v>40.06</v>
      </c>
      <c r="DF185" s="228">
        <v>40.159999999999997</v>
      </c>
      <c r="DG185" s="228">
        <v>-8.92</v>
      </c>
      <c r="DH185" s="228">
        <v>-0.1</v>
      </c>
      <c r="DI185" s="228">
        <v>31.19</v>
      </c>
      <c r="DJ185" s="228">
        <v>31.8</v>
      </c>
      <c r="DK185" s="228">
        <v>-0.61</v>
      </c>
      <c r="DL185" s="228">
        <v>-0.61</v>
      </c>
      <c r="DM185" s="228">
        <v>30.8</v>
      </c>
      <c r="DN185" s="228">
        <v>33.61</v>
      </c>
      <c r="DO185" s="228">
        <v>-2.81</v>
      </c>
      <c r="DP185" s="228">
        <v>-2.81</v>
      </c>
      <c r="DQ185" s="228">
        <v>0.6</v>
      </c>
      <c r="DR185" s="228">
        <v>0.54</v>
      </c>
      <c r="DS185" s="228">
        <v>0.06</v>
      </c>
      <c r="DT185" s="229">
        <v>0.1111</v>
      </c>
      <c r="DU185" s="228">
        <v>520</v>
      </c>
      <c r="DV185" s="228">
        <v>500</v>
      </c>
      <c r="DW185" s="228">
        <v>0.42</v>
      </c>
      <c r="DX185" s="228">
        <v>0.26</v>
      </c>
      <c r="DY185" s="228">
        <v>0.16</v>
      </c>
      <c r="DZ185" s="229">
        <v>0.61539999999999995</v>
      </c>
      <c r="EA185" s="229">
        <v>0.32390000000000002</v>
      </c>
      <c r="EB185" s="230">
        <v>1622600</v>
      </c>
      <c r="EC185" s="229">
        <v>6.4999999999999997E-3</v>
      </c>
      <c r="ED185" s="229">
        <v>0.32390000000000002</v>
      </c>
      <c r="EE185" s="228">
        <v>3.2</v>
      </c>
      <c r="EF185" s="229">
        <v>6.3E-3</v>
      </c>
      <c r="EG185" s="230">
        <v>1181561</v>
      </c>
      <c r="EH185" s="230">
        <v>1871425</v>
      </c>
      <c r="EI185" s="229">
        <v>-0.36859999999999998</v>
      </c>
      <c r="EJ185" s="229">
        <v>0.4234</v>
      </c>
      <c r="EK185" s="228">
        <v>860.93</v>
      </c>
      <c r="EL185" s="228">
        <v>342.33</v>
      </c>
      <c r="EM185" s="228">
        <v>510.64</v>
      </c>
      <c r="EN185" s="228">
        <v>30.36</v>
      </c>
      <c r="EO185" s="231">
        <v>1713.9</v>
      </c>
      <c r="EP185" s="231">
        <v>3547.06</v>
      </c>
      <c r="EQ185" s="231">
        <v>-1833.16</v>
      </c>
      <c r="ER185" s="229">
        <v>-0.51680000000000004</v>
      </c>
      <c r="ES185" s="228">
        <v>313.27</v>
      </c>
      <c r="ET185" s="228">
        <v>175.43</v>
      </c>
      <c r="EU185" s="228">
        <v>771.96</v>
      </c>
      <c r="EV185" s="231">
        <v>67126548</v>
      </c>
      <c r="EW185" s="231">
        <v>1260.6600000000001</v>
      </c>
      <c r="EX185" s="231">
        <v>1254.6099999999999</v>
      </c>
      <c r="EY185" s="228">
        <v>6.05</v>
      </c>
      <c r="EZ185" s="229">
        <v>4.7999999999999996E-3</v>
      </c>
      <c r="FA185" s="229">
        <v>0.37159999999999999</v>
      </c>
      <c r="FB185" s="227" t="s">
        <v>556</v>
      </c>
      <c r="FC185">
        <f t="shared" si="3"/>
        <v>0</v>
      </c>
    </row>
    <row r="186" spans="1:159" ht="17.25" thickBot="1" x14ac:dyDescent="0.3">
      <c r="A186" s="226">
        <v>45981</v>
      </c>
      <c r="B186" s="227" t="s">
        <v>197</v>
      </c>
      <c r="C186" s="227" t="s">
        <v>286</v>
      </c>
      <c r="D186" s="228">
        <v>200</v>
      </c>
      <c r="E186" s="228">
        <v>5</v>
      </c>
      <c r="F186" s="231">
        <v>2856.8</v>
      </c>
      <c r="G186" s="231">
        <v>2794.7</v>
      </c>
      <c r="H186" s="228">
        <v>62.1</v>
      </c>
      <c r="I186" s="229">
        <v>2.2200000000000001E-2</v>
      </c>
      <c r="J186" s="231">
        <v>2851.6</v>
      </c>
      <c r="K186" s="231">
        <v>2786.4</v>
      </c>
      <c r="L186" s="228">
        <v>65.2</v>
      </c>
      <c r="M186" s="229">
        <v>2.3400000000000001E-2</v>
      </c>
      <c r="N186" s="231">
        <v>2856.8</v>
      </c>
      <c r="O186" s="231">
        <v>2794.7</v>
      </c>
      <c r="P186" s="228">
        <v>62.1</v>
      </c>
      <c r="Q186" s="229">
        <v>2.2200000000000001E-2</v>
      </c>
      <c r="R186" s="231">
        <v>2875.4</v>
      </c>
      <c r="S186" s="231">
        <v>2810.4</v>
      </c>
      <c r="T186" s="228">
        <v>65</v>
      </c>
      <c r="U186" s="229">
        <v>2.3099999999999999E-2</v>
      </c>
      <c r="V186" s="231">
        <v>2898.2</v>
      </c>
      <c r="W186" s="231">
        <v>2829.2</v>
      </c>
      <c r="X186" s="228">
        <v>69</v>
      </c>
      <c r="Y186" s="229">
        <v>2.4400000000000002E-2</v>
      </c>
      <c r="Z186" s="228">
        <v>5.2</v>
      </c>
      <c r="AA186" s="228">
        <v>8.3000000000000007</v>
      </c>
      <c r="AB186" s="228">
        <v>-3.1</v>
      </c>
      <c r="AC186" s="229">
        <v>1.8E-3</v>
      </c>
      <c r="AD186" s="228">
        <v>5.2</v>
      </c>
      <c r="AE186" s="228">
        <v>8.3000000000000007</v>
      </c>
      <c r="AF186" s="228">
        <v>-3.1</v>
      </c>
      <c r="AG186" s="229">
        <v>1.8E-3</v>
      </c>
      <c r="AH186" s="228">
        <v>23.8</v>
      </c>
      <c r="AI186" s="228">
        <v>24</v>
      </c>
      <c r="AJ186" s="228">
        <v>-0.2</v>
      </c>
      <c r="AK186" s="229">
        <v>8.3000000000000001E-3</v>
      </c>
      <c r="AL186" s="228">
        <v>46.6</v>
      </c>
      <c r="AM186" s="228">
        <v>42.8</v>
      </c>
      <c r="AN186" s="228">
        <v>3.8</v>
      </c>
      <c r="AO186" s="229">
        <v>1.6299999999999999E-2</v>
      </c>
      <c r="AP186" s="231">
        <v>2846.77</v>
      </c>
      <c r="AQ186" s="231">
        <v>2864.88</v>
      </c>
      <c r="AR186" s="228">
        <v>0</v>
      </c>
      <c r="AS186" s="228">
        <v>847</v>
      </c>
      <c r="AT186" s="228">
        <v>302</v>
      </c>
      <c r="AU186" s="228">
        <v>545</v>
      </c>
      <c r="AV186" s="229">
        <v>1.8050999999999999</v>
      </c>
      <c r="AW186" s="228">
        <v>462</v>
      </c>
      <c r="AX186" s="228">
        <v>186</v>
      </c>
      <c r="AY186" s="228">
        <v>277</v>
      </c>
      <c r="AZ186" s="229">
        <v>1.4882</v>
      </c>
      <c r="BA186" s="228">
        <v>379</v>
      </c>
      <c r="BB186" s="228">
        <v>110</v>
      </c>
      <c r="BC186" s="228">
        <v>269</v>
      </c>
      <c r="BD186" s="229">
        <v>2.4575</v>
      </c>
      <c r="BE186" s="228">
        <v>5</v>
      </c>
      <c r="BF186" s="228">
        <v>6</v>
      </c>
      <c r="BG186" s="228">
        <v>-1</v>
      </c>
      <c r="BH186" s="229">
        <v>-0.15040000000000001</v>
      </c>
      <c r="BI186" s="230">
        <v>2730</v>
      </c>
      <c r="BJ186" s="230">
        <v>1108</v>
      </c>
      <c r="BK186" s="230">
        <v>1622</v>
      </c>
      <c r="BL186" s="229">
        <v>1.4641</v>
      </c>
      <c r="BM186" s="228">
        <v>647</v>
      </c>
      <c r="BN186" s="228">
        <v>363</v>
      </c>
      <c r="BO186" s="228">
        <v>285</v>
      </c>
      <c r="BP186" s="229">
        <v>0.78539999999999999</v>
      </c>
      <c r="BQ186" s="230">
        <v>4224</v>
      </c>
      <c r="BR186" s="230">
        <v>1772</v>
      </c>
      <c r="BS186" s="230">
        <v>2452</v>
      </c>
      <c r="BT186" s="229">
        <v>1.3833</v>
      </c>
      <c r="BU186" s="230">
        <v>1068703</v>
      </c>
      <c r="BV186" s="230">
        <v>625106</v>
      </c>
      <c r="BW186" s="230">
        <v>443597</v>
      </c>
      <c r="BX186" s="229">
        <v>0.70960000000000001</v>
      </c>
      <c r="BY186" s="230">
        <v>1236</v>
      </c>
      <c r="BZ186" s="230">
        <v>1222</v>
      </c>
      <c r="CA186" s="228">
        <v>13</v>
      </c>
      <c r="CB186" s="229">
        <v>1.09E-2</v>
      </c>
      <c r="CC186" s="228">
        <v>875</v>
      </c>
      <c r="CD186" s="230">
        <v>1057</v>
      </c>
      <c r="CE186" s="228">
        <v>-182</v>
      </c>
      <c r="CF186" s="229">
        <v>-0.17219999999999999</v>
      </c>
      <c r="CG186" s="228">
        <v>349</v>
      </c>
      <c r="CH186" s="228">
        <v>153</v>
      </c>
      <c r="CI186" s="228">
        <v>196</v>
      </c>
      <c r="CJ186" s="229">
        <v>1.2809999999999999</v>
      </c>
      <c r="CK186" s="228">
        <v>12</v>
      </c>
      <c r="CL186" s="228">
        <v>12</v>
      </c>
      <c r="CM186" s="228">
        <v>-1</v>
      </c>
      <c r="CN186" s="229">
        <v>-4.1500000000000002E-2</v>
      </c>
      <c r="CO186" s="228">
        <v>907</v>
      </c>
      <c r="CP186" s="228">
        <v>924</v>
      </c>
      <c r="CQ186" s="228">
        <v>-17</v>
      </c>
      <c r="CR186" s="229">
        <v>-1.84E-2</v>
      </c>
      <c r="CS186" s="228">
        <v>435</v>
      </c>
      <c r="CT186" s="228">
        <v>399</v>
      </c>
      <c r="CU186" s="228">
        <v>37</v>
      </c>
      <c r="CV186" s="229">
        <v>9.1999999999999998E-2</v>
      </c>
      <c r="CW186" s="230">
        <v>2578</v>
      </c>
      <c r="CX186" s="230">
        <v>2545</v>
      </c>
      <c r="CY186" s="228">
        <v>33</v>
      </c>
      <c r="CZ186" s="229">
        <v>1.2999999999999999E-2</v>
      </c>
      <c r="DA186" s="228">
        <v>24.7</v>
      </c>
      <c r="DB186" s="228">
        <v>28.98</v>
      </c>
      <c r="DC186" s="228">
        <v>-4.28</v>
      </c>
      <c r="DD186" s="228">
        <v>-4.28</v>
      </c>
      <c r="DE186" s="228">
        <v>31.37</v>
      </c>
      <c r="DF186" s="228">
        <v>31.3</v>
      </c>
      <c r="DG186" s="228">
        <v>-6.67</v>
      </c>
      <c r="DH186" s="228">
        <v>7.0000000000000007E-2</v>
      </c>
      <c r="DI186" s="228">
        <v>24.84</v>
      </c>
      <c r="DJ186" s="228">
        <v>29.81</v>
      </c>
      <c r="DK186" s="228">
        <v>-4.97</v>
      </c>
      <c r="DL186" s="228">
        <v>-4.97</v>
      </c>
      <c r="DM186" s="228">
        <v>24.26</v>
      </c>
      <c r="DN186" s="228">
        <v>26.44</v>
      </c>
      <c r="DO186" s="228">
        <v>-2.1800000000000002</v>
      </c>
      <c r="DP186" s="228">
        <v>-2.1800000000000002</v>
      </c>
      <c r="DQ186" s="228">
        <v>0.48</v>
      </c>
      <c r="DR186" s="228">
        <v>0.43</v>
      </c>
      <c r="DS186" s="228">
        <v>0.05</v>
      </c>
      <c r="DT186" s="229">
        <v>0.1163</v>
      </c>
      <c r="DU186" s="231">
        <v>3000</v>
      </c>
      <c r="DV186" s="231">
        <v>2800</v>
      </c>
      <c r="DW186" s="228">
        <v>0.24</v>
      </c>
      <c r="DX186" s="228">
        <v>0.33</v>
      </c>
      <c r="DY186" s="228">
        <v>-0.09</v>
      </c>
      <c r="DZ186" s="229">
        <v>-0.2727</v>
      </c>
      <c r="EA186" s="229">
        <v>0.29189999999999999</v>
      </c>
      <c r="EB186" s="230">
        <v>578600</v>
      </c>
      <c r="EC186" s="229">
        <v>6.4999999999999997E-3</v>
      </c>
      <c r="ED186" s="229">
        <v>0.29189999999999999</v>
      </c>
      <c r="EE186" s="228">
        <v>18.11</v>
      </c>
      <c r="EF186" s="229">
        <v>6.4000000000000003E-3</v>
      </c>
      <c r="EG186" s="230">
        <v>641881</v>
      </c>
      <c r="EH186" s="230">
        <v>441761</v>
      </c>
      <c r="EI186" s="229">
        <v>0.45300000000000001</v>
      </c>
      <c r="EJ186" s="229">
        <v>0.60060000000000002</v>
      </c>
      <c r="EK186" s="231">
        <v>2819.88</v>
      </c>
      <c r="EL186" s="228">
        <v>641.07000000000005</v>
      </c>
      <c r="EM186" s="228">
        <v>846.54</v>
      </c>
      <c r="EN186" s="228">
        <v>42.83</v>
      </c>
      <c r="EO186" s="231">
        <v>4307.5</v>
      </c>
      <c r="EP186" s="231">
        <v>1802.92</v>
      </c>
      <c r="EQ186" s="231">
        <v>2504.5700000000002</v>
      </c>
      <c r="ER186" s="229">
        <v>1.3892</v>
      </c>
      <c r="ES186" s="228">
        <v>965.75</v>
      </c>
      <c r="ET186" s="228">
        <v>435.68</v>
      </c>
      <c r="EU186" s="231">
        <v>1237.95</v>
      </c>
      <c r="EV186" s="231">
        <v>21205300</v>
      </c>
      <c r="EW186" s="231">
        <v>2639.37</v>
      </c>
      <c r="EX186" s="231">
        <v>2579.85</v>
      </c>
      <c r="EY186" s="228">
        <v>59.52</v>
      </c>
      <c r="EZ186" s="229">
        <v>2.3099999999999999E-2</v>
      </c>
      <c r="FA186" s="229">
        <v>0.42549999999999999</v>
      </c>
      <c r="FB186" s="227" t="s">
        <v>555</v>
      </c>
      <c r="FC186">
        <f t="shared" si="3"/>
        <v>0</v>
      </c>
    </row>
    <row r="187" spans="1:159" ht="17.25" thickBot="1" x14ac:dyDescent="0.3">
      <c r="A187" s="226">
        <v>45981</v>
      </c>
      <c r="B187" s="227" t="s">
        <v>170</v>
      </c>
      <c r="C187" s="227" t="s">
        <v>288</v>
      </c>
      <c r="D187" s="228">
        <v>350</v>
      </c>
      <c r="E187" s="228">
        <v>5</v>
      </c>
      <c r="F187" s="231">
        <v>1779.1</v>
      </c>
      <c r="G187" s="231">
        <v>1782.8</v>
      </c>
      <c r="H187" s="228">
        <v>-3.7</v>
      </c>
      <c r="I187" s="229">
        <v>-2.0999999999999999E-3</v>
      </c>
      <c r="J187" s="231">
        <v>1777.4</v>
      </c>
      <c r="K187" s="231">
        <v>1784.1</v>
      </c>
      <c r="L187" s="228">
        <v>-6.7</v>
      </c>
      <c r="M187" s="229">
        <v>-3.8E-3</v>
      </c>
      <c r="N187" s="231">
        <v>1779.1</v>
      </c>
      <c r="O187" s="231">
        <v>1782.8</v>
      </c>
      <c r="P187" s="228">
        <v>-3.7</v>
      </c>
      <c r="Q187" s="229">
        <v>-2.0999999999999999E-3</v>
      </c>
      <c r="R187" s="231">
        <v>1791.1</v>
      </c>
      <c r="S187" s="231">
        <v>1794.9</v>
      </c>
      <c r="T187" s="228">
        <v>-3.8</v>
      </c>
      <c r="U187" s="229">
        <v>-2.0999999999999999E-3</v>
      </c>
      <c r="V187" s="231">
        <v>1801.4</v>
      </c>
      <c r="W187" s="231">
        <v>1809.2</v>
      </c>
      <c r="X187" s="228">
        <v>-7.8</v>
      </c>
      <c r="Y187" s="229">
        <v>-4.3E-3</v>
      </c>
      <c r="Z187" s="228">
        <v>1.7</v>
      </c>
      <c r="AA187" s="228">
        <v>-1.3</v>
      </c>
      <c r="AB187" s="228">
        <v>3</v>
      </c>
      <c r="AC187" s="229">
        <v>1E-3</v>
      </c>
      <c r="AD187" s="228">
        <v>1.7</v>
      </c>
      <c r="AE187" s="228">
        <v>-1.3</v>
      </c>
      <c r="AF187" s="228">
        <v>3</v>
      </c>
      <c r="AG187" s="229">
        <v>1E-3</v>
      </c>
      <c r="AH187" s="228">
        <v>13.7</v>
      </c>
      <c r="AI187" s="228">
        <v>10.8</v>
      </c>
      <c r="AJ187" s="228">
        <v>2.9</v>
      </c>
      <c r="AK187" s="229">
        <v>7.7000000000000002E-3</v>
      </c>
      <c r="AL187" s="228">
        <v>24</v>
      </c>
      <c r="AM187" s="228">
        <v>25.1</v>
      </c>
      <c r="AN187" s="228">
        <v>-1.1000000000000001</v>
      </c>
      <c r="AO187" s="229">
        <v>1.35E-2</v>
      </c>
      <c r="AP187" s="231">
        <v>1780.82</v>
      </c>
      <c r="AQ187" s="231">
        <v>1792.79</v>
      </c>
      <c r="AR187" s="228">
        <v>0</v>
      </c>
      <c r="AS187" s="230">
        <v>1317</v>
      </c>
      <c r="AT187" s="228">
        <v>536</v>
      </c>
      <c r="AU187" s="228">
        <v>782</v>
      </c>
      <c r="AV187" s="229">
        <v>1.4598</v>
      </c>
      <c r="AW187" s="228">
        <v>669</v>
      </c>
      <c r="AX187" s="228">
        <v>377</v>
      </c>
      <c r="AY187" s="228">
        <v>292</v>
      </c>
      <c r="AZ187" s="229">
        <v>0.77300000000000002</v>
      </c>
      <c r="BA187" s="228">
        <v>645</v>
      </c>
      <c r="BB187" s="228">
        <v>155</v>
      </c>
      <c r="BC187" s="228">
        <v>490</v>
      </c>
      <c r="BD187" s="229">
        <v>3.1597</v>
      </c>
      <c r="BE187" s="228">
        <v>2</v>
      </c>
      <c r="BF187" s="228">
        <v>3</v>
      </c>
      <c r="BG187" s="228">
        <v>0</v>
      </c>
      <c r="BH187" s="229">
        <v>-0.13039999999999999</v>
      </c>
      <c r="BI187" s="230">
        <v>1191</v>
      </c>
      <c r="BJ187" s="230">
        <v>2578</v>
      </c>
      <c r="BK187" s="230">
        <v>-1387</v>
      </c>
      <c r="BL187" s="229">
        <v>-0.53790000000000004</v>
      </c>
      <c r="BM187" s="228">
        <v>792</v>
      </c>
      <c r="BN187" s="230">
        <v>1446</v>
      </c>
      <c r="BO187" s="228">
        <v>-654</v>
      </c>
      <c r="BP187" s="229">
        <v>-0.45229999999999998</v>
      </c>
      <c r="BQ187" s="230">
        <v>3300</v>
      </c>
      <c r="BR187" s="230">
        <v>4559</v>
      </c>
      <c r="BS187" s="230">
        <v>-1259</v>
      </c>
      <c r="BT187" s="229">
        <v>-0.27610000000000001</v>
      </c>
      <c r="BU187" s="230">
        <v>1593462</v>
      </c>
      <c r="BV187" s="230">
        <v>2154519</v>
      </c>
      <c r="BW187" s="230">
        <v>-561057</v>
      </c>
      <c r="BX187" s="229">
        <v>-0.26040000000000002</v>
      </c>
      <c r="BY187" s="230">
        <v>2802</v>
      </c>
      <c r="BZ187" s="230">
        <v>2773</v>
      </c>
      <c r="CA187" s="228">
        <v>28</v>
      </c>
      <c r="CB187" s="229">
        <v>1.0200000000000001E-2</v>
      </c>
      <c r="CC187" s="230">
        <v>1938</v>
      </c>
      <c r="CD187" s="230">
        <v>2466</v>
      </c>
      <c r="CE187" s="228">
        <v>-528</v>
      </c>
      <c r="CF187" s="229">
        <v>-0.21410000000000001</v>
      </c>
      <c r="CG187" s="228">
        <v>853</v>
      </c>
      <c r="CH187" s="228">
        <v>298</v>
      </c>
      <c r="CI187" s="228">
        <v>555</v>
      </c>
      <c r="CJ187" s="229">
        <v>1.8604000000000001</v>
      </c>
      <c r="CK187" s="228">
        <v>10</v>
      </c>
      <c r="CL187" s="228">
        <v>9</v>
      </c>
      <c r="CM187" s="228">
        <v>1</v>
      </c>
      <c r="CN187" s="229">
        <v>0.12</v>
      </c>
      <c r="CO187" s="228">
        <v>941</v>
      </c>
      <c r="CP187" s="228">
        <v>939</v>
      </c>
      <c r="CQ187" s="228">
        <v>1</v>
      </c>
      <c r="CR187" s="229">
        <v>1.5E-3</v>
      </c>
      <c r="CS187" s="228">
        <v>546</v>
      </c>
      <c r="CT187" s="228">
        <v>566</v>
      </c>
      <c r="CU187" s="228">
        <v>-20</v>
      </c>
      <c r="CV187" s="229">
        <v>-3.5799999999999998E-2</v>
      </c>
      <c r="CW187" s="230">
        <v>4288</v>
      </c>
      <c r="CX187" s="230">
        <v>4279</v>
      </c>
      <c r="CY187" s="228">
        <v>9</v>
      </c>
      <c r="CZ187" s="229">
        <v>2.2000000000000001E-3</v>
      </c>
      <c r="DA187" s="228">
        <v>18.05</v>
      </c>
      <c r="DB187" s="228">
        <v>18.29</v>
      </c>
      <c r="DC187" s="228">
        <v>-0.24</v>
      </c>
      <c r="DD187" s="228">
        <v>-0.24</v>
      </c>
      <c r="DE187" s="228">
        <v>23.13</v>
      </c>
      <c r="DF187" s="228">
        <v>23.18</v>
      </c>
      <c r="DG187" s="228">
        <v>-5.08</v>
      </c>
      <c r="DH187" s="228">
        <v>-0.05</v>
      </c>
      <c r="DI187" s="228">
        <v>17.91</v>
      </c>
      <c r="DJ187" s="228">
        <v>16.809999999999999</v>
      </c>
      <c r="DK187" s="228">
        <v>1.1000000000000001</v>
      </c>
      <c r="DL187" s="228">
        <v>1.1000000000000001</v>
      </c>
      <c r="DM187" s="228">
        <v>18.28</v>
      </c>
      <c r="DN187" s="228">
        <v>20.93</v>
      </c>
      <c r="DO187" s="228">
        <v>-2.65</v>
      </c>
      <c r="DP187" s="228">
        <v>-2.65</v>
      </c>
      <c r="DQ187" s="228">
        <v>0.57999999999999996</v>
      </c>
      <c r="DR187" s="228">
        <v>0.6</v>
      </c>
      <c r="DS187" s="228">
        <v>-0.02</v>
      </c>
      <c r="DT187" s="229">
        <v>-3.3300000000000003E-2</v>
      </c>
      <c r="DU187" s="231">
        <v>1740</v>
      </c>
      <c r="DV187" s="231">
        <v>1740</v>
      </c>
      <c r="DW187" s="228">
        <v>0.66</v>
      </c>
      <c r="DX187" s="228">
        <v>0.56000000000000005</v>
      </c>
      <c r="DY187" s="228">
        <v>0.1</v>
      </c>
      <c r="DZ187" s="229">
        <v>0.17860000000000001</v>
      </c>
      <c r="EA187" s="229">
        <v>0.30830000000000002</v>
      </c>
      <c r="EB187" s="230">
        <v>1729350</v>
      </c>
      <c r="EC187" s="229">
        <v>6.7000000000000002E-3</v>
      </c>
      <c r="ED187" s="229">
        <v>0.30830000000000002</v>
      </c>
      <c r="EE187" s="228">
        <v>11.97</v>
      </c>
      <c r="EF187" s="229">
        <v>6.7000000000000002E-3</v>
      </c>
      <c r="EG187" s="230">
        <v>1001909</v>
      </c>
      <c r="EH187" s="230">
        <v>1430953</v>
      </c>
      <c r="EI187" s="229">
        <v>-0.29980000000000001</v>
      </c>
      <c r="EJ187" s="229">
        <v>0.62880000000000003</v>
      </c>
      <c r="EK187" s="231">
        <v>1212.68</v>
      </c>
      <c r="EL187" s="228">
        <v>777.59</v>
      </c>
      <c r="EM187" s="231">
        <v>1322.88</v>
      </c>
      <c r="EN187" s="228">
        <v>58.05</v>
      </c>
      <c r="EO187" s="231">
        <v>3313.15</v>
      </c>
      <c r="EP187" s="231">
        <v>4571.3599999999997</v>
      </c>
      <c r="EQ187" s="231">
        <v>-1258.21</v>
      </c>
      <c r="ER187" s="229">
        <v>-0.2752</v>
      </c>
      <c r="ES187" s="228">
        <v>940.88</v>
      </c>
      <c r="ET187" s="228">
        <v>524.64</v>
      </c>
      <c r="EU187" s="231">
        <v>2807.53</v>
      </c>
      <c r="EV187" s="231">
        <v>109220043</v>
      </c>
      <c r="EW187" s="231">
        <v>4273.0600000000004</v>
      </c>
      <c r="EX187" s="231">
        <v>4261.1499999999996</v>
      </c>
      <c r="EY187" s="228">
        <v>11.91</v>
      </c>
      <c r="EZ187" s="229">
        <v>2.8E-3</v>
      </c>
      <c r="FA187" s="229">
        <v>0.22070000000000001</v>
      </c>
      <c r="FB187" s="227" t="s">
        <v>567</v>
      </c>
      <c r="FC187">
        <f t="shared" si="3"/>
        <v>0</v>
      </c>
    </row>
    <row r="188" spans="1:159" ht="17.25" thickBot="1" x14ac:dyDescent="0.3">
      <c r="A188" s="226">
        <v>45981</v>
      </c>
      <c r="B188" s="227" t="s">
        <v>184</v>
      </c>
      <c r="C188" s="227" t="s">
        <v>574</v>
      </c>
      <c r="D188" s="228">
        <v>175</v>
      </c>
      <c r="E188" s="228">
        <v>5</v>
      </c>
      <c r="F188" s="231">
        <v>3565.8</v>
      </c>
      <c r="G188" s="231">
        <v>3599.2</v>
      </c>
      <c r="H188" s="228">
        <v>-33.4</v>
      </c>
      <c r="I188" s="229">
        <v>-9.2999999999999992E-3</v>
      </c>
      <c r="J188" s="231">
        <v>3568.7</v>
      </c>
      <c r="K188" s="231">
        <v>3591</v>
      </c>
      <c r="L188" s="228">
        <v>-22.3</v>
      </c>
      <c r="M188" s="229">
        <v>-6.1999999999999998E-3</v>
      </c>
      <c r="N188" s="231">
        <v>3565.8</v>
      </c>
      <c r="O188" s="231">
        <v>3599.2</v>
      </c>
      <c r="P188" s="228">
        <v>-33.4</v>
      </c>
      <c r="Q188" s="229">
        <v>-9.2999999999999992E-3</v>
      </c>
      <c r="R188" s="231">
        <v>3588.3</v>
      </c>
      <c r="S188" s="231">
        <v>3621.4</v>
      </c>
      <c r="T188" s="228">
        <v>-33.1</v>
      </c>
      <c r="U188" s="229">
        <v>-9.1000000000000004E-3</v>
      </c>
      <c r="V188" s="231">
        <v>3615</v>
      </c>
      <c r="W188" s="231">
        <v>3646.3</v>
      </c>
      <c r="X188" s="228">
        <v>-31.3</v>
      </c>
      <c r="Y188" s="229">
        <v>-8.6E-3</v>
      </c>
      <c r="Z188" s="228">
        <v>-2.9</v>
      </c>
      <c r="AA188" s="228">
        <v>8.1999999999999993</v>
      </c>
      <c r="AB188" s="228">
        <v>-11.1</v>
      </c>
      <c r="AC188" s="229">
        <v>-8.0000000000000004E-4</v>
      </c>
      <c r="AD188" s="228">
        <v>-2.9</v>
      </c>
      <c r="AE188" s="228">
        <v>8.1999999999999993</v>
      </c>
      <c r="AF188" s="228">
        <v>-11.1</v>
      </c>
      <c r="AG188" s="229">
        <v>-8.0000000000000004E-4</v>
      </c>
      <c r="AH188" s="228">
        <v>19.600000000000001</v>
      </c>
      <c r="AI188" s="228">
        <v>30.4</v>
      </c>
      <c r="AJ188" s="228">
        <v>-10.8</v>
      </c>
      <c r="AK188" s="229">
        <v>5.4999999999999997E-3</v>
      </c>
      <c r="AL188" s="228">
        <v>46.3</v>
      </c>
      <c r="AM188" s="228">
        <v>55.3</v>
      </c>
      <c r="AN188" s="228">
        <v>-9</v>
      </c>
      <c r="AO188" s="229">
        <v>1.2999999999999999E-2</v>
      </c>
      <c r="AP188" s="231">
        <v>3573.46</v>
      </c>
      <c r="AQ188" s="231">
        <v>3597.25</v>
      </c>
      <c r="AR188" s="228">
        <v>0</v>
      </c>
      <c r="AS188" s="228">
        <v>562</v>
      </c>
      <c r="AT188" s="228">
        <v>221</v>
      </c>
      <c r="AU188" s="228">
        <v>341</v>
      </c>
      <c r="AV188" s="229">
        <v>1.5454000000000001</v>
      </c>
      <c r="AW188" s="228">
        <v>282</v>
      </c>
      <c r="AX188" s="228">
        <v>136</v>
      </c>
      <c r="AY188" s="228">
        <v>147</v>
      </c>
      <c r="AZ188" s="229">
        <v>1.0775999999999999</v>
      </c>
      <c r="BA188" s="228">
        <v>277</v>
      </c>
      <c r="BB188" s="228">
        <v>82</v>
      </c>
      <c r="BC188" s="228">
        <v>196</v>
      </c>
      <c r="BD188" s="229">
        <v>2.3990999999999998</v>
      </c>
      <c r="BE188" s="228">
        <v>2</v>
      </c>
      <c r="BF188" s="228">
        <v>3</v>
      </c>
      <c r="BG188" s="228">
        <v>-1</v>
      </c>
      <c r="BH188" s="229">
        <v>-0.32690000000000002</v>
      </c>
      <c r="BI188" s="228">
        <v>812</v>
      </c>
      <c r="BJ188" s="228">
        <v>918</v>
      </c>
      <c r="BK188" s="228">
        <v>-106</v>
      </c>
      <c r="BL188" s="229">
        <v>-0.1154</v>
      </c>
      <c r="BM188" s="228">
        <v>293</v>
      </c>
      <c r="BN188" s="228">
        <v>199</v>
      </c>
      <c r="BO188" s="228">
        <v>94</v>
      </c>
      <c r="BP188" s="229">
        <v>0.47289999999999999</v>
      </c>
      <c r="BQ188" s="230">
        <v>1668</v>
      </c>
      <c r="BR188" s="230">
        <v>1338</v>
      </c>
      <c r="BS188" s="228">
        <v>330</v>
      </c>
      <c r="BT188" s="229">
        <v>0.24640000000000001</v>
      </c>
      <c r="BU188" s="230">
        <v>220523</v>
      </c>
      <c r="BV188" s="230">
        <v>209677</v>
      </c>
      <c r="BW188" s="230">
        <v>10846</v>
      </c>
      <c r="BX188" s="229">
        <v>5.1700000000000003E-2</v>
      </c>
      <c r="BY188" s="228">
        <v>785</v>
      </c>
      <c r="BZ188" s="228">
        <v>797</v>
      </c>
      <c r="CA188" s="228">
        <v>-12</v>
      </c>
      <c r="CB188" s="229">
        <v>-1.46E-2</v>
      </c>
      <c r="CC188" s="228">
        <v>498</v>
      </c>
      <c r="CD188" s="228">
        <v>705</v>
      </c>
      <c r="CE188" s="228">
        <v>-207</v>
      </c>
      <c r="CF188" s="229">
        <v>-0.29409999999999997</v>
      </c>
      <c r="CG188" s="228">
        <v>281</v>
      </c>
      <c r="CH188" s="228">
        <v>87</v>
      </c>
      <c r="CI188" s="228">
        <v>194</v>
      </c>
      <c r="CJ188" s="229">
        <v>2.2418999999999998</v>
      </c>
      <c r="CK188" s="228">
        <v>7</v>
      </c>
      <c r="CL188" s="228">
        <v>5</v>
      </c>
      <c r="CM188" s="228">
        <v>1</v>
      </c>
      <c r="CN188" s="229">
        <v>0.28050000000000003</v>
      </c>
      <c r="CO188" s="228">
        <v>604</v>
      </c>
      <c r="CP188" s="228">
        <v>653</v>
      </c>
      <c r="CQ188" s="228">
        <v>-48</v>
      </c>
      <c r="CR188" s="229">
        <v>-7.4200000000000002E-2</v>
      </c>
      <c r="CS188" s="228">
        <v>270</v>
      </c>
      <c r="CT188" s="228">
        <v>273</v>
      </c>
      <c r="CU188" s="228">
        <v>-4</v>
      </c>
      <c r="CV188" s="229">
        <v>-1.2999999999999999E-2</v>
      </c>
      <c r="CW188" s="230">
        <v>1659</v>
      </c>
      <c r="CX188" s="230">
        <v>1723</v>
      </c>
      <c r="CY188" s="228">
        <v>-64</v>
      </c>
      <c r="CZ188" s="229">
        <v>-3.6900000000000002E-2</v>
      </c>
      <c r="DA188" s="228">
        <v>29.28</v>
      </c>
      <c r="DB188" s="228">
        <v>35.24</v>
      </c>
      <c r="DC188" s="228">
        <v>-5.96</v>
      </c>
      <c r="DD188" s="228">
        <v>-5.96</v>
      </c>
      <c r="DE188" s="228">
        <v>40.89</v>
      </c>
      <c r="DF188" s="228">
        <v>40.97</v>
      </c>
      <c r="DG188" s="228">
        <v>-11.61</v>
      </c>
      <c r="DH188" s="228">
        <v>-0.08</v>
      </c>
      <c r="DI188" s="228">
        <v>29.38</v>
      </c>
      <c r="DJ188" s="228">
        <v>35.74</v>
      </c>
      <c r="DK188" s="228">
        <v>-6.36</v>
      </c>
      <c r="DL188" s="228">
        <v>-6.36</v>
      </c>
      <c r="DM188" s="228">
        <v>28.93</v>
      </c>
      <c r="DN188" s="228">
        <v>32.92</v>
      </c>
      <c r="DO188" s="228">
        <v>-3.99</v>
      </c>
      <c r="DP188" s="228">
        <v>-3.99</v>
      </c>
      <c r="DQ188" s="228">
        <v>0.45</v>
      </c>
      <c r="DR188" s="228">
        <v>0.42</v>
      </c>
      <c r="DS188" s="228">
        <v>0.03</v>
      </c>
      <c r="DT188" s="229">
        <v>7.1400000000000005E-2</v>
      </c>
      <c r="DU188" s="231">
        <v>3600</v>
      </c>
      <c r="DV188" s="231">
        <v>3600</v>
      </c>
      <c r="DW188" s="228">
        <v>0.36</v>
      </c>
      <c r="DX188" s="228">
        <v>0.22</v>
      </c>
      <c r="DY188" s="228">
        <v>0.14000000000000001</v>
      </c>
      <c r="DZ188" s="229">
        <v>0.63639999999999997</v>
      </c>
      <c r="EA188" s="229">
        <v>0.36620000000000003</v>
      </c>
      <c r="EB188" s="230">
        <v>257425</v>
      </c>
      <c r="EC188" s="229">
        <v>6.3E-3</v>
      </c>
      <c r="ED188" s="229">
        <v>0.36620000000000003</v>
      </c>
      <c r="EE188" s="228">
        <v>23.79</v>
      </c>
      <c r="EF188" s="229">
        <v>6.7000000000000002E-3</v>
      </c>
      <c r="EG188" s="230">
        <v>119088</v>
      </c>
      <c r="EH188" s="230">
        <v>114244</v>
      </c>
      <c r="EI188" s="229">
        <v>4.24E-2</v>
      </c>
      <c r="EJ188" s="229">
        <v>0.54</v>
      </c>
      <c r="EK188" s="228">
        <v>853.6</v>
      </c>
      <c r="EL188" s="228">
        <v>290.43</v>
      </c>
      <c r="EM188" s="228">
        <v>565.20000000000005</v>
      </c>
      <c r="EN188" s="228">
        <v>35.69</v>
      </c>
      <c r="EO188" s="231">
        <v>1709.23</v>
      </c>
      <c r="EP188" s="231">
        <v>1396.72</v>
      </c>
      <c r="EQ188" s="228">
        <v>312.51</v>
      </c>
      <c r="ER188" s="229">
        <v>0.22370000000000001</v>
      </c>
      <c r="ES188" s="228">
        <v>659.22</v>
      </c>
      <c r="ET188" s="228">
        <v>276.73</v>
      </c>
      <c r="EU188" s="228">
        <v>787.19</v>
      </c>
      <c r="EV188" s="231">
        <v>7242074</v>
      </c>
      <c r="EW188" s="231">
        <v>1723.13</v>
      </c>
      <c r="EX188" s="231">
        <v>1799.58</v>
      </c>
      <c r="EY188" s="228">
        <v>-76.45</v>
      </c>
      <c r="EZ188" s="229">
        <v>-4.2500000000000003E-2</v>
      </c>
      <c r="FA188" s="229">
        <v>0.64249999999999996</v>
      </c>
      <c r="FB188" s="227" t="s">
        <v>568</v>
      </c>
      <c r="FC188">
        <f t="shared" si="3"/>
        <v>0</v>
      </c>
    </row>
    <row r="189" spans="1:159" ht="17.25" thickBot="1" x14ac:dyDescent="0.3">
      <c r="A189" s="226">
        <v>45981</v>
      </c>
      <c r="B189" s="227" t="s">
        <v>161</v>
      </c>
      <c r="C189" s="227" t="s">
        <v>685</v>
      </c>
      <c r="D189" s="228">
        <v>8000</v>
      </c>
      <c r="E189" s="228">
        <v>5</v>
      </c>
      <c r="F189" s="228">
        <v>56.82</v>
      </c>
      <c r="G189" s="228">
        <v>56.62</v>
      </c>
      <c r="H189" s="228">
        <v>0.2</v>
      </c>
      <c r="I189" s="229">
        <v>3.5000000000000001E-3</v>
      </c>
      <c r="J189" s="228">
        <v>56.7</v>
      </c>
      <c r="K189" s="228">
        <v>56.53</v>
      </c>
      <c r="L189" s="228">
        <v>0.17</v>
      </c>
      <c r="M189" s="229">
        <v>3.0000000000000001E-3</v>
      </c>
      <c r="N189" s="228">
        <v>56.82</v>
      </c>
      <c r="O189" s="228">
        <v>56.62</v>
      </c>
      <c r="P189" s="228">
        <v>0.2</v>
      </c>
      <c r="Q189" s="229">
        <v>3.5000000000000001E-3</v>
      </c>
      <c r="R189" s="228">
        <v>57.13</v>
      </c>
      <c r="S189" s="228">
        <v>56.99</v>
      </c>
      <c r="T189" s="228">
        <v>0.14000000000000001</v>
      </c>
      <c r="U189" s="229">
        <v>2.5000000000000001E-3</v>
      </c>
      <c r="V189" s="228">
        <v>57.53</v>
      </c>
      <c r="W189" s="228">
        <v>57.36</v>
      </c>
      <c r="X189" s="228">
        <v>0.17</v>
      </c>
      <c r="Y189" s="229">
        <v>3.0000000000000001E-3</v>
      </c>
      <c r="Z189" s="228">
        <v>0.12</v>
      </c>
      <c r="AA189" s="228">
        <v>0.09</v>
      </c>
      <c r="AB189" s="228">
        <v>0.03</v>
      </c>
      <c r="AC189" s="229">
        <v>2.0999999999999999E-3</v>
      </c>
      <c r="AD189" s="228">
        <v>0.12</v>
      </c>
      <c r="AE189" s="228">
        <v>0.09</v>
      </c>
      <c r="AF189" s="228">
        <v>0.03</v>
      </c>
      <c r="AG189" s="229">
        <v>2.0999999999999999E-3</v>
      </c>
      <c r="AH189" s="228">
        <v>0.43</v>
      </c>
      <c r="AI189" s="228">
        <v>0.46</v>
      </c>
      <c r="AJ189" s="228">
        <v>-0.03</v>
      </c>
      <c r="AK189" s="229">
        <v>7.6E-3</v>
      </c>
      <c r="AL189" s="228">
        <v>0.83</v>
      </c>
      <c r="AM189" s="228">
        <v>0.83</v>
      </c>
      <c r="AN189" s="228">
        <v>0</v>
      </c>
      <c r="AO189" s="229">
        <v>1.46E-2</v>
      </c>
      <c r="AP189" s="228">
        <v>56.96</v>
      </c>
      <c r="AQ189" s="228">
        <v>57.28</v>
      </c>
      <c r="AR189" s="228">
        <v>0</v>
      </c>
      <c r="AS189" s="228">
        <v>794</v>
      </c>
      <c r="AT189" s="228">
        <v>267</v>
      </c>
      <c r="AU189" s="228">
        <v>527</v>
      </c>
      <c r="AV189" s="229">
        <v>1.9772000000000001</v>
      </c>
      <c r="AW189" s="228">
        <v>476</v>
      </c>
      <c r="AX189" s="228">
        <v>182</v>
      </c>
      <c r="AY189" s="228">
        <v>293</v>
      </c>
      <c r="AZ189" s="229">
        <v>1.61</v>
      </c>
      <c r="BA189" s="228">
        <v>314</v>
      </c>
      <c r="BB189" s="228">
        <v>79</v>
      </c>
      <c r="BC189" s="228">
        <v>235</v>
      </c>
      <c r="BD189" s="229">
        <v>2.9885000000000002</v>
      </c>
      <c r="BE189" s="228">
        <v>4</v>
      </c>
      <c r="BF189" s="228">
        <v>6</v>
      </c>
      <c r="BG189" s="228">
        <v>-2</v>
      </c>
      <c r="BH189" s="229">
        <v>-0.2823</v>
      </c>
      <c r="BI189" s="228">
        <v>832</v>
      </c>
      <c r="BJ189" s="228">
        <v>967</v>
      </c>
      <c r="BK189" s="228">
        <v>-135</v>
      </c>
      <c r="BL189" s="229">
        <v>-0.1396</v>
      </c>
      <c r="BM189" s="228">
        <v>262</v>
      </c>
      <c r="BN189" s="228">
        <v>223</v>
      </c>
      <c r="BO189" s="228">
        <v>39</v>
      </c>
      <c r="BP189" s="229">
        <v>0.1731</v>
      </c>
      <c r="BQ189" s="230">
        <v>1887</v>
      </c>
      <c r="BR189" s="230">
        <v>1456</v>
      </c>
      <c r="BS189" s="228">
        <v>431</v>
      </c>
      <c r="BT189" s="229">
        <v>0.2959</v>
      </c>
      <c r="BU189" s="230">
        <v>42162380</v>
      </c>
      <c r="BV189" s="230">
        <v>38208273</v>
      </c>
      <c r="BW189" s="230">
        <v>3954107</v>
      </c>
      <c r="BX189" s="229">
        <v>0.10349999999999999</v>
      </c>
      <c r="BY189" s="230">
        <v>1455</v>
      </c>
      <c r="BZ189" s="230">
        <v>1574</v>
      </c>
      <c r="CA189" s="228">
        <v>-119</v>
      </c>
      <c r="CB189" s="229">
        <v>-7.5800000000000006E-2</v>
      </c>
      <c r="CC189" s="230">
        <v>1043</v>
      </c>
      <c r="CD189" s="230">
        <v>1351</v>
      </c>
      <c r="CE189" s="228">
        <v>-309</v>
      </c>
      <c r="CF189" s="229">
        <v>-0.2283</v>
      </c>
      <c r="CG189" s="228">
        <v>379</v>
      </c>
      <c r="CH189" s="228">
        <v>192</v>
      </c>
      <c r="CI189" s="228">
        <v>188</v>
      </c>
      <c r="CJ189" s="229">
        <v>0.98009999999999997</v>
      </c>
      <c r="CK189" s="228">
        <v>32</v>
      </c>
      <c r="CL189" s="228">
        <v>31</v>
      </c>
      <c r="CM189" s="228">
        <v>1</v>
      </c>
      <c r="CN189" s="229">
        <v>4.48E-2</v>
      </c>
      <c r="CO189" s="230">
        <v>1261</v>
      </c>
      <c r="CP189" s="230">
        <v>1342</v>
      </c>
      <c r="CQ189" s="228">
        <v>-81</v>
      </c>
      <c r="CR189" s="229">
        <v>-6.0699999999999997E-2</v>
      </c>
      <c r="CS189" s="228">
        <v>533</v>
      </c>
      <c r="CT189" s="228">
        <v>571</v>
      </c>
      <c r="CU189" s="228">
        <v>-38</v>
      </c>
      <c r="CV189" s="229">
        <v>-6.6500000000000004E-2</v>
      </c>
      <c r="CW189" s="230">
        <v>3248</v>
      </c>
      <c r="CX189" s="230">
        <v>3487</v>
      </c>
      <c r="CY189" s="228">
        <v>-239</v>
      </c>
      <c r="CZ189" s="229">
        <v>-6.8500000000000005E-2</v>
      </c>
      <c r="DA189" s="228">
        <v>32.04</v>
      </c>
      <c r="DB189" s="228">
        <v>35.81</v>
      </c>
      <c r="DC189" s="228">
        <v>-3.77</v>
      </c>
      <c r="DD189" s="228">
        <v>-3.77</v>
      </c>
      <c r="DE189" s="228">
        <v>48.92</v>
      </c>
      <c r="DF189" s="228">
        <v>49.04</v>
      </c>
      <c r="DG189" s="228">
        <v>-16.88</v>
      </c>
      <c r="DH189" s="228">
        <v>-0.12</v>
      </c>
      <c r="DI189" s="228">
        <v>32.119999999999997</v>
      </c>
      <c r="DJ189" s="228">
        <v>37.69</v>
      </c>
      <c r="DK189" s="228">
        <v>-5.57</v>
      </c>
      <c r="DL189" s="228">
        <v>-5.57</v>
      </c>
      <c r="DM189" s="228">
        <v>31.8</v>
      </c>
      <c r="DN189" s="228">
        <v>27.66</v>
      </c>
      <c r="DO189" s="228">
        <v>4.1399999999999997</v>
      </c>
      <c r="DP189" s="228">
        <v>4.1399999999999997</v>
      </c>
      <c r="DQ189" s="228">
        <v>0.42</v>
      </c>
      <c r="DR189" s="228">
        <v>0.43</v>
      </c>
      <c r="DS189" s="228">
        <v>-0.01</v>
      </c>
      <c r="DT189" s="229">
        <v>-2.3300000000000001E-2</v>
      </c>
      <c r="DU189" s="228">
        <v>60</v>
      </c>
      <c r="DV189" s="228">
        <v>55</v>
      </c>
      <c r="DW189" s="228">
        <v>0.31</v>
      </c>
      <c r="DX189" s="228">
        <v>0.23</v>
      </c>
      <c r="DY189" s="228">
        <v>0.08</v>
      </c>
      <c r="DZ189" s="229">
        <v>0.3478</v>
      </c>
      <c r="EA189" s="229">
        <v>0.28310000000000002</v>
      </c>
      <c r="EB189" s="230">
        <v>39170075</v>
      </c>
      <c r="EC189" s="229">
        <v>5.4999999999999997E-3</v>
      </c>
      <c r="ED189" s="229">
        <v>0.28310000000000002</v>
      </c>
      <c r="EE189" s="228">
        <v>0.32</v>
      </c>
      <c r="EF189" s="229">
        <v>5.5999999999999999E-3</v>
      </c>
      <c r="EG189" s="230">
        <v>18367424</v>
      </c>
      <c r="EH189" s="230">
        <v>17546787</v>
      </c>
      <c r="EI189" s="229">
        <v>4.6800000000000001E-2</v>
      </c>
      <c r="EJ189" s="229">
        <v>0.43559999999999999</v>
      </c>
      <c r="EK189" s="228">
        <v>889.44</v>
      </c>
      <c r="EL189" s="228">
        <v>261.35000000000002</v>
      </c>
      <c r="EM189" s="228">
        <v>798.24</v>
      </c>
      <c r="EN189" s="228">
        <v>44.75</v>
      </c>
      <c r="EO189" s="231">
        <v>1949.03</v>
      </c>
      <c r="EP189" s="231">
        <v>1532.84</v>
      </c>
      <c r="EQ189" s="228">
        <v>416.19</v>
      </c>
      <c r="ER189" s="229">
        <v>0.27150000000000002</v>
      </c>
      <c r="ES189" s="231">
        <v>1352.55</v>
      </c>
      <c r="ET189" s="228">
        <v>527.02</v>
      </c>
      <c r="EU189" s="231">
        <v>1457.05</v>
      </c>
      <c r="EV189" s="231">
        <v>1813533848</v>
      </c>
      <c r="EW189" s="231">
        <v>3336.62</v>
      </c>
      <c r="EX189" s="231">
        <v>3575.29</v>
      </c>
      <c r="EY189" s="228">
        <v>-238.67</v>
      </c>
      <c r="EZ189" s="229">
        <v>-6.6799999999999998E-2</v>
      </c>
      <c r="FA189" s="229">
        <v>0.31519999999999998</v>
      </c>
      <c r="FB189" s="227" t="s">
        <v>556</v>
      </c>
      <c r="FC189">
        <f t="shared" si="3"/>
        <v>0</v>
      </c>
    </row>
    <row r="190" spans="1:159" ht="17.25" thickBot="1" x14ac:dyDescent="0.3">
      <c r="A190" s="226">
        <v>45981</v>
      </c>
      <c r="B190" s="227" t="s">
        <v>170</v>
      </c>
      <c r="C190" s="227" t="s">
        <v>520</v>
      </c>
      <c r="D190" s="228">
        <v>1000</v>
      </c>
      <c r="E190" s="228">
        <v>5</v>
      </c>
      <c r="F190" s="228">
        <v>634.70000000000005</v>
      </c>
      <c r="G190" s="228">
        <v>635.20000000000005</v>
      </c>
      <c r="H190" s="228">
        <v>-0.5</v>
      </c>
      <c r="I190" s="229">
        <v>-8.0000000000000004E-4</v>
      </c>
      <c r="J190" s="228">
        <v>634.6</v>
      </c>
      <c r="K190" s="228">
        <v>634.85</v>
      </c>
      <c r="L190" s="228">
        <v>-0.25</v>
      </c>
      <c r="M190" s="229">
        <v>-4.0000000000000002E-4</v>
      </c>
      <c r="N190" s="228">
        <v>634.70000000000005</v>
      </c>
      <c r="O190" s="228">
        <v>635.20000000000005</v>
      </c>
      <c r="P190" s="228">
        <v>-0.5</v>
      </c>
      <c r="Q190" s="229">
        <v>-8.0000000000000004E-4</v>
      </c>
      <c r="R190" s="228">
        <v>638.65</v>
      </c>
      <c r="S190" s="228">
        <v>639.4</v>
      </c>
      <c r="T190" s="228">
        <v>-0.75</v>
      </c>
      <c r="U190" s="229">
        <v>-1.1999999999999999E-3</v>
      </c>
      <c r="V190" s="228">
        <v>643.5</v>
      </c>
      <c r="W190" s="228">
        <v>643.79999999999995</v>
      </c>
      <c r="X190" s="228">
        <v>-0.3</v>
      </c>
      <c r="Y190" s="229">
        <v>-5.0000000000000001E-4</v>
      </c>
      <c r="Z190" s="228">
        <v>0.1</v>
      </c>
      <c r="AA190" s="228">
        <v>0.35</v>
      </c>
      <c r="AB190" s="228">
        <v>-0.25</v>
      </c>
      <c r="AC190" s="229">
        <v>2.0000000000000001E-4</v>
      </c>
      <c r="AD190" s="228">
        <v>0.1</v>
      </c>
      <c r="AE190" s="228">
        <v>0.35</v>
      </c>
      <c r="AF190" s="228">
        <v>-0.25</v>
      </c>
      <c r="AG190" s="229">
        <v>2.0000000000000001E-4</v>
      </c>
      <c r="AH190" s="228">
        <v>4.05</v>
      </c>
      <c r="AI190" s="228">
        <v>4.55</v>
      </c>
      <c r="AJ190" s="228">
        <v>-0.5</v>
      </c>
      <c r="AK190" s="229">
        <v>6.4000000000000003E-3</v>
      </c>
      <c r="AL190" s="228">
        <v>8.9</v>
      </c>
      <c r="AM190" s="228">
        <v>8.9499999999999993</v>
      </c>
      <c r="AN190" s="228">
        <v>-0.05</v>
      </c>
      <c r="AO190" s="229">
        <v>1.4E-2</v>
      </c>
      <c r="AP190" s="228">
        <v>633.86</v>
      </c>
      <c r="AQ190" s="228">
        <v>638.08000000000004</v>
      </c>
      <c r="AR190" s="228">
        <v>0</v>
      </c>
      <c r="AS190" s="228">
        <v>249</v>
      </c>
      <c r="AT190" s="228">
        <v>89</v>
      </c>
      <c r="AU190" s="228">
        <v>159</v>
      </c>
      <c r="AV190" s="229">
        <v>1.782</v>
      </c>
      <c r="AW190" s="228">
        <v>135</v>
      </c>
      <c r="AX190" s="228">
        <v>50</v>
      </c>
      <c r="AY190" s="228">
        <v>86</v>
      </c>
      <c r="AZ190" s="229">
        <v>1.7345999999999999</v>
      </c>
      <c r="BA190" s="228">
        <v>112</v>
      </c>
      <c r="BB190" s="228">
        <v>38</v>
      </c>
      <c r="BC190" s="228">
        <v>75</v>
      </c>
      <c r="BD190" s="229">
        <v>1.9831000000000001</v>
      </c>
      <c r="BE190" s="228">
        <v>1</v>
      </c>
      <c r="BF190" s="228">
        <v>2</v>
      </c>
      <c r="BG190" s="228">
        <v>-1</v>
      </c>
      <c r="BH190" s="229">
        <v>-0.57140000000000002</v>
      </c>
      <c r="BI190" s="228">
        <v>137</v>
      </c>
      <c r="BJ190" s="228">
        <v>405</v>
      </c>
      <c r="BK190" s="228">
        <v>-268</v>
      </c>
      <c r="BL190" s="229">
        <v>-0.66210000000000002</v>
      </c>
      <c r="BM190" s="228">
        <v>78</v>
      </c>
      <c r="BN190" s="228">
        <v>209</v>
      </c>
      <c r="BO190" s="228">
        <v>-131</v>
      </c>
      <c r="BP190" s="229">
        <v>-0.62770000000000004</v>
      </c>
      <c r="BQ190" s="228">
        <v>463</v>
      </c>
      <c r="BR190" s="228">
        <v>704</v>
      </c>
      <c r="BS190" s="228">
        <v>-240</v>
      </c>
      <c r="BT190" s="229">
        <v>-0.34150000000000003</v>
      </c>
      <c r="BU190" s="230">
        <v>182635</v>
      </c>
      <c r="BV190" s="230">
        <v>721211</v>
      </c>
      <c r="BW190" s="230">
        <v>-538576</v>
      </c>
      <c r="BX190" s="229">
        <v>-0.74680000000000002</v>
      </c>
      <c r="BY190" s="228">
        <v>623</v>
      </c>
      <c r="BZ190" s="228">
        <v>631</v>
      </c>
      <c r="CA190" s="228">
        <v>-8</v>
      </c>
      <c r="CB190" s="229">
        <v>-1.23E-2</v>
      </c>
      <c r="CC190" s="228">
        <v>470</v>
      </c>
      <c r="CD190" s="228">
        <v>567</v>
      </c>
      <c r="CE190" s="228">
        <v>-97</v>
      </c>
      <c r="CF190" s="229">
        <v>-0.1714</v>
      </c>
      <c r="CG190" s="228">
        <v>147</v>
      </c>
      <c r="CH190" s="228">
        <v>59</v>
      </c>
      <c r="CI190" s="228">
        <v>89</v>
      </c>
      <c r="CJ190" s="229">
        <v>1.5167999999999999</v>
      </c>
      <c r="CK190" s="228">
        <v>6</v>
      </c>
      <c r="CL190" s="228">
        <v>6</v>
      </c>
      <c r="CM190" s="228">
        <v>1</v>
      </c>
      <c r="CN190" s="229">
        <v>0.1011</v>
      </c>
      <c r="CO190" s="228">
        <v>270</v>
      </c>
      <c r="CP190" s="228">
        <v>283</v>
      </c>
      <c r="CQ190" s="228">
        <v>-13</v>
      </c>
      <c r="CR190" s="229">
        <v>-4.58E-2</v>
      </c>
      <c r="CS190" s="228">
        <v>194</v>
      </c>
      <c r="CT190" s="228">
        <v>190</v>
      </c>
      <c r="CU190" s="228">
        <v>3</v>
      </c>
      <c r="CV190" s="229">
        <v>1.7999999999999999E-2</v>
      </c>
      <c r="CW190" s="230">
        <v>1087</v>
      </c>
      <c r="CX190" s="230">
        <v>1104</v>
      </c>
      <c r="CY190" s="228">
        <v>-17</v>
      </c>
      <c r="CZ190" s="229">
        <v>-1.5599999999999999E-2</v>
      </c>
      <c r="DA190" s="228">
        <v>22.9</v>
      </c>
      <c r="DB190" s="228">
        <v>27.13</v>
      </c>
      <c r="DC190" s="228">
        <v>-4.2300000000000004</v>
      </c>
      <c r="DD190" s="228">
        <v>-4.2300000000000004</v>
      </c>
      <c r="DE190" s="228">
        <v>33.26</v>
      </c>
      <c r="DF190" s="228">
        <v>33.340000000000003</v>
      </c>
      <c r="DG190" s="228">
        <v>-10.36</v>
      </c>
      <c r="DH190" s="228">
        <v>-0.08</v>
      </c>
      <c r="DI190" s="228">
        <v>22.93</v>
      </c>
      <c r="DJ190" s="228">
        <v>28.73</v>
      </c>
      <c r="DK190" s="228">
        <v>-5.8</v>
      </c>
      <c r="DL190" s="228">
        <v>-5.8</v>
      </c>
      <c r="DM190" s="228">
        <v>22.87</v>
      </c>
      <c r="DN190" s="228">
        <v>24.04</v>
      </c>
      <c r="DO190" s="228">
        <v>-1.17</v>
      </c>
      <c r="DP190" s="228">
        <v>-1.17</v>
      </c>
      <c r="DQ190" s="228">
        <v>0.72</v>
      </c>
      <c r="DR190" s="228">
        <v>0.67</v>
      </c>
      <c r="DS190" s="228">
        <v>0.05</v>
      </c>
      <c r="DT190" s="229">
        <v>7.46E-2</v>
      </c>
      <c r="DU190" s="228">
        <v>670</v>
      </c>
      <c r="DV190" s="228">
        <v>620</v>
      </c>
      <c r="DW190" s="228">
        <v>0.56999999999999995</v>
      </c>
      <c r="DX190" s="228">
        <v>0.52</v>
      </c>
      <c r="DY190" s="228">
        <v>0.05</v>
      </c>
      <c r="DZ190" s="229">
        <v>9.6199999999999994E-2</v>
      </c>
      <c r="EA190" s="229">
        <v>0.2465</v>
      </c>
      <c r="EB190" s="230">
        <v>1012000</v>
      </c>
      <c r="EC190" s="229">
        <v>6.1999999999999998E-3</v>
      </c>
      <c r="ED190" s="229">
        <v>0.2465</v>
      </c>
      <c r="EE190" s="228">
        <v>4.22</v>
      </c>
      <c r="EF190" s="229">
        <v>6.7000000000000002E-3</v>
      </c>
      <c r="EG190" s="230">
        <v>103472</v>
      </c>
      <c r="EH190" s="230">
        <v>464262</v>
      </c>
      <c r="EI190" s="229">
        <v>-0.77710000000000001</v>
      </c>
      <c r="EJ190" s="229">
        <v>0.56659999999999999</v>
      </c>
      <c r="EK190" s="228">
        <v>143.34</v>
      </c>
      <c r="EL190" s="228">
        <v>77.430000000000007</v>
      </c>
      <c r="EM190" s="228">
        <v>249.04</v>
      </c>
      <c r="EN190" s="228">
        <v>14.09</v>
      </c>
      <c r="EO190" s="228">
        <v>469.82</v>
      </c>
      <c r="EP190" s="228">
        <v>726.15</v>
      </c>
      <c r="EQ190" s="228">
        <v>-256.33</v>
      </c>
      <c r="ER190" s="229">
        <v>-0.35299999999999998</v>
      </c>
      <c r="ES190" s="228">
        <v>285.77999999999997</v>
      </c>
      <c r="ET190" s="228">
        <v>191.94</v>
      </c>
      <c r="EU190" s="228">
        <v>624.41</v>
      </c>
      <c r="EV190" s="231">
        <v>28408333</v>
      </c>
      <c r="EW190" s="231">
        <v>1102.1400000000001</v>
      </c>
      <c r="EX190" s="231">
        <v>1120.69</v>
      </c>
      <c r="EY190" s="228">
        <v>-18.55</v>
      </c>
      <c r="EZ190" s="229">
        <v>-1.66E-2</v>
      </c>
      <c r="FA190" s="229">
        <v>0.60289999999999999</v>
      </c>
      <c r="FB190" s="227" t="s">
        <v>568</v>
      </c>
      <c r="FC190">
        <f t="shared" si="3"/>
        <v>0</v>
      </c>
    </row>
    <row r="191" spans="1:159" ht="17.25" thickBot="1" x14ac:dyDescent="0.3">
      <c r="A191" s="226">
        <v>45981</v>
      </c>
      <c r="B191" s="227" t="s">
        <v>168</v>
      </c>
      <c r="C191" s="227" t="s">
        <v>291</v>
      </c>
      <c r="D191" s="228">
        <v>550</v>
      </c>
      <c r="E191" s="228">
        <v>5</v>
      </c>
      <c r="F191" s="231">
        <v>1172.0999999999999</v>
      </c>
      <c r="G191" s="231">
        <v>1164.2</v>
      </c>
      <c r="H191" s="228">
        <v>7.9</v>
      </c>
      <c r="I191" s="229">
        <v>6.7999999999999996E-3</v>
      </c>
      <c r="J191" s="231">
        <v>1173.9000000000001</v>
      </c>
      <c r="K191" s="231">
        <v>1162.0999999999999</v>
      </c>
      <c r="L191" s="228">
        <v>11.8</v>
      </c>
      <c r="M191" s="229">
        <v>1.0200000000000001E-2</v>
      </c>
      <c r="N191" s="231">
        <v>1172.0999999999999</v>
      </c>
      <c r="O191" s="231">
        <v>1164.2</v>
      </c>
      <c r="P191" s="228">
        <v>7.9</v>
      </c>
      <c r="Q191" s="229">
        <v>6.7999999999999996E-3</v>
      </c>
      <c r="R191" s="231">
        <v>1179.4000000000001</v>
      </c>
      <c r="S191" s="231">
        <v>1172.3</v>
      </c>
      <c r="T191" s="228">
        <v>7.1</v>
      </c>
      <c r="U191" s="229">
        <v>6.1000000000000004E-3</v>
      </c>
      <c r="V191" s="231">
        <v>1186.7</v>
      </c>
      <c r="W191" s="231">
        <v>1179</v>
      </c>
      <c r="X191" s="228">
        <v>7.7</v>
      </c>
      <c r="Y191" s="229">
        <v>6.4999999999999997E-3</v>
      </c>
      <c r="Z191" s="228">
        <v>-1.8</v>
      </c>
      <c r="AA191" s="228">
        <v>2.1</v>
      </c>
      <c r="AB191" s="228">
        <v>-3.9</v>
      </c>
      <c r="AC191" s="229">
        <v>-1.5E-3</v>
      </c>
      <c r="AD191" s="228">
        <v>-1.8</v>
      </c>
      <c r="AE191" s="228">
        <v>2.1</v>
      </c>
      <c r="AF191" s="228">
        <v>-3.9</v>
      </c>
      <c r="AG191" s="229">
        <v>-1.5E-3</v>
      </c>
      <c r="AH191" s="228">
        <v>5.5</v>
      </c>
      <c r="AI191" s="228">
        <v>10.199999999999999</v>
      </c>
      <c r="AJ191" s="228">
        <v>-4.7</v>
      </c>
      <c r="AK191" s="229">
        <v>4.7000000000000002E-3</v>
      </c>
      <c r="AL191" s="228">
        <v>12.8</v>
      </c>
      <c r="AM191" s="228">
        <v>16.899999999999999</v>
      </c>
      <c r="AN191" s="228">
        <v>-4.0999999999999996</v>
      </c>
      <c r="AO191" s="229">
        <v>1.09E-2</v>
      </c>
      <c r="AP191" s="231">
        <v>1171.83</v>
      </c>
      <c r="AQ191" s="231">
        <v>1179.43</v>
      </c>
      <c r="AR191" s="228">
        <v>0</v>
      </c>
      <c r="AS191" s="230">
        <v>1085</v>
      </c>
      <c r="AT191" s="228">
        <v>217</v>
      </c>
      <c r="AU191" s="228">
        <v>868</v>
      </c>
      <c r="AV191" s="229">
        <v>3.9994000000000001</v>
      </c>
      <c r="AW191" s="228">
        <v>573</v>
      </c>
      <c r="AX191" s="228">
        <v>157</v>
      </c>
      <c r="AY191" s="228">
        <v>416</v>
      </c>
      <c r="AZ191" s="229">
        <v>2.6515</v>
      </c>
      <c r="BA191" s="228">
        <v>508</v>
      </c>
      <c r="BB191" s="228">
        <v>59</v>
      </c>
      <c r="BC191" s="228">
        <v>449</v>
      </c>
      <c r="BD191" s="229">
        <v>7.6036999999999999</v>
      </c>
      <c r="BE191" s="228">
        <v>4</v>
      </c>
      <c r="BF191" s="228">
        <v>1</v>
      </c>
      <c r="BG191" s="228">
        <v>3</v>
      </c>
      <c r="BH191" s="229">
        <v>2.8</v>
      </c>
      <c r="BI191" s="230">
        <v>1119</v>
      </c>
      <c r="BJ191" s="228">
        <v>670</v>
      </c>
      <c r="BK191" s="228">
        <v>449</v>
      </c>
      <c r="BL191" s="229">
        <v>0.67049999999999998</v>
      </c>
      <c r="BM191" s="228">
        <v>399</v>
      </c>
      <c r="BN191" s="228">
        <v>260</v>
      </c>
      <c r="BO191" s="228">
        <v>139</v>
      </c>
      <c r="BP191" s="229">
        <v>0.53420000000000001</v>
      </c>
      <c r="BQ191" s="230">
        <v>2602</v>
      </c>
      <c r="BR191" s="230">
        <v>1146</v>
      </c>
      <c r="BS191" s="230">
        <v>1456</v>
      </c>
      <c r="BT191" s="229">
        <v>1.2699</v>
      </c>
      <c r="BU191" s="230">
        <v>2275695</v>
      </c>
      <c r="BV191" s="230">
        <v>2014308</v>
      </c>
      <c r="BW191" s="230">
        <v>261387</v>
      </c>
      <c r="BX191" s="229">
        <v>0.1298</v>
      </c>
      <c r="BY191" s="230">
        <v>1540</v>
      </c>
      <c r="BZ191" s="230">
        <v>1598</v>
      </c>
      <c r="CA191" s="228">
        <v>-58</v>
      </c>
      <c r="CB191" s="229">
        <v>-3.6200000000000003E-2</v>
      </c>
      <c r="CC191" s="230">
        <v>1038</v>
      </c>
      <c r="CD191" s="230">
        <v>1438</v>
      </c>
      <c r="CE191" s="228">
        <v>-400</v>
      </c>
      <c r="CF191" s="229">
        <v>-0.27850000000000003</v>
      </c>
      <c r="CG191" s="228">
        <v>496</v>
      </c>
      <c r="CH191" s="228">
        <v>155</v>
      </c>
      <c r="CI191" s="228">
        <v>341</v>
      </c>
      <c r="CJ191" s="229">
        <v>2.2017000000000002</v>
      </c>
      <c r="CK191" s="228">
        <v>6</v>
      </c>
      <c r="CL191" s="228">
        <v>5</v>
      </c>
      <c r="CM191" s="228">
        <v>1</v>
      </c>
      <c r="CN191" s="229">
        <v>0.25679999999999997</v>
      </c>
      <c r="CO191" s="228">
        <v>635</v>
      </c>
      <c r="CP191" s="228">
        <v>645</v>
      </c>
      <c r="CQ191" s="228">
        <v>-10</v>
      </c>
      <c r="CR191" s="229">
        <v>-1.5699999999999999E-2</v>
      </c>
      <c r="CS191" s="228">
        <v>310</v>
      </c>
      <c r="CT191" s="228">
        <v>324</v>
      </c>
      <c r="CU191" s="228">
        <v>-13</v>
      </c>
      <c r="CV191" s="229">
        <v>-4.1599999999999998E-2</v>
      </c>
      <c r="CW191" s="230">
        <v>2485</v>
      </c>
      <c r="CX191" s="230">
        <v>2567</v>
      </c>
      <c r="CY191" s="228">
        <v>-81</v>
      </c>
      <c r="CZ191" s="229">
        <v>-3.1699999999999999E-2</v>
      </c>
      <c r="DA191" s="228">
        <v>20.05</v>
      </c>
      <c r="DB191" s="228">
        <v>21.74</v>
      </c>
      <c r="DC191" s="228">
        <v>-1.69</v>
      </c>
      <c r="DD191" s="228">
        <v>-1.69</v>
      </c>
      <c r="DE191" s="228">
        <v>26.74</v>
      </c>
      <c r="DF191" s="228">
        <v>26.78</v>
      </c>
      <c r="DG191" s="228">
        <v>-6.69</v>
      </c>
      <c r="DH191" s="228">
        <v>-0.04</v>
      </c>
      <c r="DI191" s="228">
        <v>19.95</v>
      </c>
      <c r="DJ191" s="228">
        <v>21.86</v>
      </c>
      <c r="DK191" s="228">
        <v>-1.91</v>
      </c>
      <c r="DL191" s="228">
        <v>-1.91</v>
      </c>
      <c r="DM191" s="228">
        <v>20.350000000000001</v>
      </c>
      <c r="DN191" s="228">
        <v>21.43</v>
      </c>
      <c r="DO191" s="228">
        <v>-1.08</v>
      </c>
      <c r="DP191" s="228">
        <v>-1.08</v>
      </c>
      <c r="DQ191" s="228">
        <v>0.49</v>
      </c>
      <c r="DR191" s="228">
        <v>0.5</v>
      </c>
      <c r="DS191" s="228">
        <v>-0.01</v>
      </c>
      <c r="DT191" s="229">
        <v>-0.02</v>
      </c>
      <c r="DU191" s="231">
        <v>1200</v>
      </c>
      <c r="DV191" s="231">
        <v>1050</v>
      </c>
      <c r="DW191" s="228">
        <v>0.36</v>
      </c>
      <c r="DX191" s="228">
        <v>0.39</v>
      </c>
      <c r="DY191" s="228">
        <v>-0.03</v>
      </c>
      <c r="DZ191" s="229">
        <v>-7.6899999999999996E-2</v>
      </c>
      <c r="EA191" s="229">
        <v>0.32619999999999999</v>
      </c>
      <c r="EB191" s="230">
        <v>1363450</v>
      </c>
      <c r="EC191" s="229">
        <v>6.1999999999999998E-3</v>
      </c>
      <c r="ED191" s="229">
        <v>0.32619999999999999</v>
      </c>
      <c r="EE191" s="228">
        <v>7.6</v>
      </c>
      <c r="EF191" s="229">
        <v>6.4999999999999997E-3</v>
      </c>
      <c r="EG191" s="230">
        <v>1648746</v>
      </c>
      <c r="EH191" s="230">
        <v>1428116</v>
      </c>
      <c r="EI191" s="229">
        <v>0.1545</v>
      </c>
      <c r="EJ191" s="229">
        <v>0.72450000000000003</v>
      </c>
      <c r="EK191" s="231">
        <v>1145.57</v>
      </c>
      <c r="EL191" s="228">
        <v>396.23</v>
      </c>
      <c r="EM191" s="231">
        <v>1088.24</v>
      </c>
      <c r="EN191" s="228">
        <v>34.450000000000003</v>
      </c>
      <c r="EO191" s="231">
        <v>2630.04</v>
      </c>
      <c r="EP191" s="231">
        <v>1152.93</v>
      </c>
      <c r="EQ191" s="231">
        <v>1477.11</v>
      </c>
      <c r="ER191" s="229">
        <v>1.2811999999999999</v>
      </c>
      <c r="ES191" s="228">
        <v>665.51</v>
      </c>
      <c r="ET191" s="228">
        <v>297.67</v>
      </c>
      <c r="EU191" s="231">
        <v>1543.05</v>
      </c>
      <c r="EV191" s="231">
        <v>65471528</v>
      </c>
      <c r="EW191" s="231">
        <v>2506.2399999999998</v>
      </c>
      <c r="EX191" s="231">
        <v>2574.88</v>
      </c>
      <c r="EY191" s="228">
        <v>-68.64</v>
      </c>
      <c r="EZ191" s="229">
        <v>-2.6700000000000002E-2</v>
      </c>
      <c r="FA191" s="229">
        <v>0.32390000000000002</v>
      </c>
      <c r="FB191" s="227" t="s">
        <v>556</v>
      </c>
      <c r="FC191">
        <f t="shared" si="3"/>
        <v>0</v>
      </c>
    </row>
    <row r="192" spans="1:159" ht="17.25" thickBot="1" x14ac:dyDescent="0.3">
      <c r="A192" s="226">
        <v>45981</v>
      </c>
      <c r="B192" s="227" t="s">
        <v>221</v>
      </c>
      <c r="C192" s="227" t="s">
        <v>604</v>
      </c>
      <c r="D192" s="228">
        <v>100</v>
      </c>
      <c r="E192" s="228">
        <v>5</v>
      </c>
      <c r="F192" s="231">
        <v>5369.5</v>
      </c>
      <c r="G192" s="231">
        <v>5358.5</v>
      </c>
      <c r="H192" s="228">
        <v>11</v>
      </c>
      <c r="I192" s="229">
        <v>2.0999999999999999E-3</v>
      </c>
      <c r="J192" s="231">
        <v>5366.5</v>
      </c>
      <c r="K192" s="231">
        <v>5347.5</v>
      </c>
      <c r="L192" s="228">
        <v>19</v>
      </c>
      <c r="M192" s="229">
        <v>3.5999999999999999E-3</v>
      </c>
      <c r="N192" s="231">
        <v>5369.5</v>
      </c>
      <c r="O192" s="231">
        <v>5358.5</v>
      </c>
      <c r="P192" s="228">
        <v>11</v>
      </c>
      <c r="Q192" s="229">
        <v>2.0999999999999999E-3</v>
      </c>
      <c r="R192" s="231">
        <v>5357.5</v>
      </c>
      <c r="S192" s="231">
        <v>5341.5</v>
      </c>
      <c r="T192" s="228">
        <v>16</v>
      </c>
      <c r="U192" s="229">
        <v>3.0000000000000001E-3</v>
      </c>
      <c r="V192" s="231">
        <v>5347.5</v>
      </c>
      <c r="W192" s="231">
        <v>5341.5</v>
      </c>
      <c r="X192" s="228">
        <v>6</v>
      </c>
      <c r="Y192" s="229">
        <v>1.1000000000000001E-3</v>
      </c>
      <c r="Z192" s="228">
        <v>3</v>
      </c>
      <c r="AA192" s="228">
        <v>11</v>
      </c>
      <c r="AB192" s="228">
        <v>-8</v>
      </c>
      <c r="AC192" s="229">
        <v>5.9999999999999995E-4</v>
      </c>
      <c r="AD192" s="228">
        <v>3</v>
      </c>
      <c r="AE192" s="228">
        <v>11</v>
      </c>
      <c r="AF192" s="228">
        <v>-8</v>
      </c>
      <c r="AG192" s="229">
        <v>5.9999999999999995E-4</v>
      </c>
      <c r="AH192" s="228">
        <v>-9</v>
      </c>
      <c r="AI192" s="228">
        <v>-6</v>
      </c>
      <c r="AJ192" s="228">
        <v>-3</v>
      </c>
      <c r="AK192" s="229">
        <v>-1.6999999999999999E-3</v>
      </c>
      <c r="AL192" s="228">
        <v>-19</v>
      </c>
      <c r="AM192" s="228">
        <v>-6</v>
      </c>
      <c r="AN192" s="228">
        <v>-13</v>
      </c>
      <c r="AO192" s="229">
        <v>-3.5000000000000001E-3</v>
      </c>
      <c r="AP192" s="231">
        <v>5373.56</v>
      </c>
      <c r="AQ192" s="231">
        <v>5361.61</v>
      </c>
      <c r="AR192" s="228">
        <v>0</v>
      </c>
      <c r="AS192" s="230">
        <v>1257</v>
      </c>
      <c r="AT192" s="228">
        <v>315</v>
      </c>
      <c r="AU192" s="228">
        <v>942</v>
      </c>
      <c r="AV192" s="229">
        <v>2.9864999999999999</v>
      </c>
      <c r="AW192" s="228">
        <v>637</v>
      </c>
      <c r="AX192" s="228">
        <v>181</v>
      </c>
      <c r="AY192" s="228">
        <v>456</v>
      </c>
      <c r="AZ192" s="229">
        <v>2.5194000000000001</v>
      </c>
      <c r="BA192" s="228">
        <v>617</v>
      </c>
      <c r="BB192" s="228">
        <v>130</v>
      </c>
      <c r="BC192" s="228">
        <v>486</v>
      </c>
      <c r="BD192" s="229">
        <v>3.7376</v>
      </c>
      <c r="BE192" s="228">
        <v>3</v>
      </c>
      <c r="BF192" s="228">
        <v>4</v>
      </c>
      <c r="BG192" s="228">
        <v>-1</v>
      </c>
      <c r="BH192" s="229">
        <v>-0.23680000000000001</v>
      </c>
      <c r="BI192" s="228">
        <v>523</v>
      </c>
      <c r="BJ192" s="228">
        <v>835</v>
      </c>
      <c r="BK192" s="228">
        <v>-312</v>
      </c>
      <c r="BL192" s="229">
        <v>-0.37330000000000002</v>
      </c>
      <c r="BM192" s="228">
        <v>184</v>
      </c>
      <c r="BN192" s="228">
        <v>284</v>
      </c>
      <c r="BO192" s="228">
        <v>-99</v>
      </c>
      <c r="BP192" s="229">
        <v>-0.35060000000000002</v>
      </c>
      <c r="BQ192" s="230">
        <v>1965</v>
      </c>
      <c r="BR192" s="230">
        <v>1434</v>
      </c>
      <c r="BS192" s="228">
        <v>531</v>
      </c>
      <c r="BT192" s="229">
        <v>0.37</v>
      </c>
      <c r="BU192" s="230">
        <v>174367</v>
      </c>
      <c r="BV192" s="230">
        <v>151308</v>
      </c>
      <c r="BW192" s="230">
        <v>23059</v>
      </c>
      <c r="BX192" s="229">
        <v>0.15240000000000001</v>
      </c>
      <c r="BY192" s="230">
        <v>1496</v>
      </c>
      <c r="BZ192" s="230">
        <v>1742</v>
      </c>
      <c r="CA192" s="228">
        <v>-245</v>
      </c>
      <c r="CB192" s="229">
        <v>-0.1409</v>
      </c>
      <c r="CC192" s="228">
        <v>864</v>
      </c>
      <c r="CD192" s="230">
        <v>1295</v>
      </c>
      <c r="CE192" s="228">
        <v>-431</v>
      </c>
      <c r="CF192" s="229">
        <v>-0.33300000000000002</v>
      </c>
      <c r="CG192" s="228">
        <v>606</v>
      </c>
      <c r="CH192" s="228">
        <v>421</v>
      </c>
      <c r="CI192" s="228">
        <v>184</v>
      </c>
      <c r="CJ192" s="229">
        <v>0.43730000000000002</v>
      </c>
      <c r="CK192" s="228">
        <v>27</v>
      </c>
      <c r="CL192" s="228">
        <v>25</v>
      </c>
      <c r="CM192" s="228">
        <v>2</v>
      </c>
      <c r="CN192" s="229">
        <v>7.1400000000000005E-2</v>
      </c>
      <c r="CO192" s="228">
        <v>494</v>
      </c>
      <c r="CP192" s="228">
        <v>508</v>
      </c>
      <c r="CQ192" s="228">
        <v>-14</v>
      </c>
      <c r="CR192" s="229">
        <v>-2.7099999999999999E-2</v>
      </c>
      <c r="CS192" s="228">
        <v>199</v>
      </c>
      <c r="CT192" s="228">
        <v>211</v>
      </c>
      <c r="CU192" s="228">
        <v>-12</v>
      </c>
      <c r="CV192" s="229">
        <v>-5.74E-2</v>
      </c>
      <c r="CW192" s="230">
        <v>2189</v>
      </c>
      <c r="CX192" s="230">
        <v>2460</v>
      </c>
      <c r="CY192" s="228">
        <v>-271</v>
      </c>
      <c r="CZ192" s="229">
        <v>-0.11020000000000001</v>
      </c>
      <c r="DA192" s="228">
        <v>24.93</v>
      </c>
      <c r="DB192" s="228">
        <v>26.39</v>
      </c>
      <c r="DC192" s="228">
        <v>-1.46</v>
      </c>
      <c r="DD192" s="228">
        <v>-1.46</v>
      </c>
      <c r="DE192" s="228">
        <v>35.43</v>
      </c>
      <c r="DF192" s="228">
        <v>35.520000000000003</v>
      </c>
      <c r="DG192" s="228">
        <v>-10.5</v>
      </c>
      <c r="DH192" s="228">
        <v>-0.09</v>
      </c>
      <c r="DI192" s="228">
        <v>24.87</v>
      </c>
      <c r="DJ192" s="228">
        <v>26.42</v>
      </c>
      <c r="DK192" s="228">
        <v>-1.55</v>
      </c>
      <c r="DL192" s="228">
        <v>-1.55</v>
      </c>
      <c r="DM192" s="228">
        <v>25.03</v>
      </c>
      <c r="DN192" s="228">
        <v>26.29</v>
      </c>
      <c r="DO192" s="228">
        <v>-1.26</v>
      </c>
      <c r="DP192" s="228">
        <v>-1.26</v>
      </c>
      <c r="DQ192" s="228">
        <v>0.4</v>
      </c>
      <c r="DR192" s="228">
        <v>0.42</v>
      </c>
      <c r="DS192" s="228">
        <v>-0.02</v>
      </c>
      <c r="DT192" s="229">
        <v>-4.7600000000000003E-2</v>
      </c>
      <c r="DU192" s="231">
        <v>5500</v>
      </c>
      <c r="DV192" s="231">
        <v>5100</v>
      </c>
      <c r="DW192" s="228">
        <v>0.35</v>
      </c>
      <c r="DX192" s="228">
        <v>0.34</v>
      </c>
      <c r="DY192" s="228">
        <v>0.01</v>
      </c>
      <c r="DZ192" s="229">
        <v>2.9399999999999999E-2</v>
      </c>
      <c r="EA192" s="229">
        <v>0.42259999999999998</v>
      </c>
      <c r="EB192" s="230">
        <v>831000</v>
      </c>
      <c r="EC192" s="229">
        <v>-2.2000000000000001E-3</v>
      </c>
      <c r="ED192" s="229">
        <v>0.42259999999999998</v>
      </c>
      <c r="EE192" s="228">
        <v>-11.95</v>
      </c>
      <c r="EF192" s="229">
        <v>-2.2000000000000001E-3</v>
      </c>
      <c r="EG192" s="230">
        <v>82581</v>
      </c>
      <c r="EH192" s="230">
        <v>57337</v>
      </c>
      <c r="EI192" s="229">
        <v>0.44030000000000002</v>
      </c>
      <c r="EJ192" s="229">
        <v>0.47360000000000002</v>
      </c>
      <c r="EK192" s="228">
        <v>540.95000000000005</v>
      </c>
      <c r="EL192" s="228">
        <v>182.24</v>
      </c>
      <c r="EM192" s="231">
        <v>1256.74</v>
      </c>
      <c r="EN192" s="228">
        <v>44.81</v>
      </c>
      <c r="EO192" s="231">
        <v>1979.93</v>
      </c>
      <c r="EP192" s="231">
        <v>1451.36</v>
      </c>
      <c r="EQ192" s="228">
        <v>528.57000000000005</v>
      </c>
      <c r="ER192" s="229">
        <v>0.36420000000000002</v>
      </c>
      <c r="ES192" s="228">
        <v>516.89</v>
      </c>
      <c r="ET192" s="228">
        <v>193.92</v>
      </c>
      <c r="EU192" s="231">
        <v>1494.8</v>
      </c>
      <c r="EV192" s="231">
        <v>4309631</v>
      </c>
      <c r="EW192" s="231">
        <v>2205.61</v>
      </c>
      <c r="EX192" s="231">
        <v>2474.25</v>
      </c>
      <c r="EY192" s="228">
        <v>-268.64</v>
      </c>
      <c r="EZ192" s="229">
        <v>-0.1086</v>
      </c>
      <c r="FA192" s="229">
        <v>0.94610000000000005</v>
      </c>
      <c r="FB192" s="227" t="s">
        <v>556</v>
      </c>
      <c r="FC192">
        <f t="shared" si="3"/>
        <v>0</v>
      </c>
    </row>
    <row r="193" spans="1:159" ht="17.25" thickBot="1" x14ac:dyDescent="0.3">
      <c r="A193" s="226">
        <v>45981</v>
      </c>
      <c r="B193" s="227" t="s">
        <v>161</v>
      </c>
      <c r="C193" s="227" t="s">
        <v>293</v>
      </c>
      <c r="D193" s="228">
        <v>1450</v>
      </c>
      <c r="E193" s="228">
        <v>5</v>
      </c>
      <c r="F193" s="228">
        <v>388</v>
      </c>
      <c r="G193" s="228">
        <v>388.8</v>
      </c>
      <c r="H193" s="228">
        <v>-0.8</v>
      </c>
      <c r="I193" s="229">
        <v>-2.0999999999999999E-3</v>
      </c>
      <c r="J193" s="228">
        <v>388.1</v>
      </c>
      <c r="K193" s="228">
        <v>389.1</v>
      </c>
      <c r="L193" s="228">
        <v>-1</v>
      </c>
      <c r="M193" s="229">
        <v>-2.5999999999999999E-3</v>
      </c>
      <c r="N193" s="228">
        <v>388</v>
      </c>
      <c r="O193" s="228">
        <v>388.8</v>
      </c>
      <c r="P193" s="228">
        <v>-0.8</v>
      </c>
      <c r="Q193" s="229">
        <v>-2.0999999999999999E-3</v>
      </c>
      <c r="R193" s="228">
        <v>390.65</v>
      </c>
      <c r="S193" s="228">
        <v>391.25</v>
      </c>
      <c r="T193" s="228">
        <v>-0.6</v>
      </c>
      <c r="U193" s="229">
        <v>-1.5E-3</v>
      </c>
      <c r="V193" s="228">
        <v>392.8</v>
      </c>
      <c r="W193" s="228">
        <v>393.25</v>
      </c>
      <c r="X193" s="228">
        <v>-0.45</v>
      </c>
      <c r="Y193" s="229">
        <v>-1.1000000000000001E-3</v>
      </c>
      <c r="Z193" s="228">
        <v>-0.1</v>
      </c>
      <c r="AA193" s="228">
        <v>-0.3</v>
      </c>
      <c r="AB193" s="228">
        <v>0.2</v>
      </c>
      <c r="AC193" s="229">
        <v>-2.9999999999999997E-4</v>
      </c>
      <c r="AD193" s="228">
        <v>-0.1</v>
      </c>
      <c r="AE193" s="228">
        <v>-0.3</v>
      </c>
      <c r="AF193" s="228">
        <v>0.2</v>
      </c>
      <c r="AG193" s="229">
        <v>-2.9999999999999997E-4</v>
      </c>
      <c r="AH193" s="228">
        <v>2.5499999999999998</v>
      </c>
      <c r="AI193" s="228">
        <v>2.15</v>
      </c>
      <c r="AJ193" s="228">
        <v>0.4</v>
      </c>
      <c r="AK193" s="229">
        <v>6.6E-3</v>
      </c>
      <c r="AL193" s="228">
        <v>4.7</v>
      </c>
      <c r="AM193" s="228">
        <v>4.1500000000000004</v>
      </c>
      <c r="AN193" s="228">
        <v>0.55000000000000004</v>
      </c>
      <c r="AO193" s="229">
        <v>1.21E-2</v>
      </c>
      <c r="AP193" s="228">
        <v>390.58</v>
      </c>
      <c r="AQ193" s="228">
        <v>393.05</v>
      </c>
      <c r="AR193" s="228">
        <v>0</v>
      </c>
      <c r="AS193" s="230">
        <v>1005</v>
      </c>
      <c r="AT193" s="228">
        <v>354</v>
      </c>
      <c r="AU193" s="228">
        <v>650</v>
      </c>
      <c r="AV193" s="229">
        <v>1.8368</v>
      </c>
      <c r="AW193" s="228">
        <v>561</v>
      </c>
      <c r="AX193" s="228">
        <v>250</v>
      </c>
      <c r="AY193" s="228">
        <v>311</v>
      </c>
      <c r="AZ193" s="229">
        <v>1.2431000000000001</v>
      </c>
      <c r="BA193" s="228">
        <v>438</v>
      </c>
      <c r="BB193" s="228">
        <v>99</v>
      </c>
      <c r="BC193" s="228">
        <v>340</v>
      </c>
      <c r="BD193" s="229">
        <v>3.4474999999999998</v>
      </c>
      <c r="BE193" s="228">
        <v>5</v>
      </c>
      <c r="BF193" s="228">
        <v>6</v>
      </c>
      <c r="BG193" s="228">
        <v>0</v>
      </c>
      <c r="BH193" s="229">
        <v>-2.0199999999999999E-2</v>
      </c>
      <c r="BI193" s="230">
        <v>1613</v>
      </c>
      <c r="BJ193" s="230">
        <v>1803</v>
      </c>
      <c r="BK193" s="228">
        <v>-190</v>
      </c>
      <c r="BL193" s="229">
        <v>-0.1055</v>
      </c>
      <c r="BM193" s="228">
        <v>826</v>
      </c>
      <c r="BN193" s="228">
        <v>653</v>
      </c>
      <c r="BO193" s="228">
        <v>173</v>
      </c>
      <c r="BP193" s="229">
        <v>0.26529999999999998</v>
      </c>
      <c r="BQ193" s="230">
        <v>3443</v>
      </c>
      <c r="BR193" s="230">
        <v>2810</v>
      </c>
      <c r="BS193" s="228">
        <v>633</v>
      </c>
      <c r="BT193" s="229">
        <v>0.22539999999999999</v>
      </c>
      <c r="BU193" s="230">
        <v>4410129</v>
      </c>
      <c r="BV193" s="230">
        <v>4359010</v>
      </c>
      <c r="BW193" s="230">
        <v>51119</v>
      </c>
      <c r="BX193" s="229">
        <v>1.17E-2</v>
      </c>
      <c r="BY193" s="230">
        <v>2169</v>
      </c>
      <c r="BZ193" s="230">
        <v>2253</v>
      </c>
      <c r="CA193" s="228">
        <v>-84</v>
      </c>
      <c r="CB193" s="229">
        <v>-3.7400000000000003E-2</v>
      </c>
      <c r="CC193" s="230">
        <v>1581</v>
      </c>
      <c r="CD193" s="230">
        <v>1953</v>
      </c>
      <c r="CE193" s="228">
        <v>-372</v>
      </c>
      <c r="CF193" s="229">
        <v>-0.19070000000000001</v>
      </c>
      <c r="CG193" s="228">
        <v>560</v>
      </c>
      <c r="CH193" s="228">
        <v>273</v>
      </c>
      <c r="CI193" s="228">
        <v>287</v>
      </c>
      <c r="CJ193" s="229">
        <v>1.0499000000000001</v>
      </c>
      <c r="CK193" s="228">
        <v>28</v>
      </c>
      <c r="CL193" s="228">
        <v>27</v>
      </c>
      <c r="CM193" s="228">
        <v>1</v>
      </c>
      <c r="CN193" s="229">
        <v>5.4300000000000001E-2</v>
      </c>
      <c r="CO193" s="230">
        <v>1689</v>
      </c>
      <c r="CP193" s="230">
        <v>1853</v>
      </c>
      <c r="CQ193" s="228">
        <v>-164</v>
      </c>
      <c r="CR193" s="229">
        <v>-8.8400000000000006E-2</v>
      </c>
      <c r="CS193" s="228">
        <v>965</v>
      </c>
      <c r="CT193" s="230">
        <v>1001</v>
      </c>
      <c r="CU193" s="228">
        <v>-37</v>
      </c>
      <c r="CV193" s="229">
        <v>-3.6600000000000001E-2</v>
      </c>
      <c r="CW193" s="230">
        <v>4823</v>
      </c>
      <c r="CX193" s="230">
        <v>5107</v>
      </c>
      <c r="CY193" s="228">
        <v>-285</v>
      </c>
      <c r="CZ193" s="229">
        <v>-5.57E-2</v>
      </c>
      <c r="DA193" s="228">
        <v>21.53</v>
      </c>
      <c r="DB193" s="228">
        <v>22.68</v>
      </c>
      <c r="DC193" s="228">
        <v>-1.1499999999999999</v>
      </c>
      <c r="DD193" s="228">
        <v>-1.1499999999999999</v>
      </c>
      <c r="DE193" s="228">
        <v>32.28</v>
      </c>
      <c r="DF193" s="228">
        <v>32.36</v>
      </c>
      <c r="DG193" s="228">
        <v>-10.75</v>
      </c>
      <c r="DH193" s="228">
        <v>-0.08</v>
      </c>
      <c r="DI193" s="228">
        <v>21.89</v>
      </c>
      <c r="DJ193" s="228">
        <v>23.03</v>
      </c>
      <c r="DK193" s="228">
        <v>-1.1399999999999999</v>
      </c>
      <c r="DL193" s="228">
        <v>-1.1399999999999999</v>
      </c>
      <c r="DM193" s="228">
        <v>21.01</v>
      </c>
      <c r="DN193" s="228">
        <v>21.71</v>
      </c>
      <c r="DO193" s="228">
        <v>-0.7</v>
      </c>
      <c r="DP193" s="228">
        <v>-0.7</v>
      </c>
      <c r="DQ193" s="228">
        <v>0.56999999999999995</v>
      </c>
      <c r="DR193" s="228">
        <v>0.54</v>
      </c>
      <c r="DS193" s="228">
        <v>0.03</v>
      </c>
      <c r="DT193" s="229">
        <v>5.5599999999999997E-2</v>
      </c>
      <c r="DU193" s="228">
        <v>400</v>
      </c>
      <c r="DV193" s="228">
        <v>390</v>
      </c>
      <c r="DW193" s="228">
        <v>0.51</v>
      </c>
      <c r="DX193" s="228">
        <v>0.36</v>
      </c>
      <c r="DY193" s="228">
        <v>0.15</v>
      </c>
      <c r="DZ193" s="229">
        <v>0.41670000000000001</v>
      </c>
      <c r="EA193" s="229">
        <v>0.2712</v>
      </c>
      <c r="EB193" s="230">
        <v>7732850</v>
      </c>
      <c r="EC193" s="229">
        <v>6.7999999999999996E-3</v>
      </c>
      <c r="ED193" s="229">
        <v>0.2712</v>
      </c>
      <c r="EE193" s="228">
        <v>2.4700000000000002</v>
      </c>
      <c r="EF193" s="229">
        <v>6.3E-3</v>
      </c>
      <c r="EG193" s="230">
        <v>2369027</v>
      </c>
      <c r="EH193" s="230">
        <v>2394747</v>
      </c>
      <c r="EI193" s="229">
        <v>-1.0699999999999999E-2</v>
      </c>
      <c r="EJ193" s="229">
        <v>0.53720000000000001</v>
      </c>
      <c r="EK193" s="231">
        <v>1671.91</v>
      </c>
      <c r="EL193" s="228">
        <v>846.71</v>
      </c>
      <c r="EM193" s="231">
        <v>1014.05</v>
      </c>
      <c r="EN193" s="228">
        <v>69.25</v>
      </c>
      <c r="EO193" s="231">
        <v>3532.67</v>
      </c>
      <c r="EP193" s="231">
        <v>2876.22</v>
      </c>
      <c r="EQ193" s="228">
        <v>656.45</v>
      </c>
      <c r="ER193" s="229">
        <v>0.22819999999999999</v>
      </c>
      <c r="ES193" s="231">
        <v>1798.82</v>
      </c>
      <c r="ET193" s="228">
        <v>989.06</v>
      </c>
      <c r="EU193" s="231">
        <v>2172.89</v>
      </c>
      <c r="EV193" s="231">
        <v>169808198</v>
      </c>
      <c r="EW193" s="231">
        <v>4960.7700000000004</v>
      </c>
      <c r="EX193" s="231">
        <v>5254.42</v>
      </c>
      <c r="EY193" s="228">
        <v>-293.64999999999998</v>
      </c>
      <c r="EZ193" s="229">
        <v>-5.5899999999999998E-2</v>
      </c>
      <c r="FA193" s="229">
        <v>0.73199999999999998</v>
      </c>
      <c r="FB193" s="227" t="s">
        <v>568</v>
      </c>
      <c r="FC193">
        <f t="shared" si="3"/>
        <v>0</v>
      </c>
    </row>
    <row r="194" spans="1:159" ht="17.25" thickBot="1" x14ac:dyDescent="0.3">
      <c r="A194" s="226">
        <v>45981</v>
      </c>
      <c r="B194" s="227" t="s">
        <v>227</v>
      </c>
      <c r="C194" s="227" t="s">
        <v>294</v>
      </c>
      <c r="D194" s="228">
        <v>5500</v>
      </c>
      <c r="E194" s="228">
        <v>5</v>
      </c>
      <c r="F194" s="228">
        <v>172.53</v>
      </c>
      <c r="G194" s="228">
        <v>173.31</v>
      </c>
      <c r="H194" s="228">
        <v>-0.78</v>
      </c>
      <c r="I194" s="229">
        <v>-4.4999999999999997E-3</v>
      </c>
      <c r="J194" s="228">
        <v>172.46</v>
      </c>
      <c r="K194" s="228">
        <v>173.21</v>
      </c>
      <c r="L194" s="228">
        <v>-0.75</v>
      </c>
      <c r="M194" s="229">
        <v>-4.3E-3</v>
      </c>
      <c r="N194" s="228">
        <v>172.53</v>
      </c>
      <c r="O194" s="228">
        <v>173.31</v>
      </c>
      <c r="P194" s="228">
        <v>-0.78</v>
      </c>
      <c r="Q194" s="229">
        <v>-4.4999999999999997E-3</v>
      </c>
      <c r="R194" s="228">
        <v>173.69</v>
      </c>
      <c r="S194" s="228">
        <v>174.41</v>
      </c>
      <c r="T194" s="228">
        <v>-0.72</v>
      </c>
      <c r="U194" s="229">
        <v>-4.1000000000000003E-3</v>
      </c>
      <c r="V194" s="228">
        <v>174.73</v>
      </c>
      <c r="W194" s="228">
        <v>175.53</v>
      </c>
      <c r="X194" s="228">
        <v>-0.8</v>
      </c>
      <c r="Y194" s="229">
        <v>-4.5999999999999999E-3</v>
      </c>
      <c r="Z194" s="228">
        <v>7.0000000000000007E-2</v>
      </c>
      <c r="AA194" s="228">
        <v>0.1</v>
      </c>
      <c r="AB194" s="228">
        <v>-0.03</v>
      </c>
      <c r="AC194" s="229">
        <v>4.0000000000000002E-4</v>
      </c>
      <c r="AD194" s="228">
        <v>7.0000000000000007E-2</v>
      </c>
      <c r="AE194" s="228">
        <v>0.1</v>
      </c>
      <c r="AF194" s="228">
        <v>-0.03</v>
      </c>
      <c r="AG194" s="229">
        <v>4.0000000000000002E-4</v>
      </c>
      <c r="AH194" s="228">
        <v>1.23</v>
      </c>
      <c r="AI194" s="228">
        <v>1.2</v>
      </c>
      <c r="AJ194" s="228">
        <v>0.03</v>
      </c>
      <c r="AK194" s="229">
        <v>7.1000000000000004E-3</v>
      </c>
      <c r="AL194" s="228">
        <v>2.27</v>
      </c>
      <c r="AM194" s="228">
        <v>2.3199999999999998</v>
      </c>
      <c r="AN194" s="228">
        <v>-0.05</v>
      </c>
      <c r="AO194" s="229">
        <v>1.32E-2</v>
      </c>
      <c r="AP194" s="228">
        <v>173.05</v>
      </c>
      <c r="AQ194" s="228">
        <v>174.19</v>
      </c>
      <c r="AR194" s="228">
        <v>0</v>
      </c>
      <c r="AS194" s="230">
        <v>1622</v>
      </c>
      <c r="AT194" s="228">
        <v>852</v>
      </c>
      <c r="AU194" s="228">
        <v>770</v>
      </c>
      <c r="AV194" s="229">
        <v>0.90449999999999997</v>
      </c>
      <c r="AW194" s="228">
        <v>862</v>
      </c>
      <c r="AX194" s="228">
        <v>522</v>
      </c>
      <c r="AY194" s="228">
        <v>340</v>
      </c>
      <c r="AZ194" s="229">
        <v>0.6502</v>
      </c>
      <c r="BA194" s="228">
        <v>748</v>
      </c>
      <c r="BB194" s="228">
        <v>319</v>
      </c>
      <c r="BC194" s="228">
        <v>429</v>
      </c>
      <c r="BD194" s="229">
        <v>1.3431999999999999</v>
      </c>
      <c r="BE194" s="228">
        <v>12</v>
      </c>
      <c r="BF194" s="228">
        <v>10</v>
      </c>
      <c r="BG194" s="228">
        <v>2</v>
      </c>
      <c r="BH194" s="229">
        <v>0.1981</v>
      </c>
      <c r="BI194" s="230">
        <v>5436</v>
      </c>
      <c r="BJ194" s="230">
        <v>6014</v>
      </c>
      <c r="BK194" s="228">
        <v>-578</v>
      </c>
      <c r="BL194" s="229">
        <v>-9.6100000000000005E-2</v>
      </c>
      <c r="BM194" s="230">
        <v>1484</v>
      </c>
      <c r="BN194" s="230">
        <v>1903</v>
      </c>
      <c r="BO194" s="228">
        <v>-419</v>
      </c>
      <c r="BP194" s="229">
        <v>-0.22040000000000001</v>
      </c>
      <c r="BQ194" s="230">
        <v>8542</v>
      </c>
      <c r="BR194" s="230">
        <v>8769</v>
      </c>
      <c r="BS194" s="228">
        <v>-227</v>
      </c>
      <c r="BT194" s="229">
        <v>-2.5899999999999999E-2</v>
      </c>
      <c r="BU194" s="230">
        <v>18963607</v>
      </c>
      <c r="BV194" s="230">
        <v>21679122</v>
      </c>
      <c r="BW194" s="230">
        <v>-2715515</v>
      </c>
      <c r="BX194" s="229">
        <v>-0.12529999999999999</v>
      </c>
      <c r="BY194" s="230">
        <v>4731</v>
      </c>
      <c r="BZ194" s="230">
        <v>4688</v>
      </c>
      <c r="CA194" s="228">
        <v>43</v>
      </c>
      <c r="CB194" s="229">
        <v>9.1999999999999998E-3</v>
      </c>
      <c r="CC194" s="230">
        <v>3075</v>
      </c>
      <c r="CD194" s="230">
        <v>3658</v>
      </c>
      <c r="CE194" s="228">
        <v>-583</v>
      </c>
      <c r="CF194" s="229">
        <v>-0.1593</v>
      </c>
      <c r="CG194" s="230">
        <v>1547</v>
      </c>
      <c r="CH194" s="228">
        <v>926</v>
      </c>
      <c r="CI194" s="228">
        <v>622</v>
      </c>
      <c r="CJ194" s="229">
        <v>0.67130000000000001</v>
      </c>
      <c r="CK194" s="228">
        <v>109</v>
      </c>
      <c r="CL194" s="228">
        <v>104</v>
      </c>
      <c r="CM194" s="228">
        <v>4</v>
      </c>
      <c r="CN194" s="229">
        <v>4.0899999999999999E-2</v>
      </c>
      <c r="CO194" s="230">
        <v>5710</v>
      </c>
      <c r="CP194" s="230">
        <v>6030</v>
      </c>
      <c r="CQ194" s="228">
        <v>-320</v>
      </c>
      <c r="CR194" s="229">
        <v>-5.3100000000000001E-2</v>
      </c>
      <c r="CS194" s="230">
        <v>1986</v>
      </c>
      <c r="CT194" s="230">
        <v>2079</v>
      </c>
      <c r="CU194" s="228">
        <v>-93</v>
      </c>
      <c r="CV194" s="229">
        <v>-4.4900000000000002E-2</v>
      </c>
      <c r="CW194" s="230">
        <v>12427</v>
      </c>
      <c r="CX194" s="230">
        <v>12797</v>
      </c>
      <c r="CY194" s="228">
        <v>-370</v>
      </c>
      <c r="CZ194" s="229">
        <v>-2.8899999999999999E-2</v>
      </c>
      <c r="DA194" s="228">
        <v>24.85</v>
      </c>
      <c r="DB194" s="228">
        <v>28.35</v>
      </c>
      <c r="DC194" s="228">
        <v>-3.5</v>
      </c>
      <c r="DD194" s="228">
        <v>-3.5</v>
      </c>
      <c r="DE194" s="228">
        <v>33.200000000000003</v>
      </c>
      <c r="DF194" s="228">
        <v>33.270000000000003</v>
      </c>
      <c r="DG194" s="228">
        <v>-8.35</v>
      </c>
      <c r="DH194" s="228">
        <v>-7.0000000000000007E-2</v>
      </c>
      <c r="DI194" s="228">
        <v>25.12</v>
      </c>
      <c r="DJ194" s="228">
        <v>29.54</v>
      </c>
      <c r="DK194" s="228">
        <v>-4.42</v>
      </c>
      <c r="DL194" s="228">
        <v>-4.42</v>
      </c>
      <c r="DM194" s="228">
        <v>24.11</v>
      </c>
      <c r="DN194" s="228">
        <v>24.59</v>
      </c>
      <c r="DO194" s="228">
        <v>-0.48</v>
      </c>
      <c r="DP194" s="228">
        <v>-0.48</v>
      </c>
      <c r="DQ194" s="228">
        <v>0.35</v>
      </c>
      <c r="DR194" s="228">
        <v>0.34</v>
      </c>
      <c r="DS194" s="228">
        <v>0.01</v>
      </c>
      <c r="DT194" s="229">
        <v>2.9399999999999999E-2</v>
      </c>
      <c r="DU194" s="228">
        <v>185</v>
      </c>
      <c r="DV194" s="228">
        <v>180</v>
      </c>
      <c r="DW194" s="228">
        <v>0.27</v>
      </c>
      <c r="DX194" s="228">
        <v>0.32</v>
      </c>
      <c r="DY194" s="228">
        <v>-0.05</v>
      </c>
      <c r="DZ194" s="229">
        <v>-0.15620000000000001</v>
      </c>
      <c r="EA194" s="229">
        <v>0.35</v>
      </c>
      <c r="EB194" s="230">
        <v>59713500</v>
      </c>
      <c r="EC194" s="229">
        <v>6.7000000000000002E-3</v>
      </c>
      <c r="ED194" s="229">
        <v>0.35</v>
      </c>
      <c r="EE194" s="228">
        <v>1.1399999999999999</v>
      </c>
      <c r="EF194" s="229">
        <v>6.6E-3</v>
      </c>
      <c r="EG194" s="230">
        <v>9722353</v>
      </c>
      <c r="EH194" s="230">
        <v>10534344</v>
      </c>
      <c r="EI194" s="229">
        <v>-7.7100000000000002E-2</v>
      </c>
      <c r="EJ194" s="229">
        <v>0.51270000000000004</v>
      </c>
      <c r="EK194" s="231">
        <v>5755.95</v>
      </c>
      <c r="EL194" s="231">
        <v>1485.53</v>
      </c>
      <c r="EM194" s="231">
        <v>1631.79</v>
      </c>
      <c r="EN194" s="228">
        <v>164.15</v>
      </c>
      <c r="EO194" s="231">
        <v>8873.27</v>
      </c>
      <c r="EP194" s="231">
        <v>9143.1</v>
      </c>
      <c r="EQ194" s="228">
        <v>-269.83</v>
      </c>
      <c r="ER194" s="229">
        <v>-2.9499999999999998E-2</v>
      </c>
      <c r="ES194" s="231">
        <v>6123.98</v>
      </c>
      <c r="ET194" s="231">
        <v>1994.47</v>
      </c>
      <c r="EU194" s="231">
        <v>4742.9799999999996</v>
      </c>
      <c r="EV194" s="231">
        <v>833987639</v>
      </c>
      <c r="EW194" s="231">
        <v>12861.43</v>
      </c>
      <c r="EX194" s="231">
        <v>13280.38</v>
      </c>
      <c r="EY194" s="228">
        <v>-418.95</v>
      </c>
      <c r="EZ194" s="229">
        <v>-3.15E-2</v>
      </c>
      <c r="FA194" s="229">
        <v>0.86370000000000002</v>
      </c>
      <c r="FB194" s="227" t="s">
        <v>567</v>
      </c>
      <c r="FC194">
        <f t="shared" si="3"/>
        <v>0</v>
      </c>
    </row>
    <row r="195" spans="1:159" ht="17.25" thickBot="1" x14ac:dyDescent="0.3">
      <c r="A195" s="226">
        <v>45981</v>
      </c>
      <c r="B195" s="227" t="s">
        <v>221</v>
      </c>
      <c r="C195" s="227" t="s">
        <v>664</v>
      </c>
      <c r="D195" s="228">
        <v>800</v>
      </c>
      <c r="E195" s="228">
        <v>5</v>
      </c>
      <c r="F195" s="228">
        <v>682</v>
      </c>
      <c r="G195" s="228">
        <v>684.45</v>
      </c>
      <c r="H195" s="228">
        <v>-2.4500000000000002</v>
      </c>
      <c r="I195" s="229">
        <v>-3.5999999999999999E-3</v>
      </c>
      <c r="J195" s="228">
        <v>679.8</v>
      </c>
      <c r="K195" s="228">
        <v>682.3</v>
      </c>
      <c r="L195" s="228">
        <v>-2.5</v>
      </c>
      <c r="M195" s="229">
        <v>-3.7000000000000002E-3</v>
      </c>
      <c r="N195" s="228">
        <v>682</v>
      </c>
      <c r="O195" s="228">
        <v>684.45</v>
      </c>
      <c r="P195" s="228">
        <v>-2.4500000000000002</v>
      </c>
      <c r="Q195" s="229">
        <v>-3.5999999999999999E-3</v>
      </c>
      <c r="R195" s="228">
        <v>682.9</v>
      </c>
      <c r="S195" s="228">
        <v>687.25</v>
      </c>
      <c r="T195" s="228">
        <v>-4.3499999999999996</v>
      </c>
      <c r="U195" s="229">
        <v>-6.3E-3</v>
      </c>
      <c r="V195" s="228">
        <v>686.75</v>
      </c>
      <c r="W195" s="228">
        <v>690.7</v>
      </c>
      <c r="X195" s="228">
        <v>-3.95</v>
      </c>
      <c r="Y195" s="229">
        <v>-5.7000000000000002E-3</v>
      </c>
      <c r="Z195" s="228">
        <v>2.2000000000000002</v>
      </c>
      <c r="AA195" s="228">
        <v>2.15</v>
      </c>
      <c r="AB195" s="228">
        <v>0.05</v>
      </c>
      <c r="AC195" s="229">
        <v>3.2000000000000002E-3</v>
      </c>
      <c r="AD195" s="228">
        <v>2.2000000000000002</v>
      </c>
      <c r="AE195" s="228">
        <v>2.15</v>
      </c>
      <c r="AF195" s="228">
        <v>0.05</v>
      </c>
      <c r="AG195" s="229">
        <v>3.2000000000000002E-3</v>
      </c>
      <c r="AH195" s="228">
        <v>3.1</v>
      </c>
      <c r="AI195" s="228">
        <v>4.95</v>
      </c>
      <c r="AJ195" s="228">
        <v>-1.85</v>
      </c>
      <c r="AK195" s="229">
        <v>4.5999999999999999E-3</v>
      </c>
      <c r="AL195" s="228">
        <v>6.95</v>
      </c>
      <c r="AM195" s="228">
        <v>8.4</v>
      </c>
      <c r="AN195" s="228">
        <v>-1.45</v>
      </c>
      <c r="AO195" s="229">
        <v>1.0200000000000001E-2</v>
      </c>
      <c r="AP195" s="228">
        <v>684.5</v>
      </c>
      <c r="AQ195" s="228">
        <v>686.01</v>
      </c>
      <c r="AR195" s="228">
        <v>0</v>
      </c>
      <c r="AS195" s="228">
        <v>623</v>
      </c>
      <c r="AT195" s="228">
        <v>189</v>
      </c>
      <c r="AU195" s="228">
        <v>434</v>
      </c>
      <c r="AV195" s="229">
        <v>2.2942999999999998</v>
      </c>
      <c r="AW195" s="228">
        <v>316</v>
      </c>
      <c r="AX195" s="228">
        <v>103</v>
      </c>
      <c r="AY195" s="228">
        <v>213</v>
      </c>
      <c r="AZ195" s="229">
        <v>2.0712000000000002</v>
      </c>
      <c r="BA195" s="228">
        <v>305</v>
      </c>
      <c r="BB195" s="228">
        <v>79</v>
      </c>
      <c r="BC195" s="228">
        <v>226</v>
      </c>
      <c r="BD195" s="229">
        <v>2.8452999999999999</v>
      </c>
      <c r="BE195" s="228">
        <v>2</v>
      </c>
      <c r="BF195" s="228">
        <v>7</v>
      </c>
      <c r="BG195" s="228">
        <v>-5</v>
      </c>
      <c r="BH195" s="229">
        <v>-0.65890000000000004</v>
      </c>
      <c r="BI195" s="228">
        <v>282</v>
      </c>
      <c r="BJ195" s="228">
        <v>407</v>
      </c>
      <c r="BK195" s="228">
        <v>-125</v>
      </c>
      <c r="BL195" s="229">
        <v>-0.30769999999999997</v>
      </c>
      <c r="BM195" s="228">
        <v>139</v>
      </c>
      <c r="BN195" s="228">
        <v>139</v>
      </c>
      <c r="BO195" s="228">
        <v>1</v>
      </c>
      <c r="BP195" s="229">
        <v>4.7000000000000002E-3</v>
      </c>
      <c r="BQ195" s="230">
        <v>1044</v>
      </c>
      <c r="BR195" s="228">
        <v>735</v>
      </c>
      <c r="BS195" s="228">
        <v>309</v>
      </c>
      <c r="BT195" s="229">
        <v>0.42070000000000002</v>
      </c>
      <c r="BU195" s="230">
        <v>468747</v>
      </c>
      <c r="BV195" s="230">
        <v>683899</v>
      </c>
      <c r="BW195" s="230">
        <v>-215152</v>
      </c>
      <c r="BX195" s="229">
        <v>-0.31459999999999999</v>
      </c>
      <c r="BY195" s="228">
        <v>826</v>
      </c>
      <c r="BZ195" s="228">
        <v>837</v>
      </c>
      <c r="CA195" s="228">
        <v>-11</v>
      </c>
      <c r="CB195" s="229">
        <v>-1.37E-2</v>
      </c>
      <c r="CC195" s="228">
        <v>455</v>
      </c>
      <c r="CD195" s="228">
        <v>644</v>
      </c>
      <c r="CE195" s="228">
        <v>-190</v>
      </c>
      <c r="CF195" s="229">
        <v>-0.29430000000000001</v>
      </c>
      <c r="CG195" s="228">
        <v>357</v>
      </c>
      <c r="CH195" s="228">
        <v>180</v>
      </c>
      <c r="CI195" s="228">
        <v>177</v>
      </c>
      <c r="CJ195" s="229">
        <v>0.98480000000000001</v>
      </c>
      <c r="CK195" s="228">
        <v>14</v>
      </c>
      <c r="CL195" s="228">
        <v>13</v>
      </c>
      <c r="CM195" s="228">
        <v>1</v>
      </c>
      <c r="CN195" s="229">
        <v>8.2600000000000007E-2</v>
      </c>
      <c r="CO195" s="228">
        <v>408</v>
      </c>
      <c r="CP195" s="228">
        <v>408</v>
      </c>
      <c r="CQ195" s="228">
        <v>0</v>
      </c>
      <c r="CR195" s="229">
        <v>6.9999999999999999E-4</v>
      </c>
      <c r="CS195" s="228">
        <v>234</v>
      </c>
      <c r="CT195" s="228">
        <v>223</v>
      </c>
      <c r="CU195" s="228">
        <v>11</v>
      </c>
      <c r="CV195" s="229">
        <v>4.7899999999999998E-2</v>
      </c>
      <c r="CW195" s="230">
        <v>1468</v>
      </c>
      <c r="CX195" s="230">
        <v>1469</v>
      </c>
      <c r="CY195" s="228">
        <v>0</v>
      </c>
      <c r="CZ195" s="229">
        <v>-2.9999999999999997E-4</v>
      </c>
      <c r="DA195" s="228">
        <v>22.57</v>
      </c>
      <c r="DB195" s="228">
        <v>26.64</v>
      </c>
      <c r="DC195" s="228">
        <v>-4.07</v>
      </c>
      <c r="DD195" s="228">
        <v>-4.07</v>
      </c>
      <c r="DE195" s="228">
        <v>30.56</v>
      </c>
      <c r="DF195" s="228">
        <v>30.63</v>
      </c>
      <c r="DG195" s="228">
        <v>-7.99</v>
      </c>
      <c r="DH195" s="228">
        <v>-7.0000000000000007E-2</v>
      </c>
      <c r="DI195" s="228">
        <v>23.3</v>
      </c>
      <c r="DJ195" s="228">
        <v>27.22</v>
      </c>
      <c r="DK195" s="228">
        <v>-3.92</v>
      </c>
      <c r="DL195" s="228">
        <v>-3.92</v>
      </c>
      <c r="DM195" s="228">
        <v>21.29</v>
      </c>
      <c r="DN195" s="228">
        <v>24.93</v>
      </c>
      <c r="DO195" s="228">
        <v>-3.64</v>
      </c>
      <c r="DP195" s="228">
        <v>-3.64</v>
      </c>
      <c r="DQ195" s="228">
        <v>0.56999999999999995</v>
      </c>
      <c r="DR195" s="228">
        <v>0.55000000000000004</v>
      </c>
      <c r="DS195" s="228">
        <v>0.02</v>
      </c>
      <c r="DT195" s="229">
        <v>3.6400000000000002E-2</v>
      </c>
      <c r="DU195" s="228">
        <v>700</v>
      </c>
      <c r="DV195" s="228">
        <v>700</v>
      </c>
      <c r="DW195" s="228">
        <v>0.49</v>
      </c>
      <c r="DX195" s="228">
        <v>0.34</v>
      </c>
      <c r="DY195" s="228">
        <v>0.15</v>
      </c>
      <c r="DZ195" s="229">
        <v>0.44119999999999998</v>
      </c>
      <c r="EA195" s="229">
        <v>0.44940000000000002</v>
      </c>
      <c r="EB195" s="230">
        <v>2830400</v>
      </c>
      <c r="EC195" s="229">
        <v>1.2999999999999999E-3</v>
      </c>
      <c r="ED195" s="229">
        <v>0.44940000000000002</v>
      </c>
      <c r="EE195" s="228">
        <v>1.51</v>
      </c>
      <c r="EF195" s="229">
        <v>2.2000000000000001E-3</v>
      </c>
      <c r="EG195" s="230">
        <v>228749</v>
      </c>
      <c r="EH195" s="230">
        <v>314415</v>
      </c>
      <c r="EI195" s="229">
        <v>-0.27250000000000002</v>
      </c>
      <c r="EJ195" s="229">
        <v>0.48799999999999999</v>
      </c>
      <c r="EK195" s="228">
        <v>294.5</v>
      </c>
      <c r="EL195" s="228">
        <v>140.72999999999999</v>
      </c>
      <c r="EM195" s="228">
        <v>625.94000000000005</v>
      </c>
      <c r="EN195" s="228">
        <v>24.13</v>
      </c>
      <c r="EO195" s="231">
        <v>1061.17</v>
      </c>
      <c r="EP195" s="228">
        <v>751.4</v>
      </c>
      <c r="EQ195" s="228">
        <v>309.77</v>
      </c>
      <c r="ER195" s="229">
        <v>0.4123</v>
      </c>
      <c r="ES195" s="228">
        <v>431.49</v>
      </c>
      <c r="ET195" s="228">
        <v>232.18</v>
      </c>
      <c r="EU195" s="228">
        <v>826.61</v>
      </c>
      <c r="EV195" s="231">
        <v>27246569</v>
      </c>
      <c r="EW195" s="231">
        <v>1490.27</v>
      </c>
      <c r="EX195" s="231">
        <v>1493.64</v>
      </c>
      <c r="EY195" s="228">
        <v>-3.37</v>
      </c>
      <c r="EZ195" s="229">
        <v>-2.3E-3</v>
      </c>
      <c r="FA195" s="229">
        <v>0.79010000000000002</v>
      </c>
      <c r="FB195" s="227" t="s">
        <v>568</v>
      </c>
      <c r="FC195">
        <f t="shared" ref="FC195:FC258" si="4">BY262-CC262</f>
        <v>0</v>
      </c>
    </row>
    <row r="196" spans="1:159" ht="17.25" thickBot="1" x14ac:dyDescent="0.3">
      <c r="A196" s="226">
        <v>45981</v>
      </c>
      <c r="B196" s="227" t="s">
        <v>221</v>
      </c>
      <c r="C196" s="227" t="s">
        <v>295</v>
      </c>
      <c r="D196" s="228">
        <v>175</v>
      </c>
      <c r="E196" s="228">
        <v>5</v>
      </c>
      <c r="F196" s="231">
        <v>3144</v>
      </c>
      <c r="G196" s="231">
        <v>3146.1</v>
      </c>
      <c r="H196" s="228">
        <v>-2.1</v>
      </c>
      <c r="I196" s="229">
        <v>-6.9999999999999999E-4</v>
      </c>
      <c r="J196" s="231">
        <v>3144.8</v>
      </c>
      <c r="K196" s="231">
        <v>3147.7</v>
      </c>
      <c r="L196" s="228">
        <v>-2.9</v>
      </c>
      <c r="M196" s="229">
        <v>-8.9999999999999998E-4</v>
      </c>
      <c r="N196" s="231">
        <v>3144</v>
      </c>
      <c r="O196" s="231">
        <v>3146.1</v>
      </c>
      <c r="P196" s="228">
        <v>-2.1</v>
      </c>
      <c r="Q196" s="229">
        <v>-6.9999999999999999E-4</v>
      </c>
      <c r="R196" s="231">
        <v>3164.8</v>
      </c>
      <c r="S196" s="231">
        <v>3166.8</v>
      </c>
      <c r="T196" s="228">
        <v>-2</v>
      </c>
      <c r="U196" s="229">
        <v>-5.9999999999999995E-4</v>
      </c>
      <c r="V196" s="231">
        <v>3175.8</v>
      </c>
      <c r="W196" s="231">
        <v>3176.8</v>
      </c>
      <c r="X196" s="228">
        <v>-1</v>
      </c>
      <c r="Y196" s="229">
        <v>-2.9999999999999997E-4</v>
      </c>
      <c r="Z196" s="228">
        <v>-0.8</v>
      </c>
      <c r="AA196" s="228">
        <v>-1.6</v>
      </c>
      <c r="AB196" s="228">
        <v>0.8</v>
      </c>
      <c r="AC196" s="229">
        <v>-2.9999999999999997E-4</v>
      </c>
      <c r="AD196" s="228">
        <v>-0.8</v>
      </c>
      <c r="AE196" s="228">
        <v>-1.6</v>
      </c>
      <c r="AF196" s="228">
        <v>0.8</v>
      </c>
      <c r="AG196" s="229">
        <v>-2.9999999999999997E-4</v>
      </c>
      <c r="AH196" s="228">
        <v>20</v>
      </c>
      <c r="AI196" s="228">
        <v>19.100000000000001</v>
      </c>
      <c r="AJ196" s="228">
        <v>0.9</v>
      </c>
      <c r="AK196" s="229">
        <v>6.4000000000000003E-3</v>
      </c>
      <c r="AL196" s="228">
        <v>31</v>
      </c>
      <c r="AM196" s="228">
        <v>29.1</v>
      </c>
      <c r="AN196" s="228">
        <v>1.9</v>
      </c>
      <c r="AO196" s="229">
        <v>9.9000000000000008E-3</v>
      </c>
      <c r="AP196" s="231">
        <v>3150.6</v>
      </c>
      <c r="AQ196" s="231">
        <v>3171.1</v>
      </c>
      <c r="AR196" s="228">
        <v>0</v>
      </c>
      <c r="AS196" s="230">
        <v>5191</v>
      </c>
      <c r="AT196" s="230">
        <v>1885</v>
      </c>
      <c r="AU196" s="230">
        <v>3305</v>
      </c>
      <c r="AV196" s="229">
        <v>1.7528999999999999</v>
      </c>
      <c r="AW196" s="230">
        <v>2649</v>
      </c>
      <c r="AX196" s="230">
        <v>1344</v>
      </c>
      <c r="AY196" s="230">
        <v>1305</v>
      </c>
      <c r="AZ196" s="229">
        <v>0.97109999999999996</v>
      </c>
      <c r="BA196" s="230">
        <v>2501</v>
      </c>
      <c r="BB196" s="228">
        <v>479</v>
      </c>
      <c r="BC196" s="230">
        <v>2022</v>
      </c>
      <c r="BD196" s="229">
        <v>4.2211999999999996</v>
      </c>
      <c r="BE196" s="228">
        <v>40</v>
      </c>
      <c r="BF196" s="228">
        <v>62</v>
      </c>
      <c r="BG196" s="228">
        <v>-22</v>
      </c>
      <c r="BH196" s="229">
        <v>-0.35920000000000002</v>
      </c>
      <c r="BI196" s="230">
        <v>7088</v>
      </c>
      <c r="BJ196" s="230">
        <v>13913</v>
      </c>
      <c r="BK196" s="230">
        <v>-6824</v>
      </c>
      <c r="BL196" s="229">
        <v>-0.49049999999999999</v>
      </c>
      <c r="BM196" s="230">
        <v>4224</v>
      </c>
      <c r="BN196" s="230">
        <v>5577</v>
      </c>
      <c r="BO196" s="230">
        <v>-1353</v>
      </c>
      <c r="BP196" s="229">
        <v>-0.2427</v>
      </c>
      <c r="BQ196" s="230">
        <v>16503</v>
      </c>
      <c r="BR196" s="230">
        <v>21375</v>
      </c>
      <c r="BS196" s="230">
        <v>-4873</v>
      </c>
      <c r="BT196" s="229">
        <v>-0.22800000000000001</v>
      </c>
      <c r="BU196" s="230">
        <v>3062658</v>
      </c>
      <c r="BV196" s="230">
        <v>3273149</v>
      </c>
      <c r="BW196" s="230">
        <v>-210491</v>
      </c>
      <c r="BX196" s="229">
        <v>-6.4299999999999996E-2</v>
      </c>
      <c r="BY196" s="230">
        <v>8613</v>
      </c>
      <c r="BZ196" s="230">
        <v>8448</v>
      </c>
      <c r="CA196" s="228">
        <v>165</v>
      </c>
      <c r="CB196" s="229">
        <v>1.9599999999999999E-2</v>
      </c>
      <c r="CC196" s="230">
        <v>4965</v>
      </c>
      <c r="CD196" s="230">
        <v>6881</v>
      </c>
      <c r="CE196" s="230">
        <v>-1916</v>
      </c>
      <c r="CF196" s="229">
        <v>-0.27839999999999998</v>
      </c>
      <c r="CG196" s="230">
        <v>3492</v>
      </c>
      <c r="CH196" s="230">
        <v>1428</v>
      </c>
      <c r="CI196" s="230">
        <v>2064</v>
      </c>
      <c r="CJ196" s="229">
        <v>1.4459</v>
      </c>
      <c r="CK196" s="228">
        <v>156</v>
      </c>
      <c r="CL196" s="228">
        <v>140</v>
      </c>
      <c r="CM196" s="228">
        <v>17</v>
      </c>
      <c r="CN196" s="229">
        <v>0.1201</v>
      </c>
      <c r="CO196" s="230">
        <v>3719</v>
      </c>
      <c r="CP196" s="230">
        <v>4012</v>
      </c>
      <c r="CQ196" s="228">
        <v>-292</v>
      </c>
      <c r="CR196" s="229">
        <v>-7.2900000000000006E-2</v>
      </c>
      <c r="CS196" s="230">
        <v>2602</v>
      </c>
      <c r="CT196" s="230">
        <v>2763</v>
      </c>
      <c r="CU196" s="228">
        <v>-160</v>
      </c>
      <c r="CV196" s="229">
        <v>-5.8099999999999999E-2</v>
      </c>
      <c r="CW196" s="230">
        <v>14935</v>
      </c>
      <c r="CX196" s="230">
        <v>15222</v>
      </c>
      <c r="CY196" s="228">
        <v>-288</v>
      </c>
      <c r="CZ196" s="229">
        <v>-1.89E-2</v>
      </c>
      <c r="DA196" s="228">
        <v>18.600000000000001</v>
      </c>
      <c r="DB196" s="228">
        <v>20.27</v>
      </c>
      <c r="DC196" s="228">
        <v>-1.67</v>
      </c>
      <c r="DD196" s="228">
        <v>-1.67</v>
      </c>
      <c r="DE196" s="228">
        <v>24.19</v>
      </c>
      <c r="DF196" s="228">
        <v>24.25</v>
      </c>
      <c r="DG196" s="228">
        <v>-5.59</v>
      </c>
      <c r="DH196" s="228">
        <v>-0.06</v>
      </c>
      <c r="DI196" s="228">
        <v>18.66</v>
      </c>
      <c r="DJ196" s="228">
        <v>20</v>
      </c>
      <c r="DK196" s="228">
        <v>-1.34</v>
      </c>
      <c r="DL196" s="228">
        <v>-1.34</v>
      </c>
      <c r="DM196" s="228">
        <v>18.48</v>
      </c>
      <c r="DN196" s="228">
        <v>20.96</v>
      </c>
      <c r="DO196" s="228">
        <v>-2.48</v>
      </c>
      <c r="DP196" s="228">
        <v>-2.48</v>
      </c>
      <c r="DQ196" s="228">
        <v>0.7</v>
      </c>
      <c r="DR196" s="228">
        <v>0.69</v>
      </c>
      <c r="DS196" s="228">
        <v>0.01</v>
      </c>
      <c r="DT196" s="229">
        <v>1.4500000000000001E-2</v>
      </c>
      <c r="DU196" s="231">
        <v>3200</v>
      </c>
      <c r="DV196" s="231">
        <v>3000</v>
      </c>
      <c r="DW196" s="228">
        <v>0.6</v>
      </c>
      <c r="DX196" s="228">
        <v>0.4</v>
      </c>
      <c r="DY196" s="228">
        <v>0.2</v>
      </c>
      <c r="DZ196" s="229">
        <v>0.5</v>
      </c>
      <c r="EA196" s="229">
        <v>0.42359999999999998</v>
      </c>
      <c r="EB196" s="230">
        <v>4985400</v>
      </c>
      <c r="EC196" s="229">
        <v>6.6E-3</v>
      </c>
      <c r="ED196" s="229">
        <v>0.42359999999999998</v>
      </c>
      <c r="EE196" s="228">
        <v>20.5</v>
      </c>
      <c r="EF196" s="229">
        <v>6.4999999999999997E-3</v>
      </c>
      <c r="EG196" s="230">
        <v>1529570</v>
      </c>
      <c r="EH196" s="230">
        <v>1853017</v>
      </c>
      <c r="EI196" s="229">
        <v>-0.17460000000000001</v>
      </c>
      <c r="EJ196" s="229">
        <v>0.49940000000000001</v>
      </c>
      <c r="EK196" s="231">
        <v>7274.81</v>
      </c>
      <c r="EL196" s="231">
        <v>4170.3999999999996</v>
      </c>
      <c r="EM196" s="231">
        <v>5218.13</v>
      </c>
      <c r="EN196" s="228">
        <v>207.23</v>
      </c>
      <c r="EO196" s="231">
        <v>16663.34</v>
      </c>
      <c r="EP196" s="231">
        <v>21586.91</v>
      </c>
      <c r="EQ196" s="231">
        <v>-4923.57</v>
      </c>
      <c r="ER196" s="229">
        <v>-0.2281</v>
      </c>
      <c r="ES196" s="231">
        <v>3803.66</v>
      </c>
      <c r="ET196" s="231">
        <v>2530.61</v>
      </c>
      <c r="EU196" s="231">
        <v>8638.01</v>
      </c>
      <c r="EV196" s="231">
        <v>123298271</v>
      </c>
      <c r="EW196" s="231">
        <v>14972.28</v>
      </c>
      <c r="EX196" s="231">
        <v>15246.16</v>
      </c>
      <c r="EY196" s="228">
        <v>-273.88</v>
      </c>
      <c r="EZ196" s="229">
        <v>-1.7999999999999999E-2</v>
      </c>
      <c r="FA196" s="229">
        <v>0.38529999999999998</v>
      </c>
      <c r="FB196" s="227" t="s">
        <v>567</v>
      </c>
      <c r="FC196">
        <f t="shared" si="4"/>
        <v>0</v>
      </c>
    </row>
    <row r="197" spans="1:159" ht="17.25" thickBot="1" x14ac:dyDescent="0.3">
      <c r="A197" s="226">
        <v>45981</v>
      </c>
      <c r="B197" s="227" t="s">
        <v>221</v>
      </c>
      <c r="C197" s="227" t="s">
        <v>296</v>
      </c>
      <c r="D197" s="228">
        <v>600</v>
      </c>
      <c r="E197" s="228">
        <v>5</v>
      </c>
      <c r="F197" s="231">
        <v>1458.5</v>
      </c>
      <c r="G197" s="231">
        <v>1438.6</v>
      </c>
      <c r="H197" s="228">
        <v>19.899999999999999</v>
      </c>
      <c r="I197" s="229">
        <v>1.38E-2</v>
      </c>
      <c r="J197" s="231">
        <v>1456</v>
      </c>
      <c r="K197" s="231">
        <v>1433.9</v>
      </c>
      <c r="L197" s="228">
        <v>22.1</v>
      </c>
      <c r="M197" s="229">
        <v>1.54E-2</v>
      </c>
      <c r="N197" s="231">
        <v>1458.5</v>
      </c>
      <c r="O197" s="231">
        <v>1438.6</v>
      </c>
      <c r="P197" s="228">
        <v>19.899999999999999</v>
      </c>
      <c r="Q197" s="229">
        <v>1.38E-2</v>
      </c>
      <c r="R197" s="231">
        <v>1468.1</v>
      </c>
      <c r="S197" s="231">
        <v>1446.9</v>
      </c>
      <c r="T197" s="228">
        <v>21.2</v>
      </c>
      <c r="U197" s="229">
        <v>1.47E-2</v>
      </c>
      <c r="V197" s="231">
        <v>1480.8</v>
      </c>
      <c r="W197" s="231">
        <v>1455.3</v>
      </c>
      <c r="X197" s="228">
        <v>25.5</v>
      </c>
      <c r="Y197" s="229">
        <v>1.7500000000000002E-2</v>
      </c>
      <c r="Z197" s="228">
        <v>2.5</v>
      </c>
      <c r="AA197" s="228">
        <v>4.7</v>
      </c>
      <c r="AB197" s="228">
        <v>-2.2000000000000002</v>
      </c>
      <c r="AC197" s="229">
        <v>1.6999999999999999E-3</v>
      </c>
      <c r="AD197" s="228">
        <v>2.5</v>
      </c>
      <c r="AE197" s="228">
        <v>4.7</v>
      </c>
      <c r="AF197" s="228">
        <v>-2.2000000000000002</v>
      </c>
      <c r="AG197" s="229">
        <v>1.6999999999999999E-3</v>
      </c>
      <c r="AH197" s="228">
        <v>12.1</v>
      </c>
      <c r="AI197" s="228">
        <v>13</v>
      </c>
      <c r="AJ197" s="228">
        <v>-0.9</v>
      </c>
      <c r="AK197" s="229">
        <v>8.3000000000000001E-3</v>
      </c>
      <c r="AL197" s="228">
        <v>24.8</v>
      </c>
      <c r="AM197" s="228">
        <v>21.4</v>
      </c>
      <c r="AN197" s="228">
        <v>3.4</v>
      </c>
      <c r="AO197" s="229">
        <v>1.7000000000000001E-2</v>
      </c>
      <c r="AP197" s="231">
        <v>1454.55</v>
      </c>
      <c r="AQ197" s="231">
        <v>1464.47</v>
      </c>
      <c r="AR197" s="228">
        <v>0</v>
      </c>
      <c r="AS197" s="230">
        <v>2432</v>
      </c>
      <c r="AT197" s="230">
        <v>1186</v>
      </c>
      <c r="AU197" s="230">
        <v>1246</v>
      </c>
      <c r="AV197" s="229">
        <v>1.0499000000000001</v>
      </c>
      <c r="AW197" s="230">
        <v>1289</v>
      </c>
      <c r="AX197" s="228">
        <v>765</v>
      </c>
      <c r="AY197" s="228">
        <v>524</v>
      </c>
      <c r="AZ197" s="229">
        <v>0.68440000000000001</v>
      </c>
      <c r="BA197" s="230">
        <v>1133</v>
      </c>
      <c r="BB197" s="228">
        <v>413</v>
      </c>
      <c r="BC197" s="228">
        <v>720</v>
      </c>
      <c r="BD197" s="229">
        <v>1.7439</v>
      </c>
      <c r="BE197" s="228">
        <v>10</v>
      </c>
      <c r="BF197" s="228">
        <v>8</v>
      </c>
      <c r="BG197" s="228">
        <v>2</v>
      </c>
      <c r="BH197" s="229">
        <v>0.2258</v>
      </c>
      <c r="BI197" s="230">
        <v>5453</v>
      </c>
      <c r="BJ197" s="230">
        <v>3235</v>
      </c>
      <c r="BK197" s="230">
        <v>2218</v>
      </c>
      <c r="BL197" s="229">
        <v>0.68569999999999998</v>
      </c>
      <c r="BM197" s="230">
        <v>1626</v>
      </c>
      <c r="BN197" s="230">
        <v>1221</v>
      </c>
      <c r="BO197" s="228">
        <v>405</v>
      </c>
      <c r="BP197" s="229">
        <v>0.33169999999999999</v>
      </c>
      <c r="BQ197" s="230">
        <v>9511</v>
      </c>
      <c r="BR197" s="230">
        <v>5643</v>
      </c>
      <c r="BS197" s="230">
        <v>3869</v>
      </c>
      <c r="BT197" s="229">
        <v>0.68559999999999999</v>
      </c>
      <c r="BU197" s="230">
        <v>4971558</v>
      </c>
      <c r="BV197" s="230">
        <v>6063505</v>
      </c>
      <c r="BW197" s="230">
        <v>-1091947</v>
      </c>
      <c r="BX197" s="229">
        <v>-0.18010000000000001</v>
      </c>
      <c r="BY197" s="230">
        <v>3528</v>
      </c>
      <c r="BZ197" s="230">
        <v>3400</v>
      </c>
      <c r="CA197" s="228">
        <v>128</v>
      </c>
      <c r="CB197" s="229">
        <v>3.78E-2</v>
      </c>
      <c r="CC197" s="230">
        <v>2192</v>
      </c>
      <c r="CD197" s="230">
        <v>2900</v>
      </c>
      <c r="CE197" s="228">
        <v>-708</v>
      </c>
      <c r="CF197" s="229">
        <v>-0.2442</v>
      </c>
      <c r="CG197" s="230">
        <v>1317</v>
      </c>
      <c r="CH197" s="228">
        <v>482</v>
      </c>
      <c r="CI197" s="228">
        <v>835</v>
      </c>
      <c r="CJ197" s="229">
        <v>1.7337</v>
      </c>
      <c r="CK197" s="228">
        <v>19</v>
      </c>
      <c r="CL197" s="228">
        <v>18</v>
      </c>
      <c r="CM197" s="228">
        <v>1</v>
      </c>
      <c r="CN197" s="229">
        <v>5.8500000000000003E-2</v>
      </c>
      <c r="CO197" s="230">
        <v>1163</v>
      </c>
      <c r="CP197" s="230">
        <v>1110</v>
      </c>
      <c r="CQ197" s="228">
        <v>53</v>
      </c>
      <c r="CR197" s="229">
        <v>4.7800000000000002E-2</v>
      </c>
      <c r="CS197" s="228">
        <v>734</v>
      </c>
      <c r="CT197" s="228">
        <v>746</v>
      </c>
      <c r="CU197" s="228">
        <v>-12</v>
      </c>
      <c r="CV197" s="229">
        <v>-1.6400000000000001E-2</v>
      </c>
      <c r="CW197" s="230">
        <v>5425</v>
      </c>
      <c r="CX197" s="230">
        <v>5256</v>
      </c>
      <c r="CY197" s="228">
        <v>169</v>
      </c>
      <c r="CZ197" s="229">
        <v>3.2199999999999999E-2</v>
      </c>
      <c r="DA197" s="228">
        <v>22.31</v>
      </c>
      <c r="DB197" s="228">
        <v>24.92</v>
      </c>
      <c r="DC197" s="228">
        <v>-2.61</v>
      </c>
      <c r="DD197" s="228">
        <v>-2.61</v>
      </c>
      <c r="DE197" s="228">
        <v>29.3</v>
      </c>
      <c r="DF197" s="228">
        <v>29.3</v>
      </c>
      <c r="DG197" s="228">
        <v>-6.99</v>
      </c>
      <c r="DH197" s="228">
        <v>0</v>
      </c>
      <c r="DI197" s="228">
        <v>22.29</v>
      </c>
      <c r="DJ197" s="228">
        <v>25.12</v>
      </c>
      <c r="DK197" s="228">
        <v>-2.83</v>
      </c>
      <c r="DL197" s="228">
        <v>-2.83</v>
      </c>
      <c r="DM197" s="228">
        <v>22.37</v>
      </c>
      <c r="DN197" s="228">
        <v>24.39</v>
      </c>
      <c r="DO197" s="228">
        <v>-2.02</v>
      </c>
      <c r="DP197" s="228">
        <v>-2.02</v>
      </c>
      <c r="DQ197" s="228">
        <v>0.63</v>
      </c>
      <c r="DR197" s="228">
        <v>0.67</v>
      </c>
      <c r="DS197" s="228">
        <v>-0.04</v>
      </c>
      <c r="DT197" s="229">
        <v>-5.9700000000000003E-2</v>
      </c>
      <c r="DU197" s="231">
        <v>1480</v>
      </c>
      <c r="DV197" s="231">
        <v>1440</v>
      </c>
      <c r="DW197" s="228">
        <v>0.3</v>
      </c>
      <c r="DX197" s="228">
        <v>0.38</v>
      </c>
      <c r="DY197" s="228">
        <v>-0.08</v>
      </c>
      <c r="DZ197" s="229">
        <v>-0.21049999999999999</v>
      </c>
      <c r="EA197" s="229">
        <v>0.37869999999999998</v>
      </c>
      <c r="EB197" s="230">
        <v>3426600</v>
      </c>
      <c r="EC197" s="229">
        <v>6.6E-3</v>
      </c>
      <c r="ED197" s="229">
        <v>0.37869999999999998</v>
      </c>
      <c r="EE197" s="228">
        <v>9.92</v>
      </c>
      <c r="EF197" s="229">
        <v>6.7999999999999996E-3</v>
      </c>
      <c r="EG197" s="230">
        <v>3243545</v>
      </c>
      <c r="EH197" s="230">
        <v>4583540</v>
      </c>
      <c r="EI197" s="229">
        <v>-0.2923</v>
      </c>
      <c r="EJ197" s="229">
        <v>0.65239999999999998</v>
      </c>
      <c r="EK197" s="231">
        <v>5577.74</v>
      </c>
      <c r="EL197" s="231">
        <v>1600.9</v>
      </c>
      <c r="EM197" s="231">
        <v>2433.0700000000002</v>
      </c>
      <c r="EN197" s="228">
        <v>56.84</v>
      </c>
      <c r="EO197" s="231">
        <v>9611.7000000000007</v>
      </c>
      <c r="EP197" s="231">
        <v>5648.88</v>
      </c>
      <c r="EQ197" s="231">
        <v>3962.83</v>
      </c>
      <c r="ER197" s="229">
        <v>0.70150000000000001</v>
      </c>
      <c r="ES197" s="231">
        <v>1205.56</v>
      </c>
      <c r="ET197" s="228">
        <v>711.94</v>
      </c>
      <c r="EU197" s="231">
        <v>3536.93</v>
      </c>
      <c r="EV197" s="231">
        <v>76137451</v>
      </c>
      <c r="EW197" s="231">
        <v>5454.42</v>
      </c>
      <c r="EX197" s="231">
        <v>5226.37</v>
      </c>
      <c r="EY197" s="228">
        <v>228.05</v>
      </c>
      <c r="EZ197" s="229">
        <v>4.36E-2</v>
      </c>
      <c r="FA197" s="229">
        <v>0.48859999999999998</v>
      </c>
      <c r="FB197" s="227" t="s">
        <v>555</v>
      </c>
      <c r="FC197">
        <f t="shared" si="4"/>
        <v>0</v>
      </c>
    </row>
    <row r="198" spans="1:159" ht="17.25" thickBot="1" x14ac:dyDescent="0.3">
      <c r="A198" s="226">
        <v>45981</v>
      </c>
      <c r="B198" s="227" t="s">
        <v>184</v>
      </c>
      <c r="C198" s="227" t="s">
        <v>595</v>
      </c>
      <c r="D198" s="228">
        <v>200</v>
      </c>
      <c r="E198" s="228">
        <v>5</v>
      </c>
      <c r="F198" s="231">
        <v>3004.5</v>
      </c>
      <c r="G198" s="231">
        <v>3040.1</v>
      </c>
      <c r="H198" s="228">
        <v>-35.6</v>
      </c>
      <c r="I198" s="229">
        <v>-1.17E-2</v>
      </c>
      <c r="J198" s="231">
        <v>3005</v>
      </c>
      <c r="K198" s="231">
        <v>3033.3</v>
      </c>
      <c r="L198" s="228">
        <v>-28.3</v>
      </c>
      <c r="M198" s="229">
        <v>-9.2999999999999992E-3</v>
      </c>
      <c r="N198" s="231">
        <v>3004.5</v>
      </c>
      <c r="O198" s="231">
        <v>3040.1</v>
      </c>
      <c r="P198" s="228">
        <v>-35.6</v>
      </c>
      <c r="Q198" s="229">
        <v>-1.17E-2</v>
      </c>
      <c r="R198" s="231">
        <v>3024.4</v>
      </c>
      <c r="S198" s="231">
        <v>3059.9</v>
      </c>
      <c r="T198" s="228">
        <v>-35.5</v>
      </c>
      <c r="U198" s="229">
        <v>-1.1599999999999999E-2</v>
      </c>
      <c r="V198" s="231">
        <v>3040</v>
      </c>
      <c r="W198" s="231">
        <v>3077</v>
      </c>
      <c r="X198" s="228">
        <v>-37</v>
      </c>
      <c r="Y198" s="229">
        <v>-1.2E-2</v>
      </c>
      <c r="Z198" s="228">
        <v>-0.5</v>
      </c>
      <c r="AA198" s="228">
        <v>6.8</v>
      </c>
      <c r="AB198" s="228">
        <v>-7.3</v>
      </c>
      <c r="AC198" s="229">
        <v>-2.0000000000000001E-4</v>
      </c>
      <c r="AD198" s="228">
        <v>-0.5</v>
      </c>
      <c r="AE198" s="228">
        <v>6.8</v>
      </c>
      <c r="AF198" s="228">
        <v>-7.3</v>
      </c>
      <c r="AG198" s="229">
        <v>-2.0000000000000001E-4</v>
      </c>
      <c r="AH198" s="228">
        <v>19.399999999999999</v>
      </c>
      <c r="AI198" s="228">
        <v>26.6</v>
      </c>
      <c r="AJ198" s="228">
        <v>-7.2</v>
      </c>
      <c r="AK198" s="229">
        <v>6.4999999999999997E-3</v>
      </c>
      <c r="AL198" s="228">
        <v>35</v>
      </c>
      <c r="AM198" s="228">
        <v>43.7</v>
      </c>
      <c r="AN198" s="228">
        <v>-8.6999999999999993</v>
      </c>
      <c r="AO198" s="229">
        <v>1.1599999999999999E-2</v>
      </c>
      <c r="AP198" s="231">
        <v>3028.27</v>
      </c>
      <c r="AQ198" s="231">
        <v>3048.98</v>
      </c>
      <c r="AR198" s="228">
        <v>0</v>
      </c>
      <c r="AS198" s="228">
        <v>311</v>
      </c>
      <c r="AT198" s="228">
        <v>76</v>
      </c>
      <c r="AU198" s="228">
        <v>234</v>
      </c>
      <c r="AV198" s="229">
        <v>3.0636000000000001</v>
      </c>
      <c r="AW198" s="228">
        <v>159</v>
      </c>
      <c r="AX198" s="228">
        <v>51</v>
      </c>
      <c r="AY198" s="228">
        <v>108</v>
      </c>
      <c r="AZ198" s="229">
        <v>2.1105999999999998</v>
      </c>
      <c r="BA198" s="228">
        <v>151</v>
      </c>
      <c r="BB198" s="228">
        <v>25</v>
      </c>
      <c r="BC198" s="228">
        <v>126</v>
      </c>
      <c r="BD198" s="229">
        <v>5.0359999999999996</v>
      </c>
      <c r="BE198" s="228">
        <v>1</v>
      </c>
      <c r="BF198" s="228">
        <v>0</v>
      </c>
      <c r="BG198" s="228">
        <v>0</v>
      </c>
      <c r="BH198" s="229">
        <v>1</v>
      </c>
      <c r="BI198" s="228">
        <v>198</v>
      </c>
      <c r="BJ198" s="228">
        <v>183</v>
      </c>
      <c r="BK198" s="228">
        <v>16</v>
      </c>
      <c r="BL198" s="229">
        <v>8.5900000000000004E-2</v>
      </c>
      <c r="BM198" s="228">
        <v>50</v>
      </c>
      <c r="BN198" s="228">
        <v>65</v>
      </c>
      <c r="BO198" s="228">
        <v>-15</v>
      </c>
      <c r="BP198" s="229">
        <v>-0.23180000000000001</v>
      </c>
      <c r="BQ198" s="228">
        <v>559</v>
      </c>
      <c r="BR198" s="228">
        <v>324</v>
      </c>
      <c r="BS198" s="228">
        <v>235</v>
      </c>
      <c r="BT198" s="229">
        <v>0.72460000000000002</v>
      </c>
      <c r="BU198" s="230">
        <v>126020</v>
      </c>
      <c r="BV198" s="230">
        <v>366497</v>
      </c>
      <c r="BW198" s="230">
        <v>-240477</v>
      </c>
      <c r="BX198" s="229">
        <v>-0.65610000000000002</v>
      </c>
      <c r="BY198" s="228">
        <v>595</v>
      </c>
      <c r="BZ198" s="228">
        <v>595</v>
      </c>
      <c r="CA198" s="228">
        <v>0</v>
      </c>
      <c r="CB198" s="229">
        <v>-1E-4</v>
      </c>
      <c r="CC198" s="228">
        <v>434</v>
      </c>
      <c r="CD198" s="228">
        <v>566</v>
      </c>
      <c r="CE198" s="228">
        <v>-132</v>
      </c>
      <c r="CF198" s="229">
        <v>-0.2331</v>
      </c>
      <c r="CG198" s="228">
        <v>159</v>
      </c>
      <c r="CH198" s="228">
        <v>28</v>
      </c>
      <c r="CI198" s="228">
        <v>131</v>
      </c>
      <c r="CJ198" s="229">
        <v>4.7256999999999998</v>
      </c>
      <c r="CK198" s="228">
        <v>2</v>
      </c>
      <c r="CL198" s="228">
        <v>2</v>
      </c>
      <c r="CM198" s="228">
        <v>0</v>
      </c>
      <c r="CN198" s="229">
        <v>0.25929999999999997</v>
      </c>
      <c r="CO198" s="228">
        <v>232</v>
      </c>
      <c r="CP198" s="228">
        <v>232</v>
      </c>
      <c r="CQ198" s="228">
        <v>1</v>
      </c>
      <c r="CR198" s="229">
        <v>2.3E-3</v>
      </c>
      <c r="CS198" s="228">
        <v>162</v>
      </c>
      <c r="CT198" s="228">
        <v>158</v>
      </c>
      <c r="CU198" s="228">
        <v>4</v>
      </c>
      <c r="CV198" s="229">
        <v>2.3099999999999999E-2</v>
      </c>
      <c r="CW198" s="228">
        <v>990</v>
      </c>
      <c r="CX198" s="228">
        <v>986</v>
      </c>
      <c r="CY198" s="228">
        <v>4</v>
      </c>
      <c r="CZ198" s="229">
        <v>4.1999999999999997E-3</v>
      </c>
      <c r="DA198" s="228">
        <v>28.68</v>
      </c>
      <c r="DB198" s="228">
        <v>30.11</v>
      </c>
      <c r="DC198" s="228">
        <v>-1.43</v>
      </c>
      <c r="DD198" s="228">
        <v>-1.43</v>
      </c>
      <c r="DE198" s="228">
        <v>41.26</v>
      </c>
      <c r="DF198" s="228">
        <v>41.33</v>
      </c>
      <c r="DG198" s="228">
        <v>-12.58</v>
      </c>
      <c r="DH198" s="228">
        <v>-7.0000000000000007E-2</v>
      </c>
      <c r="DI198" s="228">
        <v>29.65</v>
      </c>
      <c r="DJ198" s="228">
        <v>29.69</v>
      </c>
      <c r="DK198" s="228">
        <v>-0.04</v>
      </c>
      <c r="DL198" s="228">
        <v>-0.04</v>
      </c>
      <c r="DM198" s="228">
        <v>27.18</v>
      </c>
      <c r="DN198" s="228">
        <v>31.29</v>
      </c>
      <c r="DO198" s="228">
        <v>-4.1100000000000003</v>
      </c>
      <c r="DP198" s="228">
        <v>-4.1100000000000003</v>
      </c>
      <c r="DQ198" s="228">
        <v>0.7</v>
      </c>
      <c r="DR198" s="228">
        <v>0.68</v>
      </c>
      <c r="DS198" s="228">
        <v>0.02</v>
      </c>
      <c r="DT198" s="229">
        <v>2.9399999999999999E-2</v>
      </c>
      <c r="DU198" s="231">
        <v>3200</v>
      </c>
      <c r="DV198" s="231">
        <v>3000</v>
      </c>
      <c r="DW198" s="228">
        <v>0.25</v>
      </c>
      <c r="DX198" s="228">
        <v>0.36</v>
      </c>
      <c r="DY198" s="228">
        <v>-0.11</v>
      </c>
      <c r="DZ198" s="229">
        <v>-0.30559999999999998</v>
      </c>
      <c r="EA198" s="229">
        <v>0.27100000000000002</v>
      </c>
      <c r="EB198" s="230">
        <v>98000</v>
      </c>
      <c r="EC198" s="229">
        <v>6.6E-3</v>
      </c>
      <c r="ED198" s="229">
        <v>0.27100000000000002</v>
      </c>
      <c r="EE198" s="228">
        <v>20.71</v>
      </c>
      <c r="EF198" s="229">
        <v>6.7999999999999996E-3</v>
      </c>
      <c r="EG198" s="230">
        <v>79531</v>
      </c>
      <c r="EH198" s="230">
        <v>286311</v>
      </c>
      <c r="EI198" s="229">
        <v>-0.72219999999999995</v>
      </c>
      <c r="EJ198" s="229">
        <v>0.63109999999999999</v>
      </c>
      <c r="EK198" s="228">
        <v>208.39</v>
      </c>
      <c r="EL198" s="228">
        <v>50.94</v>
      </c>
      <c r="EM198" s="228">
        <v>314.36</v>
      </c>
      <c r="EN198" s="228">
        <v>11.26</v>
      </c>
      <c r="EO198" s="228">
        <v>573.69000000000005</v>
      </c>
      <c r="EP198" s="228">
        <v>335.65</v>
      </c>
      <c r="EQ198" s="228">
        <v>238.04</v>
      </c>
      <c r="ER198" s="229">
        <v>0.70920000000000005</v>
      </c>
      <c r="ES198" s="228">
        <v>246.85</v>
      </c>
      <c r="ET198" s="228">
        <v>160.13999999999999</v>
      </c>
      <c r="EU198" s="228">
        <v>596.51</v>
      </c>
      <c r="EV198" s="231">
        <v>14039249</v>
      </c>
      <c r="EW198" s="231">
        <v>1003.5</v>
      </c>
      <c r="EX198" s="231">
        <v>1006.61</v>
      </c>
      <c r="EY198" s="228">
        <v>-3.11</v>
      </c>
      <c r="EZ198" s="229">
        <v>-3.0999999999999999E-3</v>
      </c>
      <c r="FA198" s="229">
        <v>0.23469999999999999</v>
      </c>
      <c r="FB198" s="227" t="s">
        <v>568</v>
      </c>
      <c r="FC198">
        <f t="shared" si="4"/>
        <v>0</v>
      </c>
    </row>
    <row r="199" spans="1:159" ht="17.25" thickBot="1" x14ac:dyDescent="0.3">
      <c r="A199" s="226">
        <v>45981</v>
      </c>
      <c r="B199" s="227" t="s">
        <v>184</v>
      </c>
      <c r="C199" s="227" t="s">
        <v>663</v>
      </c>
      <c r="D199" s="228">
        <v>725</v>
      </c>
      <c r="E199" s="228">
        <v>5</v>
      </c>
      <c r="F199" s="228">
        <v>868.55</v>
      </c>
      <c r="G199" s="228">
        <v>874.05</v>
      </c>
      <c r="H199" s="228">
        <v>-5.5</v>
      </c>
      <c r="I199" s="229">
        <v>-6.3E-3</v>
      </c>
      <c r="J199" s="228">
        <v>866.2</v>
      </c>
      <c r="K199" s="228">
        <v>871.7</v>
      </c>
      <c r="L199" s="228">
        <v>-5.5</v>
      </c>
      <c r="M199" s="229">
        <v>-6.3E-3</v>
      </c>
      <c r="N199" s="228">
        <v>868.55</v>
      </c>
      <c r="O199" s="228">
        <v>874.05</v>
      </c>
      <c r="P199" s="228">
        <v>-5.5</v>
      </c>
      <c r="Q199" s="229">
        <v>-6.3E-3</v>
      </c>
      <c r="R199" s="228">
        <v>872.1</v>
      </c>
      <c r="S199" s="228">
        <v>877.5</v>
      </c>
      <c r="T199" s="228">
        <v>-5.4</v>
      </c>
      <c r="U199" s="229">
        <v>-6.1999999999999998E-3</v>
      </c>
      <c r="V199" s="228">
        <v>0</v>
      </c>
      <c r="W199" s="228">
        <v>0</v>
      </c>
      <c r="X199" s="228">
        <v>0</v>
      </c>
      <c r="Y199" s="229">
        <v>0</v>
      </c>
      <c r="Z199" s="228">
        <v>2.35</v>
      </c>
      <c r="AA199" s="228">
        <v>2.35</v>
      </c>
      <c r="AB199" s="228">
        <v>0</v>
      </c>
      <c r="AC199" s="229">
        <v>2.7000000000000001E-3</v>
      </c>
      <c r="AD199" s="228">
        <v>2.35</v>
      </c>
      <c r="AE199" s="228">
        <v>2.35</v>
      </c>
      <c r="AF199" s="228">
        <v>0</v>
      </c>
      <c r="AG199" s="229">
        <v>2.7000000000000001E-3</v>
      </c>
      <c r="AH199" s="228">
        <v>5.9</v>
      </c>
      <c r="AI199" s="228">
        <v>5.8</v>
      </c>
      <c r="AJ199" s="228">
        <v>0.1</v>
      </c>
      <c r="AK199" s="229">
        <v>6.7999999999999996E-3</v>
      </c>
      <c r="AL199" s="228">
        <v>0</v>
      </c>
      <c r="AM199" s="228">
        <v>0</v>
      </c>
      <c r="AN199" s="228">
        <v>0</v>
      </c>
      <c r="AO199" s="229">
        <v>0</v>
      </c>
      <c r="AP199" s="228">
        <v>874.3</v>
      </c>
      <c r="AQ199" s="228">
        <v>877.42</v>
      </c>
      <c r="AR199" s="228">
        <v>0</v>
      </c>
      <c r="AS199" s="228">
        <v>267</v>
      </c>
      <c r="AT199" s="228">
        <v>265</v>
      </c>
      <c r="AU199" s="228">
        <v>2</v>
      </c>
      <c r="AV199" s="229">
        <v>6.1999999999999998E-3</v>
      </c>
      <c r="AW199" s="228">
        <v>144</v>
      </c>
      <c r="AX199" s="228">
        <v>169</v>
      </c>
      <c r="AY199" s="228">
        <v>-25</v>
      </c>
      <c r="AZ199" s="229">
        <v>-0.14660000000000001</v>
      </c>
      <c r="BA199" s="228">
        <v>123</v>
      </c>
      <c r="BB199" s="228">
        <v>96</v>
      </c>
      <c r="BC199" s="228">
        <v>26</v>
      </c>
      <c r="BD199" s="229">
        <v>0.27439999999999998</v>
      </c>
      <c r="BE199" s="228">
        <v>0</v>
      </c>
      <c r="BF199" s="228">
        <v>0</v>
      </c>
      <c r="BG199" s="228">
        <v>0</v>
      </c>
      <c r="BH199" s="229">
        <v>0</v>
      </c>
      <c r="BI199" s="228">
        <v>559</v>
      </c>
      <c r="BJ199" s="228">
        <v>813</v>
      </c>
      <c r="BK199" s="228">
        <v>-254</v>
      </c>
      <c r="BL199" s="229">
        <v>-0.31259999999999999</v>
      </c>
      <c r="BM199" s="228">
        <v>111</v>
      </c>
      <c r="BN199" s="228">
        <v>236</v>
      </c>
      <c r="BO199" s="228">
        <v>-125</v>
      </c>
      <c r="BP199" s="229">
        <v>-0.52869999999999995</v>
      </c>
      <c r="BQ199" s="228">
        <v>937</v>
      </c>
      <c r="BR199" s="230">
        <v>1314</v>
      </c>
      <c r="BS199" s="228">
        <v>-377</v>
      </c>
      <c r="BT199" s="229">
        <v>-0.28720000000000001</v>
      </c>
      <c r="BU199" s="230">
        <v>607040</v>
      </c>
      <c r="BV199" s="230">
        <v>940003</v>
      </c>
      <c r="BW199" s="230">
        <v>-332963</v>
      </c>
      <c r="BX199" s="229">
        <v>-0.35420000000000001</v>
      </c>
      <c r="BY199" s="228">
        <v>604</v>
      </c>
      <c r="BZ199" s="228">
        <v>638</v>
      </c>
      <c r="CA199" s="228">
        <v>-34</v>
      </c>
      <c r="CB199" s="229">
        <v>-5.2600000000000001E-2</v>
      </c>
      <c r="CC199" s="228">
        <v>430</v>
      </c>
      <c r="CD199" s="228">
        <v>524</v>
      </c>
      <c r="CE199" s="228">
        <v>-94</v>
      </c>
      <c r="CF199" s="229">
        <v>-0.1787</v>
      </c>
      <c r="CG199" s="228">
        <v>174</v>
      </c>
      <c r="CH199" s="228">
        <v>114</v>
      </c>
      <c r="CI199" s="228">
        <v>60</v>
      </c>
      <c r="CJ199" s="229">
        <v>0.52510000000000001</v>
      </c>
      <c r="CK199" s="228">
        <v>0</v>
      </c>
      <c r="CL199" s="228">
        <v>0</v>
      </c>
      <c r="CM199" s="228">
        <v>0</v>
      </c>
      <c r="CN199" s="229">
        <v>0</v>
      </c>
      <c r="CO199" s="228">
        <v>379</v>
      </c>
      <c r="CP199" s="228">
        <v>416</v>
      </c>
      <c r="CQ199" s="228">
        <v>-37</v>
      </c>
      <c r="CR199" s="229">
        <v>-8.8400000000000006E-2</v>
      </c>
      <c r="CS199" s="228">
        <v>221</v>
      </c>
      <c r="CT199" s="228">
        <v>237</v>
      </c>
      <c r="CU199" s="228">
        <v>-16</v>
      </c>
      <c r="CV199" s="229">
        <v>-6.6699999999999995E-2</v>
      </c>
      <c r="CW199" s="230">
        <v>1205</v>
      </c>
      <c r="CX199" s="230">
        <v>1291</v>
      </c>
      <c r="CY199" s="228">
        <v>-86</v>
      </c>
      <c r="CZ199" s="229">
        <v>-6.6699999999999995E-2</v>
      </c>
      <c r="DA199" s="228">
        <v>32.03</v>
      </c>
      <c r="DB199" s="228">
        <v>32.85</v>
      </c>
      <c r="DC199" s="228">
        <v>-0.82</v>
      </c>
      <c r="DD199" s="228">
        <v>-0.82</v>
      </c>
      <c r="DE199" s="228">
        <v>53.65</v>
      </c>
      <c r="DF199" s="228">
        <v>53.78</v>
      </c>
      <c r="DG199" s="228">
        <v>-21.62</v>
      </c>
      <c r="DH199" s="228">
        <v>-0.13</v>
      </c>
      <c r="DI199" s="228">
        <v>32.450000000000003</v>
      </c>
      <c r="DJ199" s="228">
        <v>33.01</v>
      </c>
      <c r="DK199" s="228">
        <v>-0.56000000000000005</v>
      </c>
      <c r="DL199" s="228">
        <v>-0.56000000000000005</v>
      </c>
      <c r="DM199" s="228">
        <v>31.48</v>
      </c>
      <c r="DN199" s="228">
        <v>32.33</v>
      </c>
      <c r="DO199" s="228">
        <v>-0.85</v>
      </c>
      <c r="DP199" s="228">
        <v>-0.85</v>
      </c>
      <c r="DQ199" s="228">
        <v>0.57999999999999996</v>
      </c>
      <c r="DR199" s="228">
        <v>0.56999999999999995</v>
      </c>
      <c r="DS199" s="228">
        <v>0.01</v>
      </c>
      <c r="DT199" s="229">
        <v>1.7500000000000002E-2</v>
      </c>
      <c r="DU199" s="228">
        <v>900</v>
      </c>
      <c r="DV199" s="228">
        <v>840</v>
      </c>
      <c r="DW199" s="228">
        <v>0.2</v>
      </c>
      <c r="DX199" s="228">
        <v>0.28999999999999998</v>
      </c>
      <c r="DY199" s="228">
        <v>-0.09</v>
      </c>
      <c r="DZ199" s="229">
        <v>-0.31030000000000002</v>
      </c>
      <c r="EA199" s="229">
        <v>0.28839999999999999</v>
      </c>
      <c r="EB199" s="230">
        <v>1315875</v>
      </c>
      <c r="EC199" s="229">
        <v>4.1000000000000003E-3</v>
      </c>
      <c r="ED199" s="229">
        <v>0.28839999999999999</v>
      </c>
      <c r="EE199" s="228">
        <v>3.12</v>
      </c>
      <c r="EF199" s="229">
        <v>3.5999999999999999E-3</v>
      </c>
      <c r="EG199" s="230">
        <v>268964</v>
      </c>
      <c r="EH199" s="230">
        <v>259770</v>
      </c>
      <c r="EI199" s="229">
        <v>3.5400000000000001E-2</v>
      </c>
      <c r="EJ199" s="229">
        <v>0.44309999999999999</v>
      </c>
      <c r="EK199" s="228">
        <v>591.38</v>
      </c>
      <c r="EL199" s="228">
        <v>108.92</v>
      </c>
      <c r="EM199" s="228">
        <v>268.82</v>
      </c>
      <c r="EN199" s="228">
        <v>33.29</v>
      </c>
      <c r="EO199" s="228">
        <v>969.12</v>
      </c>
      <c r="EP199" s="231">
        <v>1352.09</v>
      </c>
      <c r="EQ199" s="228">
        <v>-382.97</v>
      </c>
      <c r="ER199" s="229">
        <v>-0.28320000000000001</v>
      </c>
      <c r="ES199" s="228">
        <v>406.9</v>
      </c>
      <c r="ET199" s="228">
        <v>214.47</v>
      </c>
      <c r="EU199" s="228">
        <v>605.03</v>
      </c>
      <c r="EV199" s="231">
        <v>12028036</v>
      </c>
      <c r="EW199" s="231">
        <v>1226.4100000000001</v>
      </c>
      <c r="EX199" s="231">
        <v>1319.23</v>
      </c>
      <c r="EY199" s="228">
        <v>-92.82</v>
      </c>
      <c r="EZ199" s="229">
        <v>-7.0400000000000004E-2</v>
      </c>
      <c r="FA199" s="229">
        <v>1.1531</v>
      </c>
      <c r="FB199" s="227" t="s">
        <v>568</v>
      </c>
      <c r="FC199">
        <f t="shared" si="4"/>
        <v>0</v>
      </c>
    </row>
    <row r="200" spans="1:159" ht="17.25" thickBot="1" x14ac:dyDescent="0.3">
      <c r="A200" s="226">
        <v>45981</v>
      </c>
      <c r="B200" s="227" t="s">
        <v>168</v>
      </c>
      <c r="C200" s="227" t="s">
        <v>297</v>
      </c>
      <c r="D200" s="228">
        <v>175</v>
      </c>
      <c r="E200" s="228">
        <v>5</v>
      </c>
      <c r="F200" s="231">
        <v>3905.8</v>
      </c>
      <c r="G200" s="231">
        <v>3930.5</v>
      </c>
      <c r="H200" s="228">
        <v>-24.7</v>
      </c>
      <c r="I200" s="229">
        <v>-6.3E-3</v>
      </c>
      <c r="J200" s="231">
        <v>3902.4</v>
      </c>
      <c r="K200" s="231">
        <v>3933.1</v>
      </c>
      <c r="L200" s="228">
        <v>-30.7</v>
      </c>
      <c r="M200" s="229">
        <v>-7.7999999999999996E-3</v>
      </c>
      <c r="N200" s="231">
        <v>3905.8</v>
      </c>
      <c r="O200" s="231">
        <v>3930.5</v>
      </c>
      <c r="P200" s="228">
        <v>-24.7</v>
      </c>
      <c r="Q200" s="229">
        <v>-6.3E-3</v>
      </c>
      <c r="R200" s="231">
        <v>3932.5</v>
      </c>
      <c r="S200" s="231">
        <v>3957.2</v>
      </c>
      <c r="T200" s="228">
        <v>-24.7</v>
      </c>
      <c r="U200" s="229">
        <v>-6.1999999999999998E-3</v>
      </c>
      <c r="V200" s="231">
        <v>3955.4</v>
      </c>
      <c r="W200" s="231">
        <v>3981.3</v>
      </c>
      <c r="X200" s="228">
        <v>-25.9</v>
      </c>
      <c r="Y200" s="229">
        <v>-6.4999999999999997E-3</v>
      </c>
      <c r="Z200" s="228">
        <v>3.4</v>
      </c>
      <c r="AA200" s="228">
        <v>-2.6</v>
      </c>
      <c r="AB200" s="228">
        <v>6</v>
      </c>
      <c r="AC200" s="229">
        <v>8.9999999999999998E-4</v>
      </c>
      <c r="AD200" s="228">
        <v>3.4</v>
      </c>
      <c r="AE200" s="228">
        <v>-2.6</v>
      </c>
      <c r="AF200" s="228">
        <v>6</v>
      </c>
      <c r="AG200" s="229">
        <v>8.9999999999999998E-4</v>
      </c>
      <c r="AH200" s="228">
        <v>30.1</v>
      </c>
      <c r="AI200" s="228">
        <v>24.1</v>
      </c>
      <c r="AJ200" s="228">
        <v>6</v>
      </c>
      <c r="AK200" s="229">
        <v>7.7000000000000002E-3</v>
      </c>
      <c r="AL200" s="228">
        <v>53</v>
      </c>
      <c r="AM200" s="228">
        <v>48.2</v>
      </c>
      <c r="AN200" s="228">
        <v>4.8</v>
      </c>
      <c r="AO200" s="229">
        <v>1.3599999999999999E-2</v>
      </c>
      <c r="AP200" s="231">
        <v>3925.61</v>
      </c>
      <c r="AQ200" s="231">
        <v>3951.77</v>
      </c>
      <c r="AR200" s="228">
        <v>0</v>
      </c>
      <c r="AS200" s="230">
        <v>1821</v>
      </c>
      <c r="AT200" s="228">
        <v>855</v>
      </c>
      <c r="AU200" s="228">
        <v>966</v>
      </c>
      <c r="AV200" s="229">
        <v>1.1294</v>
      </c>
      <c r="AW200" s="228">
        <v>932</v>
      </c>
      <c r="AX200" s="228">
        <v>644</v>
      </c>
      <c r="AY200" s="228">
        <v>288</v>
      </c>
      <c r="AZ200" s="229">
        <v>0.4476</v>
      </c>
      <c r="BA200" s="228">
        <v>880</v>
      </c>
      <c r="BB200" s="228">
        <v>202</v>
      </c>
      <c r="BC200" s="228">
        <v>678</v>
      </c>
      <c r="BD200" s="229">
        <v>3.3481999999999998</v>
      </c>
      <c r="BE200" s="228">
        <v>9</v>
      </c>
      <c r="BF200" s="228">
        <v>9</v>
      </c>
      <c r="BG200" s="228">
        <v>0</v>
      </c>
      <c r="BH200" s="229">
        <v>7.7999999999999996E-3</v>
      </c>
      <c r="BI200" s="230">
        <v>3077</v>
      </c>
      <c r="BJ200" s="230">
        <v>6008</v>
      </c>
      <c r="BK200" s="230">
        <v>-2931</v>
      </c>
      <c r="BL200" s="229">
        <v>-0.48780000000000001</v>
      </c>
      <c r="BM200" s="230">
        <v>1884</v>
      </c>
      <c r="BN200" s="230">
        <v>3094</v>
      </c>
      <c r="BO200" s="230">
        <v>-1209</v>
      </c>
      <c r="BP200" s="229">
        <v>-0.39100000000000001</v>
      </c>
      <c r="BQ200" s="230">
        <v>6783</v>
      </c>
      <c r="BR200" s="230">
        <v>9957</v>
      </c>
      <c r="BS200" s="230">
        <v>-3174</v>
      </c>
      <c r="BT200" s="229">
        <v>-0.31879999999999997</v>
      </c>
      <c r="BU200" s="230">
        <v>810400</v>
      </c>
      <c r="BV200" s="230">
        <v>1616874</v>
      </c>
      <c r="BW200" s="230">
        <v>-806474</v>
      </c>
      <c r="BX200" s="229">
        <v>-0.49880000000000002</v>
      </c>
      <c r="BY200" s="230">
        <v>3828</v>
      </c>
      <c r="BZ200" s="230">
        <v>3853</v>
      </c>
      <c r="CA200" s="228">
        <v>-24</v>
      </c>
      <c r="CB200" s="229">
        <v>-6.3E-3</v>
      </c>
      <c r="CC200" s="230">
        <v>2712</v>
      </c>
      <c r="CD200" s="230">
        <v>3429</v>
      </c>
      <c r="CE200" s="228">
        <v>-717</v>
      </c>
      <c r="CF200" s="229">
        <v>-0.20899999999999999</v>
      </c>
      <c r="CG200" s="230">
        <v>1090</v>
      </c>
      <c r="CH200" s="228">
        <v>399</v>
      </c>
      <c r="CI200" s="228">
        <v>691</v>
      </c>
      <c r="CJ200" s="229">
        <v>1.7307999999999999</v>
      </c>
      <c r="CK200" s="228">
        <v>26</v>
      </c>
      <c r="CL200" s="228">
        <v>25</v>
      </c>
      <c r="CM200" s="228">
        <v>2</v>
      </c>
      <c r="CN200" s="229">
        <v>6.6900000000000001E-2</v>
      </c>
      <c r="CO200" s="230">
        <v>1661</v>
      </c>
      <c r="CP200" s="230">
        <v>1714</v>
      </c>
      <c r="CQ200" s="228">
        <v>-54</v>
      </c>
      <c r="CR200" s="229">
        <v>-3.1300000000000001E-2</v>
      </c>
      <c r="CS200" s="230">
        <v>1176</v>
      </c>
      <c r="CT200" s="230">
        <v>1236</v>
      </c>
      <c r="CU200" s="228">
        <v>-61</v>
      </c>
      <c r="CV200" s="229">
        <v>-4.9299999999999997E-2</v>
      </c>
      <c r="CW200" s="230">
        <v>6665</v>
      </c>
      <c r="CX200" s="230">
        <v>6804</v>
      </c>
      <c r="CY200" s="228">
        <v>-139</v>
      </c>
      <c r="CZ200" s="229">
        <v>-2.0400000000000001E-2</v>
      </c>
      <c r="DA200" s="228">
        <v>18.809999999999999</v>
      </c>
      <c r="DB200" s="228">
        <v>17.32</v>
      </c>
      <c r="DC200" s="228">
        <v>1.49</v>
      </c>
      <c r="DD200" s="228">
        <v>1.49</v>
      </c>
      <c r="DE200" s="228">
        <v>25.42</v>
      </c>
      <c r="DF200" s="228">
        <v>25.47</v>
      </c>
      <c r="DG200" s="228">
        <v>-6.61</v>
      </c>
      <c r="DH200" s="228">
        <v>-0.05</v>
      </c>
      <c r="DI200" s="228">
        <v>18.760000000000002</v>
      </c>
      <c r="DJ200" s="228">
        <v>16.48</v>
      </c>
      <c r="DK200" s="228">
        <v>2.2799999999999998</v>
      </c>
      <c r="DL200" s="228">
        <v>2.2799999999999998</v>
      </c>
      <c r="DM200" s="228">
        <v>18.920000000000002</v>
      </c>
      <c r="DN200" s="228">
        <v>18.96</v>
      </c>
      <c r="DO200" s="228">
        <v>-0.04</v>
      </c>
      <c r="DP200" s="228">
        <v>-0.04</v>
      </c>
      <c r="DQ200" s="228">
        <v>0.71</v>
      </c>
      <c r="DR200" s="228">
        <v>0.72</v>
      </c>
      <c r="DS200" s="228">
        <v>-0.01</v>
      </c>
      <c r="DT200" s="229">
        <v>-1.3899999999999999E-2</v>
      </c>
      <c r="DU200" s="231">
        <v>4000</v>
      </c>
      <c r="DV200" s="231">
        <v>3700</v>
      </c>
      <c r="DW200" s="228">
        <v>0.61</v>
      </c>
      <c r="DX200" s="228">
        <v>0.51</v>
      </c>
      <c r="DY200" s="228">
        <v>0.1</v>
      </c>
      <c r="DZ200" s="229">
        <v>0.1961</v>
      </c>
      <c r="EA200" s="229">
        <v>0.29149999999999998</v>
      </c>
      <c r="EB200" s="230">
        <v>1084650</v>
      </c>
      <c r="EC200" s="229">
        <v>6.7999999999999996E-3</v>
      </c>
      <c r="ED200" s="229">
        <v>0.29149999999999998</v>
      </c>
      <c r="EE200" s="228">
        <v>26.16</v>
      </c>
      <c r="EF200" s="229">
        <v>6.7000000000000002E-3</v>
      </c>
      <c r="EG200" s="230">
        <v>506226</v>
      </c>
      <c r="EH200" s="230">
        <v>1137984</v>
      </c>
      <c r="EI200" s="229">
        <v>-0.55520000000000003</v>
      </c>
      <c r="EJ200" s="229">
        <v>0.62470000000000003</v>
      </c>
      <c r="EK200" s="231">
        <v>3159.35</v>
      </c>
      <c r="EL200" s="231">
        <v>1861.86</v>
      </c>
      <c r="EM200" s="231">
        <v>1836.61</v>
      </c>
      <c r="EN200" s="228">
        <v>73.72</v>
      </c>
      <c r="EO200" s="231">
        <v>6857.82</v>
      </c>
      <c r="EP200" s="231">
        <v>10028.49</v>
      </c>
      <c r="EQ200" s="231">
        <v>-3170.68</v>
      </c>
      <c r="ER200" s="229">
        <v>-0.31619999999999998</v>
      </c>
      <c r="ES200" s="231">
        <v>1673.06</v>
      </c>
      <c r="ET200" s="231">
        <v>1125.47</v>
      </c>
      <c r="EU200" s="231">
        <v>3836.15</v>
      </c>
      <c r="EV200" s="231">
        <v>41744334</v>
      </c>
      <c r="EW200" s="231">
        <v>6634.69</v>
      </c>
      <c r="EX200" s="231">
        <v>6788.57</v>
      </c>
      <c r="EY200" s="228">
        <v>-153.88</v>
      </c>
      <c r="EZ200" s="229">
        <v>-2.2700000000000001E-2</v>
      </c>
      <c r="FA200" s="229">
        <v>0.4088</v>
      </c>
      <c r="FB200" s="227" t="s">
        <v>568</v>
      </c>
      <c r="FC200">
        <f t="shared" si="4"/>
        <v>0</v>
      </c>
    </row>
    <row r="201" spans="1:159" ht="17.25" thickBot="1" x14ac:dyDescent="0.3">
      <c r="A201" s="226">
        <v>45981</v>
      </c>
      <c r="B201" s="227" t="s">
        <v>162</v>
      </c>
      <c r="C201" s="227" t="s">
        <v>690</v>
      </c>
      <c r="D201" s="228">
        <v>800</v>
      </c>
      <c r="E201" s="228">
        <v>5</v>
      </c>
      <c r="F201" s="228">
        <v>360.9</v>
      </c>
      <c r="G201" s="228">
        <v>361.7</v>
      </c>
      <c r="H201" s="228">
        <v>-0.8</v>
      </c>
      <c r="I201" s="229">
        <v>-2.2000000000000001E-3</v>
      </c>
      <c r="J201" s="228">
        <v>359.8</v>
      </c>
      <c r="K201" s="228">
        <v>360.85</v>
      </c>
      <c r="L201" s="228">
        <v>-1.05</v>
      </c>
      <c r="M201" s="229">
        <v>-2.8999999999999998E-3</v>
      </c>
      <c r="N201" s="228">
        <v>360.9</v>
      </c>
      <c r="O201" s="228">
        <v>361.7</v>
      </c>
      <c r="P201" s="228">
        <v>-0.8</v>
      </c>
      <c r="Q201" s="229">
        <v>-2.2000000000000001E-3</v>
      </c>
      <c r="R201" s="228">
        <v>362.05</v>
      </c>
      <c r="S201" s="228">
        <v>363.85</v>
      </c>
      <c r="T201" s="228">
        <v>-1.8</v>
      </c>
      <c r="U201" s="229">
        <v>-4.8999999999999998E-3</v>
      </c>
      <c r="V201" s="228">
        <v>364.4</v>
      </c>
      <c r="W201" s="228">
        <v>365.95</v>
      </c>
      <c r="X201" s="228">
        <v>-1.55</v>
      </c>
      <c r="Y201" s="229">
        <v>-4.1999999999999997E-3</v>
      </c>
      <c r="Z201" s="228">
        <v>1.1000000000000001</v>
      </c>
      <c r="AA201" s="228">
        <v>0.85</v>
      </c>
      <c r="AB201" s="228">
        <v>0.25</v>
      </c>
      <c r="AC201" s="229">
        <v>3.0999999999999999E-3</v>
      </c>
      <c r="AD201" s="228">
        <v>1.1000000000000001</v>
      </c>
      <c r="AE201" s="228">
        <v>0.85</v>
      </c>
      <c r="AF201" s="228">
        <v>0.25</v>
      </c>
      <c r="AG201" s="229">
        <v>3.0999999999999999E-3</v>
      </c>
      <c r="AH201" s="228">
        <v>2.25</v>
      </c>
      <c r="AI201" s="228">
        <v>3</v>
      </c>
      <c r="AJ201" s="228">
        <v>-0.75</v>
      </c>
      <c r="AK201" s="229">
        <v>6.3E-3</v>
      </c>
      <c r="AL201" s="228">
        <v>4.5999999999999996</v>
      </c>
      <c r="AM201" s="228">
        <v>5.0999999999999996</v>
      </c>
      <c r="AN201" s="228">
        <v>-0.5</v>
      </c>
      <c r="AO201" s="229">
        <v>1.2800000000000001E-2</v>
      </c>
      <c r="AP201" s="228">
        <v>362.11</v>
      </c>
      <c r="AQ201" s="228">
        <v>363.41</v>
      </c>
      <c r="AR201" s="228">
        <v>0</v>
      </c>
      <c r="AS201" s="230">
        <v>2440</v>
      </c>
      <c r="AT201" s="228">
        <v>820</v>
      </c>
      <c r="AU201" s="230">
        <v>1621</v>
      </c>
      <c r="AV201" s="229">
        <v>1.9769000000000001</v>
      </c>
      <c r="AW201" s="230">
        <v>1283</v>
      </c>
      <c r="AX201" s="228">
        <v>485</v>
      </c>
      <c r="AY201" s="228">
        <v>798</v>
      </c>
      <c r="AZ201" s="229">
        <v>1.6446000000000001</v>
      </c>
      <c r="BA201" s="230">
        <v>1139</v>
      </c>
      <c r="BB201" s="228">
        <v>303</v>
      </c>
      <c r="BC201" s="228">
        <v>836</v>
      </c>
      <c r="BD201" s="229">
        <v>2.7574000000000001</v>
      </c>
      <c r="BE201" s="228">
        <v>18</v>
      </c>
      <c r="BF201" s="228">
        <v>31</v>
      </c>
      <c r="BG201" s="228">
        <v>-13</v>
      </c>
      <c r="BH201" s="229">
        <v>-0.41520000000000001</v>
      </c>
      <c r="BI201" s="230">
        <v>4437</v>
      </c>
      <c r="BJ201" s="230">
        <v>6361</v>
      </c>
      <c r="BK201" s="230">
        <v>-1924</v>
      </c>
      <c r="BL201" s="229">
        <v>-0.30249999999999999</v>
      </c>
      <c r="BM201" s="230">
        <v>1036</v>
      </c>
      <c r="BN201" s="230">
        <v>1945</v>
      </c>
      <c r="BO201" s="228">
        <v>-909</v>
      </c>
      <c r="BP201" s="229">
        <v>-0.46739999999999998</v>
      </c>
      <c r="BQ201" s="230">
        <v>7913</v>
      </c>
      <c r="BR201" s="230">
        <v>9125</v>
      </c>
      <c r="BS201" s="230">
        <v>-1213</v>
      </c>
      <c r="BT201" s="229">
        <v>-0.13289999999999999</v>
      </c>
      <c r="BU201" s="230">
        <v>15999034</v>
      </c>
      <c r="BV201" s="230">
        <v>17854517</v>
      </c>
      <c r="BW201" s="230">
        <v>-1855483</v>
      </c>
      <c r="BX201" s="229">
        <v>-0.10390000000000001</v>
      </c>
      <c r="BY201" s="230">
        <v>3059</v>
      </c>
      <c r="BZ201" s="230">
        <v>3470</v>
      </c>
      <c r="CA201" s="228">
        <v>-411</v>
      </c>
      <c r="CB201" s="229">
        <v>-0.11849999999999999</v>
      </c>
      <c r="CC201" s="230">
        <v>1737</v>
      </c>
      <c r="CD201" s="230">
        <v>2582</v>
      </c>
      <c r="CE201" s="228">
        <v>-845</v>
      </c>
      <c r="CF201" s="229">
        <v>-0.32719999999999999</v>
      </c>
      <c r="CG201" s="230">
        <v>1203</v>
      </c>
      <c r="CH201" s="228">
        <v>780</v>
      </c>
      <c r="CI201" s="228">
        <v>422</v>
      </c>
      <c r="CJ201" s="229">
        <v>0.54120000000000001</v>
      </c>
      <c r="CK201" s="228">
        <v>119</v>
      </c>
      <c r="CL201" s="228">
        <v>108</v>
      </c>
      <c r="CM201" s="228">
        <v>11</v>
      </c>
      <c r="CN201" s="229">
        <v>0.10580000000000001</v>
      </c>
      <c r="CO201" s="230">
        <v>2987</v>
      </c>
      <c r="CP201" s="230">
        <v>3115</v>
      </c>
      <c r="CQ201" s="228">
        <v>-128</v>
      </c>
      <c r="CR201" s="229">
        <v>-4.1099999999999998E-2</v>
      </c>
      <c r="CS201" s="230">
        <v>1196</v>
      </c>
      <c r="CT201" s="230">
        <v>1185</v>
      </c>
      <c r="CU201" s="228">
        <v>12</v>
      </c>
      <c r="CV201" s="229">
        <v>9.9000000000000008E-3</v>
      </c>
      <c r="CW201" s="230">
        <v>7242</v>
      </c>
      <c r="CX201" s="230">
        <v>7769</v>
      </c>
      <c r="CY201" s="228">
        <v>-527</v>
      </c>
      <c r="CZ201" s="229">
        <v>-6.7900000000000002E-2</v>
      </c>
      <c r="DA201" s="228">
        <v>29.1</v>
      </c>
      <c r="DB201" s="228">
        <v>34.21</v>
      </c>
      <c r="DC201" s="228">
        <v>-5.1100000000000003</v>
      </c>
      <c r="DD201" s="228">
        <v>-5.1100000000000003</v>
      </c>
      <c r="DE201" s="228">
        <v>35.33</v>
      </c>
      <c r="DF201" s="228">
        <v>35.42</v>
      </c>
      <c r="DG201" s="228">
        <v>-6.23</v>
      </c>
      <c r="DH201" s="228">
        <v>-0.09</v>
      </c>
      <c r="DI201" s="228">
        <v>29.6</v>
      </c>
      <c r="DJ201" s="228">
        <v>35.630000000000003</v>
      </c>
      <c r="DK201" s="228">
        <v>-6.03</v>
      </c>
      <c r="DL201" s="228">
        <v>-6.03</v>
      </c>
      <c r="DM201" s="228">
        <v>27.87</v>
      </c>
      <c r="DN201" s="228">
        <v>29.58</v>
      </c>
      <c r="DO201" s="228">
        <v>-1.71</v>
      </c>
      <c r="DP201" s="228">
        <v>-1.71</v>
      </c>
      <c r="DQ201" s="228">
        <v>0.4</v>
      </c>
      <c r="DR201" s="228">
        <v>0.38</v>
      </c>
      <c r="DS201" s="228">
        <v>0.02</v>
      </c>
      <c r="DT201" s="229">
        <v>5.2600000000000001E-2</v>
      </c>
      <c r="DU201" s="228">
        <v>380</v>
      </c>
      <c r="DV201" s="228">
        <v>350</v>
      </c>
      <c r="DW201" s="228">
        <v>0.23</v>
      </c>
      <c r="DX201" s="228">
        <v>0.31</v>
      </c>
      <c r="DY201" s="228">
        <v>-0.08</v>
      </c>
      <c r="DZ201" s="229">
        <v>-0.2581</v>
      </c>
      <c r="EA201" s="229">
        <v>0.43219999999999997</v>
      </c>
      <c r="EB201" s="230">
        <v>24608000</v>
      </c>
      <c r="EC201" s="229">
        <v>3.2000000000000002E-3</v>
      </c>
      <c r="ED201" s="229">
        <v>0.43219999999999997</v>
      </c>
      <c r="EE201" s="228">
        <v>1.3</v>
      </c>
      <c r="EF201" s="229">
        <v>3.5999999999999999E-3</v>
      </c>
      <c r="EG201" s="230">
        <v>9955699</v>
      </c>
      <c r="EH201" s="230">
        <v>9887864</v>
      </c>
      <c r="EI201" s="229">
        <v>6.8999999999999999E-3</v>
      </c>
      <c r="EJ201" s="229">
        <v>0.62229999999999996</v>
      </c>
      <c r="EK201" s="231">
        <v>4762.97</v>
      </c>
      <c r="EL201" s="231">
        <v>1044.49</v>
      </c>
      <c r="EM201" s="231">
        <v>2452.75</v>
      </c>
      <c r="EN201" s="228">
        <v>306.87</v>
      </c>
      <c r="EO201" s="231">
        <v>8260.2099999999991</v>
      </c>
      <c r="EP201" s="231">
        <v>9684.24</v>
      </c>
      <c r="EQ201" s="231">
        <v>-1424.03</v>
      </c>
      <c r="ER201" s="229">
        <v>-0.14699999999999999</v>
      </c>
      <c r="ES201" s="231">
        <v>3339.37</v>
      </c>
      <c r="ET201" s="231">
        <v>1233.19</v>
      </c>
      <c r="EU201" s="231">
        <v>3063.51</v>
      </c>
      <c r="EV201" s="231">
        <v>284575867</v>
      </c>
      <c r="EW201" s="231">
        <v>7636.07</v>
      </c>
      <c r="EX201" s="231">
        <v>8198.76</v>
      </c>
      <c r="EY201" s="228">
        <v>-562.69000000000005</v>
      </c>
      <c r="EZ201" s="229">
        <v>-6.8599999999999994E-2</v>
      </c>
      <c r="FA201" s="229">
        <v>0.70520000000000005</v>
      </c>
      <c r="FB201" s="227" t="s">
        <v>568</v>
      </c>
      <c r="FC201">
        <f t="shared" si="4"/>
        <v>0</v>
      </c>
    </row>
    <row r="202" spans="1:159" ht="17.25" thickBot="1" x14ac:dyDescent="0.3">
      <c r="A202" s="226">
        <v>45981</v>
      </c>
      <c r="B202" s="227" t="s">
        <v>170</v>
      </c>
      <c r="C202" s="227" t="s">
        <v>298</v>
      </c>
      <c r="D202" s="228">
        <v>250</v>
      </c>
      <c r="E202" s="228">
        <v>5</v>
      </c>
      <c r="F202" s="231">
        <v>3726.5</v>
      </c>
      <c r="G202" s="231">
        <v>3735.6</v>
      </c>
      <c r="H202" s="228">
        <v>-9.1</v>
      </c>
      <c r="I202" s="229">
        <v>-2.3999999999999998E-3</v>
      </c>
      <c r="J202" s="231">
        <v>3721.4</v>
      </c>
      <c r="K202" s="231">
        <v>3731.4</v>
      </c>
      <c r="L202" s="228">
        <v>-10</v>
      </c>
      <c r="M202" s="229">
        <v>-2.7000000000000001E-3</v>
      </c>
      <c r="N202" s="231">
        <v>3726.5</v>
      </c>
      <c r="O202" s="231">
        <v>3735.6</v>
      </c>
      <c r="P202" s="228">
        <v>-9.1</v>
      </c>
      <c r="Q202" s="229">
        <v>-2.3999999999999998E-3</v>
      </c>
      <c r="R202" s="231">
        <v>3750.8</v>
      </c>
      <c r="S202" s="231">
        <v>3759.7</v>
      </c>
      <c r="T202" s="228">
        <v>-8.9</v>
      </c>
      <c r="U202" s="229">
        <v>-2.3999999999999998E-3</v>
      </c>
      <c r="V202" s="231">
        <v>3775.8</v>
      </c>
      <c r="W202" s="231">
        <v>3775.8</v>
      </c>
      <c r="X202" s="228">
        <v>0</v>
      </c>
      <c r="Y202" s="229">
        <v>0</v>
      </c>
      <c r="Z202" s="228">
        <v>5.0999999999999996</v>
      </c>
      <c r="AA202" s="228">
        <v>4.2</v>
      </c>
      <c r="AB202" s="228">
        <v>0.9</v>
      </c>
      <c r="AC202" s="229">
        <v>1.4E-3</v>
      </c>
      <c r="AD202" s="228">
        <v>5.0999999999999996</v>
      </c>
      <c r="AE202" s="228">
        <v>4.2</v>
      </c>
      <c r="AF202" s="228">
        <v>0.9</v>
      </c>
      <c r="AG202" s="229">
        <v>1.4E-3</v>
      </c>
      <c r="AH202" s="228">
        <v>29.4</v>
      </c>
      <c r="AI202" s="228">
        <v>28.3</v>
      </c>
      <c r="AJ202" s="228">
        <v>1.1000000000000001</v>
      </c>
      <c r="AK202" s="229">
        <v>7.9000000000000008E-3</v>
      </c>
      <c r="AL202" s="228">
        <v>54.4</v>
      </c>
      <c r="AM202" s="228">
        <v>44.4</v>
      </c>
      <c r="AN202" s="228">
        <v>10</v>
      </c>
      <c r="AO202" s="229">
        <v>1.46E-2</v>
      </c>
      <c r="AP202" s="231">
        <v>3744.37</v>
      </c>
      <c r="AQ202" s="231">
        <v>3769.08</v>
      </c>
      <c r="AR202" s="228">
        <v>0</v>
      </c>
      <c r="AS202" s="228">
        <v>641</v>
      </c>
      <c r="AT202" s="228">
        <v>143</v>
      </c>
      <c r="AU202" s="228">
        <v>499</v>
      </c>
      <c r="AV202" s="229">
        <v>3.4941</v>
      </c>
      <c r="AW202" s="228">
        <v>330</v>
      </c>
      <c r="AX202" s="228">
        <v>106</v>
      </c>
      <c r="AY202" s="228">
        <v>224</v>
      </c>
      <c r="AZ202" s="229">
        <v>2.1160000000000001</v>
      </c>
      <c r="BA202" s="228">
        <v>311</v>
      </c>
      <c r="BB202" s="228">
        <v>35</v>
      </c>
      <c r="BC202" s="228">
        <v>276</v>
      </c>
      <c r="BD202" s="229">
        <v>7.8567999999999998</v>
      </c>
      <c r="BE202" s="228">
        <v>0</v>
      </c>
      <c r="BF202" s="228">
        <v>2</v>
      </c>
      <c r="BG202" s="228">
        <v>-2</v>
      </c>
      <c r="BH202" s="229">
        <v>-1</v>
      </c>
      <c r="BI202" s="228">
        <v>286</v>
      </c>
      <c r="BJ202" s="228">
        <v>493</v>
      </c>
      <c r="BK202" s="228">
        <v>-207</v>
      </c>
      <c r="BL202" s="229">
        <v>-0.42</v>
      </c>
      <c r="BM202" s="228">
        <v>113</v>
      </c>
      <c r="BN202" s="228">
        <v>255</v>
      </c>
      <c r="BO202" s="228">
        <v>-142</v>
      </c>
      <c r="BP202" s="229">
        <v>-0.55669999999999997</v>
      </c>
      <c r="BQ202" s="230">
        <v>1040</v>
      </c>
      <c r="BR202" s="228">
        <v>891</v>
      </c>
      <c r="BS202" s="228">
        <v>150</v>
      </c>
      <c r="BT202" s="229">
        <v>0.16819999999999999</v>
      </c>
      <c r="BU202" s="230">
        <v>115676</v>
      </c>
      <c r="BV202" s="230">
        <v>118611</v>
      </c>
      <c r="BW202" s="230">
        <v>-2935</v>
      </c>
      <c r="BX202" s="229">
        <v>-2.47E-2</v>
      </c>
      <c r="BY202" s="228">
        <v>846</v>
      </c>
      <c r="BZ202" s="228">
        <v>838</v>
      </c>
      <c r="CA202" s="228">
        <v>7</v>
      </c>
      <c r="CB202" s="229">
        <v>8.6999999999999994E-3</v>
      </c>
      <c r="CC202" s="228">
        <v>523</v>
      </c>
      <c r="CD202" s="228">
        <v>775</v>
      </c>
      <c r="CE202" s="228">
        <v>-252</v>
      </c>
      <c r="CF202" s="229">
        <v>-0.32500000000000001</v>
      </c>
      <c r="CG202" s="228">
        <v>321</v>
      </c>
      <c r="CH202" s="228">
        <v>62</v>
      </c>
      <c r="CI202" s="228">
        <v>259</v>
      </c>
      <c r="CJ202" s="229">
        <v>4.1913</v>
      </c>
      <c r="CK202" s="228">
        <v>1</v>
      </c>
      <c r="CL202" s="228">
        <v>1</v>
      </c>
      <c r="CM202" s="228">
        <v>0</v>
      </c>
      <c r="CN202" s="229">
        <v>0</v>
      </c>
      <c r="CO202" s="228">
        <v>379</v>
      </c>
      <c r="CP202" s="228">
        <v>413</v>
      </c>
      <c r="CQ202" s="228">
        <v>-33</v>
      </c>
      <c r="CR202" s="229">
        <v>-8.0600000000000005E-2</v>
      </c>
      <c r="CS202" s="228">
        <v>254</v>
      </c>
      <c r="CT202" s="228">
        <v>260</v>
      </c>
      <c r="CU202" s="228">
        <v>-6</v>
      </c>
      <c r="CV202" s="229">
        <v>-2.3300000000000001E-2</v>
      </c>
      <c r="CW202" s="230">
        <v>1479</v>
      </c>
      <c r="CX202" s="230">
        <v>1511</v>
      </c>
      <c r="CY202" s="228">
        <v>-32</v>
      </c>
      <c r="CZ202" s="229">
        <v>-2.12E-2</v>
      </c>
      <c r="DA202" s="228">
        <v>21.08</v>
      </c>
      <c r="DB202" s="228">
        <v>22.75</v>
      </c>
      <c r="DC202" s="228">
        <v>-1.67</v>
      </c>
      <c r="DD202" s="228">
        <v>-1.67</v>
      </c>
      <c r="DE202" s="228">
        <v>26.27</v>
      </c>
      <c r="DF202" s="228">
        <v>26.33</v>
      </c>
      <c r="DG202" s="228">
        <v>-5.19</v>
      </c>
      <c r="DH202" s="228">
        <v>-0.06</v>
      </c>
      <c r="DI202" s="228">
        <v>21.57</v>
      </c>
      <c r="DJ202" s="228">
        <v>24.43</v>
      </c>
      <c r="DK202" s="228">
        <v>-2.86</v>
      </c>
      <c r="DL202" s="228">
        <v>-2.86</v>
      </c>
      <c r="DM202" s="228">
        <v>20.22</v>
      </c>
      <c r="DN202" s="228">
        <v>19.5</v>
      </c>
      <c r="DO202" s="228">
        <v>0.72</v>
      </c>
      <c r="DP202" s="228">
        <v>0.72</v>
      </c>
      <c r="DQ202" s="228">
        <v>0.67</v>
      </c>
      <c r="DR202" s="228">
        <v>0.63</v>
      </c>
      <c r="DS202" s="228">
        <v>0.04</v>
      </c>
      <c r="DT202" s="229">
        <v>6.3500000000000001E-2</v>
      </c>
      <c r="DU202" s="231">
        <v>3600</v>
      </c>
      <c r="DV202" s="231">
        <v>3600</v>
      </c>
      <c r="DW202" s="228">
        <v>0.39</v>
      </c>
      <c r="DX202" s="228">
        <v>0.52</v>
      </c>
      <c r="DY202" s="228">
        <v>-0.13</v>
      </c>
      <c r="DZ202" s="229">
        <v>-0.25</v>
      </c>
      <c r="EA202" s="229">
        <v>0.38129999999999997</v>
      </c>
      <c r="EB202" s="230">
        <v>169500</v>
      </c>
      <c r="EC202" s="229">
        <v>6.4999999999999997E-3</v>
      </c>
      <c r="ED202" s="229">
        <v>0.38129999999999997</v>
      </c>
      <c r="EE202" s="228">
        <v>24.71</v>
      </c>
      <c r="EF202" s="229">
        <v>6.6E-3</v>
      </c>
      <c r="EG202" s="230">
        <v>67881</v>
      </c>
      <c r="EH202" s="230">
        <v>70487</v>
      </c>
      <c r="EI202" s="229">
        <v>-3.6999999999999998E-2</v>
      </c>
      <c r="EJ202" s="229">
        <v>0.58679999999999999</v>
      </c>
      <c r="EK202" s="228">
        <v>297.92</v>
      </c>
      <c r="EL202" s="228">
        <v>110.83</v>
      </c>
      <c r="EM202" s="228">
        <v>646.55999999999995</v>
      </c>
      <c r="EN202" s="228">
        <v>14.32</v>
      </c>
      <c r="EO202" s="231">
        <v>1055.31</v>
      </c>
      <c r="EP202" s="228">
        <v>915.95</v>
      </c>
      <c r="EQ202" s="228">
        <v>139.36000000000001</v>
      </c>
      <c r="ER202" s="229">
        <v>0.15210000000000001</v>
      </c>
      <c r="ES202" s="228">
        <v>389.73</v>
      </c>
      <c r="ET202" s="228">
        <v>246.88</v>
      </c>
      <c r="EU202" s="228">
        <v>847.84</v>
      </c>
      <c r="EV202" s="231">
        <v>16072672</v>
      </c>
      <c r="EW202" s="231">
        <v>1484.45</v>
      </c>
      <c r="EX202" s="231">
        <v>1517.3</v>
      </c>
      <c r="EY202" s="228">
        <v>-32.85</v>
      </c>
      <c r="EZ202" s="229">
        <v>-2.1700000000000001E-2</v>
      </c>
      <c r="FA202" s="229">
        <v>0.24690000000000001</v>
      </c>
      <c r="FB202" s="227" t="s">
        <v>567</v>
      </c>
      <c r="FC202">
        <f t="shared" si="4"/>
        <v>0</v>
      </c>
    </row>
    <row r="203" spans="1:159" ht="17.25" thickBot="1" x14ac:dyDescent="0.3">
      <c r="A203" s="226">
        <v>45981</v>
      </c>
      <c r="B203" s="227" t="s">
        <v>161</v>
      </c>
      <c r="C203" s="227" t="s">
        <v>299</v>
      </c>
      <c r="D203" s="228">
        <v>375</v>
      </c>
      <c r="E203" s="228">
        <v>5</v>
      </c>
      <c r="F203" s="231">
        <v>1312.8</v>
      </c>
      <c r="G203" s="231">
        <v>1300.8</v>
      </c>
      <c r="H203" s="228">
        <v>12</v>
      </c>
      <c r="I203" s="229">
        <v>9.1999999999999998E-3</v>
      </c>
      <c r="J203" s="231">
        <v>1313.9</v>
      </c>
      <c r="K203" s="231">
        <v>1300.8</v>
      </c>
      <c r="L203" s="228">
        <v>13.1</v>
      </c>
      <c r="M203" s="229">
        <v>1.01E-2</v>
      </c>
      <c r="N203" s="231">
        <v>1312.8</v>
      </c>
      <c r="O203" s="231">
        <v>1300.8</v>
      </c>
      <c r="P203" s="228">
        <v>12</v>
      </c>
      <c r="Q203" s="229">
        <v>9.1999999999999998E-3</v>
      </c>
      <c r="R203" s="231">
        <v>1321.6</v>
      </c>
      <c r="S203" s="231">
        <v>1309.9000000000001</v>
      </c>
      <c r="T203" s="228">
        <v>11.7</v>
      </c>
      <c r="U203" s="229">
        <v>8.8999999999999999E-3</v>
      </c>
      <c r="V203" s="231">
        <v>1330</v>
      </c>
      <c r="W203" s="231">
        <v>1319.9</v>
      </c>
      <c r="X203" s="228">
        <v>10.1</v>
      </c>
      <c r="Y203" s="229">
        <v>7.7000000000000002E-3</v>
      </c>
      <c r="Z203" s="228">
        <v>-1.1000000000000001</v>
      </c>
      <c r="AA203" s="228">
        <v>0</v>
      </c>
      <c r="AB203" s="228">
        <v>-1.1000000000000001</v>
      </c>
      <c r="AC203" s="229">
        <v>-8.0000000000000004E-4</v>
      </c>
      <c r="AD203" s="228">
        <v>-1.1000000000000001</v>
      </c>
      <c r="AE203" s="228">
        <v>0</v>
      </c>
      <c r="AF203" s="228">
        <v>-1.1000000000000001</v>
      </c>
      <c r="AG203" s="229">
        <v>-8.0000000000000004E-4</v>
      </c>
      <c r="AH203" s="228">
        <v>7.7</v>
      </c>
      <c r="AI203" s="228">
        <v>9.1</v>
      </c>
      <c r="AJ203" s="228">
        <v>-1.4</v>
      </c>
      <c r="AK203" s="229">
        <v>5.8999999999999999E-3</v>
      </c>
      <c r="AL203" s="228">
        <v>16.100000000000001</v>
      </c>
      <c r="AM203" s="228">
        <v>19.100000000000001</v>
      </c>
      <c r="AN203" s="228">
        <v>-3</v>
      </c>
      <c r="AO203" s="229">
        <v>1.23E-2</v>
      </c>
      <c r="AP203" s="231">
        <v>1310.67</v>
      </c>
      <c r="AQ203" s="231">
        <v>1319.4</v>
      </c>
      <c r="AR203" s="228">
        <v>0</v>
      </c>
      <c r="AS203" s="228">
        <v>204</v>
      </c>
      <c r="AT203" s="228">
        <v>61</v>
      </c>
      <c r="AU203" s="228">
        <v>143</v>
      </c>
      <c r="AV203" s="229">
        <v>2.3502999999999998</v>
      </c>
      <c r="AW203" s="228">
        <v>112</v>
      </c>
      <c r="AX203" s="228">
        <v>44</v>
      </c>
      <c r="AY203" s="228">
        <v>68</v>
      </c>
      <c r="AZ203" s="229">
        <v>1.5398000000000001</v>
      </c>
      <c r="BA203" s="228">
        <v>91</v>
      </c>
      <c r="BB203" s="228">
        <v>16</v>
      </c>
      <c r="BC203" s="228">
        <v>75</v>
      </c>
      <c r="BD203" s="229">
        <v>4.6993999999999998</v>
      </c>
      <c r="BE203" s="228">
        <v>1</v>
      </c>
      <c r="BF203" s="228">
        <v>1</v>
      </c>
      <c r="BG203" s="228">
        <v>0</v>
      </c>
      <c r="BH203" s="229">
        <v>-0.1176</v>
      </c>
      <c r="BI203" s="228">
        <v>197</v>
      </c>
      <c r="BJ203" s="228">
        <v>245</v>
      </c>
      <c r="BK203" s="228">
        <v>-48</v>
      </c>
      <c r="BL203" s="229">
        <v>-0.1963</v>
      </c>
      <c r="BM203" s="228">
        <v>88</v>
      </c>
      <c r="BN203" s="228">
        <v>104</v>
      </c>
      <c r="BO203" s="228">
        <v>-16</v>
      </c>
      <c r="BP203" s="229">
        <v>-0.1565</v>
      </c>
      <c r="BQ203" s="228">
        <v>488</v>
      </c>
      <c r="BR203" s="228">
        <v>410</v>
      </c>
      <c r="BS203" s="228">
        <v>79</v>
      </c>
      <c r="BT203" s="229">
        <v>0.192</v>
      </c>
      <c r="BU203" s="230">
        <v>284026</v>
      </c>
      <c r="BV203" s="230">
        <v>322075</v>
      </c>
      <c r="BW203" s="230">
        <v>-38049</v>
      </c>
      <c r="BX203" s="229">
        <v>-0.1181</v>
      </c>
      <c r="BY203" s="228">
        <v>403</v>
      </c>
      <c r="BZ203" s="228">
        <v>427</v>
      </c>
      <c r="CA203" s="228">
        <v>-24</v>
      </c>
      <c r="CB203" s="229">
        <v>-5.5500000000000001E-2</v>
      </c>
      <c r="CC203" s="228">
        <v>308</v>
      </c>
      <c r="CD203" s="228">
        <v>393</v>
      </c>
      <c r="CE203" s="228">
        <v>-85</v>
      </c>
      <c r="CF203" s="229">
        <v>-0.2162</v>
      </c>
      <c r="CG203" s="228">
        <v>93</v>
      </c>
      <c r="CH203" s="228">
        <v>31</v>
      </c>
      <c r="CI203" s="228">
        <v>62</v>
      </c>
      <c r="CJ203" s="229">
        <v>1.9778</v>
      </c>
      <c r="CK203" s="228">
        <v>3</v>
      </c>
      <c r="CL203" s="228">
        <v>4</v>
      </c>
      <c r="CM203" s="228">
        <v>0</v>
      </c>
      <c r="CN203" s="229">
        <v>-0.1094</v>
      </c>
      <c r="CO203" s="228">
        <v>277</v>
      </c>
      <c r="CP203" s="228">
        <v>306</v>
      </c>
      <c r="CQ203" s="228">
        <v>-29</v>
      </c>
      <c r="CR203" s="229">
        <v>-9.5000000000000001E-2</v>
      </c>
      <c r="CS203" s="228">
        <v>142</v>
      </c>
      <c r="CT203" s="228">
        <v>155</v>
      </c>
      <c r="CU203" s="228">
        <v>-13</v>
      </c>
      <c r="CV203" s="229">
        <v>-8.1699999999999995E-2</v>
      </c>
      <c r="CW203" s="228">
        <v>822</v>
      </c>
      <c r="CX203" s="228">
        <v>888</v>
      </c>
      <c r="CY203" s="228">
        <v>-65</v>
      </c>
      <c r="CZ203" s="229">
        <v>-7.3700000000000002E-2</v>
      </c>
      <c r="DA203" s="228">
        <v>26.34</v>
      </c>
      <c r="DB203" s="228">
        <v>28.4</v>
      </c>
      <c r="DC203" s="228">
        <v>-2.06</v>
      </c>
      <c r="DD203" s="228">
        <v>-2.06</v>
      </c>
      <c r="DE203" s="228">
        <v>41.27</v>
      </c>
      <c r="DF203" s="228">
        <v>41.35</v>
      </c>
      <c r="DG203" s="228">
        <v>-14.93</v>
      </c>
      <c r="DH203" s="228">
        <v>-0.08</v>
      </c>
      <c r="DI203" s="228">
        <v>26.4</v>
      </c>
      <c r="DJ203" s="228">
        <v>29.05</v>
      </c>
      <c r="DK203" s="228">
        <v>-2.65</v>
      </c>
      <c r="DL203" s="228">
        <v>-2.65</v>
      </c>
      <c r="DM203" s="228">
        <v>26.28</v>
      </c>
      <c r="DN203" s="228">
        <v>26.87</v>
      </c>
      <c r="DO203" s="228">
        <v>-0.59</v>
      </c>
      <c r="DP203" s="228">
        <v>-0.59</v>
      </c>
      <c r="DQ203" s="228">
        <v>0.51</v>
      </c>
      <c r="DR203" s="228">
        <v>0.51</v>
      </c>
      <c r="DS203" s="228">
        <v>0</v>
      </c>
      <c r="DT203" s="229">
        <v>0</v>
      </c>
      <c r="DU203" s="231">
        <v>1400</v>
      </c>
      <c r="DV203" s="231">
        <v>1240</v>
      </c>
      <c r="DW203" s="228">
        <v>0.44</v>
      </c>
      <c r="DX203" s="228">
        <v>0.42</v>
      </c>
      <c r="DY203" s="228">
        <v>0.02</v>
      </c>
      <c r="DZ203" s="229">
        <v>4.7600000000000003E-2</v>
      </c>
      <c r="EA203" s="229">
        <v>0.23749999999999999</v>
      </c>
      <c r="EB203" s="230">
        <v>264200</v>
      </c>
      <c r="EC203" s="229">
        <v>6.7000000000000002E-3</v>
      </c>
      <c r="ED203" s="229">
        <v>0.23749999999999999</v>
      </c>
      <c r="EE203" s="228">
        <v>8.73</v>
      </c>
      <c r="EF203" s="229">
        <v>6.7000000000000002E-3</v>
      </c>
      <c r="EG203" s="230">
        <v>155661</v>
      </c>
      <c r="EH203" s="230">
        <v>220929</v>
      </c>
      <c r="EI203" s="229">
        <v>-0.2954</v>
      </c>
      <c r="EJ203" s="229">
        <v>0.54810000000000003</v>
      </c>
      <c r="EK203" s="228">
        <v>204.89</v>
      </c>
      <c r="EL203" s="228">
        <v>85.82</v>
      </c>
      <c r="EM203" s="228">
        <v>204.25</v>
      </c>
      <c r="EN203" s="228">
        <v>20.81</v>
      </c>
      <c r="EO203" s="228">
        <v>494.96</v>
      </c>
      <c r="EP203" s="228">
        <v>415.97</v>
      </c>
      <c r="EQ203" s="228">
        <v>78.98</v>
      </c>
      <c r="ER203" s="229">
        <v>0.18990000000000001</v>
      </c>
      <c r="ES203" s="228">
        <v>288.57</v>
      </c>
      <c r="ET203" s="228">
        <v>137.34</v>
      </c>
      <c r="EU203" s="228">
        <v>404.13</v>
      </c>
      <c r="EV203" s="231">
        <v>24646022</v>
      </c>
      <c r="EW203" s="228">
        <v>830.04</v>
      </c>
      <c r="EX203" s="228">
        <v>891.81</v>
      </c>
      <c r="EY203" s="228">
        <v>-61.77</v>
      </c>
      <c r="EZ203" s="229">
        <v>-6.93E-2</v>
      </c>
      <c r="FA203" s="229">
        <v>0.25409999999999999</v>
      </c>
      <c r="FB203" s="227" t="s">
        <v>556</v>
      </c>
      <c r="FC203">
        <f t="shared" si="4"/>
        <v>0</v>
      </c>
    </row>
    <row r="204" spans="1:159" ht="17.25" thickBot="1" x14ac:dyDescent="0.3">
      <c r="A204" s="226">
        <v>45981</v>
      </c>
      <c r="B204" s="227" t="s">
        <v>197</v>
      </c>
      <c r="C204" s="227" t="s">
        <v>482</v>
      </c>
      <c r="D204" s="228">
        <v>100</v>
      </c>
      <c r="E204" s="228">
        <v>5</v>
      </c>
      <c r="F204" s="231">
        <v>4394.2</v>
      </c>
      <c r="G204" s="231">
        <v>4368.3</v>
      </c>
      <c r="H204" s="228">
        <v>25.9</v>
      </c>
      <c r="I204" s="229">
        <v>5.8999999999999999E-3</v>
      </c>
      <c r="J204" s="231">
        <v>4388.8999999999996</v>
      </c>
      <c r="K204" s="231">
        <v>4358.8999999999996</v>
      </c>
      <c r="L204" s="228">
        <v>30</v>
      </c>
      <c r="M204" s="229">
        <v>6.8999999999999999E-3</v>
      </c>
      <c r="N204" s="231">
        <v>4394.2</v>
      </c>
      <c r="O204" s="231">
        <v>4368.3</v>
      </c>
      <c r="P204" s="228">
        <v>25.9</v>
      </c>
      <c r="Q204" s="229">
        <v>5.8999999999999999E-3</v>
      </c>
      <c r="R204" s="231">
        <v>4423.2</v>
      </c>
      <c r="S204" s="231">
        <v>4397.3</v>
      </c>
      <c r="T204" s="228">
        <v>25.9</v>
      </c>
      <c r="U204" s="229">
        <v>5.8999999999999999E-3</v>
      </c>
      <c r="V204" s="231">
        <v>4455.8</v>
      </c>
      <c r="W204" s="231">
        <v>4423.2</v>
      </c>
      <c r="X204" s="228">
        <v>32.6</v>
      </c>
      <c r="Y204" s="229">
        <v>7.4000000000000003E-3</v>
      </c>
      <c r="Z204" s="228">
        <v>5.3</v>
      </c>
      <c r="AA204" s="228">
        <v>9.4</v>
      </c>
      <c r="AB204" s="228">
        <v>-4.0999999999999996</v>
      </c>
      <c r="AC204" s="229">
        <v>1.1999999999999999E-3</v>
      </c>
      <c r="AD204" s="228">
        <v>5.3</v>
      </c>
      <c r="AE204" s="228">
        <v>9.4</v>
      </c>
      <c r="AF204" s="228">
        <v>-4.0999999999999996</v>
      </c>
      <c r="AG204" s="229">
        <v>1.1999999999999999E-3</v>
      </c>
      <c r="AH204" s="228">
        <v>34.299999999999997</v>
      </c>
      <c r="AI204" s="228">
        <v>38.4</v>
      </c>
      <c r="AJ204" s="228">
        <v>-4.0999999999999996</v>
      </c>
      <c r="AK204" s="229">
        <v>7.7999999999999996E-3</v>
      </c>
      <c r="AL204" s="228">
        <v>66.900000000000006</v>
      </c>
      <c r="AM204" s="228">
        <v>64.3</v>
      </c>
      <c r="AN204" s="228">
        <v>2.6</v>
      </c>
      <c r="AO204" s="229">
        <v>1.52E-2</v>
      </c>
      <c r="AP204" s="231">
        <v>4386.55</v>
      </c>
      <c r="AQ204" s="231">
        <v>4414.76</v>
      </c>
      <c r="AR204" s="228">
        <v>0</v>
      </c>
      <c r="AS204" s="230">
        <v>1344</v>
      </c>
      <c r="AT204" s="228">
        <v>626</v>
      </c>
      <c r="AU204" s="228">
        <v>718</v>
      </c>
      <c r="AV204" s="229">
        <v>1.1465000000000001</v>
      </c>
      <c r="AW204" s="228">
        <v>692</v>
      </c>
      <c r="AX204" s="228">
        <v>371</v>
      </c>
      <c r="AY204" s="228">
        <v>321</v>
      </c>
      <c r="AZ204" s="229">
        <v>0.86370000000000002</v>
      </c>
      <c r="BA204" s="228">
        <v>641</v>
      </c>
      <c r="BB204" s="228">
        <v>247</v>
      </c>
      <c r="BC204" s="228">
        <v>395</v>
      </c>
      <c r="BD204" s="229">
        <v>1.5992</v>
      </c>
      <c r="BE204" s="228">
        <v>11</v>
      </c>
      <c r="BF204" s="228">
        <v>8</v>
      </c>
      <c r="BG204" s="228">
        <v>3</v>
      </c>
      <c r="BH204" s="229">
        <v>0.32069999999999999</v>
      </c>
      <c r="BI204" s="230">
        <v>3061</v>
      </c>
      <c r="BJ204" s="230">
        <v>2455</v>
      </c>
      <c r="BK204" s="228">
        <v>606</v>
      </c>
      <c r="BL204" s="229">
        <v>0.247</v>
      </c>
      <c r="BM204" s="228">
        <v>976</v>
      </c>
      <c r="BN204" s="228">
        <v>943</v>
      </c>
      <c r="BO204" s="228">
        <v>33</v>
      </c>
      <c r="BP204" s="229">
        <v>3.4599999999999999E-2</v>
      </c>
      <c r="BQ204" s="230">
        <v>5381</v>
      </c>
      <c r="BR204" s="230">
        <v>4024</v>
      </c>
      <c r="BS204" s="230">
        <v>1357</v>
      </c>
      <c r="BT204" s="229">
        <v>0.3372</v>
      </c>
      <c r="BU204" s="230">
        <v>524076</v>
      </c>
      <c r="BV204" s="230">
        <v>618420</v>
      </c>
      <c r="BW204" s="230">
        <v>-94344</v>
      </c>
      <c r="BX204" s="229">
        <v>-0.15260000000000001</v>
      </c>
      <c r="BY204" s="230">
        <v>3733</v>
      </c>
      <c r="BZ204" s="230">
        <v>3768</v>
      </c>
      <c r="CA204" s="228">
        <v>-35</v>
      </c>
      <c r="CB204" s="229">
        <v>-9.1999999999999998E-3</v>
      </c>
      <c r="CC204" s="230">
        <v>2647</v>
      </c>
      <c r="CD204" s="230">
        <v>3185</v>
      </c>
      <c r="CE204" s="228">
        <v>-538</v>
      </c>
      <c r="CF204" s="229">
        <v>-0.16900000000000001</v>
      </c>
      <c r="CG204" s="230">
        <v>1034</v>
      </c>
      <c r="CH204" s="228">
        <v>534</v>
      </c>
      <c r="CI204" s="228">
        <v>500</v>
      </c>
      <c r="CJ204" s="229">
        <v>0.93630000000000002</v>
      </c>
      <c r="CK204" s="228">
        <v>52</v>
      </c>
      <c r="CL204" s="228">
        <v>48</v>
      </c>
      <c r="CM204" s="228">
        <v>3</v>
      </c>
      <c r="CN204" s="229">
        <v>7.0300000000000001E-2</v>
      </c>
      <c r="CO204" s="230">
        <v>2336</v>
      </c>
      <c r="CP204" s="230">
        <v>2525</v>
      </c>
      <c r="CQ204" s="228">
        <v>-189</v>
      </c>
      <c r="CR204" s="229">
        <v>-7.4999999999999997E-2</v>
      </c>
      <c r="CS204" s="230">
        <v>1298</v>
      </c>
      <c r="CT204" s="230">
        <v>1388</v>
      </c>
      <c r="CU204" s="228">
        <v>-91</v>
      </c>
      <c r="CV204" s="229">
        <v>-6.5199999999999994E-2</v>
      </c>
      <c r="CW204" s="230">
        <v>7366</v>
      </c>
      <c r="CX204" s="230">
        <v>7681</v>
      </c>
      <c r="CY204" s="228">
        <v>-315</v>
      </c>
      <c r="CZ204" s="229">
        <v>-4.1000000000000002E-2</v>
      </c>
      <c r="DA204" s="228">
        <v>26.38</v>
      </c>
      <c r="DB204" s="228">
        <v>30.08</v>
      </c>
      <c r="DC204" s="228">
        <v>-3.7</v>
      </c>
      <c r="DD204" s="228">
        <v>-3.7</v>
      </c>
      <c r="DE204" s="228">
        <v>44.04</v>
      </c>
      <c r="DF204" s="228">
        <v>44.14</v>
      </c>
      <c r="DG204" s="228">
        <v>-17.66</v>
      </c>
      <c r="DH204" s="228">
        <v>-0.1</v>
      </c>
      <c r="DI204" s="228">
        <v>26.35</v>
      </c>
      <c r="DJ204" s="228">
        <v>30.72</v>
      </c>
      <c r="DK204" s="228">
        <v>-4.37</v>
      </c>
      <c r="DL204" s="228">
        <v>-4.37</v>
      </c>
      <c r="DM204" s="228">
        <v>26.48</v>
      </c>
      <c r="DN204" s="228">
        <v>28.41</v>
      </c>
      <c r="DO204" s="228">
        <v>-1.93</v>
      </c>
      <c r="DP204" s="228">
        <v>-1.93</v>
      </c>
      <c r="DQ204" s="228">
        <v>0.56000000000000005</v>
      </c>
      <c r="DR204" s="228">
        <v>0.55000000000000004</v>
      </c>
      <c r="DS204" s="228">
        <v>0.01</v>
      </c>
      <c r="DT204" s="229">
        <v>1.8200000000000001E-2</v>
      </c>
      <c r="DU204" s="231">
        <v>4800</v>
      </c>
      <c r="DV204" s="231">
        <v>4400</v>
      </c>
      <c r="DW204" s="228">
        <v>0.32</v>
      </c>
      <c r="DX204" s="228">
        <v>0.38</v>
      </c>
      <c r="DY204" s="228">
        <v>-0.06</v>
      </c>
      <c r="DZ204" s="229">
        <v>-0.15790000000000001</v>
      </c>
      <c r="EA204" s="229">
        <v>0.29089999999999999</v>
      </c>
      <c r="EB204" s="230">
        <v>1325200</v>
      </c>
      <c r="EC204" s="229">
        <v>6.6E-3</v>
      </c>
      <c r="ED204" s="229">
        <v>0.29089999999999999</v>
      </c>
      <c r="EE204" s="228">
        <v>28.21</v>
      </c>
      <c r="EF204" s="229">
        <v>6.4000000000000003E-3</v>
      </c>
      <c r="EG204" s="230">
        <v>282865</v>
      </c>
      <c r="EH204" s="230">
        <v>374777</v>
      </c>
      <c r="EI204" s="229">
        <v>-0.2452</v>
      </c>
      <c r="EJ204" s="229">
        <v>0.53969999999999996</v>
      </c>
      <c r="EK204" s="231">
        <v>3215.27</v>
      </c>
      <c r="EL204" s="228">
        <v>967.59</v>
      </c>
      <c r="EM204" s="231">
        <v>1346.37</v>
      </c>
      <c r="EN204" s="228">
        <v>92.6</v>
      </c>
      <c r="EO204" s="231">
        <v>5529.24</v>
      </c>
      <c r="EP204" s="231">
        <v>4137.9399999999996</v>
      </c>
      <c r="EQ204" s="231">
        <v>1391.29</v>
      </c>
      <c r="ER204" s="229">
        <v>0.3362</v>
      </c>
      <c r="ES204" s="231">
        <v>2525.2199999999998</v>
      </c>
      <c r="ET204" s="231">
        <v>1313.89</v>
      </c>
      <c r="EU204" s="231">
        <v>3740.55</v>
      </c>
      <c r="EV204" s="231">
        <v>33590487</v>
      </c>
      <c r="EW204" s="231">
        <v>7579.66</v>
      </c>
      <c r="EX204" s="231">
        <v>7879.66</v>
      </c>
      <c r="EY204" s="228">
        <v>-300</v>
      </c>
      <c r="EZ204" s="229">
        <v>-3.8100000000000002E-2</v>
      </c>
      <c r="FA204" s="229">
        <v>0.49909999999999999</v>
      </c>
      <c r="FB204" s="227" t="s">
        <v>556</v>
      </c>
      <c r="FC204">
        <f t="shared" si="4"/>
        <v>0</v>
      </c>
    </row>
    <row r="205" spans="1:159" ht="17.25" thickBot="1" x14ac:dyDescent="0.3">
      <c r="A205" s="226">
        <v>45981</v>
      </c>
      <c r="B205" s="227" t="s">
        <v>162</v>
      </c>
      <c r="C205" s="227" t="s">
        <v>300</v>
      </c>
      <c r="D205" s="228">
        <v>175</v>
      </c>
      <c r="E205" s="228">
        <v>5</v>
      </c>
      <c r="F205" s="231">
        <v>3490.9</v>
      </c>
      <c r="G205" s="231">
        <v>3476.7</v>
      </c>
      <c r="H205" s="228">
        <v>14.2</v>
      </c>
      <c r="I205" s="229">
        <v>4.1000000000000003E-3</v>
      </c>
      <c r="J205" s="231">
        <v>3486.4</v>
      </c>
      <c r="K205" s="231">
        <v>3477.7</v>
      </c>
      <c r="L205" s="228">
        <v>8.6999999999999993</v>
      </c>
      <c r="M205" s="229">
        <v>2.5000000000000001E-3</v>
      </c>
      <c r="N205" s="231">
        <v>3490.9</v>
      </c>
      <c r="O205" s="231">
        <v>3476.7</v>
      </c>
      <c r="P205" s="228">
        <v>14.2</v>
      </c>
      <c r="Q205" s="229">
        <v>4.1000000000000003E-3</v>
      </c>
      <c r="R205" s="231">
        <v>3514.7</v>
      </c>
      <c r="S205" s="231">
        <v>3500.1</v>
      </c>
      <c r="T205" s="228">
        <v>14.6</v>
      </c>
      <c r="U205" s="229">
        <v>4.1999999999999997E-3</v>
      </c>
      <c r="V205" s="231">
        <v>3536.1</v>
      </c>
      <c r="W205" s="231">
        <v>3520.6</v>
      </c>
      <c r="X205" s="228">
        <v>15.5</v>
      </c>
      <c r="Y205" s="229">
        <v>4.4000000000000003E-3</v>
      </c>
      <c r="Z205" s="228">
        <v>4.5</v>
      </c>
      <c r="AA205" s="228">
        <v>-1</v>
      </c>
      <c r="AB205" s="228">
        <v>5.5</v>
      </c>
      <c r="AC205" s="229">
        <v>1.2999999999999999E-3</v>
      </c>
      <c r="AD205" s="228">
        <v>4.5</v>
      </c>
      <c r="AE205" s="228">
        <v>-1</v>
      </c>
      <c r="AF205" s="228">
        <v>5.5</v>
      </c>
      <c r="AG205" s="229">
        <v>1.2999999999999999E-3</v>
      </c>
      <c r="AH205" s="228">
        <v>28.3</v>
      </c>
      <c r="AI205" s="228">
        <v>22.4</v>
      </c>
      <c r="AJ205" s="228">
        <v>5.9</v>
      </c>
      <c r="AK205" s="229">
        <v>8.0999999999999996E-3</v>
      </c>
      <c r="AL205" s="228">
        <v>49.7</v>
      </c>
      <c r="AM205" s="228">
        <v>42.9</v>
      </c>
      <c r="AN205" s="228">
        <v>6.8</v>
      </c>
      <c r="AO205" s="229">
        <v>1.43E-2</v>
      </c>
      <c r="AP205" s="231">
        <v>3487.23</v>
      </c>
      <c r="AQ205" s="231">
        <v>3510.53</v>
      </c>
      <c r="AR205" s="228">
        <v>0</v>
      </c>
      <c r="AS205" s="230">
        <v>1654</v>
      </c>
      <c r="AT205" s="228">
        <v>258</v>
      </c>
      <c r="AU205" s="230">
        <v>1396</v>
      </c>
      <c r="AV205" s="229">
        <v>5.4085000000000001</v>
      </c>
      <c r="AW205" s="228">
        <v>888</v>
      </c>
      <c r="AX205" s="228">
        <v>193</v>
      </c>
      <c r="AY205" s="228">
        <v>696</v>
      </c>
      <c r="AZ205" s="229">
        <v>3.6086</v>
      </c>
      <c r="BA205" s="228">
        <v>762</v>
      </c>
      <c r="BB205" s="228">
        <v>65</v>
      </c>
      <c r="BC205" s="228">
        <v>697</v>
      </c>
      <c r="BD205" s="229">
        <v>10.7715</v>
      </c>
      <c r="BE205" s="228">
        <v>4</v>
      </c>
      <c r="BF205" s="228">
        <v>1</v>
      </c>
      <c r="BG205" s="228">
        <v>4</v>
      </c>
      <c r="BH205" s="229">
        <v>5.3635999999999999</v>
      </c>
      <c r="BI205" s="230">
        <v>1793</v>
      </c>
      <c r="BJ205" s="230">
        <v>1754</v>
      </c>
      <c r="BK205" s="228">
        <v>40</v>
      </c>
      <c r="BL205" s="229">
        <v>2.2599999999999999E-2</v>
      </c>
      <c r="BM205" s="228">
        <v>580</v>
      </c>
      <c r="BN205" s="228">
        <v>597</v>
      </c>
      <c r="BO205" s="228">
        <v>-17</v>
      </c>
      <c r="BP205" s="229">
        <v>-2.8500000000000001E-2</v>
      </c>
      <c r="BQ205" s="230">
        <v>4027</v>
      </c>
      <c r="BR205" s="230">
        <v>2609</v>
      </c>
      <c r="BS205" s="230">
        <v>1419</v>
      </c>
      <c r="BT205" s="229">
        <v>0.54379999999999995</v>
      </c>
      <c r="BU205" s="230">
        <v>534323</v>
      </c>
      <c r="BV205" s="230">
        <v>658433</v>
      </c>
      <c r="BW205" s="230">
        <v>-124110</v>
      </c>
      <c r="BX205" s="229">
        <v>-0.1885</v>
      </c>
      <c r="BY205" s="230">
        <v>2830</v>
      </c>
      <c r="BZ205" s="230">
        <v>2877</v>
      </c>
      <c r="CA205" s="228">
        <v>-47</v>
      </c>
      <c r="CB205" s="229">
        <v>-1.6199999999999999E-2</v>
      </c>
      <c r="CC205" s="230">
        <v>2090</v>
      </c>
      <c r="CD205" s="230">
        <v>2763</v>
      </c>
      <c r="CE205" s="228">
        <v>-673</v>
      </c>
      <c r="CF205" s="229">
        <v>-0.24360000000000001</v>
      </c>
      <c r="CG205" s="228">
        <v>732</v>
      </c>
      <c r="CH205" s="228">
        <v>105</v>
      </c>
      <c r="CI205" s="228">
        <v>627</v>
      </c>
      <c r="CJ205" s="229">
        <v>5.9420999999999999</v>
      </c>
      <c r="CK205" s="228">
        <v>8</v>
      </c>
      <c r="CL205" s="228">
        <v>8</v>
      </c>
      <c r="CM205" s="228">
        <v>0</v>
      </c>
      <c r="CN205" s="229">
        <v>-2.9000000000000001E-2</v>
      </c>
      <c r="CO205" s="230">
        <v>1498</v>
      </c>
      <c r="CP205" s="230">
        <v>1624</v>
      </c>
      <c r="CQ205" s="228">
        <v>-127</v>
      </c>
      <c r="CR205" s="229">
        <v>-7.7899999999999997E-2</v>
      </c>
      <c r="CS205" s="228">
        <v>703</v>
      </c>
      <c r="CT205" s="228">
        <v>753</v>
      </c>
      <c r="CU205" s="228">
        <v>-50</v>
      </c>
      <c r="CV205" s="229">
        <v>-6.5799999999999997E-2</v>
      </c>
      <c r="CW205" s="230">
        <v>5031</v>
      </c>
      <c r="CX205" s="230">
        <v>5254</v>
      </c>
      <c r="CY205" s="228">
        <v>-223</v>
      </c>
      <c r="CZ205" s="229">
        <v>-4.24E-2</v>
      </c>
      <c r="DA205" s="228">
        <v>22.57</v>
      </c>
      <c r="DB205" s="228">
        <v>26.1</v>
      </c>
      <c r="DC205" s="228">
        <v>-3.53</v>
      </c>
      <c r="DD205" s="228">
        <v>-3.53</v>
      </c>
      <c r="DE205" s="228">
        <v>30.28</v>
      </c>
      <c r="DF205" s="228">
        <v>30.35</v>
      </c>
      <c r="DG205" s="228">
        <v>-7.71</v>
      </c>
      <c r="DH205" s="228">
        <v>-7.0000000000000007E-2</v>
      </c>
      <c r="DI205" s="228">
        <v>22.22</v>
      </c>
      <c r="DJ205" s="228">
        <v>26.68</v>
      </c>
      <c r="DK205" s="228">
        <v>-4.46</v>
      </c>
      <c r="DL205" s="228">
        <v>-4.46</v>
      </c>
      <c r="DM205" s="228">
        <v>23.23</v>
      </c>
      <c r="DN205" s="228">
        <v>24.39</v>
      </c>
      <c r="DO205" s="228">
        <v>-1.1599999999999999</v>
      </c>
      <c r="DP205" s="228">
        <v>-1.1599999999999999</v>
      </c>
      <c r="DQ205" s="228">
        <v>0.47</v>
      </c>
      <c r="DR205" s="228">
        <v>0.46</v>
      </c>
      <c r="DS205" s="228">
        <v>0.01</v>
      </c>
      <c r="DT205" s="229">
        <v>2.1700000000000001E-2</v>
      </c>
      <c r="DU205" s="231">
        <v>3700</v>
      </c>
      <c r="DV205" s="231">
        <v>3000</v>
      </c>
      <c r="DW205" s="228">
        <v>0.32</v>
      </c>
      <c r="DX205" s="228">
        <v>0.34</v>
      </c>
      <c r="DY205" s="228">
        <v>-0.02</v>
      </c>
      <c r="DZ205" s="229">
        <v>-5.8799999999999998E-2</v>
      </c>
      <c r="EA205" s="229">
        <v>0.26150000000000001</v>
      </c>
      <c r="EB205" s="230">
        <v>326200</v>
      </c>
      <c r="EC205" s="229">
        <v>6.7999999999999996E-3</v>
      </c>
      <c r="ED205" s="229">
        <v>0.26150000000000001</v>
      </c>
      <c r="EE205" s="228">
        <v>23.3</v>
      </c>
      <c r="EF205" s="229">
        <v>6.7000000000000002E-3</v>
      </c>
      <c r="EG205" s="230">
        <v>261470</v>
      </c>
      <c r="EH205" s="230">
        <v>447330</v>
      </c>
      <c r="EI205" s="229">
        <v>-0.41549999999999998</v>
      </c>
      <c r="EJ205" s="229">
        <v>0.48930000000000001</v>
      </c>
      <c r="EK205" s="231">
        <v>1861.66</v>
      </c>
      <c r="EL205" s="228">
        <v>572.52</v>
      </c>
      <c r="EM205" s="231">
        <v>1657.49</v>
      </c>
      <c r="EN205" s="228">
        <v>54.96</v>
      </c>
      <c r="EO205" s="231">
        <v>4091.68</v>
      </c>
      <c r="EP205" s="231">
        <v>2673.13</v>
      </c>
      <c r="EQ205" s="231">
        <v>1418.55</v>
      </c>
      <c r="ER205" s="229">
        <v>0.53069999999999995</v>
      </c>
      <c r="ES205" s="231">
        <v>1578.6</v>
      </c>
      <c r="ET205" s="228">
        <v>681.76</v>
      </c>
      <c r="EU205" s="231">
        <v>2835.31</v>
      </c>
      <c r="EV205" s="231">
        <v>35369445</v>
      </c>
      <c r="EW205" s="231">
        <v>5095.67</v>
      </c>
      <c r="EX205" s="231">
        <v>5309.35</v>
      </c>
      <c r="EY205" s="228">
        <v>-213.68</v>
      </c>
      <c r="EZ205" s="229">
        <v>-4.02E-2</v>
      </c>
      <c r="FA205" s="229">
        <v>0.40749999999999997</v>
      </c>
      <c r="FB205" s="227" t="s">
        <v>556</v>
      </c>
      <c r="FC205">
        <f t="shared" si="4"/>
        <v>0</v>
      </c>
    </row>
    <row r="206" spans="1:159" ht="17.25" thickBot="1" x14ac:dyDescent="0.3">
      <c r="A206" s="226">
        <v>45981</v>
      </c>
      <c r="B206" s="227" t="s">
        <v>157</v>
      </c>
      <c r="C206" s="227" t="s">
        <v>302</v>
      </c>
      <c r="D206" s="228">
        <v>50</v>
      </c>
      <c r="E206" s="228">
        <v>5</v>
      </c>
      <c r="F206" s="231">
        <v>11753</v>
      </c>
      <c r="G206" s="231">
        <v>11690</v>
      </c>
      <c r="H206" s="228">
        <v>63</v>
      </c>
      <c r="I206" s="229">
        <v>5.4000000000000003E-3</v>
      </c>
      <c r="J206" s="231">
        <v>11753</v>
      </c>
      <c r="K206" s="231">
        <v>11666</v>
      </c>
      <c r="L206" s="228">
        <v>87</v>
      </c>
      <c r="M206" s="229">
        <v>7.4999999999999997E-3</v>
      </c>
      <c r="N206" s="231">
        <v>11753</v>
      </c>
      <c r="O206" s="231">
        <v>11690</v>
      </c>
      <c r="P206" s="228">
        <v>63</v>
      </c>
      <c r="Q206" s="229">
        <v>5.4000000000000003E-3</v>
      </c>
      <c r="R206" s="231">
        <v>11831</v>
      </c>
      <c r="S206" s="231">
        <v>11769</v>
      </c>
      <c r="T206" s="228">
        <v>62</v>
      </c>
      <c r="U206" s="229">
        <v>5.3E-3</v>
      </c>
      <c r="V206" s="231">
        <v>11884</v>
      </c>
      <c r="W206" s="231">
        <v>11840</v>
      </c>
      <c r="X206" s="228">
        <v>44</v>
      </c>
      <c r="Y206" s="229">
        <v>3.7000000000000002E-3</v>
      </c>
      <c r="Z206" s="228">
        <v>0</v>
      </c>
      <c r="AA206" s="228">
        <v>24</v>
      </c>
      <c r="AB206" s="228">
        <v>-24</v>
      </c>
      <c r="AC206" s="229">
        <v>0</v>
      </c>
      <c r="AD206" s="228">
        <v>0</v>
      </c>
      <c r="AE206" s="228">
        <v>24</v>
      </c>
      <c r="AF206" s="228">
        <v>-24</v>
      </c>
      <c r="AG206" s="229">
        <v>0</v>
      </c>
      <c r="AH206" s="228">
        <v>78</v>
      </c>
      <c r="AI206" s="228">
        <v>103</v>
      </c>
      <c r="AJ206" s="228">
        <v>-25</v>
      </c>
      <c r="AK206" s="229">
        <v>6.6E-3</v>
      </c>
      <c r="AL206" s="228">
        <v>131</v>
      </c>
      <c r="AM206" s="228">
        <v>174</v>
      </c>
      <c r="AN206" s="228">
        <v>-43</v>
      </c>
      <c r="AO206" s="229">
        <v>1.11E-2</v>
      </c>
      <c r="AP206" s="231">
        <v>11733.75</v>
      </c>
      <c r="AQ206" s="231">
        <v>11813.85</v>
      </c>
      <c r="AR206" s="228">
        <v>0</v>
      </c>
      <c r="AS206" s="230">
        <v>1091</v>
      </c>
      <c r="AT206" s="228">
        <v>561</v>
      </c>
      <c r="AU206" s="228">
        <v>529</v>
      </c>
      <c r="AV206" s="229">
        <v>0.94289999999999996</v>
      </c>
      <c r="AW206" s="228">
        <v>598</v>
      </c>
      <c r="AX206" s="228">
        <v>364</v>
      </c>
      <c r="AY206" s="228">
        <v>233</v>
      </c>
      <c r="AZ206" s="229">
        <v>0.64129999999999998</v>
      </c>
      <c r="BA206" s="228">
        <v>489</v>
      </c>
      <c r="BB206" s="228">
        <v>193</v>
      </c>
      <c r="BC206" s="228">
        <v>296</v>
      </c>
      <c r="BD206" s="229">
        <v>1.5288999999999999</v>
      </c>
      <c r="BE206" s="228">
        <v>4</v>
      </c>
      <c r="BF206" s="228">
        <v>4</v>
      </c>
      <c r="BG206" s="228">
        <v>0</v>
      </c>
      <c r="BH206" s="229">
        <v>3.0300000000000001E-2</v>
      </c>
      <c r="BI206" s="230">
        <v>2027</v>
      </c>
      <c r="BJ206" s="230">
        <v>1862</v>
      </c>
      <c r="BK206" s="228">
        <v>165</v>
      </c>
      <c r="BL206" s="229">
        <v>8.8499999999999995E-2</v>
      </c>
      <c r="BM206" s="228">
        <v>598</v>
      </c>
      <c r="BN206" s="228">
        <v>572</v>
      </c>
      <c r="BO206" s="228">
        <v>26</v>
      </c>
      <c r="BP206" s="229">
        <v>4.6199999999999998E-2</v>
      </c>
      <c r="BQ206" s="230">
        <v>3716</v>
      </c>
      <c r="BR206" s="230">
        <v>2995</v>
      </c>
      <c r="BS206" s="228">
        <v>721</v>
      </c>
      <c r="BT206" s="229">
        <v>0.24060000000000001</v>
      </c>
      <c r="BU206" s="230">
        <v>193984</v>
      </c>
      <c r="BV206" s="230">
        <v>273825</v>
      </c>
      <c r="BW206" s="230">
        <v>-79841</v>
      </c>
      <c r="BX206" s="229">
        <v>-0.29160000000000003</v>
      </c>
      <c r="BY206" s="230">
        <v>2980</v>
      </c>
      <c r="BZ206" s="230">
        <v>2973</v>
      </c>
      <c r="CA206" s="228">
        <v>7</v>
      </c>
      <c r="CB206" s="229">
        <v>2.2000000000000001E-3</v>
      </c>
      <c r="CC206" s="230">
        <v>2129</v>
      </c>
      <c r="CD206" s="230">
        <v>2569</v>
      </c>
      <c r="CE206" s="228">
        <v>-440</v>
      </c>
      <c r="CF206" s="229">
        <v>-0.1711</v>
      </c>
      <c r="CG206" s="228">
        <v>838</v>
      </c>
      <c r="CH206" s="228">
        <v>393</v>
      </c>
      <c r="CI206" s="228">
        <v>444</v>
      </c>
      <c r="CJ206" s="229">
        <v>1.1299999999999999</v>
      </c>
      <c r="CK206" s="228">
        <v>13</v>
      </c>
      <c r="CL206" s="228">
        <v>11</v>
      </c>
      <c r="CM206" s="228">
        <v>2</v>
      </c>
      <c r="CN206" s="229">
        <v>0.16300000000000001</v>
      </c>
      <c r="CO206" s="230">
        <v>1285</v>
      </c>
      <c r="CP206" s="230">
        <v>1556</v>
      </c>
      <c r="CQ206" s="228">
        <v>-271</v>
      </c>
      <c r="CR206" s="229">
        <v>-0.17419999999999999</v>
      </c>
      <c r="CS206" s="228">
        <v>584</v>
      </c>
      <c r="CT206" s="228">
        <v>638</v>
      </c>
      <c r="CU206" s="228">
        <v>-54</v>
      </c>
      <c r="CV206" s="229">
        <v>-8.5000000000000006E-2</v>
      </c>
      <c r="CW206" s="230">
        <v>4849</v>
      </c>
      <c r="CX206" s="230">
        <v>5167</v>
      </c>
      <c r="CY206" s="228">
        <v>-319</v>
      </c>
      <c r="CZ206" s="229">
        <v>-6.1699999999999998E-2</v>
      </c>
      <c r="DA206" s="228">
        <v>17.23</v>
      </c>
      <c r="DB206" s="228">
        <v>19.75</v>
      </c>
      <c r="DC206" s="228">
        <v>-2.52</v>
      </c>
      <c r="DD206" s="228">
        <v>-2.52</v>
      </c>
      <c r="DE206" s="228">
        <v>24.54</v>
      </c>
      <c r="DF206" s="228">
        <v>24.58</v>
      </c>
      <c r="DG206" s="228">
        <v>-7.31</v>
      </c>
      <c r="DH206" s="228">
        <v>-0.04</v>
      </c>
      <c r="DI206" s="228">
        <v>17.329999999999998</v>
      </c>
      <c r="DJ206" s="228">
        <v>20.3</v>
      </c>
      <c r="DK206" s="228">
        <v>-2.97</v>
      </c>
      <c r="DL206" s="228">
        <v>-2.97</v>
      </c>
      <c r="DM206" s="228">
        <v>16.84</v>
      </c>
      <c r="DN206" s="228">
        <v>17.95</v>
      </c>
      <c r="DO206" s="228">
        <v>-1.1100000000000001</v>
      </c>
      <c r="DP206" s="228">
        <v>-1.1100000000000001</v>
      </c>
      <c r="DQ206" s="228">
        <v>0.45</v>
      </c>
      <c r="DR206" s="228">
        <v>0.41</v>
      </c>
      <c r="DS206" s="228">
        <v>0.04</v>
      </c>
      <c r="DT206" s="229">
        <v>9.7600000000000006E-2</v>
      </c>
      <c r="DU206" s="231">
        <v>12000</v>
      </c>
      <c r="DV206" s="231">
        <v>11000</v>
      </c>
      <c r="DW206" s="228">
        <v>0.3</v>
      </c>
      <c r="DX206" s="228">
        <v>0.31</v>
      </c>
      <c r="DY206" s="228">
        <v>-0.01</v>
      </c>
      <c r="DZ206" s="229">
        <v>-3.2300000000000002E-2</v>
      </c>
      <c r="EA206" s="229">
        <v>0.28539999999999999</v>
      </c>
      <c r="EB206" s="230">
        <v>343900</v>
      </c>
      <c r="EC206" s="229">
        <v>6.6E-3</v>
      </c>
      <c r="ED206" s="229">
        <v>0.28539999999999999</v>
      </c>
      <c r="EE206" s="228">
        <v>80.099999999999994</v>
      </c>
      <c r="EF206" s="229">
        <v>6.7999999999999996E-3</v>
      </c>
      <c r="EG206" s="230">
        <v>132402</v>
      </c>
      <c r="EH206" s="230">
        <v>207360</v>
      </c>
      <c r="EI206" s="229">
        <v>-0.36149999999999999</v>
      </c>
      <c r="EJ206" s="229">
        <v>0.6825</v>
      </c>
      <c r="EK206" s="231">
        <v>2088.77</v>
      </c>
      <c r="EL206" s="228">
        <v>596.46</v>
      </c>
      <c r="EM206" s="231">
        <v>1092.3399999999999</v>
      </c>
      <c r="EN206" s="228">
        <v>68.28</v>
      </c>
      <c r="EO206" s="231">
        <v>3777.57</v>
      </c>
      <c r="EP206" s="231">
        <v>3050.05</v>
      </c>
      <c r="EQ206" s="228">
        <v>727.52</v>
      </c>
      <c r="ER206" s="229">
        <v>0.23849999999999999</v>
      </c>
      <c r="ES206" s="231">
        <v>1348.53</v>
      </c>
      <c r="ET206" s="228">
        <v>578.73</v>
      </c>
      <c r="EU206" s="231">
        <v>2985.5</v>
      </c>
      <c r="EV206" s="231">
        <v>11962066</v>
      </c>
      <c r="EW206" s="231">
        <v>4912.76</v>
      </c>
      <c r="EX206" s="231">
        <v>5225.1899999999996</v>
      </c>
      <c r="EY206" s="228">
        <v>-312.43</v>
      </c>
      <c r="EZ206" s="229">
        <v>-5.9799999999999999E-2</v>
      </c>
      <c r="FA206" s="229">
        <v>0.34489999999999998</v>
      </c>
      <c r="FB206" s="227" t="s">
        <v>555</v>
      </c>
      <c r="FC206">
        <f t="shared" si="4"/>
        <v>0</v>
      </c>
    </row>
    <row r="207" spans="1:159" ht="17.25" thickBot="1" x14ac:dyDescent="0.3">
      <c r="A207" s="226">
        <v>45981</v>
      </c>
      <c r="B207" s="227" t="s">
        <v>172</v>
      </c>
      <c r="C207" s="227" t="s">
        <v>593</v>
      </c>
      <c r="D207" s="228">
        <v>4425</v>
      </c>
      <c r="E207" s="228">
        <v>5</v>
      </c>
      <c r="F207" s="228">
        <v>153.12</v>
      </c>
      <c r="G207" s="228">
        <v>154.82</v>
      </c>
      <c r="H207" s="228">
        <v>-1.7</v>
      </c>
      <c r="I207" s="229">
        <v>-1.0999999999999999E-2</v>
      </c>
      <c r="J207" s="228">
        <v>153.19</v>
      </c>
      <c r="K207" s="228">
        <v>154.47999999999999</v>
      </c>
      <c r="L207" s="228">
        <v>-1.29</v>
      </c>
      <c r="M207" s="229">
        <v>-8.3999999999999995E-3</v>
      </c>
      <c r="N207" s="228">
        <v>153.12</v>
      </c>
      <c r="O207" s="228">
        <v>154.82</v>
      </c>
      <c r="P207" s="228">
        <v>-1.7</v>
      </c>
      <c r="Q207" s="229">
        <v>-1.0999999999999999E-2</v>
      </c>
      <c r="R207" s="228">
        <v>154.15</v>
      </c>
      <c r="S207" s="228">
        <v>155.79</v>
      </c>
      <c r="T207" s="228">
        <v>-1.64</v>
      </c>
      <c r="U207" s="229">
        <v>-1.0500000000000001E-2</v>
      </c>
      <c r="V207" s="228">
        <v>154.85</v>
      </c>
      <c r="W207" s="228">
        <v>156.56</v>
      </c>
      <c r="X207" s="228">
        <v>-1.71</v>
      </c>
      <c r="Y207" s="229">
        <v>-1.09E-2</v>
      </c>
      <c r="Z207" s="228">
        <v>-7.0000000000000007E-2</v>
      </c>
      <c r="AA207" s="228">
        <v>0.34</v>
      </c>
      <c r="AB207" s="228">
        <v>-0.41</v>
      </c>
      <c r="AC207" s="229">
        <v>-5.0000000000000001E-4</v>
      </c>
      <c r="AD207" s="228">
        <v>-7.0000000000000007E-2</v>
      </c>
      <c r="AE207" s="228">
        <v>0.34</v>
      </c>
      <c r="AF207" s="228">
        <v>-0.41</v>
      </c>
      <c r="AG207" s="229">
        <v>-5.0000000000000001E-4</v>
      </c>
      <c r="AH207" s="228">
        <v>0.96</v>
      </c>
      <c r="AI207" s="228">
        <v>1.31</v>
      </c>
      <c r="AJ207" s="228">
        <v>-0.35</v>
      </c>
      <c r="AK207" s="229">
        <v>6.3E-3</v>
      </c>
      <c r="AL207" s="228">
        <v>1.66</v>
      </c>
      <c r="AM207" s="228">
        <v>2.08</v>
      </c>
      <c r="AN207" s="228">
        <v>-0.42</v>
      </c>
      <c r="AO207" s="229">
        <v>1.0800000000000001E-2</v>
      </c>
      <c r="AP207" s="228">
        <v>154.4</v>
      </c>
      <c r="AQ207" s="228">
        <v>155.47999999999999</v>
      </c>
      <c r="AR207" s="228">
        <v>0</v>
      </c>
      <c r="AS207" s="228">
        <v>707</v>
      </c>
      <c r="AT207" s="228">
        <v>260</v>
      </c>
      <c r="AU207" s="228">
        <v>447</v>
      </c>
      <c r="AV207" s="229">
        <v>1.716</v>
      </c>
      <c r="AW207" s="228">
        <v>366</v>
      </c>
      <c r="AX207" s="228">
        <v>159</v>
      </c>
      <c r="AY207" s="228">
        <v>207</v>
      </c>
      <c r="AZ207" s="229">
        <v>1.3028999999999999</v>
      </c>
      <c r="BA207" s="228">
        <v>335</v>
      </c>
      <c r="BB207" s="228">
        <v>91</v>
      </c>
      <c r="BC207" s="228">
        <v>244</v>
      </c>
      <c r="BD207" s="229">
        <v>2.6802999999999999</v>
      </c>
      <c r="BE207" s="228">
        <v>6</v>
      </c>
      <c r="BF207" s="228">
        <v>10</v>
      </c>
      <c r="BG207" s="228">
        <v>-5</v>
      </c>
      <c r="BH207" s="229">
        <v>-0.44740000000000002</v>
      </c>
      <c r="BI207" s="228">
        <v>656</v>
      </c>
      <c r="BJ207" s="228">
        <v>822</v>
      </c>
      <c r="BK207" s="228">
        <v>-166</v>
      </c>
      <c r="BL207" s="229">
        <v>-0.20180000000000001</v>
      </c>
      <c r="BM207" s="228">
        <v>283</v>
      </c>
      <c r="BN207" s="228">
        <v>336</v>
      </c>
      <c r="BO207" s="228">
        <v>-54</v>
      </c>
      <c r="BP207" s="229">
        <v>-0.15959999999999999</v>
      </c>
      <c r="BQ207" s="230">
        <v>1645</v>
      </c>
      <c r="BR207" s="230">
        <v>1418</v>
      </c>
      <c r="BS207" s="228">
        <v>227</v>
      </c>
      <c r="BT207" s="229">
        <v>0.16009999999999999</v>
      </c>
      <c r="BU207" s="230">
        <v>6433833</v>
      </c>
      <c r="BV207" s="230">
        <v>10208403</v>
      </c>
      <c r="BW207" s="230">
        <v>-3774570</v>
      </c>
      <c r="BX207" s="229">
        <v>-0.36980000000000002</v>
      </c>
      <c r="BY207" s="230">
        <v>1402</v>
      </c>
      <c r="BZ207" s="230">
        <v>1400</v>
      </c>
      <c r="CA207" s="228">
        <v>1</v>
      </c>
      <c r="CB207" s="229">
        <v>1E-3</v>
      </c>
      <c r="CC207" s="228">
        <v>932</v>
      </c>
      <c r="CD207" s="230">
        <v>1174</v>
      </c>
      <c r="CE207" s="228">
        <v>-242</v>
      </c>
      <c r="CF207" s="229">
        <v>-0.20599999999999999</v>
      </c>
      <c r="CG207" s="228">
        <v>443</v>
      </c>
      <c r="CH207" s="228">
        <v>203</v>
      </c>
      <c r="CI207" s="228">
        <v>240</v>
      </c>
      <c r="CJ207" s="229">
        <v>1.1859999999999999</v>
      </c>
      <c r="CK207" s="228">
        <v>27</v>
      </c>
      <c r="CL207" s="228">
        <v>24</v>
      </c>
      <c r="CM207" s="228">
        <v>3</v>
      </c>
      <c r="CN207" s="229">
        <v>0.12609999999999999</v>
      </c>
      <c r="CO207" s="228">
        <v>570</v>
      </c>
      <c r="CP207" s="228">
        <v>614</v>
      </c>
      <c r="CQ207" s="228">
        <v>-44</v>
      </c>
      <c r="CR207" s="229">
        <v>-7.2099999999999997E-2</v>
      </c>
      <c r="CS207" s="228">
        <v>432</v>
      </c>
      <c r="CT207" s="228">
        <v>440</v>
      </c>
      <c r="CU207" s="228">
        <v>-8</v>
      </c>
      <c r="CV207" s="229">
        <v>-1.9199999999999998E-2</v>
      </c>
      <c r="CW207" s="230">
        <v>2403</v>
      </c>
      <c r="CX207" s="230">
        <v>2454</v>
      </c>
      <c r="CY207" s="228">
        <v>-51</v>
      </c>
      <c r="CZ207" s="229">
        <v>-2.0899999999999998E-2</v>
      </c>
      <c r="DA207" s="228">
        <v>28.98</v>
      </c>
      <c r="DB207" s="228">
        <v>31.45</v>
      </c>
      <c r="DC207" s="228">
        <v>-2.4700000000000002</v>
      </c>
      <c r="DD207" s="228">
        <v>-2.4700000000000002</v>
      </c>
      <c r="DE207" s="228">
        <v>41.79</v>
      </c>
      <c r="DF207" s="228">
        <v>41.86</v>
      </c>
      <c r="DG207" s="228">
        <v>-12.81</v>
      </c>
      <c r="DH207" s="228">
        <v>-7.0000000000000007E-2</v>
      </c>
      <c r="DI207" s="228">
        <v>29.12</v>
      </c>
      <c r="DJ207" s="228">
        <v>30.19</v>
      </c>
      <c r="DK207" s="228">
        <v>-1.07</v>
      </c>
      <c r="DL207" s="228">
        <v>-1.07</v>
      </c>
      <c r="DM207" s="228">
        <v>28.77</v>
      </c>
      <c r="DN207" s="228">
        <v>34.549999999999997</v>
      </c>
      <c r="DO207" s="228">
        <v>-5.78</v>
      </c>
      <c r="DP207" s="228">
        <v>-5.78</v>
      </c>
      <c r="DQ207" s="228">
        <v>0.76</v>
      </c>
      <c r="DR207" s="228">
        <v>0.72</v>
      </c>
      <c r="DS207" s="228">
        <v>0.04</v>
      </c>
      <c r="DT207" s="229">
        <v>5.5599999999999997E-2</v>
      </c>
      <c r="DU207" s="228">
        <v>155</v>
      </c>
      <c r="DV207" s="228">
        <v>140</v>
      </c>
      <c r="DW207" s="228">
        <v>0.43</v>
      </c>
      <c r="DX207" s="228">
        <v>0.41</v>
      </c>
      <c r="DY207" s="228">
        <v>0.02</v>
      </c>
      <c r="DZ207" s="229">
        <v>4.8800000000000003E-2</v>
      </c>
      <c r="EA207" s="229">
        <v>0.33500000000000002</v>
      </c>
      <c r="EB207" s="230">
        <v>14775075</v>
      </c>
      <c r="EC207" s="229">
        <v>6.7000000000000002E-3</v>
      </c>
      <c r="ED207" s="229">
        <v>0.33500000000000002</v>
      </c>
      <c r="EE207" s="228">
        <v>1.08</v>
      </c>
      <c r="EF207" s="229">
        <v>7.0000000000000001E-3</v>
      </c>
      <c r="EG207" s="230">
        <v>2413811</v>
      </c>
      <c r="EH207" s="230">
        <v>4130690</v>
      </c>
      <c r="EI207" s="229">
        <v>-0.41560000000000002</v>
      </c>
      <c r="EJ207" s="229">
        <v>0.37519999999999998</v>
      </c>
      <c r="EK207" s="228">
        <v>683.61</v>
      </c>
      <c r="EL207" s="228">
        <v>272.93</v>
      </c>
      <c r="EM207" s="228">
        <v>715.15</v>
      </c>
      <c r="EN207" s="228">
        <v>38.03</v>
      </c>
      <c r="EO207" s="231">
        <v>1671.69</v>
      </c>
      <c r="EP207" s="231">
        <v>1439.59</v>
      </c>
      <c r="EQ207" s="228">
        <v>232.1</v>
      </c>
      <c r="ER207" s="229">
        <v>0.16120000000000001</v>
      </c>
      <c r="ES207" s="228">
        <v>583.78</v>
      </c>
      <c r="ET207" s="228">
        <v>409.46</v>
      </c>
      <c r="EU207" s="231">
        <v>1404.8</v>
      </c>
      <c r="EV207" s="231">
        <v>289041713</v>
      </c>
      <c r="EW207" s="231">
        <v>2398.0500000000002</v>
      </c>
      <c r="EX207" s="231">
        <v>2462.96</v>
      </c>
      <c r="EY207" s="228">
        <v>-64.91</v>
      </c>
      <c r="EZ207" s="229">
        <v>-2.64E-2</v>
      </c>
      <c r="FA207" s="229">
        <v>0.54290000000000005</v>
      </c>
      <c r="FB207" s="227" t="s">
        <v>567</v>
      </c>
      <c r="FC207">
        <f t="shared" si="4"/>
        <v>0</v>
      </c>
    </row>
    <row r="208" spans="1:159" ht="17.25" thickBot="1" x14ac:dyDescent="0.3">
      <c r="A208" s="226">
        <v>45981</v>
      </c>
      <c r="B208" s="227" t="s">
        <v>168</v>
      </c>
      <c r="C208" s="227" t="s">
        <v>569</v>
      </c>
      <c r="D208" s="228">
        <v>400</v>
      </c>
      <c r="E208" s="228">
        <v>5</v>
      </c>
      <c r="F208" s="231">
        <v>1415.8</v>
      </c>
      <c r="G208" s="231">
        <v>1414.4</v>
      </c>
      <c r="H208" s="228">
        <v>1.4</v>
      </c>
      <c r="I208" s="229">
        <v>1E-3</v>
      </c>
      <c r="J208" s="231">
        <v>1416.2</v>
      </c>
      <c r="K208" s="231">
        <v>1411.7</v>
      </c>
      <c r="L208" s="228">
        <v>4.5</v>
      </c>
      <c r="M208" s="229">
        <v>3.2000000000000002E-3</v>
      </c>
      <c r="N208" s="231">
        <v>1415.8</v>
      </c>
      <c r="O208" s="231">
        <v>1414.4</v>
      </c>
      <c r="P208" s="228">
        <v>1.4</v>
      </c>
      <c r="Q208" s="229">
        <v>1E-3</v>
      </c>
      <c r="R208" s="231">
        <v>1425.4</v>
      </c>
      <c r="S208" s="231">
        <v>1424.1</v>
      </c>
      <c r="T208" s="228">
        <v>1.3</v>
      </c>
      <c r="U208" s="229">
        <v>8.9999999999999998E-4</v>
      </c>
      <c r="V208" s="231">
        <v>1434.1</v>
      </c>
      <c r="W208" s="231">
        <v>1432.8</v>
      </c>
      <c r="X208" s="228">
        <v>1.3</v>
      </c>
      <c r="Y208" s="229">
        <v>8.9999999999999998E-4</v>
      </c>
      <c r="Z208" s="228">
        <v>-0.4</v>
      </c>
      <c r="AA208" s="228">
        <v>2.7</v>
      </c>
      <c r="AB208" s="228">
        <v>-3.1</v>
      </c>
      <c r="AC208" s="229">
        <v>-2.9999999999999997E-4</v>
      </c>
      <c r="AD208" s="228">
        <v>-0.4</v>
      </c>
      <c r="AE208" s="228">
        <v>2.7</v>
      </c>
      <c r="AF208" s="228">
        <v>-3.1</v>
      </c>
      <c r="AG208" s="229">
        <v>-2.9999999999999997E-4</v>
      </c>
      <c r="AH208" s="228">
        <v>9.1999999999999993</v>
      </c>
      <c r="AI208" s="228">
        <v>12.4</v>
      </c>
      <c r="AJ208" s="228">
        <v>-3.2</v>
      </c>
      <c r="AK208" s="229">
        <v>6.4999999999999997E-3</v>
      </c>
      <c r="AL208" s="228">
        <v>17.899999999999999</v>
      </c>
      <c r="AM208" s="228">
        <v>21.1</v>
      </c>
      <c r="AN208" s="228">
        <v>-3.2</v>
      </c>
      <c r="AO208" s="229">
        <v>1.26E-2</v>
      </c>
      <c r="AP208" s="231">
        <v>1423.58</v>
      </c>
      <c r="AQ208" s="231">
        <v>1433.77</v>
      </c>
      <c r="AR208" s="228">
        <v>0</v>
      </c>
      <c r="AS208" s="228">
        <v>903</v>
      </c>
      <c r="AT208" s="228">
        <v>241</v>
      </c>
      <c r="AU208" s="228">
        <v>662</v>
      </c>
      <c r="AV208" s="229">
        <v>2.7530000000000001</v>
      </c>
      <c r="AW208" s="228">
        <v>489</v>
      </c>
      <c r="AX208" s="228">
        <v>160</v>
      </c>
      <c r="AY208" s="228">
        <v>330</v>
      </c>
      <c r="AZ208" s="229">
        <v>2.0682</v>
      </c>
      <c r="BA208" s="228">
        <v>411</v>
      </c>
      <c r="BB208" s="228">
        <v>77</v>
      </c>
      <c r="BC208" s="228">
        <v>334</v>
      </c>
      <c r="BD208" s="229">
        <v>4.3375000000000004</v>
      </c>
      <c r="BE208" s="228">
        <v>2</v>
      </c>
      <c r="BF208" s="228">
        <v>4</v>
      </c>
      <c r="BG208" s="228">
        <v>-2</v>
      </c>
      <c r="BH208" s="229">
        <v>-0.47139999999999999</v>
      </c>
      <c r="BI208" s="228">
        <v>783</v>
      </c>
      <c r="BJ208" s="228">
        <v>760</v>
      </c>
      <c r="BK208" s="228">
        <v>23</v>
      </c>
      <c r="BL208" s="229">
        <v>3.0499999999999999E-2</v>
      </c>
      <c r="BM208" s="228">
        <v>248</v>
      </c>
      <c r="BN208" s="228">
        <v>391</v>
      </c>
      <c r="BO208" s="228">
        <v>-143</v>
      </c>
      <c r="BP208" s="229">
        <v>-0.36620000000000003</v>
      </c>
      <c r="BQ208" s="230">
        <v>1934</v>
      </c>
      <c r="BR208" s="230">
        <v>1392</v>
      </c>
      <c r="BS208" s="228">
        <v>542</v>
      </c>
      <c r="BT208" s="229">
        <v>0.38940000000000002</v>
      </c>
      <c r="BU208" s="230">
        <v>575668</v>
      </c>
      <c r="BV208" s="230">
        <v>490970</v>
      </c>
      <c r="BW208" s="230">
        <v>84698</v>
      </c>
      <c r="BX208" s="229">
        <v>0.17249999999999999</v>
      </c>
      <c r="BY208" s="230">
        <v>2058</v>
      </c>
      <c r="BZ208" s="230">
        <v>2090</v>
      </c>
      <c r="CA208" s="228">
        <v>-32</v>
      </c>
      <c r="CB208" s="229">
        <v>-1.54E-2</v>
      </c>
      <c r="CC208" s="230">
        <v>1543</v>
      </c>
      <c r="CD208" s="230">
        <v>1929</v>
      </c>
      <c r="CE208" s="228">
        <v>-386</v>
      </c>
      <c r="CF208" s="229">
        <v>-0.20030000000000001</v>
      </c>
      <c r="CG208" s="228">
        <v>506</v>
      </c>
      <c r="CH208" s="228">
        <v>153</v>
      </c>
      <c r="CI208" s="228">
        <v>353</v>
      </c>
      <c r="CJ208" s="229">
        <v>2.3085</v>
      </c>
      <c r="CK208" s="228">
        <v>9</v>
      </c>
      <c r="CL208" s="228">
        <v>8</v>
      </c>
      <c r="CM208" s="228">
        <v>1</v>
      </c>
      <c r="CN208" s="229">
        <v>9.6600000000000005E-2</v>
      </c>
      <c r="CO208" s="228">
        <v>867</v>
      </c>
      <c r="CP208" s="228">
        <v>972</v>
      </c>
      <c r="CQ208" s="228">
        <v>-104</v>
      </c>
      <c r="CR208" s="229">
        <v>-0.1071</v>
      </c>
      <c r="CS208" s="228">
        <v>499</v>
      </c>
      <c r="CT208" s="228">
        <v>524</v>
      </c>
      <c r="CU208" s="228">
        <v>-25</v>
      </c>
      <c r="CV208" s="229">
        <v>-4.8000000000000001E-2</v>
      </c>
      <c r="CW208" s="230">
        <v>3424</v>
      </c>
      <c r="CX208" s="230">
        <v>3586</v>
      </c>
      <c r="CY208" s="228">
        <v>-162</v>
      </c>
      <c r="CZ208" s="229">
        <v>-4.4999999999999998E-2</v>
      </c>
      <c r="DA208" s="228">
        <v>19.989999999999998</v>
      </c>
      <c r="DB208" s="228">
        <v>26.37</v>
      </c>
      <c r="DC208" s="228">
        <v>-6.38</v>
      </c>
      <c r="DD208" s="228">
        <v>-6.38</v>
      </c>
      <c r="DE208" s="228">
        <v>27.71</v>
      </c>
      <c r="DF208" s="228">
        <v>27.77</v>
      </c>
      <c r="DG208" s="228">
        <v>-7.72</v>
      </c>
      <c r="DH208" s="228">
        <v>-0.06</v>
      </c>
      <c r="DI208" s="228">
        <v>20.010000000000002</v>
      </c>
      <c r="DJ208" s="228">
        <v>26.1</v>
      </c>
      <c r="DK208" s="228">
        <v>-6.09</v>
      </c>
      <c r="DL208" s="228">
        <v>-6.09</v>
      </c>
      <c r="DM208" s="228">
        <v>19.940000000000001</v>
      </c>
      <c r="DN208" s="228">
        <v>26.9</v>
      </c>
      <c r="DO208" s="228">
        <v>-6.96</v>
      </c>
      <c r="DP208" s="228">
        <v>-6.96</v>
      </c>
      <c r="DQ208" s="228">
        <v>0.56999999999999995</v>
      </c>
      <c r="DR208" s="228">
        <v>0.54</v>
      </c>
      <c r="DS208" s="228">
        <v>0.03</v>
      </c>
      <c r="DT208" s="229">
        <v>5.5599999999999997E-2</v>
      </c>
      <c r="DU208" s="231">
        <v>1500</v>
      </c>
      <c r="DV208" s="231">
        <v>1400</v>
      </c>
      <c r="DW208" s="228">
        <v>0.32</v>
      </c>
      <c r="DX208" s="228">
        <v>0.52</v>
      </c>
      <c r="DY208" s="228">
        <v>-0.2</v>
      </c>
      <c r="DZ208" s="229">
        <v>-0.3846</v>
      </c>
      <c r="EA208" s="229">
        <v>0.2505</v>
      </c>
      <c r="EB208" s="230">
        <v>1139200</v>
      </c>
      <c r="EC208" s="229">
        <v>6.7999999999999996E-3</v>
      </c>
      <c r="ED208" s="229">
        <v>0.2505</v>
      </c>
      <c r="EE208" s="228">
        <v>10.19</v>
      </c>
      <c r="EF208" s="229">
        <v>7.1999999999999998E-3</v>
      </c>
      <c r="EG208" s="230">
        <v>288869</v>
      </c>
      <c r="EH208" s="230">
        <v>289707</v>
      </c>
      <c r="EI208" s="229">
        <v>-2.8999999999999998E-3</v>
      </c>
      <c r="EJ208" s="229">
        <v>0.50180000000000002</v>
      </c>
      <c r="EK208" s="228">
        <v>815.41</v>
      </c>
      <c r="EL208" s="228">
        <v>246.05</v>
      </c>
      <c r="EM208" s="228">
        <v>910.6</v>
      </c>
      <c r="EN208" s="228">
        <v>34.61</v>
      </c>
      <c r="EO208" s="231">
        <v>1972.06</v>
      </c>
      <c r="EP208" s="231">
        <v>1432.09</v>
      </c>
      <c r="EQ208" s="228">
        <v>539.97</v>
      </c>
      <c r="ER208" s="229">
        <v>0.377</v>
      </c>
      <c r="ES208" s="228">
        <v>900.22</v>
      </c>
      <c r="ET208" s="228">
        <v>493.79</v>
      </c>
      <c r="EU208" s="231">
        <v>2061.56</v>
      </c>
      <c r="EV208" s="231">
        <v>47269416</v>
      </c>
      <c r="EW208" s="231">
        <v>3455.57</v>
      </c>
      <c r="EX208" s="231">
        <v>3616.3</v>
      </c>
      <c r="EY208" s="228">
        <v>-160.72999999999999</v>
      </c>
      <c r="EZ208" s="229">
        <v>-4.4400000000000002E-2</v>
      </c>
      <c r="FA208" s="229">
        <v>0.51170000000000004</v>
      </c>
      <c r="FB208" s="227" t="s">
        <v>556</v>
      </c>
      <c r="FC208">
        <f t="shared" si="4"/>
        <v>0</v>
      </c>
    </row>
    <row r="209" spans="1:159" ht="17.25" thickBot="1" x14ac:dyDescent="0.3">
      <c r="A209" s="226">
        <v>45981</v>
      </c>
      <c r="B209" s="227" t="s">
        <v>162</v>
      </c>
      <c r="C209" s="227" t="s">
        <v>675</v>
      </c>
      <c r="D209" s="228">
        <v>550</v>
      </c>
      <c r="E209" s="228">
        <v>5</v>
      </c>
      <c r="F209" s="231">
        <v>1294.3</v>
      </c>
      <c r="G209" s="231">
        <v>1309.5999999999999</v>
      </c>
      <c r="H209" s="228">
        <v>-15.3</v>
      </c>
      <c r="I209" s="229">
        <v>-1.17E-2</v>
      </c>
      <c r="J209" s="231">
        <v>1298</v>
      </c>
      <c r="K209" s="231">
        <v>1305.0999999999999</v>
      </c>
      <c r="L209" s="228">
        <v>-7.1</v>
      </c>
      <c r="M209" s="229">
        <v>-5.4000000000000003E-3</v>
      </c>
      <c r="N209" s="231">
        <v>1294.3</v>
      </c>
      <c r="O209" s="231">
        <v>1309.5999999999999</v>
      </c>
      <c r="P209" s="228">
        <v>-15.3</v>
      </c>
      <c r="Q209" s="229">
        <v>-1.17E-2</v>
      </c>
      <c r="R209" s="231">
        <v>1300</v>
      </c>
      <c r="S209" s="231">
        <v>1315.7</v>
      </c>
      <c r="T209" s="228">
        <v>-15.7</v>
      </c>
      <c r="U209" s="229">
        <v>-1.1900000000000001E-2</v>
      </c>
      <c r="V209" s="231">
        <v>1309</v>
      </c>
      <c r="W209" s="231">
        <v>1320</v>
      </c>
      <c r="X209" s="228">
        <v>-11</v>
      </c>
      <c r="Y209" s="229">
        <v>-8.3000000000000001E-3</v>
      </c>
      <c r="Z209" s="228">
        <v>-3.7</v>
      </c>
      <c r="AA209" s="228">
        <v>4.5</v>
      </c>
      <c r="AB209" s="228">
        <v>-8.1999999999999993</v>
      </c>
      <c r="AC209" s="229">
        <v>-2.8999999999999998E-3</v>
      </c>
      <c r="AD209" s="228">
        <v>-3.7</v>
      </c>
      <c r="AE209" s="228">
        <v>4.5</v>
      </c>
      <c r="AF209" s="228">
        <v>-8.1999999999999993</v>
      </c>
      <c r="AG209" s="229">
        <v>-2.8999999999999998E-3</v>
      </c>
      <c r="AH209" s="228">
        <v>2</v>
      </c>
      <c r="AI209" s="228">
        <v>10.6</v>
      </c>
      <c r="AJ209" s="228">
        <v>-8.6</v>
      </c>
      <c r="AK209" s="229">
        <v>1.5E-3</v>
      </c>
      <c r="AL209" s="228">
        <v>11</v>
      </c>
      <c r="AM209" s="228">
        <v>14.9</v>
      </c>
      <c r="AN209" s="228">
        <v>-3.9</v>
      </c>
      <c r="AO209" s="229">
        <v>8.5000000000000006E-3</v>
      </c>
      <c r="AP209" s="231">
        <v>1296.93</v>
      </c>
      <c r="AQ209" s="231">
        <v>1304.05</v>
      </c>
      <c r="AR209" s="228">
        <v>0</v>
      </c>
      <c r="AS209" s="228">
        <v>365</v>
      </c>
      <c r="AT209" s="228">
        <v>66</v>
      </c>
      <c r="AU209" s="228">
        <v>299</v>
      </c>
      <c r="AV209" s="229">
        <v>4.5301999999999998</v>
      </c>
      <c r="AW209" s="228">
        <v>183</v>
      </c>
      <c r="AX209" s="228">
        <v>53</v>
      </c>
      <c r="AY209" s="228">
        <v>130</v>
      </c>
      <c r="AZ209" s="229">
        <v>2.4443999999999999</v>
      </c>
      <c r="BA209" s="228">
        <v>181</v>
      </c>
      <c r="BB209" s="228">
        <v>12</v>
      </c>
      <c r="BC209" s="228">
        <v>169</v>
      </c>
      <c r="BD209" s="229">
        <v>13.790699999999999</v>
      </c>
      <c r="BE209" s="228">
        <v>0</v>
      </c>
      <c r="BF209" s="228">
        <v>0</v>
      </c>
      <c r="BG209" s="228">
        <v>0</v>
      </c>
      <c r="BH209" s="229">
        <v>-0.42859999999999998</v>
      </c>
      <c r="BI209" s="228">
        <v>330</v>
      </c>
      <c r="BJ209" s="228">
        <v>406</v>
      </c>
      <c r="BK209" s="228">
        <v>-76</v>
      </c>
      <c r="BL209" s="229">
        <v>-0.18709999999999999</v>
      </c>
      <c r="BM209" s="228">
        <v>105</v>
      </c>
      <c r="BN209" s="228">
        <v>234</v>
      </c>
      <c r="BO209" s="228">
        <v>-129</v>
      </c>
      <c r="BP209" s="229">
        <v>-0.55069999999999997</v>
      </c>
      <c r="BQ209" s="228">
        <v>800</v>
      </c>
      <c r="BR209" s="228">
        <v>706</v>
      </c>
      <c r="BS209" s="228">
        <v>94</v>
      </c>
      <c r="BT209" s="229">
        <v>0.13300000000000001</v>
      </c>
      <c r="BU209" s="230">
        <v>388025</v>
      </c>
      <c r="BV209" s="230">
        <v>749188</v>
      </c>
      <c r="BW209" s="230">
        <v>-361163</v>
      </c>
      <c r="BX209" s="229">
        <v>-0.48209999999999997</v>
      </c>
      <c r="BY209" s="228">
        <v>576</v>
      </c>
      <c r="BZ209" s="228">
        <v>586</v>
      </c>
      <c r="CA209" s="228">
        <v>-11</v>
      </c>
      <c r="CB209" s="229">
        <v>-1.7999999999999999E-2</v>
      </c>
      <c r="CC209" s="228">
        <v>473</v>
      </c>
      <c r="CD209" s="228">
        <v>566</v>
      </c>
      <c r="CE209" s="228">
        <v>-93</v>
      </c>
      <c r="CF209" s="229">
        <v>-0.1641</v>
      </c>
      <c r="CG209" s="228">
        <v>101</v>
      </c>
      <c r="CH209" s="228">
        <v>19</v>
      </c>
      <c r="CI209" s="228">
        <v>82</v>
      </c>
      <c r="CJ209" s="229">
        <v>4.306</v>
      </c>
      <c r="CK209" s="228">
        <v>1</v>
      </c>
      <c r="CL209" s="228">
        <v>1</v>
      </c>
      <c r="CM209" s="228">
        <v>0</v>
      </c>
      <c r="CN209" s="229">
        <v>0.16669999999999999</v>
      </c>
      <c r="CO209" s="228">
        <v>231</v>
      </c>
      <c r="CP209" s="228">
        <v>242</v>
      </c>
      <c r="CQ209" s="228">
        <v>-11</v>
      </c>
      <c r="CR209" s="229">
        <v>-4.4200000000000003E-2</v>
      </c>
      <c r="CS209" s="228">
        <v>164</v>
      </c>
      <c r="CT209" s="228">
        <v>168</v>
      </c>
      <c r="CU209" s="228">
        <v>-4</v>
      </c>
      <c r="CV209" s="229">
        <v>-2.2499999999999999E-2</v>
      </c>
      <c r="CW209" s="228">
        <v>971</v>
      </c>
      <c r="CX209" s="228">
        <v>996</v>
      </c>
      <c r="CY209" s="228">
        <v>-25</v>
      </c>
      <c r="CZ209" s="229">
        <v>-2.5100000000000001E-2</v>
      </c>
      <c r="DA209" s="228">
        <v>29</v>
      </c>
      <c r="DB209" s="228">
        <v>27.88</v>
      </c>
      <c r="DC209" s="228">
        <v>1.1200000000000001</v>
      </c>
      <c r="DD209" s="228">
        <v>1.1200000000000001</v>
      </c>
      <c r="DE209" s="228">
        <v>41.81</v>
      </c>
      <c r="DF209" s="228">
        <v>41.88</v>
      </c>
      <c r="DG209" s="228">
        <v>-12.81</v>
      </c>
      <c r="DH209" s="228">
        <v>-7.0000000000000007E-2</v>
      </c>
      <c r="DI209" s="228">
        <v>28.87</v>
      </c>
      <c r="DJ209" s="228">
        <v>26.63</v>
      </c>
      <c r="DK209" s="228">
        <v>2.2400000000000002</v>
      </c>
      <c r="DL209" s="228">
        <v>2.2400000000000002</v>
      </c>
      <c r="DM209" s="228">
        <v>29.2</v>
      </c>
      <c r="DN209" s="228">
        <v>30.04</v>
      </c>
      <c r="DO209" s="228">
        <v>-0.84</v>
      </c>
      <c r="DP209" s="228">
        <v>-0.84</v>
      </c>
      <c r="DQ209" s="228">
        <v>0.71</v>
      </c>
      <c r="DR209" s="228">
        <v>0.69</v>
      </c>
      <c r="DS209" s="228">
        <v>0.02</v>
      </c>
      <c r="DT209" s="229">
        <v>2.9000000000000001E-2</v>
      </c>
      <c r="DU209" s="231">
        <v>1320</v>
      </c>
      <c r="DV209" s="231">
        <v>1240</v>
      </c>
      <c r="DW209" s="228">
        <v>0.32</v>
      </c>
      <c r="DX209" s="228">
        <v>0.57999999999999996</v>
      </c>
      <c r="DY209" s="228">
        <v>-0.26</v>
      </c>
      <c r="DZ209" s="229">
        <v>-0.44829999999999998</v>
      </c>
      <c r="EA209" s="229">
        <v>0.1784</v>
      </c>
      <c r="EB209" s="230">
        <v>157300</v>
      </c>
      <c r="EC209" s="229">
        <v>4.4000000000000003E-3</v>
      </c>
      <c r="ED209" s="229">
        <v>0.1784</v>
      </c>
      <c r="EE209" s="228">
        <v>7.12</v>
      </c>
      <c r="EF209" s="229">
        <v>5.4999999999999997E-3</v>
      </c>
      <c r="EG209" s="230">
        <v>228624</v>
      </c>
      <c r="EH209" s="230">
        <v>438827</v>
      </c>
      <c r="EI209" s="229">
        <v>-0.47899999999999998</v>
      </c>
      <c r="EJ209" s="229">
        <v>0.58919999999999995</v>
      </c>
      <c r="EK209" s="228">
        <v>341.74</v>
      </c>
      <c r="EL209" s="228">
        <v>102.34</v>
      </c>
      <c r="EM209" s="228">
        <v>366.29</v>
      </c>
      <c r="EN209" s="228">
        <v>10.93</v>
      </c>
      <c r="EO209" s="228">
        <v>810.37</v>
      </c>
      <c r="EP209" s="228">
        <v>712.41</v>
      </c>
      <c r="EQ209" s="228">
        <v>97.96</v>
      </c>
      <c r="ER209" s="229">
        <v>0.13750000000000001</v>
      </c>
      <c r="ES209" s="228">
        <v>238.55</v>
      </c>
      <c r="ET209" s="228">
        <v>155.6</v>
      </c>
      <c r="EU209" s="228">
        <v>576.29</v>
      </c>
      <c r="EV209" s="231">
        <v>22813802</v>
      </c>
      <c r="EW209" s="228">
        <v>970.43</v>
      </c>
      <c r="EX209" s="231">
        <v>1002.75</v>
      </c>
      <c r="EY209" s="228">
        <v>-32.32</v>
      </c>
      <c r="EZ209" s="229">
        <v>-3.2199999999999999E-2</v>
      </c>
      <c r="FA209" s="229">
        <v>0.32869999999999999</v>
      </c>
      <c r="FB209" s="227" t="s">
        <v>568</v>
      </c>
      <c r="FC209">
        <f t="shared" si="4"/>
        <v>0</v>
      </c>
    </row>
    <row r="210" spans="1:159" ht="17.25" thickBot="1" x14ac:dyDescent="0.3">
      <c r="A210" s="226">
        <v>45981</v>
      </c>
      <c r="B210" s="227" t="s">
        <v>498</v>
      </c>
      <c r="C210" s="227" t="s">
        <v>303</v>
      </c>
      <c r="D210" s="228">
        <v>1355</v>
      </c>
      <c r="E210" s="228">
        <v>5</v>
      </c>
      <c r="F210" s="228">
        <v>754.65</v>
      </c>
      <c r="G210" s="228">
        <v>754.15</v>
      </c>
      <c r="H210" s="228">
        <v>0.5</v>
      </c>
      <c r="I210" s="229">
        <v>6.9999999999999999E-4</v>
      </c>
      <c r="J210" s="228">
        <v>753.5</v>
      </c>
      <c r="K210" s="228">
        <v>752.65</v>
      </c>
      <c r="L210" s="228">
        <v>0.85</v>
      </c>
      <c r="M210" s="229">
        <v>1.1000000000000001E-3</v>
      </c>
      <c r="N210" s="228">
        <v>754.65</v>
      </c>
      <c r="O210" s="228">
        <v>754.15</v>
      </c>
      <c r="P210" s="228">
        <v>0.5</v>
      </c>
      <c r="Q210" s="229">
        <v>6.9999999999999999E-4</v>
      </c>
      <c r="R210" s="228">
        <v>759.9</v>
      </c>
      <c r="S210" s="228">
        <v>759.05</v>
      </c>
      <c r="T210" s="228">
        <v>0.85</v>
      </c>
      <c r="U210" s="229">
        <v>1.1000000000000001E-3</v>
      </c>
      <c r="V210" s="228">
        <v>765.1</v>
      </c>
      <c r="W210" s="228">
        <v>764.15</v>
      </c>
      <c r="X210" s="228">
        <v>0.95</v>
      </c>
      <c r="Y210" s="229">
        <v>1.1999999999999999E-3</v>
      </c>
      <c r="Z210" s="228">
        <v>1.1499999999999999</v>
      </c>
      <c r="AA210" s="228">
        <v>1.5</v>
      </c>
      <c r="AB210" s="228">
        <v>-0.35</v>
      </c>
      <c r="AC210" s="229">
        <v>1.5E-3</v>
      </c>
      <c r="AD210" s="228">
        <v>1.1499999999999999</v>
      </c>
      <c r="AE210" s="228">
        <v>1.5</v>
      </c>
      <c r="AF210" s="228">
        <v>-0.35</v>
      </c>
      <c r="AG210" s="229">
        <v>1.5E-3</v>
      </c>
      <c r="AH210" s="228">
        <v>6.4</v>
      </c>
      <c r="AI210" s="228">
        <v>6.4</v>
      </c>
      <c r="AJ210" s="228">
        <v>0</v>
      </c>
      <c r="AK210" s="229">
        <v>8.5000000000000006E-3</v>
      </c>
      <c r="AL210" s="228">
        <v>11.6</v>
      </c>
      <c r="AM210" s="228">
        <v>11.5</v>
      </c>
      <c r="AN210" s="228">
        <v>0.1</v>
      </c>
      <c r="AO210" s="229">
        <v>1.54E-2</v>
      </c>
      <c r="AP210" s="228">
        <v>757.63</v>
      </c>
      <c r="AQ210" s="228">
        <v>762.86</v>
      </c>
      <c r="AR210" s="228">
        <v>0</v>
      </c>
      <c r="AS210" s="230">
        <v>1673</v>
      </c>
      <c r="AT210" s="228">
        <v>376</v>
      </c>
      <c r="AU210" s="230">
        <v>1296</v>
      </c>
      <c r="AV210" s="229">
        <v>3.4462999999999999</v>
      </c>
      <c r="AW210" s="228">
        <v>847</v>
      </c>
      <c r="AX210" s="228">
        <v>242</v>
      </c>
      <c r="AY210" s="228">
        <v>606</v>
      </c>
      <c r="AZ210" s="229">
        <v>2.5044</v>
      </c>
      <c r="BA210" s="228">
        <v>824</v>
      </c>
      <c r="BB210" s="228">
        <v>132</v>
      </c>
      <c r="BC210" s="228">
        <v>692</v>
      </c>
      <c r="BD210" s="229">
        <v>5.2344999999999997</v>
      </c>
      <c r="BE210" s="228">
        <v>2</v>
      </c>
      <c r="BF210" s="228">
        <v>2</v>
      </c>
      <c r="BG210" s="228">
        <v>-1</v>
      </c>
      <c r="BH210" s="229">
        <v>-0.31819999999999998</v>
      </c>
      <c r="BI210" s="228">
        <v>690</v>
      </c>
      <c r="BJ210" s="228">
        <v>785</v>
      </c>
      <c r="BK210" s="228">
        <v>-94</v>
      </c>
      <c r="BL210" s="229">
        <v>-0.12039999999999999</v>
      </c>
      <c r="BM210" s="228">
        <v>325</v>
      </c>
      <c r="BN210" s="228">
        <v>310</v>
      </c>
      <c r="BO210" s="228">
        <v>15</v>
      </c>
      <c r="BP210" s="229">
        <v>4.82E-2</v>
      </c>
      <c r="BQ210" s="230">
        <v>2688</v>
      </c>
      <c r="BR210" s="230">
        <v>1471</v>
      </c>
      <c r="BS210" s="230">
        <v>1217</v>
      </c>
      <c r="BT210" s="229">
        <v>0.82740000000000002</v>
      </c>
      <c r="BU210" s="230">
        <v>3028820</v>
      </c>
      <c r="BV210" s="230">
        <v>2477635</v>
      </c>
      <c r="BW210" s="230">
        <v>551185</v>
      </c>
      <c r="BX210" s="229">
        <v>0.2225</v>
      </c>
      <c r="BY210" s="230">
        <v>2578</v>
      </c>
      <c r="BZ210" s="230">
        <v>2560</v>
      </c>
      <c r="CA210" s="228">
        <v>18</v>
      </c>
      <c r="CB210" s="229">
        <v>6.8999999999999999E-3</v>
      </c>
      <c r="CC210" s="230">
        <v>1516</v>
      </c>
      <c r="CD210" s="230">
        <v>2198</v>
      </c>
      <c r="CE210" s="228">
        <v>-683</v>
      </c>
      <c r="CF210" s="229">
        <v>-0.3105</v>
      </c>
      <c r="CG210" s="230">
        <v>1054</v>
      </c>
      <c r="CH210" s="228">
        <v>354</v>
      </c>
      <c r="CI210" s="228">
        <v>700</v>
      </c>
      <c r="CJ210" s="229">
        <v>1.976</v>
      </c>
      <c r="CK210" s="228">
        <v>8</v>
      </c>
      <c r="CL210" s="228">
        <v>8</v>
      </c>
      <c r="CM210" s="228">
        <v>1</v>
      </c>
      <c r="CN210" s="229">
        <v>7.7899999999999997E-2</v>
      </c>
      <c r="CO210" s="228">
        <v>842</v>
      </c>
      <c r="CP210" s="228">
        <v>888</v>
      </c>
      <c r="CQ210" s="228">
        <v>-47</v>
      </c>
      <c r="CR210" s="229">
        <v>-5.2600000000000001E-2</v>
      </c>
      <c r="CS210" s="228">
        <v>631</v>
      </c>
      <c r="CT210" s="228">
        <v>635</v>
      </c>
      <c r="CU210" s="228">
        <v>-5</v>
      </c>
      <c r="CV210" s="229">
        <v>-7.4000000000000003E-3</v>
      </c>
      <c r="CW210" s="230">
        <v>4050</v>
      </c>
      <c r="CX210" s="230">
        <v>4084</v>
      </c>
      <c r="CY210" s="228">
        <v>-34</v>
      </c>
      <c r="CZ210" s="229">
        <v>-8.2000000000000007E-3</v>
      </c>
      <c r="DA210" s="228">
        <v>21.41</v>
      </c>
      <c r="DB210" s="228">
        <v>24.23</v>
      </c>
      <c r="DC210" s="228">
        <v>-2.82</v>
      </c>
      <c r="DD210" s="228">
        <v>-2.82</v>
      </c>
      <c r="DE210" s="228">
        <v>32.880000000000003</v>
      </c>
      <c r="DF210" s="228">
        <v>32.97</v>
      </c>
      <c r="DG210" s="228">
        <v>-11.47</v>
      </c>
      <c r="DH210" s="228">
        <v>-0.09</v>
      </c>
      <c r="DI210" s="228">
        <v>21.22</v>
      </c>
      <c r="DJ210" s="228">
        <v>24.56</v>
      </c>
      <c r="DK210" s="228">
        <v>-3.34</v>
      </c>
      <c r="DL210" s="228">
        <v>-3.34</v>
      </c>
      <c r="DM210" s="228">
        <v>21.68</v>
      </c>
      <c r="DN210" s="228">
        <v>23.41</v>
      </c>
      <c r="DO210" s="228">
        <v>-1.73</v>
      </c>
      <c r="DP210" s="228">
        <v>-1.73</v>
      </c>
      <c r="DQ210" s="228">
        <v>0.75</v>
      </c>
      <c r="DR210" s="228">
        <v>0.72</v>
      </c>
      <c r="DS210" s="228">
        <v>0.03</v>
      </c>
      <c r="DT210" s="229">
        <v>4.1700000000000001E-2</v>
      </c>
      <c r="DU210" s="228">
        <v>770</v>
      </c>
      <c r="DV210" s="228">
        <v>750</v>
      </c>
      <c r="DW210" s="228">
        <v>0.47</v>
      </c>
      <c r="DX210" s="228">
        <v>0.39</v>
      </c>
      <c r="DY210" s="228">
        <v>0.08</v>
      </c>
      <c r="DZ210" s="229">
        <v>0.2051</v>
      </c>
      <c r="EA210" s="229">
        <v>0.41199999999999998</v>
      </c>
      <c r="EB210" s="230">
        <v>4796700</v>
      </c>
      <c r="EC210" s="229">
        <v>7.0000000000000001E-3</v>
      </c>
      <c r="ED210" s="229">
        <v>0.41199999999999998</v>
      </c>
      <c r="EE210" s="228">
        <v>5.23</v>
      </c>
      <c r="EF210" s="229">
        <v>6.8999999999999999E-3</v>
      </c>
      <c r="EG210" s="230">
        <v>2222635</v>
      </c>
      <c r="EH210" s="230">
        <v>1763931</v>
      </c>
      <c r="EI210" s="229">
        <v>0.26</v>
      </c>
      <c r="EJ210" s="229">
        <v>0.73380000000000001</v>
      </c>
      <c r="EK210" s="228">
        <v>711.03</v>
      </c>
      <c r="EL210" s="228">
        <v>319.35000000000002</v>
      </c>
      <c r="EM210" s="231">
        <v>1685.02</v>
      </c>
      <c r="EN210" s="228">
        <v>41.21</v>
      </c>
      <c r="EO210" s="231">
        <v>2715.4</v>
      </c>
      <c r="EP210" s="231">
        <v>1497.2</v>
      </c>
      <c r="EQ210" s="231">
        <v>1218.19</v>
      </c>
      <c r="ER210" s="229">
        <v>0.81359999999999999</v>
      </c>
      <c r="ES210" s="228">
        <v>851.91</v>
      </c>
      <c r="ET210" s="228">
        <v>603.09</v>
      </c>
      <c r="EU210" s="231">
        <v>2585.61</v>
      </c>
      <c r="EV210" s="231">
        <v>82588393</v>
      </c>
      <c r="EW210" s="231">
        <v>4040.6</v>
      </c>
      <c r="EX210" s="231">
        <v>4067.94</v>
      </c>
      <c r="EY210" s="228">
        <v>-27.34</v>
      </c>
      <c r="EZ210" s="229">
        <v>-6.7000000000000002E-3</v>
      </c>
      <c r="FA210" s="229">
        <v>0.64990000000000003</v>
      </c>
      <c r="FB210" s="227" t="s">
        <v>555</v>
      </c>
      <c r="FC210">
        <f t="shared" si="4"/>
        <v>0</v>
      </c>
    </row>
    <row r="211" spans="1:159" ht="17.25" thickBot="1" x14ac:dyDescent="0.3">
      <c r="A211" s="226">
        <v>45981</v>
      </c>
      <c r="B211" s="227" t="s">
        <v>168</v>
      </c>
      <c r="C211" s="227" t="s">
        <v>586</v>
      </c>
      <c r="D211" s="228">
        <v>1025</v>
      </c>
      <c r="E211" s="228">
        <v>5</v>
      </c>
      <c r="F211" s="228">
        <v>451.2</v>
      </c>
      <c r="G211" s="228">
        <v>455.25</v>
      </c>
      <c r="H211" s="228">
        <v>-4.05</v>
      </c>
      <c r="I211" s="229">
        <v>-8.8999999999999999E-3</v>
      </c>
      <c r="J211" s="228">
        <v>451.5</v>
      </c>
      <c r="K211" s="228">
        <v>454.55</v>
      </c>
      <c r="L211" s="228">
        <v>-3.05</v>
      </c>
      <c r="M211" s="229">
        <v>-6.7000000000000002E-3</v>
      </c>
      <c r="N211" s="228">
        <v>451.2</v>
      </c>
      <c r="O211" s="228">
        <v>455.25</v>
      </c>
      <c r="P211" s="228">
        <v>-4.05</v>
      </c>
      <c r="Q211" s="229">
        <v>-8.8999999999999999E-3</v>
      </c>
      <c r="R211" s="228">
        <v>454.25</v>
      </c>
      <c r="S211" s="228">
        <v>458.4</v>
      </c>
      <c r="T211" s="228">
        <v>-4.1500000000000004</v>
      </c>
      <c r="U211" s="229">
        <v>-9.1000000000000004E-3</v>
      </c>
      <c r="V211" s="228">
        <v>457.75</v>
      </c>
      <c r="W211" s="228">
        <v>461.3</v>
      </c>
      <c r="X211" s="228">
        <v>-3.55</v>
      </c>
      <c r="Y211" s="229">
        <v>-7.7000000000000002E-3</v>
      </c>
      <c r="Z211" s="228">
        <v>-0.3</v>
      </c>
      <c r="AA211" s="228">
        <v>0.7</v>
      </c>
      <c r="AB211" s="228">
        <v>-1</v>
      </c>
      <c r="AC211" s="229">
        <v>-6.9999999999999999E-4</v>
      </c>
      <c r="AD211" s="228">
        <v>-0.3</v>
      </c>
      <c r="AE211" s="228">
        <v>0.7</v>
      </c>
      <c r="AF211" s="228">
        <v>-1</v>
      </c>
      <c r="AG211" s="229">
        <v>-6.9999999999999999E-4</v>
      </c>
      <c r="AH211" s="228">
        <v>2.75</v>
      </c>
      <c r="AI211" s="228">
        <v>3.85</v>
      </c>
      <c r="AJ211" s="228">
        <v>-1.1000000000000001</v>
      </c>
      <c r="AK211" s="229">
        <v>6.1000000000000004E-3</v>
      </c>
      <c r="AL211" s="228">
        <v>6.25</v>
      </c>
      <c r="AM211" s="228">
        <v>6.75</v>
      </c>
      <c r="AN211" s="228">
        <v>-0.5</v>
      </c>
      <c r="AO211" s="229">
        <v>1.38E-2</v>
      </c>
      <c r="AP211" s="228">
        <v>453.51</v>
      </c>
      <c r="AQ211" s="228">
        <v>456.73</v>
      </c>
      <c r="AR211" s="228">
        <v>0</v>
      </c>
      <c r="AS211" s="228">
        <v>909</v>
      </c>
      <c r="AT211" s="228">
        <v>278</v>
      </c>
      <c r="AU211" s="228">
        <v>631</v>
      </c>
      <c r="AV211" s="229">
        <v>2.2686999999999999</v>
      </c>
      <c r="AW211" s="228">
        <v>433</v>
      </c>
      <c r="AX211" s="228">
        <v>170</v>
      </c>
      <c r="AY211" s="228">
        <v>263</v>
      </c>
      <c r="AZ211" s="229">
        <v>1.5436000000000001</v>
      </c>
      <c r="BA211" s="228">
        <v>470</v>
      </c>
      <c r="BB211" s="228">
        <v>104</v>
      </c>
      <c r="BC211" s="228">
        <v>366</v>
      </c>
      <c r="BD211" s="229">
        <v>3.5272000000000001</v>
      </c>
      <c r="BE211" s="228">
        <v>7</v>
      </c>
      <c r="BF211" s="228">
        <v>4</v>
      </c>
      <c r="BG211" s="228">
        <v>2</v>
      </c>
      <c r="BH211" s="229">
        <v>0.54949999999999999</v>
      </c>
      <c r="BI211" s="228">
        <v>880</v>
      </c>
      <c r="BJ211" s="228">
        <v>924</v>
      </c>
      <c r="BK211" s="228">
        <v>-44</v>
      </c>
      <c r="BL211" s="229">
        <v>-4.7800000000000002E-2</v>
      </c>
      <c r="BM211" s="228">
        <v>203</v>
      </c>
      <c r="BN211" s="228">
        <v>209</v>
      </c>
      <c r="BO211" s="228">
        <v>-6</v>
      </c>
      <c r="BP211" s="229">
        <v>-2.8799999999999999E-2</v>
      </c>
      <c r="BQ211" s="230">
        <v>1992</v>
      </c>
      <c r="BR211" s="230">
        <v>1411</v>
      </c>
      <c r="BS211" s="228">
        <v>581</v>
      </c>
      <c r="BT211" s="229">
        <v>0.41160000000000002</v>
      </c>
      <c r="BU211" s="230">
        <v>5524498</v>
      </c>
      <c r="BV211" s="230">
        <v>5222905</v>
      </c>
      <c r="BW211" s="230">
        <v>301593</v>
      </c>
      <c r="BX211" s="229">
        <v>5.7700000000000001E-2</v>
      </c>
      <c r="BY211" s="230">
        <v>1921</v>
      </c>
      <c r="BZ211" s="230">
        <v>1879</v>
      </c>
      <c r="CA211" s="228">
        <v>41</v>
      </c>
      <c r="CB211" s="229">
        <v>2.2100000000000002E-2</v>
      </c>
      <c r="CC211" s="230">
        <v>1274</v>
      </c>
      <c r="CD211" s="230">
        <v>1622</v>
      </c>
      <c r="CE211" s="228">
        <v>-348</v>
      </c>
      <c r="CF211" s="229">
        <v>-0.2147</v>
      </c>
      <c r="CG211" s="228">
        <v>621</v>
      </c>
      <c r="CH211" s="228">
        <v>234</v>
      </c>
      <c r="CI211" s="228">
        <v>387</v>
      </c>
      <c r="CJ211" s="229">
        <v>1.6505000000000001</v>
      </c>
      <c r="CK211" s="228">
        <v>26</v>
      </c>
      <c r="CL211" s="228">
        <v>23</v>
      </c>
      <c r="CM211" s="228">
        <v>3</v>
      </c>
      <c r="CN211" s="229">
        <v>0.13569999999999999</v>
      </c>
      <c r="CO211" s="230">
        <v>1114</v>
      </c>
      <c r="CP211" s="230">
        <v>1142</v>
      </c>
      <c r="CQ211" s="228">
        <v>-28</v>
      </c>
      <c r="CR211" s="229">
        <v>-2.41E-2</v>
      </c>
      <c r="CS211" s="228">
        <v>514</v>
      </c>
      <c r="CT211" s="228">
        <v>497</v>
      </c>
      <c r="CU211" s="228">
        <v>17</v>
      </c>
      <c r="CV211" s="229">
        <v>3.4299999999999997E-2</v>
      </c>
      <c r="CW211" s="230">
        <v>3549</v>
      </c>
      <c r="CX211" s="230">
        <v>3518</v>
      </c>
      <c r="CY211" s="228">
        <v>31</v>
      </c>
      <c r="CZ211" s="229">
        <v>8.8000000000000005E-3</v>
      </c>
      <c r="DA211" s="228">
        <v>26.17</v>
      </c>
      <c r="DB211" s="228">
        <v>28.05</v>
      </c>
      <c r="DC211" s="228">
        <v>-1.88</v>
      </c>
      <c r="DD211" s="228">
        <v>-1.88</v>
      </c>
      <c r="DE211" s="228">
        <v>38.880000000000003</v>
      </c>
      <c r="DF211" s="228">
        <v>38.96</v>
      </c>
      <c r="DG211" s="228">
        <v>-12.71</v>
      </c>
      <c r="DH211" s="228">
        <v>-0.08</v>
      </c>
      <c r="DI211" s="228">
        <v>26.79</v>
      </c>
      <c r="DJ211" s="228">
        <v>28.91</v>
      </c>
      <c r="DK211" s="228">
        <v>-2.12</v>
      </c>
      <c r="DL211" s="228">
        <v>-2.12</v>
      </c>
      <c r="DM211" s="228">
        <v>24.96</v>
      </c>
      <c r="DN211" s="228">
        <v>24.25</v>
      </c>
      <c r="DO211" s="228">
        <v>0.71</v>
      </c>
      <c r="DP211" s="228">
        <v>0.71</v>
      </c>
      <c r="DQ211" s="228">
        <v>0.46</v>
      </c>
      <c r="DR211" s="228">
        <v>0.44</v>
      </c>
      <c r="DS211" s="228">
        <v>0.02</v>
      </c>
      <c r="DT211" s="229">
        <v>4.5499999999999999E-2</v>
      </c>
      <c r="DU211" s="228">
        <v>500</v>
      </c>
      <c r="DV211" s="228">
        <v>440</v>
      </c>
      <c r="DW211" s="228">
        <v>0.23</v>
      </c>
      <c r="DX211" s="228">
        <v>0.23</v>
      </c>
      <c r="DY211" s="228">
        <v>0</v>
      </c>
      <c r="DZ211" s="229">
        <v>0</v>
      </c>
      <c r="EA211" s="229">
        <v>0.33689999999999998</v>
      </c>
      <c r="EB211" s="230">
        <v>5704725</v>
      </c>
      <c r="EC211" s="229">
        <v>6.7999999999999996E-3</v>
      </c>
      <c r="ED211" s="229">
        <v>0.33689999999999998</v>
      </c>
      <c r="EE211" s="228">
        <v>3.22</v>
      </c>
      <c r="EF211" s="229">
        <v>7.1000000000000004E-3</v>
      </c>
      <c r="EG211" s="230">
        <v>3579701</v>
      </c>
      <c r="EH211" s="230">
        <v>3659706</v>
      </c>
      <c r="EI211" s="229">
        <v>-2.1899999999999999E-2</v>
      </c>
      <c r="EJ211" s="229">
        <v>0.64800000000000002</v>
      </c>
      <c r="EK211" s="228">
        <v>922.09</v>
      </c>
      <c r="EL211" s="228">
        <v>204.61</v>
      </c>
      <c r="EM211" s="228">
        <v>917.88</v>
      </c>
      <c r="EN211" s="228">
        <v>48.09</v>
      </c>
      <c r="EO211" s="231">
        <v>2044.59</v>
      </c>
      <c r="EP211" s="231">
        <v>1474.32</v>
      </c>
      <c r="EQ211" s="228">
        <v>570.27</v>
      </c>
      <c r="ER211" s="229">
        <v>0.38679999999999998</v>
      </c>
      <c r="ES211" s="231">
        <v>1205.69</v>
      </c>
      <c r="ET211" s="228">
        <v>521.25</v>
      </c>
      <c r="EU211" s="231">
        <v>1925.38</v>
      </c>
      <c r="EV211" s="231">
        <v>203804339</v>
      </c>
      <c r="EW211" s="231">
        <v>3652.32</v>
      </c>
      <c r="EX211" s="231">
        <v>3641.55</v>
      </c>
      <c r="EY211" s="228">
        <v>10.77</v>
      </c>
      <c r="EZ211" s="229">
        <v>3.0000000000000001E-3</v>
      </c>
      <c r="FA211" s="229">
        <v>0.38590000000000002</v>
      </c>
      <c r="FB211" s="227" t="s">
        <v>567</v>
      </c>
      <c r="FC211">
        <f t="shared" si="4"/>
        <v>0</v>
      </c>
    </row>
    <row r="212" spans="1:159" ht="17.25" thickBot="1" x14ac:dyDescent="0.3">
      <c r="A212" s="226">
        <v>45981</v>
      </c>
      <c r="B212" s="227" t="s">
        <v>227</v>
      </c>
      <c r="C212" s="227" t="s">
        <v>304</v>
      </c>
      <c r="D212" s="228">
        <v>1150</v>
      </c>
      <c r="E212" s="228">
        <v>5</v>
      </c>
      <c r="F212" s="228">
        <v>510.75</v>
      </c>
      <c r="G212" s="228">
        <v>512.65</v>
      </c>
      <c r="H212" s="228">
        <v>-1.9</v>
      </c>
      <c r="I212" s="229">
        <v>-3.7000000000000002E-3</v>
      </c>
      <c r="J212" s="228">
        <v>509.75</v>
      </c>
      <c r="K212" s="228">
        <v>511.8</v>
      </c>
      <c r="L212" s="228">
        <v>-2.0499999999999998</v>
      </c>
      <c r="M212" s="229">
        <v>-4.0000000000000001E-3</v>
      </c>
      <c r="N212" s="228">
        <v>510.75</v>
      </c>
      <c r="O212" s="228">
        <v>512.65</v>
      </c>
      <c r="P212" s="228">
        <v>-1.9</v>
      </c>
      <c r="Q212" s="229">
        <v>-3.7000000000000002E-3</v>
      </c>
      <c r="R212" s="228">
        <v>514.15</v>
      </c>
      <c r="S212" s="228">
        <v>516</v>
      </c>
      <c r="T212" s="228">
        <v>-1.85</v>
      </c>
      <c r="U212" s="229">
        <v>-3.5999999999999999E-3</v>
      </c>
      <c r="V212" s="228">
        <v>515.6</v>
      </c>
      <c r="W212" s="228">
        <v>517.6</v>
      </c>
      <c r="X212" s="228">
        <v>-2</v>
      </c>
      <c r="Y212" s="229">
        <v>-3.8999999999999998E-3</v>
      </c>
      <c r="Z212" s="228">
        <v>1</v>
      </c>
      <c r="AA212" s="228">
        <v>0.85</v>
      </c>
      <c r="AB212" s="228">
        <v>0.15</v>
      </c>
      <c r="AC212" s="229">
        <v>2E-3</v>
      </c>
      <c r="AD212" s="228">
        <v>1</v>
      </c>
      <c r="AE212" s="228">
        <v>0.85</v>
      </c>
      <c r="AF212" s="228">
        <v>0.15</v>
      </c>
      <c r="AG212" s="229">
        <v>2E-3</v>
      </c>
      <c r="AH212" s="228">
        <v>4.4000000000000004</v>
      </c>
      <c r="AI212" s="228">
        <v>4.2</v>
      </c>
      <c r="AJ212" s="228">
        <v>0.2</v>
      </c>
      <c r="AK212" s="229">
        <v>8.6E-3</v>
      </c>
      <c r="AL212" s="228">
        <v>5.85</v>
      </c>
      <c r="AM212" s="228">
        <v>5.8</v>
      </c>
      <c r="AN212" s="228">
        <v>0.05</v>
      </c>
      <c r="AO212" s="229">
        <v>1.15E-2</v>
      </c>
      <c r="AP212" s="228">
        <v>512.78</v>
      </c>
      <c r="AQ212" s="228">
        <v>516.03</v>
      </c>
      <c r="AR212" s="228">
        <v>0</v>
      </c>
      <c r="AS212" s="230">
        <v>2227</v>
      </c>
      <c r="AT212" s="228">
        <v>478</v>
      </c>
      <c r="AU212" s="230">
        <v>1749</v>
      </c>
      <c r="AV212" s="229">
        <v>3.6610999999999998</v>
      </c>
      <c r="AW212" s="230">
        <v>1135</v>
      </c>
      <c r="AX212" s="228">
        <v>316</v>
      </c>
      <c r="AY212" s="228">
        <v>819</v>
      </c>
      <c r="AZ212" s="229">
        <v>2.5950000000000002</v>
      </c>
      <c r="BA212" s="230">
        <v>1085</v>
      </c>
      <c r="BB212" s="228">
        <v>156</v>
      </c>
      <c r="BC212" s="228">
        <v>929</v>
      </c>
      <c r="BD212" s="229">
        <v>5.9581999999999997</v>
      </c>
      <c r="BE212" s="228">
        <v>7</v>
      </c>
      <c r="BF212" s="228">
        <v>6</v>
      </c>
      <c r="BG212" s="228">
        <v>1</v>
      </c>
      <c r="BH212" s="229">
        <v>0.18870000000000001</v>
      </c>
      <c r="BI212" s="230">
        <v>1995</v>
      </c>
      <c r="BJ212" s="230">
        <v>2338</v>
      </c>
      <c r="BK212" s="228">
        <v>-342</v>
      </c>
      <c r="BL212" s="229">
        <v>-0.1464</v>
      </c>
      <c r="BM212" s="230">
        <v>1003</v>
      </c>
      <c r="BN212" s="230">
        <v>1338</v>
      </c>
      <c r="BO212" s="228">
        <v>-336</v>
      </c>
      <c r="BP212" s="229">
        <v>-0.25080000000000002</v>
      </c>
      <c r="BQ212" s="230">
        <v>5225</v>
      </c>
      <c r="BR212" s="230">
        <v>4154</v>
      </c>
      <c r="BS212" s="230">
        <v>1071</v>
      </c>
      <c r="BT212" s="229">
        <v>0.25779999999999997</v>
      </c>
      <c r="BU212" s="230">
        <v>6016996</v>
      </c>
      <c r="BV212" s="230">
        <v>4179513</v>
      </c>
      <c r="BW212" s="230">
        <v>1837483</v>
      </c>
      <c r="BX212" s="229">
        <v>0.43959999999999999</v>
      </c>
      <c r="BY212" s="230">
        <v>5715</v>
      </c>
      <c r="BZ212" s="230">
        <v>5679</v>
      </c>
      <c r="CA212" s="228">
        <v>36</v>
      </c>
      <c r="CB212" s="229">
        <v>6.3E-3</v>
      </c>
      <c r="CC212" s="230">
        <v>3767</v>
      </c>
      <c r="CD212" s="230">
        <v>4713</v>
      </c>
      <c r="CE212" s="228">
        <v>-946</v>
      </c>
      <c r="CF212" s="229">
        <v>-0.20069999999999999</v>
      </c>
      <c r="CG212" s="230">
        <v>1913</v>
      </c>
      <c r="CH212" s="228">
        <v>935</v>
      </c>
      <c r="CI212" s="228">
        <v>978</v>
      </c>
      <c r="CJ212" s="229">
        <v>1.0468999999999999</v>
      </c>
      <c r="CK212" s="228">
        <v>35</v>
      </c>
      <c r="CL212" s="228">
        <v>32</v>
      </c>
      <c r="CM212" s="228">
        <v>3</v>
      </c>
      <c r="CN212" s="229">
        <v>9.7799999999999998E-2</v>
      </c>
      <c r="CO212" s="230">
        <v>1918</v>
      </c>
      <c r="CP212" s="230">
        <v>1962</v>
      </c>
      <c r="CQ212" s="228">
        <v>-44</v>
      </c>
      <c r="CR212" s="229">
        <v>-2.2499999999999999E-2</v>
      </c>
      <c r="CS212" s="230">
        <v>1507</v>
      </c>
      <c r="CT212" s="230">
        <v>1569</v>
      </c>
      <c r="CU212" s="228">
        <v>-62</v>
      </c>
      <c r="CV212" s="229">
        <v>-3.9800000000000002E-2</v>
      </c>
      <c r="CW212" s="230">
        <v>9140</v>
      </c>
      <c r="CX212" s="230">
        <v>9211</v>
      </c>
      <c r="CY212" s="228">
        <v>-71</v>
      </c>
      <c r="CZ212" s="229">
        <v>-7.7000000000000002E-3</v>
      </c>
      <c r="DA212" s="228">
        <v>25.83</v>
      </c>
      <c r="DB212" s="228">
        <v>26.71</v>
      </c>
      <c r="DC212" s="228">
        <v>-0.88</v>
      </c>
      <c r="DD212" s="228">
        <v>-0.88</v>
      </c>
      <c r="DE212" s="228">
        <v>37.51</v>
      </c>
      <c r="DF212" s="228">
        <v>37.6</v>
      </c>
      <c r="DG212" s="228">
        <v>-11.68</v>
      </c>
      <c r="DH212" s="228">
        <v>-0.09</v>
      </c>
      <c r="DI212" s="228">
        <v>25.78</v>
      </c>
      <c r="DJ212" s="228">
        <v>26.87</v>
      </c>
      <c r="DK212" s="228">
        <v>-1.0900000000000001</v>
      </c>
      <c r="DL212" s="228">
        <v>-1.0900000000000001</v>
      </c>
      <c r="DM212" s="228">
        <v>25.94</v>
      </c>
      <c r="DN212" s="228">
        <v>26.44</v>
      </c>
      <c r="DO212" s="228">
        <v>-0.5</v>
      </c>
      <c r="DP212" s="228">
        <v>-0.5</v>
      </c>
      <c r="DQ212" s="228">
        <v>0.79</v>
      </c>
      <c r="DR212" s="228">
        <v>0.8</v>
      </c>
      <c r="DS212" s="228">
        <v>-0.01</v>
      </c>
      <c r="DT212" s="229">
        <v>-1.2500000000000001E-2</v>
      </c>
      <c r="DU212" s="228">
        <v>530</v>
      </c>
      <c r="DV212" s="228">
        <v>500</v>
      </c>
      <c r="DW212" s="228">
        <v>0.5</v>
      </c>
      <c r="DX212" s="228">
        <v>0.56999999999999995</v>
      </c>
      <c r="DY212" s="228">
        <v>-7.0000000000000007E-2</v>
      </c>
      <c r="DZ212" s="229">
        <v>-0.12280000000000001</v>
      </c>
      <c r="EA212" s="229">
        <v>0.34089999999999998</v>
      </c>
      <c r="EB212" s="230">
        <v>18922100</v>
      </c>
      <c r="EC212" s="229">
        <v>6.7000000000000002E-3</v>
      </c>
      <c r="ED212" s="229">
        <v>0.34089999999999998</v>
      </c>
      <c r="EE212" s="228">
        <v>3.25</v>
      </c>
      <c r="EF212" s="229">
        <v>6.3E-3</v>
      </c>
      <c r="EG212" s="230">
        <v>3012615</v>
      </c>
      <c r="EH212" s="230">
        <v>1949261</v>
      </c>
      <c r="EI212" s="229">
        <v>0.54549999999999998</v>
      </c>
      <c r="EJ212" s="229">
        <v>0.50070000000000003</v>
      </c>
      <c r="EK212" s="231">
        <v>2080.59</v>
      </c>
      <c r="EL212" s="231">
        <v>1001.66</v>
      </c>
      <c r="EM212" s="231">
        <v>2242.4699999999998</v>
      </c>
      <c r="EN212" s="228">
        <v>145.41</v>
      </c>
      <c r="EO212" s="231">
        <v>5324.72</v>
      </c>
      <c r="EP212" s="231">
        <v>4245.4799999999996</v>
      </c>
      <c r="EQ212" s="231">
        <v>1079.24</v>
      </c>
      <c r="ER212" s="229">
        <v>0.25419999999999998</v>
      </c>
      <c r="ES212" s="231">
        <v>1997.93</v>
      </c>
      <c r="ET212" s="231">
        <v>1449.23</v>
      </c>
      <c r="EU212" s="231">
        <v>5728.1</v>
      </c>
      <c r="EV212" s="231">
        <v>255091106</v>
      </c>
      <c r="EW212" s="231">
        <v>9175.27</v>
      </c>
      <c r="EX212" s="231">
        <v>9263.9</v>
      </c>
      <c r="EY212" s="228">
        <v>-88.63</v>
      </c>
      <c r="EZ212" s="229">
        <v>-9.5999999999999992E-3</v>
      </c>
      <c r="FA212" s="229">
        <v>0.70150000000000001</v>
      </c>
      <c r="FB212" s="227" t="s">
        <v>567</v>
      </c>
      <c r="FC212">
        <f t="shared" si="4"/>
        <v>0</v>
      </c>
    </row>
    <row r="213" spans="1:159" ht="17.25" thickBot="1" x14ac:dyDescent="0.3">
      <c r="A213" s="226">
        <v>45981</v>
      </c>
      <c r="B213" s="227" t="s">
        <v>184</v>
      </c>
      <c r="C213" s="227" t="s">
        <v>305</v>
      </c>
      <c r="D213" s="228">
        <v>375</v>
      </c>
      <c r="E213" s="228">
        <v>5</v>
      </c>
      <c r="F213" s="231">
        <v>1411.8</v>
      </c>
      <c r="G213" s="231">
        <v>1404.1</v>
      </c>
      <c r="H213" s="228">
        <v>7.7</v>
      </c>
      <c r="I213" s="229">
        <v>5.4999999999999997E-3</v>
      </c>
      <c r="J213" s="231">
        <v>1411.8</v>
      </c>
      <c r="K213" s="231">
        <v>1401.8</v>
      </c>
      <c r="L213" s="228">
        <v>10</v>
      </c>
      <c r="M213" s="229">
        <v>7.1000000000000004E-3</v>
      </c>
      <c r="N213" s="231">
        <v>1411.8</v>
      </c>
      <c r="O213" s="231">
        <v>1404.1</v>
      </c>
      <c r="P213" s="228">
        <v>7.7</v>
      </c>
      <c r="Q213" s="229">
        <v>5.4999999999999997E-3</v>
      </c>
      <c r="R213" s="231">
        <v>1383.3</v>
      </c>
      <c r="S213" s="231">
        <v>1367.1</v>
      </c>
      <c r="T213" s="228">
        <v>16.2</v>
      </c>
      <c r="U213" s="229">
        <v>1.18E-2</v>
      </c>
      <c r="V213" s="231">
        <v>1359.2</v>
      </c>
      <c r="W213" s="231">
        <v>1340.6</v>
      </c>
      <c r="X213" s="228">
        <v>18.600000000000001</v>
      </c>
      <c r="Y213" s="229">
        <v>1.3899999999999999E-2</v>
      </c>
      <c r="Z213" s="228">
        <v>0</v>
      </c>
      <c r="AA213" s="228">
        <v>2.2999999999999998</v>
      </c>
      <c r="AB213" s="228">
        <v>-2.2999999999999998</v>
      </c>
      <c r="AC213" s="229">
        <v>0</v>
      </c>
      <c r="AD213" s="228">
        <v>0</v>
      </c>
      <c r="AE213" s="228">
        <v>2.2999999999999998</v>
      </c>
      <c r="AF213" s="228">
        <v>-2.2999999999999998</v>
      </c>
      <c r="AG213" s="229">
        <v>0</v>
      </c>
      <c r="AH213" s="228">
        <v>-28.5</v>
      </c>
      <c r="AI213" s="228">
        <v>-34.700000000000003</v>
      </c>
      <c r="AJ213" s="228">
        <v>6.2</v>
      </c>
      <c r="AK213" s="229">
        <v>-2.0199999999999999E-2</v>
      </c>
      <c r="AL213" s="228">
        <v>-52.6</v>
      </c>
      <c r="AM213" s="228">
        <v>-61.2</v>
      </c>
      <c r="AN213" s="228">
        <v>8.6</v>
      </c>
      <c r="AO213" s="229">
        <v>-3.73E-2</v>
      </c>
      <c r="AP213" s="231">
        <v>1410.34</v>
      </c>
      <c r="AQ213" s="231">
        <v>1375.79</v>
      </c>
      <c r="AR213" s="228">
        <v>0</v>
      </c>
      <c r="AS213" s="230">
        <v>1642</v>
      </c>
      <c r="AT213" s="228">
        <v>859</v>
      </c>
      <c r="AU213" s="228">
        <v>783</v>
      </c>
      <c r="AV213" s="229">
        <v>0.91110000000000002</v>
      </c>
      <c r="AW213" s="228">
        <v>852</v>
      </c>
      <c r="AX213" s="228">
        <v>509</v>
      </c>
      <c r="AY213" s="228">
        <v>343</v>
      </c>
      <c r="AZ213" s="229">
        <v>0.67479999999999996</v>
      </c>
      <c r="BA213" s="228">
        <v>774</v>
      </c>
      <c r="BB213" s="228">
        <v>345</v>
      </c>
      <c r="BC213" s="228">
        <v>430</v>
      </c>
      <c r="BD213" s="229">
        <v>1.2459</v>
      </c>
      <c r="BE213" s="228">
        <v>16</v>
      </c>
      <c r="BF213" s="228">
        <v>6</v>
      </c>
      <c r="BG213" s="228">
        <v>10</v>
      </c>
      <c r="BH213" s="229">
        <v>1.7569999999999999</v>
      </c>
      <c r="BI213" s="230">
        <v>1578</v>
      </c>
      <c r="BJ213" s="230">
        <v>2316</v>
      </c>
      <c r="BK213" s="228">
        <v>-738</v>
      </c>
      <c r="BL213" s="229">
        <v>-0.31879999999999997</v>
      </c>
      <c r="BM213" s="230">
        <v>1249</v>
      </c>
      <c r="BN213" s="230">
        <v>1298</v>
      </c>
      <c r="BO213" s="228">
        <v>-48</v>
      </c>
      <c r="BP213" s="229">
        <v>-3.7400000000000003E-2</v>
      </c>
      <c r="BQ213" s="230">
        <v>4469</v>
      </c>
      <c r="BR213" s="230">
        <v>4473</v>
      </c>
      <c r="BS213" s="228">
        <v>-4</v>
      </c>
      <c r="BT213" s="229">
        <v>-8.9999999999999998E-4</v>
      </c>
      <c r="BU213" s="230">
        <v>677952</v>
      </c>
      <c r="BV213" s="230">
        <v>723781</v>
      </c>
      <c r="BW213" s="230">
        <v>-45829</v>
      </c>
      <c r="BX213" s="229">
        <v>-6.3299999999999995E-2</v>
      </c>
      <c r="BY213" s="230">
        <v>2159</v>
      </c>
      <c r="BZ213" s="230">
        <v>2400</v>
      </c>
      <c r="CA213" s="228">
        <v>-242</v>
      </c>
      <c r="CB213" s="229">
        <v>-0.1007</v>
      </c>
      <c r="CC213" s="230">
        <v>1143</v>
      </c>
      <c r="CD213" s="230">
        <v>1680</v>
      </c>
      <c r="CE213" s="228">
        <v>-537</v>
      </c>
      <c r="CF213" s="229">
        <v>-0.31969999999999998</v>
      </c>
      <c r="CG213" s="228">
        <v>984</v>
      </c>
      <c r="CH213" s="228">
        <v>695</v>
      </c>
      <c r="CI213" s="228">
        <v>290</v>
      </c>
      <c r="CJ213" s="229">
        <v>0.41689999999999999</v>
      </c>
      <c r="CK213" s="228">
        <v>32</v>
      </c>
      <c r="CL213" s="228">
        <v>26</v>
      </c>
      <c r="CM213" s="228">
        <v>6</v>
      </c>
      <c r="CN213" s="229">
        <v>0.2263</v>
      </c>
      <c r="CO213" s="228">
        <v>596</v>
      </c>
      <c r="CP213" s="228">
        <v>629</v>
      </c>
      <c r="CQ213" s="228">
        <v>-32</v>
      </c>
      <c r="CR213" s="229">
        <v>-5.16E-2</v>
      </c>
      <c r="CS213" s="228">
        <v>714</v>
      </c>
      <c r="CT213" s="228">
        <v>769</v>
      </c>
      <c r="CU213" s="228">
        <v>-55</v>
      </c>
      <c r="CV213" s="229">
        <v>-7.1400000000000005E-2</v>
      </c>
      <c r="CW213" s="230">
        <v>3470</v>
      </c>
      <c r="CX213" s="230">
        <v>3799</v>
      </c>
      <c r="CY213" s="228">
        <v>-329</v>
      </c>
      <c r="CZ213" s="229">
        <v>-8.6599999999999996E-2</v>
      </c>
      <c r="DA213" s="228">
        <v>24.56</v>
      </c>
      <c r="DB213" s="228">
        <v>28.11</v>
      </c>
      <c r="DC213" s="228">
        <v>-3.55</v>
      </c>
      <c r="DD213" s="228">
        <v>-3.55</v>
      </c>
      <c r="DE213" s="228">
        <v>37.380000000000003</v>
      </c>
      <c r="DF213" s="228">
        <v>37.46</v>
      </c>
      <c r="DG213" s="228">
        <v>-12.82</v>
      </c>
      <c r="DH213" s="228">
        <v>-0.08</v>
      </c>
      <c r="DI213" s="228">
        <v>24.56</v>
      </c>
      <c r="DJ213" s="228">
        <v>26.03</v>
      </c>
      <c r="DK213" s="228">
        <v>-1.47</v>
      </c>
      <c r="DL213" s="228">
        <v>-1.47</v>
      </c>
      <c r="DM213" s="228">
        <v>24.57</v>
      </c>
      <c r="DN213" s="228">
        <v>31.82</v>
      </c>
      <c r="DO213" s="228">
        <v>-7.25</v>
      </c>
      <c r="DP213" s="228">
        <v>-7.25</v>
      </c>
      <c r="DQ213" s="228">
        <v>1.2</v>
      </c>
      <c r="DR213" s="228">
        <v>1.22</v>
      </c>
      <c r="DS213" s="228">
        <v>-0.02</v>
      </c>
      <c r="DT213" s="229">
        <v>-1.6400000000000001E-2</v>
      </c>
      <c r="DU213" s="231">
        <v>1500</v>
      </c>
      <c r="DV213" s="231">
        <v>1300</v>
      </c>
      <c r="DW213" s="228">
        <v>0.79</v>
      </c>
      <c r="DX213" s="228">
        <v>0.56000000000000005</v>
      </c>
      <c r="DY213" s="228">
        <v>0.23</v>
      </c>
      <c r="DZ213" s="229">
        <v>0.41070000000000001</v>
      </c>
      <c r="EA213" s="229">
        <v>0.47060000000000002</v>
      </c>
      <c r="EB213" s="230">
        <v>5103375</v>
      </c>
      <c r="EC213" s="229">
        <v>-2.0199999999999999E-2</v>
      </c>
      <c r="ED213" s="229">
        <v>0.47060000000000002</v>
      </c>
      <c r="EE213" s="228">
        <v>-34.549999999999997</v>
      </c>
      <c r="EF213" s="229">
        <v>-2.4500000000000001E-2</v>
      </c>
      <c r="EG213" s="230">
        <v>246721</v>
      </c>
      <c r="EH213" s="230">
        <v>298687</v>
      </c>
      <c r="EI213" s="229">
        <v>-0.17399999999999999</v>
      </c>
      <c r="EJ213" s="229">
        <v>0.3639</v>
      </c>
      <c r="EK213" s="231">
        <v>1613.31</v>
      </c>
      <c r="EL213" s="231">
        <v>1216.73</v>
      </c>
      <c r="EM213" s="231">
        <v>1620.33</v>
      </c>
      <c r="EN213" s="228">
        <v>150.99</v>
      </c>
      <c r="EO213" s="231">
        <v>4450.38</v>
      </c>
      <c r="EP213" s="231">
        <v>4439.59</v>
      </c>
      <c r="EQ213" s="228">
        <v>10.79</v>
      </c>
      <c r="ER213" s="229">
        <v>2.3999999999999998E-3</v>
      </c>
      <c r="ES213" s="228">
        <v>606.34</v>
      </c>
      <c r="ET213" s="228">
        <v>663.81</v>
      </c>
      <c r="EU213" s="231">
        <v>2137.79</v>
      </c>
      <c r="EV213" s="231">
        <v>34594689</v>
      </c>
      <c r="EW213" s="231">
        <v>3407.94</v>
      </c>
      <c r="EX213" s="231">
        <v>3715.35</v>
      </c>
      <c r="EY213" s="228">
        <v>-307.41000000000003</v>
      </c>
      <c r="EZ213" s="229">
        <v>-8.2699999999999996E-2</v>
      </c>
      <c r="FA213" s="229">
        <v>0.71040000000000003</v>
      </c>
      <c r="FB213" s="227" t="s">
        <v>556</v>
      </c>
      <c r="FC213">
        <f t="shared" si="4"/>
        <v>0</v>
      </c>
    </row>
    <row r="214" spans="1:159" ht="17.25" thickBot="1" x14ac:dyDescent="0.3">
      <c r="A214" s="226">
        <v>45981</v>
      </c>
      <c r="B214" s="227" t="s">
        <v>221</v>
      </c>
      <c r="C214" s="227" t="s">
        <v>306</v>
      </c>
      <c r="D214" s="228">
        <v>3000</v>
      </c>
      <c r="E214" s="228">
        <v>5</v>
      </c>
      <c r="F214" s="228">
        <v>247.09</v>
      </c>
      <c r="G214" s="228">
        <v>246.92</v>
      </c>
      <c r="H214" s="228">
        <v>0.17</v>
      </c>
      <c r="I214" s="229">
        <v>6.9999999999999999E-4</v>
      </c>
      <c r="J214" s="228">
        <v>246.26</v>
      </c>
      <c r="K214" s="228">
        <v>246.07</v>
      </c>
      <c r="L214" s="228">
        <v>0.19</v>
      </c>
      <c r="M214" s="229">
        <v>8.0000000000000004E-4</v>
      </c>
      <c r="N214" s="228">
        <v>247.09</v>
      </c>
      <c r="O214" s="228">
        <v>246.92</v>
      </c>
      <c r="P214" s="228">
        <v>0.17</v>
      </c>
      <c r="Q214" s="229">
        <v>6.9999999999999999E-4</v>
      </c>
      <c r="R214" s="228">
        <v>246.74</v>
      </c>
      <c r="S214" s="228">
        <v>246.43</v>
      </c>
      <c r="T214" s="228">
        <v>0.31</v>
      </c>
      <c r="U214" s="229">
        <v>1.2999999999999999E-3</v>
      </c>
      <c r="V214" s="228">
        <v>246.21</v>
      </c>
      <c r="W214" s="228">
        <v>245.86</v>
      </c>
      <c r="X214" s="228">
        <v>0.35</v>
      </c>
      <c r="Y214" s="229">
        <v>1.4E-3</v>
      </c>
      <c r="Z214" s="228">
        <v>0.83</v>
      </c>
      <c r="AA214" s="228">
        <v>0.85</v>
      </c>
      <c r="AB214" s="228">
        <v>-0.02</v>
      </c>
      <c r="AC214" s="229">
        <v>3.3999999999999998E-3</v>
      </c>
      <c r="AD214" s="228">
        <v>0.83</v>
      </c>
      <c r="AE214" s="228">
        <v>0.85</v>
      </c>
      <c r="AF214" s="228">
        <v>-0.02</v>
      </c>
      <c r="AG214" s="229">
        <v>3.3999999999999998E-3</v>
      </c>
      <c r="AH214" s="228">
        <v>0.48</v>
      </c>
      <c r="AI214" s="228">
        <v>0.36</v>
      </c>
      <c r="AJ214" s="228">
        <v>0.12</v>
      </c>
      <c r="AK214" s="229">
        <v>1.9E-3</v>
      </c>
      <c r="AL214" s="228">
        <v>-0.05</v>
      </c>
      <c r="AM214" s="228">
        <v>-0.21</v>
      </c>
      <c r="AN214" s="228">
        <v>0.16</v>
      </c>
      <c r="AO214" s="229">
        <v>-2.0000000000000001E-4</v>
      </c>
      <c r="AP214" s="228">
        <v>247.02</v>
      </c>
      <c r="AQ214" s="228">
        <v>246.54</v>
      </c>
      <c r="AR214" s="228">
        <v>0</v>
      </c>
      <c r="AS214" s="230">
        <v>2752</v>
      </c>
      <c r="AT214" s="230">
        <v>1028</v>
      </c>
      <c r="AU214" s="230">
        <v>1724</v>
      </c>
      <c r="AV214" s="229">
        <v>1.6765000000000001</v>
      </c>
      <c r="AW214" s="230">
        <v>1394</v>
      </c>
      <c r="AX214" s="228">
        <v>658</v>
      </c>
      <c r="AY214" s="228">
        <v>737</v>
      </c>
      <c r="AZ214" s="229">
        <v>1.1203000000000001</v>
      </c>
      <c r="BA214" s="230">
        <v>1332</v>
      </c>
      <c r="BB214" s="228">
        <v>343</v>
      </c>
      <c r="BC214" s="228">
        <v>989</v>
      </c>
      <c r="BD214" s="229">
        <v>2.8854000000000002</v>
      </c>
      <c r="BE214" s="228">
        <v>26</v>
      </c>
      <c r="BF214" s="228">
        <v>28</v>
      </c>
      <c r="BG214" s="228">
        <v>-2</v>
      </c>
      <c r="BH214" s="229">
        <v>-7.4700000000000003E-2</v>
      </c>
      <c r="BI214" s="230">
        <v>1516</v>
      </c>
      <c r="BJ214" s="230">
        <v>3399</v>
      </c>
      <c r="BK214" s="230">
        <v>-1883</v>
      </c>
      <c r="BL214" s="229">
        <v>-0.55400000000000005</v>
      </c>
      <c r="BM214" s="230">
        <v>1077</v>
      </c>
      <c r="BN214" s="230">
        <v>1669</v>
      </c>
      <c r="BO214" s="228">
        <v>-592</v>
      </c>
      <c r="BP214" s="229">
        <v>-0.35449999999999998</v>
      </c>
      <c r="BQ214" s="230">
        <v>5345</v>
      </c>
      <c r="BR214" s="230">
        <v>6095</v>
      </c>
      <c r="BS214" s="228">
        <v>-750</v>
      </c>
      <c r="BT214" s="229">
        <v>-0.1231</v>
      </c>
      <c r="BU214" s="230">
        <v>6849771</v>
      </c>
      <c r="BV214" s="230">
        <v>13630484</v>
      </c>
      <c r="BW214" s="230">
        <v>-6780713</v>
      </c>
      <c r="BX214" s="229">
        <v>-0.4975</v>
      </c>
      <c r="BY214" s="230">
        <v>3770</v>
      </c>
      <c r="BZ214" s="230">
        <v>4032</v>
      </c>
      <c r="CA214" s="228">
        <v>-262</v>
      </c>
      <c r="CB214" s="229">
        <v>-6.5000000000000002E-2</v>
      </c>
      <c r="CC214" s="230">
        <v>2140</v>
      </c>
      <c r="CD214" s="230">
        <v>3177</v>
      </c>
      <c r="CE214" s="230">
        <v>-1036</v>
      </c>
      <c r="CF214" s="229">
        <v>-0.32629999999999998</v>
      </c>
      <c r="CG214" s="230">
        <v>1569</v>
      </c>
      <c r="CH214" s="228">
        <v>806</v>
      </c>
      <c r="CI214" s="228">
        <v>763</v>
      </c>
      <c r="CJ214" s="229">
        <v>0.94679999999999997</v>
      </c>
      <c r="CK214" s="228">
        <v>60</v>
      </c>
      <c r="CL214" s="228">
        <v>49</v>
      </c>
      <c r="CM214" s="228">
        <v>11</v>
      </c>
      <c r="CN214" s="229">
        <v>0.2278</v>
      </c>
      <c r="CO214" s="230">
        <v>1470</v>
      </c>
      <c r="CP214" s="230">
        <v>1559</v>
      </c>
      <c r="CQ214" s="228">
        <v>-89</v>
      </c>
      <c r="CR214" s="229">
        <v>-5.74E-2</v>
      </c>
      <c r="CS214" s="230">
        <v>1061</v>
      </c>
      <c r="CT214" s="230">
        <v>1086</v>
      </c>
      <c r="CU214" s="228">
        <v>-25</v>
      </c>
      <c r="CV214" s="229">
        <v>-2.2700000000000001E-2</v>
      </c>
      <c r="CW214" s="230">
        <v>6301</v>
      </c>
      <c r="CX214" s="230">
        <v>6677</v>
      </c>
      <c r="CY214" s="228">
        <v>-376</v>
      </c>
      <c r="CZ214" s="229">
        <v>-5.6300000000000003E-2</v>
      </c>
      <c r="DA214" s="228">
        <v>21.59</v>
      </c>
      <c r="DB214" s="228">
        <v>24.88</v>
      </c>
      <c r="DC214" s="228">
        <v>-3.29</v>
      </c>
      <c r="DD214" s="228">
        <v>-3.29</v>
      </c>
      <c r="DE214" s="228">
        <v>30.46</v>
      </c>
      <c r="DF214" s="228">
        <v>30.54</v>
      </c>
      <c r="DG214" s="228">
        <v>-8.8699999999999992</v>
      </c>
      <c r="DH214" s="228">
        <v>-0.08</v>
      </c>
      <c r="DI214" s="228">
        <v>21.71</v>
      </c>
      <c r="DJ214" s="228">
        <v>24.35</v>
      </c>
      <c r="DK214" s="228">
        <v>-2.64</v>
      </c>
      <c r="DL214" s="228">
        <v>-2.64</v>
      </c>
      <c r="DM214" s="228">
        <v>21.4</v>
      </c>
      <c r="DN214" s="228">
        <v>25.97</v>
      </c>
      <c r="DO214" s="228">
        <v>-4.57</v>
      </c>
      <c r="DP214" s="228">
        <v>-4.57</v>
      </c>
      <c r="DQ214" s="228">
        <v>0.72</v>
      </c>
      <c r="DR214" s="228">
        <v>0.7</v>
      </c>
      <c r="DS214" s="228">
        <v>0.02</v>
      </c>
      <c r="DT214" s="229">
        <v>2.86E-2</v>
      </c>
      <c r="DU214" s="228">
        <v>250</v>
      </c>
      <c r="DV214" s="228">
        <v>245</v>
      </c>
      <c r="DW214" s="228">
        <v>0.71</v>
      </c>
      <c r="DX214" s="228">
        <v>0.49</v>
      </c>
      <c r="DY214" s="228">
        <v>0.22</v>
      </c>
      <c r="DZ214" s="229">
        <v>0.44900000000000001</v>
      </c>
      <c r="EA214" s="229">
        <v>0.43230000000000002</v>
      </c>
      <c r="EB214" s="230">
        <v>34614000</v>
      </c>
      <c r="EC214" s="229">
        <v>-1.4E-3</v>
      </c>
      <c r="ED214" s="229">
        <v>0.43230000000000002</v>
      </c>
      <c r="EE214" s="228">
        <v>-0.48</v>
      </c>
      <c r="EF214" s="229">
        <v>-1.9E-3</v>
      </c>
      <c r="EG214" s="230">
        <v>4038699</v>
      </c>
      <c r="EH214" s="230">
        <v>6835739</v>
      </c>
      <c r="EI214" s="229">
        <v>-0.40920000000000001</v>
      </c>
      <c r="EJ214" s="229">
        <v>0.58960000000000001</v>
      </c>
      <c r="EK214" s="231">
        <v>1559.78</v>
      </c>
      <c r="EL214" s="231">
        <v>1058.69</v>
      </c>
      <c r="EM214" s="231">
        <v>2748.57</v>
      </c>
      <c r="EN214" s="228">
        <v>84.04</v>
      </c>
      <c r="EO214" s="231">
        <v>5367.05</v>
      </c>
      <c r="EP214" s="231">
        <v>6126.92</v>
      </c>
      <c r="EQ214" s="228">
        <v>-759.87</v>
      </c>
      <c r="ER214" s="229">
        <v>-0.124</v>
      </c>
      <c r="ES214" s="231">
        <v>1516.62</v>
      </c>
      <c r="ET214" s="231">
        <v>1026.6199999999999</v>
      </c>
      <c r="EU214" s="231">
        <v>3767.44</v>
      </c>
      <c r="EV214" s="231">
        <v>292948819</v>
      </c>
      <c r="EW214" s="231">
        <v>6310.68</v>
      </c>
      <c r="EX214" s="231">
        <v>6684.69</v>
      </c>
      <c r="EY214" s="228">
        <v>-374.01</v>
      </c>
      <c r="EZ214" s="229">
        <v>-5.6000000000000001E-2</v>
      </c>
      <c r="FA214" s="229">
        <v>0.87050000000000005</v>
      </c>
      <c r="FB214" s="227" t="s">
        <v>556</v>
      </c>
      <c r="FC214">
        <f t="shared" si="4"/>
        <v>0</v>
      </c>
    </row>
    <row r="215" spans="1:159" ht="17.25" thickBot="1" x14ac:dyDescent="0.3">
      <c r="A215" s="226">
        <v>45981</v>
      </c>
      <c r="B215" s="227" t="s">
        <v>172</v>
      </c>
      <c r="C215" s="227" t="s">
        <v>590</v>
      </c>
      <c r="D215" s="228">
        <v>31100</v>
      </c>
      <c r="E215" s="228">
        <v>5</v>
      </c>
      <c r="F215" s="228">
        <v>22.61</v>
      </c>
      <c r="G215" s="228">
        <v>22.94</v>
      </c>
      <c r="H215" s="228">
        <v>-0.33</v>
      </c>
      <c r="I215" s="229">
        <v>-1.44E-2</v>
      </c>
      <c r="J215" s="228">
        <v>22.63</v>
      </c>
      <c r="K215" s="228">
        <v>22.93</v>
      </c>
      <c r="L215" s="228">
        <v>-0.3</v>
      </c>
      <c r="M215" s="229">
        <v>-1.3100000000000001E-2</v>
      </c>
      <c r="N215" s="228">
        <v>22.61</v>
      </c>
      <c r="O215" s="228">
        <v>22.94</v>
      </c>
      <c r="P215" s="228">
        <v>-0.33</v>
      </c>
      <c r="Q215" s="229">
        <v>-1.44E-2</v>
      </c>
      <c r="R215" s="228">
        <v>22.77</v>
      </c>
      <c r="S215" s="228">
        <v>23.11</v>
      </c>
      <c r="T215" s="228">
        <v>-0.34</v>
      </c>
      <c r="U215" s="229">
        <v>-1.47E-2</v>
      </c>
      <c r="V215" s="228">
        <v>22.89</v>
      </c>
      <c r="W215" s="228">
        <v>23.22</v>
      </c>
      <c r="X215" s="228">
        <v>-0.33</v>
      </c>
      <c r="Y215" s="229">
        <v>-1.4200000000000001E-2</v>
      </c>
      <c r="Z215" s="228">
        <v>-0.02</v>
      </c>
      <c r="AA215" s="228">
        <v>0.01</v>
      </c>
      <c r="AB215" s="228">
        <v>-0.03</v>
      </c>
      <c r="AC215" s="229">
        <v>-8.9999999999999998E-4</v>
      </c>
      <c r="AD215" s="228">
        <v>-0.02</v>
      </c>
      <c r="AE215" s="228">
        <v>0.01</v>
      </c>
      <c r="AF215" s="228">
        <v>-0.03</v>
      </c>
      <c r="AG215" s="229">
        <v>-8.9999999999999998E-4</v>
      </c>
      <c r="AH215" s="228">
        <v>0.14000000000000001</v>
      </c>
      <c r="AI215" s="228">
        <v>0.18</v>
      </c>
      <c r="AJ215" s="228">
        <v>-0.04</v>
      </c>
      <c r="AK215" s="229">
        <v>6.1999999999999998E-3</v>
      </c>
      <c r="AL215" s="228">
        <v>0.26</v>
      </c>
      <c r="AM215" s="228">
        <v>0.28999999999999998</v>
      </c>
      <c r="AN215" s="228">
        <v>-0.03</v>
      </c>
      <c r="AO215" s="229">
        <v>1.15E-2</v>
      </c>
      <c r="AP215" s="228">
        <v>22.74</v>
      </c>
      <c r="AQ215" s="228">
        <v>22.89</v>
      </c>
      <c r="AR215" s="228">
        <v>0</v>
      </c>
      <c r="AS215" s="228">
        <v>927</v>
      </c>
      <c r="AT215" s="228">
        <v>339</v>
      </c>
      <c r="AU215" s="228">
        <v>588</v>
      </c>
      <c r="AV215" s="229">
        <v>1.7321</v>
      </c>
      <c r="AW215" s="228">
        <v>460</v>
      </c>
      <c r="AX215" s="228">
        <v>188</v>
      </c>
      <c r="AY215" s="228">
        <v>272</v>
      </c>
      <c r="AZ215" s="229">
        <v>1.4456</v>
      </c>
      <c r="BA215" s="228">
        <v>450</v>
      </c>
      <c r="BB215" s="228">
        <v>133</v>
      </c>
      <c r="BC215" s="228">
        <v>317</v>
      </c>
      <c r="BD215" s="229">
        <v>2.3757000000000001</v>
      </c>
      <c r="BE215" s="228">
        <v>17</v>
      </c>
      <c r="BF215" s="228">
        <v>18</v>
      </c>
      <c r="BG215" s="228">
        <v>-1</v>
      </c>
      <c r="BH215" s="229">
        <v>-4.3099999999999999E-2</v>
      </c>
      <c r="BI215" s="228">
        <v>694</v>
      </c>
      <c r="BJ215" s="228">
        <v>790</v>
      </c>
      <c r="BK215" s="228">
        <v>-96</v>
      </c>
      <c r="BL215" s="229">
        <v>-0.12139999999999999</v>
      </c>
      <c r="BM215" s="228">
        <v>136</v>
      </c>
      <c r="BN215" s="228">
        <v>199</v>
      </c>
      <c r="BO215" s="228">
        <v>-63</v>
      </c>
      <c r="BP215" s="229">
        <v>-0.31630000000000003</v>
      </c>
      <c r="BQ215" s="230">
        <v>1757</v>
      </c>
      <c r="BR215" s="230">
        <v>1328</v>
      </c>
      <c r="BS215" s="228">
        <v>429</v>
      </c>
      <c r="BT215" s="229">
        <v>0.32319999999999999</v>
      </c>
      <c r="BU215" s="230">
        <v>71503396</v>
      </c>
      <c r="BV215" s="230">
        <v>67597095</v>
      </c>
      <c r="BW215" s="230">
        <v>3906301</v>
      </c>
      <c r="BX215" s="229">
        <v>5.7799999999999997E-2</v>
      </c>
      <c r="BY215" s="230">
        <v>2507</v>
      </c>
      <c r="BZ215" s="230">
        <v>2514</v>
      </c>
      <c r="CA215" s="228">
        <v>-7</v>
      </c>
      <c r="CB215" s="229">
        <v>-2.8999999999999998E-3</v>
      </c>
      <c r="CC215" s="230">
        <v>1594</v>
      </c>
      <c r="CD215" s="230">
        <v>1957</v>
      </c>
      <c r="CE215" s="228">
        <v>-363</v>
      </c>
      <c r="CF215" s="229">
        <v>-0.1855</v>
      </c>
      <c r="CG215" s="228">
        <v>828</v>
      </c>
      <c r="CH215" s="228">
        <v>484</v>
      </c>
      <c r="CI215" s="228">
        <v>344</v>
      </c>
      <c r="CJ215" s="229">
        <v>0.71209999999999996</v>
      </c>
      <c r="CK215" s="228">
        <v>85</v>
      </c>
      <c r="CL215" s="228">
        <v>73</v>
      </c>
      <c r="CM215" s="228">
        <v>11</v>
      </c>
      <c r="CN215" s="229">
        <v>0.1552</v>
      </c>
      <c r="CO215" s="230">
        <v>1234</v>
      </c>
      <c r="CP215" s="230">
        <v>1187</v>
      </c>
      <c r="CQ215" s="228">
        <v>47</v>
      </c>
      <c r="CR215" s="229">
        <v>3.9399999999999998E-2</v>
      </c>
      <c r="CS215" s="228">
        <v>489</v>
      </c>
      <c r="CT215" s="228">
        <v>503</v>
      </c>
      <c r="CU215" s="228">
        <v>-13</v>
      </c>
      <c r="CV215" s="229">
        <v>-2.63E-2</v>
      </c>
      <c r="CW215" s="230">
        <v>4230</v>
      </c>
      <c r="CX215" s="230">
        <v>4204</v>
      </c>
      <c r="CY215" s="228">
        <v>26</v>
      </c>
      <c r="CZ215" s="229">
        <v>6.1999999999999998E-3</v>
      </c>
      <c r="DA215" s="228">
        <v>27.81</v>
      </c>
      <c r="DB215" s="228">
        <v>30.96</v>
      </c>
      <c r="DC215" s="228">
        <v>-3.15</v>
      </c>
      <c r="DD215" s="228">
        <v>-3.15</v>
      </c>
      <c r="DE215" s="228">
        <v>40.57</v>
      </c>
      <c r="DF215" s="228">
        <v>40.630000000000003</v>
      </c>
      <c r="DG215" s="228">
        <v>-12.76</v>
      </c>
      <c r="DH215" s="228">
        <v>-0.06</v>
      </c>
      <c r="DI215" s="228">
        <v>28.33</v>
      </c>
      <c r="DJ215" s="228">
        <v>32.020000000000003</v>
      </c>
      <c r="DK215" s="228">
        <v>-3.69</v>
      </c>
      <c r="DL215" s="228">
        <v>-3.69</v>
      </c>
      <c r="DM215" s="228">
        <v>26.15</v>
      </c>
      <c r="DN215" s="228">
        <v>26.74</v>
      </c>
      <c r="DO215" s="228">
        <v>-0.59</v>
      </c>
      <c r="DP215" s="228">
        <v>-0.59</v>
      </c>
      <c r="DQ215" s="228">
        <v>0.4</v>
      </c>
      <c r="DR215" s="228">
        <v>0.42</v>
      </c>
      <c r="DS215" s="228">
        <v>-0.02</v>
      </c>
      <c r="DT215" s="229">
        <v>-4.7600000000000003E-2</v>
      </c>
      <c r="DU215" s="228">
        <v>24</v>
      </c>
      <c r="DV215" s="228">
        <v>23</v>
      </c>
      <c r="DW215" s="228">
        <v>0.2</v>
      </c>
      <c r="DX215" s="228">
        <v>0.25</v>
      </c>
      <c r="DY215" s="228">
        <v>-0.05</v>
      </c>
      <c r="DZ215" s="229">
        <v>-0.2</v>
      </c>
      <c r="EA215" s="229">
        <v>0.36409999999999998</v>
      </c>
      <c r="EB215" s="230">
        <v>246343100</v>
      </c>
      <c r="EC215" s="229">
        <v>7.1000000000000004E-3</v>
      </c>
      <c r="ED215" s="229">
        <v>0.36409999999999998</v>
      </c>
      <c r="EE215" s="228">
        <v>0.15</v>
      </c>
      <c r="EF215" s="229">
        <v>6.6E-3</v>
      </c>
      <c r="EG215" s="230">
        <v>36219887</v>
      </c>
      <c r="EH215" s="230">
        <v>27598101</v>
      </c>
      <c r="EI215" s="229">
        <v>0.31240000000000001</v>
      </c>
      <c r="EJ215" s="229">
        <v>0.50649999999999995</v>
      </c>
      <c r="EK215" s="228">
        <v>746.31</v>
      </c>
      <c r="EL215" s="228">
        <v>133.56</v>
      </c>
      <c r="EM215" s="228">
        <v>935.98</v>
      </c>
      <c r="EN215" s="228">
        <v>48.17</v>
      </c>
      <c r="EO215" s="231">
        <v>1815.85</v>
      </c>
      <c r="EP215" s="231">
        <v>1397.84</v>
      </c>
      <c r="EQ215" s="228">
        <v>418.01</v>
      </c>
      <c r="ER215" s="229">
        <v>0.29899999999999999</v>
      </c>
      <c r="ES215" s="231">
        <v>1348.14</v>
      </c>
      <c r="ET215" s="228">
        <v>476.63</v>
      </c>
      <c r="EU215" s="231">
        <v>2513.64</v>
      </c>
      <c r="EV215" s="231">
        <v>3136562346</v>
      </c>
      <c r="EW215" s="231">
        <v>4338.41</v>
      </c>
      <c r="EX215" s="231">
        <v>4341.1099999999997</v>
      </c>
      <c r="EY215" s="228">
        <v>-2.7</v>
      </c>
      <c r="EZ215" s="229">
        <v>-5.9999999999999995E-4</v>
      </c>
      <c r="FA215" s="229">
        <v>0.59640000000000004</v>
      </c>
      <c r="FB215" s="227" t="s">
        <v>568</v>
      </c>
      <c r="FC215">
        <f t="shared" si="4"/>
        <v>0</v>
      </c>
    </row>
    <row r="216" spans="1:159" ht="17.25" thickBot="1" x14ac:dyDescent="0.3">
      <c r="A216" s="226">
        <v>45981</v>
      </c>
      <c r="B216" s="227" t="s">
        <v>170</v>
      </c>
      <c r="C216" s="227" t="s">
        <v>557</v>
      </c>
      <c r="D216" s="228">
        <v>900</v>
      </c>
      <c r="E216" s="228">
        <v>5</v>
      </c>
      <c r="F216" s="228">
        <v>927.5</v>
      </c>
      <c r="G216" s="228">
        <v>931.6</v>
      </c>
      <c r="H216" s="228">
        <v>-4.0999999999999996</v>
      </c>
      <c r="I216" s="229">
        <v>-4.4000000000000003E-3</v>
      </c>
      <c r="J216" s="228">
        <v>928</v>
      </c>
      <c r="K216" s="228">
        <v>930.2</v>
      </c>
      <c r="L216" s="228">
        <v>-2.2000000000000002</v>
      </c>
      <c r="M216" s="229">
        <v>-2.3999999999999998E-3</v>
      </c>
      <c r="N216" s="228">
        <v>927.5</v>
      </c>
      <c r="O216" s="228">
        <v>931.6</v>
      </c>
      <c r="P216" s="228">
        <v>-4.0999999999999996</v>
      </c>
      <c r="Q216" s="229">
        <v>-4.4000000000000003E-3</v>
      </c>
      <c r="R216" s="228">
        <v>930.85</v>
      </c>
      <c r="S216" s="228">
        <v>937.5</v>
      </c>
      <c r="T216" s="228">
        <v>-6.65</v>
      </c>
      <c r="U216" s="229">
        <v>-7.1000000000000004E-3</v>
      </c>
      <c r="V216" s="228">
        <v>937.2</v>
      </c>
      <c r="W216" s="228">
        <v>943.85</v>
      </c>
      <c r="X216" s="228">
        <v>-6.65</v>
      </c>
      <c r="Y216" s="229">
        <v>-7.0000000000000001E-3</v>
      </c>
      <c r="Z216" s="228">
        <v>-0.5</v>
      </c>
      <c r="AA216" s="228">
        <v>1.4</v>
      </c>
      <c r="AB216" s="228">
        <v>-1.9</v>
      </c>
      <c r="AC216" s="229">
        <v>-5.0000000000000001E-4</v>
      </c>
      <c r="AD216" s="228">
        <v>-0.5</v>
      </c>
      <c r="AE216" s="228">
        <v>1.4</v>
      </c>
      <c r="AF216" s="228">
        <v>-1.9</v>
      </c>
      <c r="AG216" s="229">
        <v>-5.0000000000000001E-4</v>
      </c>
      <c r="AH216" s="228">
        <v>2.85</v>
      </c>
      <c r="AI216" s="228">
        <v>7.3</v>
      </c>
      <c r="AJ216" s="228">
        <v>-4.45</v>
      </c>
      <c r="AK216" s="229">
        <v>3.0999999999999999E-3</v>
      </c>
      <c r="AL216" s="228">
        <v>9.1999999999999993</v>
      </c>
      <c r="AM216" s="228">
        <v>13.65</v>
      </c>
      <c r="AN216" s="228">
        <v>-4.45</v>
      </c>
      <c r="AO216" s="229">
        <v>9.9000000000000008E-3</v>
      </c>
      <c r="AP216" s="228">
        <v>933.46</v>
      </c>
      <c r="AQ216" s="228">
        <v>937.68</v>
      </c>
      <c r="AR216" s="228">
        <v>0</v>
      </c>
      <c r="AS216" s="228">
        <v>883</v>
      </c>
      <c r="AT216" s="228">
        <v>205</v>
      </c>
      <c r="AU216" s="228">
        <v>678</v>
      </c>
      <c r="AV216" s="229">
        <v>3.3086000000000002</v>
      </c>
      <c r="AW216" s="228">
        <v>427</v>
      </c>
      <c r="AX216" s="228">
        <v>131</v>
      </c>
      <c r="AY216" s="228">
        <v>296</v>
      </c>
      <c r="AZ216" s="229">
        <v>2.2578</v>
      </c>
      <c r="BA216" s="228">
        <v>453</v>
      </c>
      <c r="BB216" s="228">
        <v>73</v>
      </c>
      <c r="BC216" s="228">
        <v>380</v>
      </c>
      <c r="BD216" s="229">
        <v>5.2378999999999998</v>
      </c>
      <c r="BE216" s="228">
        <v>3</v>
      </c>
      <c r="BF216" s="228">
        <v>1</v>
      </c>
      <c r="BG216" s="228">
        <v>2</v>
      </c>
      <c r="BH216" s="229">
        <v>1.4666999999999999</v>
      </c>
      <c r="BI216" s="228">
        <v>458</v>
      </c>
      <c r="BJ216" s="228">
        <v>395</v>
      </c>
      <c r="BK216" s="228">
        <v>63</v>
      </c>
      <c r="BL216" s="229">
        <v>0.16039999999999999</v>
      </c>
      <c r="BM216" s="228">
        <v>239</v>
      </c>
      <c r="BN216" s="228">
        <v>136</v>
      </c>
      <c r="BO216" s="228">
        <v>103</v>
      </c>
      <c r="BP216" s="229">
        <v>0.75939999999999996</v>
      </c>
      <c r="BQ216" s="230">
        <v>1580</v>
      </c>
      <c r="BR216" s="228">
        <v>736</v>
      </c>
      <c r="BS216" s="228">
        <v>845</v>
      </c>
      <c r="BT216" s="229">
        <v>1.1485000000000001</v>
      </c>
      <c r="BU216" s="230">
        <v>769826</v>
      </c>
      <c r="BV216" s="230">
        <v>670969</v>
      </c>
      <c r="BW216" s="230">
        <v>98857</v>
      </c>
      <c r="BX216" s="229">
        <v>0.14729999999999999</v>
      </c>
      <c r="BY216" s="230">
        <v>1041</v>
      </c>
      <c r="BZ216" s="230">
        <v>1136</v>
      </c>
      <c r="CA216" s="228">
        <v>-95</v>
      </c>
      <c r="CB216" s="229">
        <v>-8.4000000000000005E-2</v>
      </c>
      <c r="CC216" s="228">
        <v>598</v>
      </c>
      <c r="CD216" s="228">
        <v>934</v>
      </c>
      <c r="CE216" s="228">
        <v>-336</v>
      </c>
      <c r="CF216" s="229">
        <v>-0.35970000000000002</v>
      </c>
      <c r="CG216" s="228">
        <v>433</v>
      </c>
      <c r="CH216" s="228">
        <v>193</v>
      </c>
      <c r="CI216" s="228">
        <v>240</v>
      </c>
      <c r="CJ216" s="229">
        <v>1.2417</v>
      </c>
      <c r="CK216" s="228">
        <v>10</v>
      </c>
      <c r="CL216" s="228">
        <v>9</v>
      </c>
      <c r="CM216" s="228">
        <v>1</v>
      </c>
      <c r="CN216" s="229">
        <v>8.1799999999999998E-2</v>
      </c>
      <c r="CO216" s="228">
        <v>551</v>
      </c>
      <c r="CP216" s="228">
        <v>567</v>
      </c>
      <c r="CQ216" s="228">
        <v>-16</v>
      </c>
      <c r="CR216" s="229">
        <v>-2.8299999999999999E-2</v>
      </c>
      <c r="CS216" s="228">
        <v>391</v>
      </c>
      <c r="CT216" s="228">
        <v>364</v>
      </c>
      <c r="CU216" s="228">
        <v>27</v>
      </c>
      <c r="CV216" s="229">
        <v>7.5300000000000006E-2</v>
      </c>
      <c r="CW216" s="230">
        <v>1983</v>
      </c>
      <c r="CX216" s="230">
        <v>2067</v>
      </c>
      <c r="CY216" s="228">
        <v>-84</v>
      </c>
      <c r="CZ216" s="229">
        <v>-4.07E-2</v>
      </c>
      <c r="DA216" s="228">
        <v>21.6</v>
      </c>
      <c r="DB216" s="228">
        <v>23.18</v>
      </c>
      <c r="DC216" s="228">
        <v>-1.58</v>
      </c>
      <c r="DD216" s="228">
        <v>-1.58</v>
      </c>
      <c r="DE216" s="228">
        <v>29.14</v>
      </c>
      <c r="DF216" s="228">
        <v>29.2</v>
      </c>
      <c r="DG216" s="228">
        <v>-7.54</v>
      </c>
      <c r="DH216" s="228">
        <v>-0.06</v>
      </c>
      <c r="DI216" s="228">
        <v>22.08</v>
      </c>
      <c r="DJ216" s="228">
        <v>23.63</v>
      </c>
      <c r="DK216" s="228">
        <v>-1.55</v>
      </c>
      <c r="DL216" s="228">
        <v>-1.55</v>
      </c>
      <c r="DM216" s="228">
        <v>20.93</v>
      </c>
      <c r="DN216" s="228">
        <v>21.9</v>
      </c>
      <c r="DO216" s="228">
        <v>-0.97</v>
      </c>
      <c r="DP216" s="228">
        <v>-0.97</v>
      </c>
      <c r="DQ216" s="228">
        <v>0.71</v>
      </c>
      <c r="DR216" s="228">
        <v>0.64</v>
      </c>
      <c r="DS216" s="228">
        <v>7.0000000000000007E-2</v>
      </c>
      <c r="DT216" s="229">
        <v>0.1094</v>
      </c>
      <c r="DU216" s="231">
        <v>1000</v>
      </c>
      <c r="DV216" s="228">
        <v>930</v>
      </c>
      <c r="DW216" s="228">
        <v>0.52</v>
      </c>
      <c r="DX216" s="228">
        <v>0.34</v>
      </c>
      <c r="DY216" s="228">
        <v>0.18</v>
      </c>
      <c r="DZ216" s="229">
        <v>0.52939999999999998</v>
      </c>
      <c r="EA216" s="229">
        <v>0.4254</v>
      </c>
      <c r="EB216" s="230">
        <v>2180700</v>
      </c>
      <c r="EC216" s="229">
        <v>3.5999999999999999E-3</v>
      </c>
      <c r="ED216" s="229">
        <v>0.4254</v>
      </c>
      <c r="EE216" s="228">
        <v>4.22</v>
      </c>
      <c r="EF216" s="229">
        <v>4.4999999999999997E-3</v>
      </c>
      <c r="EG216" s="230">
        <v>513653</v>
      </c>
      <c r="EH216" s="230">
        <v>413691</v>
      </c>
      <c r="EI216" s="229">
        <v>0.24160000000000001</v>
      </c>
      <c r="EJ216" s="229">
        <v>0.66720000000000002</v>
      </c>
      <c r="EK216" s="228">
        <v>479.05</v>
      </c>
      <c r="EL216" s="228">
        <v>241.12</v>
      </c>
      <c r="EM216" s="228">
        <v>891.11</v>
      </c>
      <c r="EN216" s="228">
        <v>23.43</v>
      </c>
      <c r="EO216" s="231">
        <v>1611.27</v>
      </c>
      <c r="EP216" s="228">
        <v>754.07</v>
      </c>
      <c r="EQ216" s="228">
        <v>857.2</v>
      </c>
      <c r="ER216" s="229">
        <v>1.1368</v>
      </c>
      <c r="ES216" s="228">
        <v>589.6</v>
      </c>
      <c r="ET216" s="228">
        <v>394.65</v>
      </c>
      <c r="EU216" s="231">
        <v>1042.43</v>
      </c>
      <c r="EV216" s="231">
        <v>32617803</v>
      </c>
      <c r="EW216" s="231">
        <v>2026.68</v>
      </c>
      <c r="EX216" s="231">
        <v>2119.64</v>
      </c>
      <c r="EY216" s="228">
        <v>-92.96</v>
      </c>
      <c r="EZ216" s="229">
        <v>-4.3900000000000002E-2</v>
      </c>
      <c r="FA216" s="229">
        <v>0.65529999999999999</v>
      </c>
      <c r="FB216" s="227" t="s">
        <v>568</v>
      </c>
      <c r="FC216">
        <f t="shared" si="4"/>
        <v>0</v>
      </c>
    </row>
    <row r="217" spans="1:159" x14ac:dyDescent="0.25">
      <c r="FC217">
        <f t="shared" si="4"/>
        <v>0</v>
      </c>
    </row>
    <row r="218" spans="1:159" x14ac:dyDescent="0.25">
      <c r="FC218">
        <f t="shared" si="4"/>
        <v>0</v>
      </c>
    </row>
    <row r="219" spans="1:159" x14ac:dyDescent="0.25">
      <c r="FC219">
        <f t="shared" si="4"/>
        <v>0</v>
      </c>
    </row>
    <row r="220" spans="1:159" x14ac:dyDescent="0.25">
      <c r="FC220">
        <f t="shared" si="4"/>
        <v>0</v>
      </c>
    </row>
    <row r="221" spans="1:159" x14ac:dyDescent="0.25">
      <c r="FC221">
        <f t="shared" si="4"/>
        <v>0</v>
      </c>
    </row>
    <row r="222" spans="1:159" x14ac:dyDescent="0.25">
      <c r="FC222">
        <f t="shared" si="4"/>
        <v>0</v>
      </c>
    </row>
    <row r="223" spans="1:159" x14ac:dyDescent="0.25">
      <c r="FC223">
        <f t="shared" si="4"/>
        <v>0</v>
      </c>
    </row>
    <row r="224" spans="1:159" x14ac:dyDescent="0.25">
      <c r="FC224">
        <f t="shared" si="4"/>
        <v>0</v>
      </c>
    </row>
    <row r="225" spans="159:159" x14ac:dyDescent="0.25">
      <c r="FC225">
        <f t="shared" si="4"/>
        <v>0</v>
      </c>
    </row>
    <row r="226" spans="159:159" x14ac:dyDescent="0.25">
      <c r="FC226">
        <f t="shared" si="4"/>
        <v>0</v>
      </c>
    </row>
    <row r="227" spans="159:159" x14ac:dyDescent="0.25">
      <c r="FC227">
        <f t="shared" si="4"/>
        <v>0</v>
      </c>
    </row>
    <row r="228" spans="159:159" x14ac:dyDescent="0.25">
      <c r="FC228">
        <f t="shared" si="4"/>
        <v>0</v>
      </c>
    </row>
    <row r="229" spans="159:159" x14ac:dyDescent="0.25">
      <c r="FC229">
        <f t="shared" si="4"/>
        <v>0</v>
      </c>
    </row>
    <row r="230" spans="159:159" x14ac:dyDescent="0.25">
      <c r="FC230">
        <f t="shared" si="4"/>
        <v>0</v>
      </c>
    </row>
    <row r="231" spans="159:159" x14ac:dyDescent="0.25">
      <c r="FC231">
        <f t="shared" si="4"/>
        <v>0</v>
      </c>
    </row>
    <row r="232" spans="159:159" x14ac:dyDescent="0.25">
      <c r="FC232">
        <f t="shared" si="4"/>
        <v>0</v>
      </c>
    </row>
    <row r="233" spans="159:159" x14ac:dyDescent="0.25">
      <c r="FC233">
        <f t="shared" si="4"/>
        <v>0</v>
      </c>
    </row>
    <row r="234" spans="159:159" x14ac:dyDescent="0.25">
      <c r="FC234">
        <f t="shared" si="4"/>
        <v>0</v>
      </c>
    </row>
    <row r="235" spans="159:159" x14ac:dyDescent="0.25">
      <c r="FC235">
        <f t="shared" si="4"/>
        <v>0</v>
      </c>
    </row>
    <row r="236" spans="159:159" x14ac:dyDescent="0.25">
      <c r="FC236">
        <f t="shared" si="4"/>
        <v>0</v>
      </c>
    </row>
    <row r="237" spans="159:159" x14ac:dyDescent="0.25">
      <c r="FC237">
        <f t="shared" si="4"/>
        <v>0</v>
      </c>
    </row>
    <row r="238" spans="159:159" x14ac:dyDescent="0.25">
      <c r="FC238">
        <f t="shared" si="4"/>
        <v>0</v>
      </c>
    </row>
    <row r="239" spans="159:159" x14ac:dyDescent="0.25">
      <c r="FC239">
        <f t="shared" si="4"/>
        <v>0</v>
      </c>
    </row>
    <row r="240" spans="159:159" x14ac:dyDescent="0.25">
      <c r="FC240">
        <f t="shared" si="4"/>
        <v>0</v>
      </c>
    </row>
    <row r="241" spans="159:159" x14ac:dyDescent="0.25">
      <c r="FC241">
        <f t="shared" si="4"/>
        <v>0</v>
      </c>
    </row>
    <row r="242" spans="159:159" x14ac:dyDescent="0.25">
      <c r="FC242">
        <f t="shared" si="4"/>
        <v>0</v>
      </c>
    </row>
    <row r="243" spans="159:159" x14ac:dyDescent="0.25">
      <c r="FC243">
        <f t="shared" si="4"/>
        <v>0</v>
      </c>
    </row>
    <row r="244" spans="159:159" x14ac:dyDescent="0.25">
      <c r="FC244">
        <f t="shared" si="4"/>
        <v>0</v>
      </c>
    </row>
    <row r="245" spans="159:159" x14ac:dyDescent="0.25">
      <c r="FC245">
        <f t="shared" si="4"/>
        <v>0</v>
      </c>
    </row>
    <row r="246" spans="159:159" x14ac:dyDescent="0.25">
      <c r="FC246">
        <f t="shared" si="4"/>
        <v>0</v>
      </c>
    </row>
    <row r="247" spans="159:159" x14ac:dyDescent="0.25">
      <c r="FC247">
        <f t="shared" si="4"/>
        <v>0</v>
      </c>
    </row>
    <row r="248" spans="159:159" x14ac:dyDescent="0.25">
      <c r="FC248">
        <f t="shared" si="4"/>
        <v>0</v>
      </c>
    </row>
    <row r="249" spans="159:159" x14ac:dyDescent="0.25">
      <c r="FC249">
        <f t="shared" si="4"/>
        <v>0</v>
      </c>
    </row>
    <row r="250" spans="159:159" x14ac:dyDescent="0.25">
      <c r="FC250">
        <f t="shared" si="4"/>
        <v>0</v>
      </c>
    </row>
    <row r="251" spans="159:159" x14ac:dyDescent="0.25">
      <c r="FC251">
        <f t="shared" si="4"/>
        <v>0</v>
      </c>
    </row>
    <row r="252" spans="159:159" x14ac:dyDescent="0.25">
      <c r="FC252">
        <f t="shared" si="4"/>
        <v>0</v>
      </c>
    </row>
    <row r="253" spans="159:159" x14ac:dyDescent="0.25">
      <c r="FC253">
        <f t="shared" si="4"/>
        <v>0</v>
      </c>
    </row>
    <row r="254" spans="159:159" x14ac:dyDescent="0.25">
      <c r="FC254">
        <f t="shared" si="4"/>
        <v>0</v>
      </c>
    </row>
    <row r="255" spans="159:159" x14ac:dyDescent="0.25">
      <c r="FC255">
        <f t="shared" si="4"/>
        <v>0</v>
      </c>
    </row>
    <row r="256" spans="159:159" x14ac:dyDescent="0.25">
      <c r="FC256">
        <f t="shared" si="4"/>
        <v>0</v>
      </c>
    </row>
    <row r="257" spans="159:159" x14ac:dyDescent="0.25">
      <c r="FC257">
        <f t="shared" si="4"/>
        <v>0</v>
      </c>
    </row>
    <row r="258" spans="159:159" x14ac:dyDescent="0.25">
      <c r="FC258">
        <f t="shared" si="4"/>
        <v>0</v>
      </c>
    </row>
    <row r="259" spans="159:159" x14ac:dyDescent="0.25">
      <c r="FC259">
        <f t="shared" ref="FC259:FC322" si="5">BY326-CC326</f>
        <v>0</v>
      </c>
    </row>
    <row r="260" spans="159:159" x14ac:dyDescent="0.25">
      <c r="FC260">
        <f t="shared" si="5"/>
        <v>0</v>
      </c>
    </row>
    <row r="261" spans="159:159" x14ac:dyDescent="0.25">
      <c r="FC261">
        <f t="shared" si="5"/>
        <v>0</v>
      </c>
    </row>
    <row r="262" spans="159:159" x14ac:dyDescent="0.25">
      <c r="FC262">
        <f t="shared" si="5"/>
        <v>0</v>
      </c>
    </row>
    <row r="263" spans="159:159" x14ac:dyDescent="0.25">
      <c r="FC263">
        <f t="shared" si="5"/>
        <v>0</v>
      </c>
    </row>
    <row r="264" spans="159:159" x14ac:dyDescent="0.25">
      <c r="FC264">
        <f t="shared" si="5"/>
        <v>0</v>
      </c>
    </row>
    <row r="265" spans="159:159" x14ac:dyDescent="0.25">
      <c r="FC265">
        <f t="shared" si="5"/>
        <v>0</v>
      </c>
    </row>
    <row r="266" spans="159:159" x14ac:dyDescent="0.25">
      <c r="FC266">
        <f t="shared" si="5"/>
        <v>0</v>
      </c>
    </row>
    <row r="267" spans="159:159" x14ac:dyDescent="0.25">
      <c r="FC267">
        <f t="shared" si="5"/>
        <v>0</v>
      </c>
    </row>
    <row r="268" spans="159:159" x14ac:dyDescent="0.25">
      <c r="FC268">
        <f t="shared" si="5"/>
        <v>0</v>
      </c>
    </row>
    <row r="269" spans="159:159" x14ac:dyDescent="0.25">
      <c r="FC269">
        <f t="shared" si="5"/>
        <v>0</v>
      </c>
    </row>
    <row r="270" spans="159:159" x14ac:dyDescent="0.25">
      <c r="FC270">
        <f t="shared" si="5"/>
        <v>0</v>
      </c>
    </row>
    <row r="271" spans="159:159" x14ac:dyDescent="0.25">
      <c r="FC271">
        <f t="shared" si="5"/>
        <v>0</v>
      </c>
    </row>
    <row r="272" spans="159:159" x14ac:dyDescent="0.25">
      <c r="FC272">
        <f t="shared" si="5"/>
        <v>0</v>
      </c>
    </row>
    <row r="273" spans="159:159" x14ac:dyDescent="0.25">
      <c r="FC273">
        <f t="shared" si="5"/>
        <v>0</v>
      </c>
    </row>
    <row r="274" spans="159:159" x14ac:dyDescent="0.25">
      <c r="FC274">
        <f t="shared" si="5"/>
        <v>0</v>
      </c>
    </row>
    <row r="275" spans="159:159" x14ac:dyDescent="0.25">
      <c r="FC275">
        <f t="shared" si="5"/>
        <v>0</v>
      </c>
    </row>
    <row r="276" spans="159:159" x14ac:dyDescent="0.25">
      <c r="FC276">
        <f t="shared" si="5"/>
        <v>0</v>
      </c>
    </row>
    <row r="277" spans="159:159" x14ac:dyDescent="0.25">
      <c r="FC277">
        <f t="shared" si="5"/>
        <v>0</v>
      </c>
    </row>
    <row r="278" spans="159:159" x14ac:dyDescent="0.25">
      <c r="FC278">
        <f t="shared" si="5"/>
        <v>0</v>
      </c>
    </row>
    <row r="279" spans="159:159" x14ac:dyDescent="0.25">
      <c r="FC279">
        <f t="shared" si="5"/>
        <v>0</v>
      </c>
    </row>
    <row r="280" spans="159:159" x14ac:dyDescent="0.25">
      <c r="FC280">
        <f t="shared" si="5"/>
        <v>0</v>
      </c>
    </row>
    <row r="281" spans="159:159" x14ac:dyDescent="0.25">
      <c r="FC281">
        <f t="shared" si="5"/>
        <v>0</v>
      </c>
    </row>
    <row r="282" spans="159:159" x14ac:dyDescent="0.25">
      <c r="FC282">
        <f t="shared" si="5"/>
        <v>0</v>
      </c>
    </row>
    <row r="283" spans="159:159" x14ac:dyDescent="0.25">
      <c r="FC283">
        <f t="shared" si="5"/>
        <v>0</v>
      </c>
    </row>
    <row r="284" spans="159:159" x14ac:dyDescent="0.25">
      <c r="FC284">
        <f t="shared" si="5"/>
        <v>0</v>
      </c>
    </row>
    <row r="285" spans="159:159" x14ac:dyDescent="0.25">
      <c r="FC285">
        <f t="shared" si="5"/>
        <v>0</v>
      </c>
    </row>
    <row r="286" spans="159:159" x14ac:dyDescent="0.25">
      <c r="FC286">
        <f t="shared" si="5"/>
        <v>0</v>
      </c>
    </row>
    <row r="287" spans="159:159" x14ac:dyDescent="0.25">
      <c r="FC287">
        <f t="shared" si="5"/>
        <v>0</v>
      </c>
    </row>
    <row r="288" spans="159:159" x14ac:dyDescent="0.25">
      <c r="FC288">
        <f t="shared" si="5"/>
        <v>0</v>
      </c>
    </row>
    <row r="289" spans="159:159" x14ac:dyDescent="0.25">
      <c r="FC289">
        <f t="shared" si="5"/>
        <v>0</v>
      </c>
    </row>
    <row r="290" spans="159:159" x14ac:dyDescent="0.25">
      <c r="FC290">
        <f t="shared" si="5"/>
        <v>0</v>
      </c>
    </row>
    <row r="291" spans="159:159" x14ac:dyDescent="0.25">
      <c r="FC291">
        <f t="shared" si="5"/>
        <v>0</v>
      </c>
    </row>
    <row r="292" spans="159:159" x14ac:dyDescent="0.25">
      <c r="FC292">
        <f t="shared" si="5"/>
        <v>0</v>
      </c>
    </row>
    <row r="293" spans="159:159" x14ac:dyDescent="0.25">
      <c r="FC293">
        <f t="shared" si="5"/>
        <v>0</v>
      </c>
    </row>
    <row r="294" spans="159:159" x14ac:dyDescent="0.25">
      <c r="FC294">
        <f t="shared" si="5"/>
        <v>0</v>
      </c>
    </row>
    <row r="295" spans="159:159" x14ac:dyDescent="0.25">
      <c r="FC295">
        <f t="shared" si="5"/>
        <v>0</v>
      </c>
    </row>
    <row r="296" spans="159:159" x14ac:dyDescent="0.25">
      <c r="FC296">
        <f t="shared" si="5"/>
        <v>0</v>
      </c>
    </row>
    <row r="297" spans="159:159" x14ac:dyDescent="0.25">
      <c r="FC297">
        <f t="shared" si="5"/>
        <v>0</v>
      </c>
    </row>
    <row r="298" spans="159:159" x14ac:dyDescent="0.25">
      <c r="FC298">
        <f t="shared" si="5"/>
        <v>0</v>
      </c>
    </row>
    <row r="299" spans="159:159" x14ac:dyDescent="0.25">
      <c r="FC299">
        <f t="shared" si="5"/>
        <v>0</v>
      </c>
    </row>
    <row r="300" spans="159:159" x14ac:dyDescent="0.25">
      <c r="FC300">
        <f t="shared" si="5"/>
        <v>0</v>
      </c>
    </row>
    <row r="301" spans="159:159" x14ac:dyDescent="0.25">
      <c r="FC301">
        <f t="shared" si="5"/>
        <v>0</v>
      </c>
    </row>
    <row r="302" spans="159:159" x14ac:dyDescent="0.25">
      <c r="FC302">
        <f t="shared" si="5"/>
        <v>0</v>
      </c>
    </row>
    <row r="303" spans="159:159" x14ac:dyDescent="0.25">
      <c r="FC303">
        <f t="shared" si="5"/>
        <v>0</v>
      </c>
    </row>
    <row r="304" spans="159:159" x14ac:dyDescent="0.25">
      <c r="FC304">
        <f t="shared" si="5"/>
        <v>0</v>
      </c>
    </row>
    <row r="305" spans="159:159" x14ac:dyDescent="0.25">
      <c r="FC305">
        <f t="shared" si="5"/>
        <v>0</v>
      </c>
    </row>
    <row r="306" spans="159:159" x14ac:dyDescent="0.25">
      <c r="FC306">
        <f t="shared" si="5"/>
        <v>0</v>
      </c>
    </row>
    <row r="307" spans="159:159" x14ac:dyDescent="0.25">
      <c r="FC307">
        <f t="shared" si="5"/>
        <v>0</v>
      </c>
    </row>
    <row r="308" spans="159:159" x14ac:dyDescent="0.25">
      <c r="FC308">
        <f t="shared" si="5"/>
        <v>0</v>
      </c>
    </row>
    <row r="309" spans="159:159" x14ac:dyDescent="0.25">
      <c r="FC309">
        <f t="shared" si="5"/>
        <v>0</v>
      </c>
    </row>
    <row r="310" spans="159:159" x14ac:dyDescent="0.25">
      <c r="FC310">
        <f t="shared" si="5"/>
        <v>0</v>
      </c>
    </row>
    <row r="311" spans="159:159" x14ac:dyDescent="0.25">
      <c r="FC311">
        <f t="shared" si="5"/>
        <v>0</v>
      </c>
    </row>
    <row r="312" spans="159:159" x14ac:dyDescent="0.25">
      <c r="FC312">
        <f t="shared" si="5"/>
        <v>0</v>
      </c>
    </row>
    <row r="313" spans="159:159" x14ac:dyDescent="0.25">
      <c r="FC313">
        <f t="shared" si="5"/>
        <v>0</v>
      </c>
    </row>
    <row r="314" spans="159:159" x14ac:dyDescent="0.25">
      <c r="FC314">
        <f t="shared" si="5"/>
        <v>0</v>
      </c>
    </row>
    <row r="315" spans="159:159" x14ac:dyDescent="0.25">
      <c r="FC315">
        <f t="shared" si="5"/>
        <v>0</v>
      </c>
    </row>
    <row r="316" spans="159:159" x14ac:dyDescent="0.25">
      <c r="FC316">
        <f t="shared" si="5"/>
        <v>0</v>
      </c>
    </row>
    <row r="317" spans="159:159" x14ac:dyDescent="0.25">
      <c r="FC317">
        <f t="shared" si="5"/>
        <v>0</v>
      </c>
    </row>
    <row r="318" spans="159:159" x14ac:dyDescent="0.25">
      <c r="FC318">
        <f t="shared" si="5"/>
        <v>0</v>
      </c>
    </row>
    <row r="319" spans="159:159" x14ac:dyDescent="0.25">
      <c r="FC319">
        <f t="shared" si="5"/>
        <v>0</v>
      </c>
    </row>
    <row r="320" spans="159:159" x14ac:dyDescent="0.25">
      <c r="FC320">
        <f t="shared" si="5"/>
        <v>0</v>
      </c>
    </row>
    <row r="321" spans="159:159" x14ac:dyDescent="0.25">
      <c r="FC321">
        <f t="shared" si="5"/>
        <v>0</v>
      </c>
    </row>
    <row r="322" spans="159:159" x14ac:dyDescent="0.25">
      <c r="FC322">
        <f t="shared" si="5"/>
        <v>0</v>
      </c>
    </row>
    <row r="323" spans="159:159" x14ac:dyDescent="0.25">
      <c r="FC323">
        <f t="shared" ref="FC323:FC354" si="6">BY390-CC390</f>
        <v>0</v>
      </c>
    </row>
    <row r="324" spans="159:159" x14ac:dyDescent="0.25">
      <c r="FC324">
        <f t="shared" si="6"/>
        <v>0</v>
      </c>
    </row>
    <row r="325" spans="159:159" x14ac:dyDescent="0.25">
      <c r="FC325">
        <f t="shared" si="6"/>
        <v>0</v>
      </c>
    </row>
    <row r="326" spans="159:159" x14ac:dyDescent="0.25">
      <c r="FC326">
        <f t="shared" si="6"/>
        <v>0</v>
      </c>
    </row>
    <row r="327" spans="159:159" x14ac:dyDescent="0.25">
      <c r="FC327">
        <f t="shared" si="6"/>
        <v>0</v>
      </c>
    </row>
    <row r="328" spans="159:159" x14ac:dyDescent="0.25">
      <c r="FC328">
        <f t="shared" si="6"/>
        <v>0</v>
      </c>
    </row>
    <row r="329" spans="159:159" x14ac:dyDescent="0.25">
      <c r="FC329">
        <f t="shared" si="6"/>
        <v>0</v>
      </c>
    </row>
    <row r="330" spans="159:159" x14ac:dyDescent="0.25">
      <c r="FC330">
        <f t="shared" si="6"/>
        <v>0</v>
      </c>
    </row>
    <row r="331" spans="159:159" x14ac:dyDescent="0.25">
      <c r="FC331">
        <f t="shared" si="6"/>
        <v>0</v>
      </c>
    </row>
    <row r="332" spans="159:159" x14ac:dyDescent="0.25">
      <c r="FC332">
        <f t="shared" si="6"/>
        <v>0</v>
      </c>
    </row>
    <row r="333" spans="159:159" x14ac:dyDescent="0.25">
      <c r="FC333">
        <f t="shared" si="6"/>
        <v>0</v>
      </c>
    </row>
    <row r="334" spans="159:159" x14ac:dyDescent="0.25">
      <c r="FC334">
        <f t="shared" si="6"/>
        <v>0</v>
      </c>
    </row>
    <row r="335" spans="159:159" x14ac:dyDescent="0.25">
      <c r="FC335">
        <f t="shared" si="6"/>
        <v>0</v>
      </c>
    </row>
    <row r="336" spans="159:159" x14ac:dyDescent="0.25">
      <c r="FC336">
        <f t="shared" si="6"/>
        <v>0</v>
      </c>
    </row>
    <row r="337" spans="159:159" x14ac:dyDescent="0.25">
      <c r="FC337">
        <f t="shared" si="6"/>
        <v>0</v>
      </c>
    </row>
    <row r="338" spans="159:159" x14ac:dyDescent="0.25">
      <c r="FC338">
        <f t="shared" si="6"/>
        <v>0</v>
      </c>
    </row>
    <row r="339" spans="159:159" x14ac:dyDescent="0.25">
      <c r="FC339">
        <f t="shared" si="6"/>
        <v>0</v>
      </c>
    </row>
    <row r="340" spans="159:159" x14ac:dyDescent="0.25">
      <c r="FC340">
        <f t="shared" si="6"/>
        <v>0</v>
      </c>
    </row>
    <row r="341" spans="159:159" x14ac:dyDescent="0.25">
      <c r="FC341">
        <f t="shared" si="6"/>
        <v>0</v>
      </c>
    </row>
    <row r="342" spans="159:159" x14ac:dyDescent="0.25">
      <c r="FC342">
        <f t="shared" si="6"/>
        <v>0</v>
      </c>
    </row>
    <row r="343" spans="159:159" x14ac:dyDescent="0.25">
      <c r="FC343">
        <f t="shared" si="6"/>
        <v>0</v>
      </c>
    </row>
    <row r="344" spans="159:159" x14ac:dyDescent="0.25">
      <c r="FC344">
        <f t="shared" si="6"/>
        <v>0</v>
      </c>
    </row>
    <row r="345" spans="159:159" x14ac:dyDescent="0.25">
      <c r="FC345">
        <f t="shared" si="6"/>
        <v>0</v>
      </c>
    </row>
    <row r="346" spans="159:159" x14ac:dyDescent="0.25">
      <c r="FC346">
        <f t="shared" si="6"/>
        <v>0</v>
      </c>
    </row>
    <row r="347" spans="159:159" x14ac:dyDescent="0.25">
      <c r="FC347">
        <f t="shared" si="6"/>
        <v>0</v>
      </c>
    </row>
    <row r="348" spans="159:159" x14ac:dyDescent="0.25">
      <c r="FC348">
        <f t="shared" si="6"/>
        <v>0</v>
      </c>
    </row>
    <row r="349" spans="159:159" x14ac:dyDescent="0.25">
      <c r="FC349">
        <f t="shared" si="6"/>
        <v>0</v>
      </c>
    </row>
    <row r="350" spans="159:159" x14ac:dyDescent="0.25">
      <c r="FC350">
        <f t="shared" si="6"/>
        <v>0</v>
      </c>
    </row>
    <row r="351" spans="159:159" x14ac:dyDescent="0.25">
      <c r="FC351">
        <f t="shared" si="6"/>
        <v>0</v>
      </c>
    </row>
    <row r="352" spans="159:159" x14ac:dyDescent="0.25">
      <c r="FC352">
        <f t="shared" si="6"/>
        <v>0</v>
      </c>
    </row>
    <row r="353" spans="159:159" x14ac:dyDescent="0.25">
      <c r="FC353">
        <f t="shared" si="6"/>
        <v>0</v>
      </c>
    </row>
    <row r="354" spans="159:159" x14ac:dyDescent="0.25">
      <c r="FC354">
        <f t="shared" si="6"/>
        <v>0</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B322"/>
  <sheetViews>
    <sheetView zoomScaleNormal="100" workbookViewId="0">
      <selection activeCell="BZ156" sqref="BZ156"/>
    </sheetView>
  </sheetViews>
  <sheetFormatPr defaultRowHeight="15" x14ac:dyDescent="0.25"/>
  <cols>
    <col min="1" max="1" width="12.42578125" customWidth="1"/>
    <col min="2" max="2" width="16.140625" customWidth="1"/>
    <col min="3" max="3" width="17" customWidth="1"/>
    <col min="4" max="4" width="8" customWidth="1"/>
    <col min="5" max="5" width="11.140625" customWidth="1"/>
    <col min="6" max="6" width="12.140625" customWidth="1"/>
    <col min="7" max="7" width="11.28515625" customWidth="1"/>
    <col min="8" max="8" width="8.7109375" hidden="1" customWidth="1"/>
    <col min="9" max="9" width="10.7109375" hidden="1" customWidth="1"/>
    <col min="10" max="10" width="10.85546875" hidden="1" customWidth="1"/>
    <col min="11" max="11" width="10" hidden="1" customWidth="1"/>
    <col min="12" max="12" width="8.140625" hidden="1" customWidth="1"/>
    <col min="13" max="13" width="19" hidden="1" customWidth="1"/>
    <col min="14" max="14" width="18.42578125" hidden="1" customWidth="1"/>
    <col min="15" max="15" width="17.5703125" hidden="1" customWidth="1"/>
    <col min="16" max="16" width="15.5703125" hidden="1" customWidth="1"/>
    <col min="17" max="17" width="19" hidden="1" customWidth="1"/>
    <col min="18" max="18" width="18.42578125" hidden="1" customWidth="1"/>
    <col min="19" max="19" width="17.5703125" hidden="1" customWidth="1"/>
    <col min="20" max="20" width="15.5703125" hidden="1" customWidth="1"/>
    <col min="21" max="21" width="17.28515625" hidden="1" customWidth="1"/>
    <col min="22" max="22" width="16.7109375" hidden="1" customWidth="1"/>
    <col min="23" max="23" width="15.7109375" hidden="1" customWidth="1"/>
    <col min="24" max="24" width="13.85546875" hidden="1" customWidth="1"/>
    <col min="25" max="25" width="7.7109375" hidden="1" customWidth="1"/>
    <col min="26" max="26" width="11.5703125" hidden="1" customWidth="1"/>
    <col min="27" max="27" width="10.7109375" hidden="1" customWidth="1"/>
    <col min="28" max="28" width="8.7109375" hidden="1" customWidth="1"/>
    <col min="29" max="29" width="9.85546875" hidden="1" customWidth="1"/>
    <col min="30" max="30" width="15.28515625" hidden="1" customWidth="1"/>
    <col min="31" max="31" width="14.42578125" hidden="1" customWidth="1"/>
    <col min="32" max="32" width="12.42578125" hidden="1" customWidth="1"/>
    <col min="33" max="33" width="9.85546875" hidden="1" customWidth="1"/>
    <col min="34" max="34" width="15.28515625" hidden="1" customWidth="1"/>
    <col min="35" max="35" width="14.42578125" hidden="1" customWidth="1"/>
    <col min="36" max="36" width="12.42578125" hidden="1" customWidth="1"/>
    <col min="37" max="37" width="8.5703125" hidden="1" customWidth="1"/>
    <col min="38" max="38" width="13.7109375" hidden="1" customWidth="1"/>
    <col min="39" max="39" width="12.7109375" hidden="1" customWidth="1"/>
    <col min="40" max="41" width="10.7109375" hidden="1" customWidth="1"/>
    <col min="42" max="42" width="11.85546875" hidden="1" customWidth="1"/>
    <col min="43" max="43" width="11.7109375" hidden="1" customWidth="1"/>
    <col min="44" max="44" width="11.85546875" hidden="1" customWidth="1"/>
    <col min="45" max="45" width="14.28515625" hidden="1" customWidth="1"/>
    <col min="46" max="46" width="13.28515625" hidden="1" customWidth="1"/>
    <col min="47" max="47" width="11.28515625" hidden="1" customWidth="1"/>
    <col min="48" max="48" width="14.28515625" hidden="1" customWidth="1"/>
    <col min="49" max="49" width="19.7109375" hidden="1" customWidth="1"/>
    <col min="50" max="50" width="18.7109375" hidden="1" customWidth="1"/>
    <col min="51" max="51" width="16.7109375" hidden="1" customWidth="1"/>
    <col min="52" max="52" width="14.28515625" hidden="1" customWidth="1"/>
    <col min="53" max="53" width="19.7109375" hidden="1" customWidth="1"/>
    <col min="54" max="54" width="18.7109375" hidden="1" customWidth="1"/>
    <col min="55" max="55" width="16.7109375" hidden="1" customWidth="1"/>
    <col min="56" max="56" width="12.42578125" hidden="1" customWidth="1"/>
    <col min="57" max="57" width="18" hidden="1" customWidth="1"/>
    <col min="58" max="58" width="17" hidden="1" customWidth="1"/>
    <col min="59" max="59" width="15.140625" hidden="1" customWidth="1"/>
    <col min="60" max="60" width="13.5703125" hidden="1" customWidth="1"/>
    <col min="61" max="61" width="18.7109375" hidden="1" customWidth="1"/>
    <col min="62" max="62" width="17.7109375" hidden="1" customWidth="1"/>
    <col min="63" max="63" width="15.7109375" hidden="1" customWidth="1"/>
    <col min="64" max="64" width="13.5703125" hidden="1" customWidth="1"/>
    <col min="65" max="65" width="18.5703125" hidden="1" customWidth="1"/>
    <col min="66" max="66" width="17.7109375" hidden="1" customWidth="1"/>
    <col min="67" max="67" width="15.7109375" hidden="1" customWidth="1"/>
    <col min="68" max="68" width="14.5703125" hidden="1" customWidth="1"/>
    <col min="69" max="69" width="20" hidden="1" customWidth="1"/>
    <col min="70" max="70" width="19.140625" hidden="1" customWidth="1"/>
    <col min="71" max="71" width="17.28515625" hidden="1" customWidth="1"/>
    <col min="72" max="72" width="14.140625" hidden="1" customWidth="1"/>
    <col min="73" max="73" width="19.5703125" hidden="1" customWidth="1"/>
    <col min="74" max="74" width="18.7109375" hidden="1" customWidth="1"/>
    <col min="75" max="75" width="16.7109375" hidden="1" customWidth="1"/>
    <col min="76" max="77" width="15.5703125" customWidth="1"/>
    <col min="78" max="78" width="14.85546875" customWidth="1"/>
    <col min="79" max="79" width="9.85546875" customWidth="1"/>
    <col min="80" max="81" width="15.5703125" customWidth="1"/>
    <col min="82" max="82" width="16.42578125" customWidth="1"/>
    <col min="83" max="83" width="11.42578125" customWidth="1"/>
    <col min="84" max="86" width="15.5703125" customWidth="1"/>
    <col min="87" max="87" width="11.42578125" customWidth="1"/>
    <col min="88" max="89" width="14" customWidth="1"/>
    <col min="90" max="90" width="12.7109375" customWidth="1"/>
    <col min="91" max="91" width="9.85546875" customWidth="1"/>
    <col min="92" max="93" width="15.5703125" customWidth="1"/>
    <col min="94" max="94" width="14" customWidth="1"/>
    <col min="95" max="95" width="10.42578125" customWidth="1"/>
    <col min="96" max="97" width="15.5703125" customWidth="1"/>
    <col min="98" max="98" width="13.7109375" customWidth="1"/>
    <col min="99" max="99" width="10.28515625" customWidth="1"/>
    <col min="100" max="101" width="16.7109375" customWidth="1"/>
    <col min="102" max="102" width="14.85546875" customWidth="1"/>
    <col min="103" max="103" width="11.7109375" customWidth="1"/>
    <col min="104" max="104" width="8" style="195" customWidth="1"/>
    <col min="105" max="105" width="8.7109375" customWidth="1"/>
    <col min="106" max="107" width="8.85546875" customWidth="1"/>
    <col min="108" max="108" width="8" customWidth="1"/>
    <col min="109" max="109" width="9.42578125" customWidth="1"/>
    <col min="110" max="110" width="11.85546875" customWidth="1"/>
    <col min="111" max="111" width="7.7109375" customWidth="1"/>
    <col min="112" max="112" width="8" customWidth="1"/>
    <col min="113" max="113" width="13.140625" customWidth="1"/>
    <col min="114" max="114" width="12.28515625" customWidth="1"/>
    <col min="115" max="115" width="10.28515625" customWidth="1"/>
    <col min="116" max="116" width="8" customWidth="1"/>
    <col min="117" max="117" width="13" customWidth="1"/>
    <col min="118" max="118" width="12.140625" customWidth="1"/>
    <col min="119" max="119" width="10.140625" customWidth="1"/>
    <col min="120" max="120" width="7.42578125" customWidth="1"/>
    <col min="121" max="121" width="12.85546875" customWidth="1"/>
    <col min="122" max="122" width="12" customWidth="1"/>
    <col min="123" max="123" width="10" customWidth="1"/>
    <col min="124" max="125" width="11.140625" customWidth="1"/>
    <col min="126" max="126" width="8.7109375" customWidth="1"/>
    <col min="127" max="127" width="14.28515625" customWidth="1"/>
    <col min="128" max="128" width="13.42578125" customWidth="1"/>
    <col min="129" max="129" width="11.28515625" customWidth="1"/>
    <col min="130" max="130" width="9.85546875" customWidth="1"/>
    <col min="131" max="131" width="15.5703125" customWidth="1"/>
    <col min="132" max="132" width="15" customWidth="1"/>
    <col min="133" max="133" width="12.42578125" customWidth="1"/>
    <col min="134" max="134" width="11.42578125" customWidth="1"/>
    <col min="135" max="135" width="13.5703125" customWidth="1"/>
    <col min="136" max="136" width="14" customWidth="1"/>
    <col min="137" max="137" width="15.7109375" customWidth="1"/>
    <col min="138" max="138" width="11.28515625" customWidth="1"/>
    <col min="139" max="139" width="12.7109375" customWidth="1"/>
    <col min="140" max="140" width="20.85546875" customWidth="1"/>
    <col min="141" max="141" width="20.7109375" customWidth="1"/>
    <col min="142" max="142" width="23.85546875" customWidth="1"/>
    <col min="143" max="143" width="15" customWidth="1"/>
    <col min="144" max="144" width="22.28515625" customWidth="1"/>
    <col min="145" max="145" width="22" customWidth="1"/>
    <col min="146" max="146" width="21" customWidth="1"/>
    <col min="147" max="147" width="19" customWidth="1"/>
    <col min="148" max="149" width="15.5703125" customWidth="1"/>
    <col min="150" max="150" width="17.5703125" customWidth="1"/>
    <col min="151" max="151" width="18.42578125" customWidth="1"/>
    <col min="152" max="153" width="16.7109375" customWidth="1"/>
    <col min="154" max="154" width="15.5703125" customWidth="1"/>
    <col min="155" max="155" width="12.5703125" customWidth="1"/>
    <col min="156" max="156" width="14.140625" customWidth="1"/>
    <col min="157" max="157" width="18.28515625" customWidth="1"/>
  </cols>
  <sheetData>
    <row r="1" spans="1:158" ht="35.25" thickBot="1" x14ac:dyDescent="0.3">
      <c r="A1" s="164" t="s">
        <v>0</v>
      </c>
      <c r="B1" s="164" t="s">
        <v>1</v>
      </c>
      <c r="C1" s="164" t="s">
        <v>2</v>
      </c>
      <c r="D1" s="164" t="s">
        <v>3</v>
      </c>
      <c r="E1" s="164" t="s">
        <v>5</v>
      </c>
      <c r="F1" s="164" t="s">
        <v>6</v>
      </c>
      <c r="G1" s="164" t="s">
        <v>7</v>
      </c>
      <c r="H1" s="164" t="s">
        <v>8</v>
      </c>
      <c r="I1" s="164" t="s">
        <v>9</v>
      </c>
      <c r="J1" s="164" t="s">
        <v>10</v>
      </c>
      <c r="K1" s="164" t="s">
        <v>11</v>
      </c>
      <c r="L1" s="164" t="s">
        <v>12</v>
      </c>
      <c r="M1" s="164" t="s">
        <v>13</v>
      </c>
      <c r="N1" s="164" t="s">
        <v>14</v>
      </c>
      <c r="O1" s="164" t="s">
        <v>15</v>
      </c>
      <c r="P1" s="164" t="s">
        <v>16</v>
      </c>
      <c r="Q1" s="164" t="s">
        <v>17</v>
      </c>
      <c r="R1" s="164" t="s">
        <v>18</v>
      </c>
      <c r="S1" s="164" t="s">
        <v>19</v>
      </c>
      <c r="T1" s="164" t="s">
        <v>20</v>
      </c>
      <c r="U1" s="164" t="s">
        <v>21</v>
      </c>
      <c r="V1" s="164" t="s">
        <v>22</v>
      </c>
      <c r="W1" s="164" t="s">
        <v>23</v>
      </c>
      <c r="X1" s="164" t="s">
        <v>24</v>
      </c>
      <c r="Y1" s="164" t="s">
        <v>25</v>
      </c>
      <c r="Z1" s="164" t="s">
        <v>26</v>
      </c>
      <c r="AA1" s="164" t="s">
        <v>27</v>
      </c>
      <c r="AB1" s="164" t="s">
        <v>28</v>
      </c>
      <c r="AC1" s="164" t="s">
        <v>29</v>
      </c>
      <c r="AD1" s="164" t="s">
        <v>30</v>
      </c>
      <c r="AE1" s="164" t="s">
        <v>31</v>
      </c>
      <c r="AF1" s="164" t="s">
        <v>32</v>
      </c>
      <c r="AG1" s="164" t="s">
        <v>33</v>
      </c>
      <c r="AH1" s="164" t="s">
        <v>34</v>
      </c>
      <c r="AI1" s="164" t="s">
        <v>35</v>
      </c>
      <c r="AJ1" s="164" t="s">
        <v>36</v>
      </c>
      <c r="AK1" s="164" t="s">
        <v>37</v>
      </c>
      <c r="AL1" s="164" t="s">
        <v>38</v>
      </c>
      <c r="AM1" s="164" t="s">
        <v>39</v>
      </c>
      <c r="AN1" s="164" t="s">
        <v>40</v>
      </c>
      <c r="AO1" s="164" t="s">
        <v>41</v>
      </c>
      <c r="AP1" s="164" t="s">
        <v>42</v>
      </c>
      <c r="AQ1" s="164" t="s">
        <v>43</v>
      </c>
      <c r="AR1" s="164" t="s">
        <v>44</v>
      </c>
      <c r="AS1" s="164" t="s">
        <v>45</v>
      </c>
      <c r="AT1" s="164" t="s">
        <v>46</v>
      </c>
      <c r="AU1" s="164" t="s">
        <v>47</v>
      </c>
      <c r="AV1" s="164" t="s">
        <v>48</v>
      </c>
      <c r="AW1" s="164" t="s">
        <v>49</v>
      </c>
      <c r="AX1" s="164" t="s">
        <v>50</v>
      </c>
      <c r="AY1" s="164" t="s">
        <v>51</v>
      </c>
      <c r="AZ1" s="164" t="s">
        <v>52</v>
      </c>
      <c r="BA1" s="164" t="s">
        <v>53</v>
      </c>
      <c r="BB1" s="164" t="s">
        <v>54</v>
      </c>
      <c r="BC1" s="164" t="s">
        <v>55</v>
      </c>
      <c r="BD1" s="164" t="s">
        <v>56</v>
      </c>
      <c r="BE1" s="164" t="s">
        <v>57</v>
      </c>
      <c r="BF1" s="164" t="s">
        <v>58</v>
      </c>
      <c r="BG1" s="164" t="s">
        <v>59</v>
      </c>
      <c r="BH1" s="164" t="s">
        <v>60</v>
      </c>
      <c r="BI1" s="164" t="s">
        <v>61</v>
      </c>
      <c r="BJ1" s="164" t="s">
        <v>62</v>
      </c>
      <c r="BK1" s="164" t="s">
        <v>63</v>
      </c>
      <c r="BL1" s="164" t="s">
        <v>64</v>
      </c>
      <c r="BM1" s="164" t="s">
        <v>65</v>
      </c>
      <c r="BN1" s="164" t="s">
        <v>66</v>
      </c>
      <c r="BO1" s="164" t="s">
        <v>67</v>
      </c>
      <c r="BP1" s="164" t="s">
        <v>68</v>
      </c>
      <c r="BQ1" s="164" t="s">
        <v>69</v>
      </c>
      <c r="BR1" s="164" t="s">
        <v>70</v>
      </c>
      <c r="BS1" s="164" t="s">
        <v>71</v>
      </c>
      <c r="BT1" s="164" t="s">
        <v>72</v>
      </c>
      <c r="BU1" s="164" t="s">
        <v>73</v>
      </c>
      <c r="BV1" s="164" t="s">
        <v>74</v>
      </c>
      <c r="BW1" s="164" t="s">
        <v>75</v>
      </c>
      <c r="BX1" s="164" t="s">
        <v>76</v>
      </c>
      <c r="BY1" s="164" t="s">
        <v>77</v>
      </c>
      <c r="BZ1" s="164" t="s">
        <v>78</v>
      </c>
      <c r="CA1" s="164" t="s">
        <v>79</v>
      </c>
      <c r="CB1" s="164" t="s">
        <v>80</v>
      </c>
      <c r="CC1" s="164" t="s">
        <v>81</v>
      </c>
      <c r="CD1" s="164" t="s">
        <v>82</v>
      </c>
      <c r="CE1" s="164" t="s">
        <v>83</v>
      </c>
      <c r="CF1" s="164" t="s">
        <v>84</v>
      </c>
      <c r="CG1" s="164" t="s">
        <v>85</v>
      </c>
      <c r="CH1" s="164" t="s">
        <v>86</v>
      </c>
      <c r="CI1" s="164" t="s">
        <v>87</v>
      </c>
      <c r="CJ1" s="164" t="s">
        <v>88</v>
      </c>
      <c r="CK1" s="164" t="s">
        <v>89</v>
      </c>
      <c r="CL1" s="164" t="s">
        <v>90</v>
      </c>
      <c r="CM1" s="164" t="s">
        <v>91</v>
      </c>
      <c r="CN1" s="164" t="s">
        <v>92</v>
      </c>
      <c r="CO1" s="164" t="s">
        <v>93</v>
      </c>
      <c r="CP1" s="164" t="s">
        <v>94</v>
      </c>
      <c r="CQ1" s="164" t="s">
        <v>95</v>
      </c>
      <c r="CR1" s="164" t="s">
        <v>96</v>
      </c>
      <c r="CS1" s="164" t="s">
        <v>97</v>
      </c>
      <c r="CT1" s="164" t="s">
        <v>98</v>
      </c>
      <c r="CU1" s="164" t="s">
        <v>99</v>
      </c>
      <c r="CV1" s="164" t="s">
        <v>100</v>
      </c>
      <c r="CW1" s="164" t="s">
        <v>101</v>
      </c>
      <c r="CX1" s="164" t="s">
        <v>102</v>
      </c>
      <c r="CY1" s="164" t="s">
        <v>103</v>
      </c>
      <c r="CZ1" s="164" t="s">
        <v>104</v>
      </c>
      <c r="DA1" s="164" t="s">
        <v>105</v>
      </c>
      <c r="DB1" s="164" t="s">
        <v>106</v>
      </c>
      <c r="DC1" s="164" t="s">
        <v>107</v>
      </c>
      <c r="DD1" s="164" t="s">
        <v>108</v>
      </c>
      <c r="DE1" s="164" t="s">
        <v>109</v>
      </c>
      <c r="DF1" s="164" t="s">
        <v>110</v>
      </c>
      <c r="DG1" s="164" t="s">
        <v>111</v>
      </c>
      <c r="DH1" s="164" t="s">
        <v>112</v>
      </c>
      <c r="DI1" s="164" t="s">
        <v>113</v>
      </c>
      <c r="DJ1" s="164" t="s">
        <v>114</v>
      </c>
      <c r="DK1" s="164" t="s">
        <v>115</v>
      </c>
      <c r="DL1" s="164" t="s">
        <v>116</v>
      </c>
      <c r="DM1" s="164" t="s">
        <v>117</v>
      </c>
      <c r="DN1" s="164" t="s">
        <v>118</v>
      </c>
      <c r="DO1" s="164" t="s">
        <v>119</v>
      </c>
      <c r="DP1" s="164" t="s">
        <v>120</v>
      </c>
      <c r="DQ1" s="164" t="s">
        <v>121</v>
      </c>
      <c r="DR1" s="164" t="s">
        <v>122</v>
      </c>
      <c r="DS1" s="164" t="s">
        <v>123</v>
      </c>
      <c r="DT1" s="164" t="s">
        <v>124</v>
      </c>
      <c r="DU1" s="164" t="s">
        <v>125</v>
      </c>
      <c r="DV1" s="164" t="s">
        <v>126</v>
      </c>
      <c r="DW1" s="164" t="s">
        <v>127</v>
      </c>
      <c r="DX1" s="164" t="s">
        <v>128</v>
      </c>
      <c r="DY1" s="164" t="s">
        <v>129</v>
      </c>
      <c r="DZ1" s="164" t="s">
        <v>130</v>
      </c>
      <c r="EA1" s="164" t="s">
        <v>131</v>
      </c>
      <c r="EB1" s="164" t="s">
        <v>132</v>
      </c>
      <c r="EC1" s="164" t="s">
        <v>133</v>
      </c>
      <c r="ED1" s="164" t="s">
        <v>134</v>
      </c>
      <c r="EE1" s="164" t="s">
        <v>135</v>
      </c>
      <c r="EF1" s="164" t="s">
        <v>136</v>
      </c>
      <c r="EG1" s="164" t="s">
        <v>137</v>
      </c>
      <c r="EH1" s="164" t="s">
        <v>138</v>
      </c>
      <c r="EI1" s="164" t="s">
        <v>139</v>
      </c>
      <c r="EJ1" s="164" t="s">
        <v>140</v>
      </c>
      <c r="EK1" s="164" t="s">
        <v>141</v>
      </c>
      <c r="EL1" s="164" t="s">
        <v>142</v>
      </c>
      <c r="EM1" s="164" t="s">
        <v>72</v>
      </c>
      <c r="EN1" s="164" t="s">
        <v>143</v>
      </c>
      <c r="EO1" s="164" t="s">
        <v>144</v>
      </c>
      <c r="EP1" s="164" t="s">
        <v>145</v>
      </c>
      <c r="EQ1" s="164" t="s">
        <v>146</v>
      </c>
      <c r="ER1" s="164" t="s">
        <v>147</v>
      </c>
      <c r="ES1" s="164" t="s">
        <v>148</v>
      </c>
      <c r="ET1" s="164" t="s">
        <v>149</v>
      </c>
      <c r="EU1" s="164" t="s">
        <v>150</v>
      </c>
      <c r="EV1" s="164" t="s">
        <v>151</v>
      </c>
      <c r="EW1" s="164" t="s">
        <v>152</v>
      </c>
      <c r="EX1" s="164" t="s">
        <v>153</v>
      </c>
      <c r="EY1" s="164" t="s">
        <v>154</v>
      </c>
      <c r="EZ1" s="164" t="s">
        <v>155</v>
      </c>
      <c r="FA1" s="164" t="s">
        <v>156</v>
      </c>
      <c r="FB1" s="160" t="s">
        <v>468</v>
      </c>
    </row>
    <row r="2" spans="1:158" ht="17.25" hidden="1" thickBot="1" x14ac:dyDescent="0.3">
      <c r="A2" s="226">
        <v>45981</v>
      </c>
      <c r="B2" s="227" t="s">
        <v>175</v>
      </c>
      <c r="C2" s="227" t="s">
        <v>683</v>
      </c>
      <c r="D2" s="228">
        <v>500</v>
      </c>
      <c r="E2" s="231">
        <v>1141.5</v>
      </c>
      <c r="F2" s="231">
        <v>1118.9000000000001</v>
      </c>
      <c r="G2" s="228">
        <v>22.6</v>
      </c>
      <c r="H2" s="229">
        <v>2.0199999999999999E-2</v>
      </c>
      <c r="I2" s="231">
        <v>1142.0999999999999</v>
      </c>
      <c r="J2" s="231">
        <v>1119.2</v>
      </c>
      <c r="K2" s="228">
        <v>22.9</v>
      </c>
      <c r="L2" s="229">
        <v>2.0500000000000001E-2</v>
      </c>
      <c r="M2" s="231">
        <v>1141.5</v>
      </c>
      <c r="N2" s="231">
        <v>1118.9000000000001</v>
      </c>
      <c r="O2" s="228">
        <v>22.6</v>
      </c>
      <c r="P2" s="229">
        <v>2.0199999999999999E-2</v>
      </c>
      <c r="Q2" s="231">
        <v>1146.8</v>
      </c>
      <c r="R2" s="231">
        <v>1125.8</v>
      </c>
      <c r="S2" s="228">
        <v>21</v>
      </c>
      <c r="T2" s="229">
        <v>1.8700000000000001E-2</v>
      </c>
      <c r="U2" s="231">
        <v>1152.2</v>
      </c>
      <c r="V2" s="231">
        <v>1130</v>
      </c>
      <c r="W2" s="228">
        <v>22.2</v>
      </c>
      <c r="X2" s="229">
        <v>1.9599999999999999E-2</v>
      </c>
      <c r="Y2" s="228">
        <v>-0.6</v>
      </c>
      <c r="Z2" s="228">
        <v>-0.3</v>
      </c>
      <c r="AA2" s="228">
        <v>-0.3</v>
      </c>
      <c r="AB2" s="229">
        <v>-5.0000000000000001E-4</v>
      </c>
      <c r="AC2" s="228">
        <v>-0.6</v>
      </c>
      <c r="AD2" s="228">
        <v>-0.3</v>
      </c>
      <c r="AE2" s="228">
        <v>-0.3</v>
      </c>
      <c r="AF2" s="229">
        <v>-5.0000000000000001E-4</v>
      </c>
      <c r="AG2" s="228">
        <v>4.7</v>
      </c>
      <c r="AH2" s="228">
        <v>6.6</v>
      </c>
      <c r="AI2" s="228">
        <v>-1.9</v>
      </c>
      <c r="AJ2" s="229">
        <v>4.1000000000000003E-3</v>
      </c>
      <c r="AK2" s="228">
        <v>10.1</v>
      </c>
      <c r="AL2" s="228">
        <v>10.8</v>
      </c>
      <c r="AM2" s="228">
        <v>-0.7</v>
      </c>
      <c r="AN2" s="229">
        <v>8.8000000000000005E-3</v>
      </c>
      <c r="AO2" s="231">
        <v>1132.46</v>
      </c>
      <c r="AP2" s="231">
        <v>1137.45</v>
      </c>
      <c r="AQ2" s="228">
        <v>0</v>
      </c>
      <c r="AR2" s="230">
        <v>3462500</v>
      </c>
      <c r="AS2" s="230">
        <v>1681500</v>
      </c>
      <c r="AT2" s="230">
        <v>1781000</v>
      </c>
      <c r="AU2" s="229">
        <v>1.0591999999999999</v>
      </c>
      <c r="AV2" s="230">
        <v>2128000</v>
      </c>
      <c r="AW2" s="230">
        <v>1189000</v>
      </c>
      <c r="AX2" s="230">
        <v>939000</v>
      </c>
      <c r="AY2" s="229">
        <v>0.78969999999999996</v>
      </c>
      <c r="AZ2" s="230">
        <v>1325500</v>
      </c>
      <c r="BA2" s="230">
        <v>477500</v>
      </c>
      <c r="BB2" s="230">
        <v>848000</v>
      </c>
      <c r="BC2" s="229">
        <v>1.7759</v>
      </c>
      <c r="BD2" s="230">
        <v>9000</v>
      </c>
      <c r="BE2" s="230">
        <v>15000</v>
      </c>
      <c r="BF2" s="230">
        <v>-6000</v>
      </c>
      <c r="BG2" s="229">
        <v>-0.4</v>
      </c>
      <c r="BH2" s="230">
        <v>9340000</v>
      </c>
      <c r="BI2" s="230">
        <v>7395000</v>
      </c>
      <c r="BJ2" s="230">
        <v>1945000</v>
      </c>
      <c r="BK2" s="229">
        <v>0.26300000000000001</v>
      </c>
      <c r="BL2" s="230">
        <v>2941000</v>
      </c>
      <c r="BM2" s="230">
        <v>2303000</v>
      </c>
      <c r="BN2" s="230">
        <v>638000</v>
      </c>
      <c r="BO2" s="229">
        <v>0.27700000000000002</v>
      </c>
      <c r="BP2" s="230">
        <v>15743500</v>
      </c>
      <c r="BQ2" s="230">
        <v>11379500</v>
      </c>
      <c r="BR2" s="230">
        <v>4364000</v>
      </c>
      <c r="BS2" s="229">
        <v>0.38350000000000001</v>
      </c>
      <c r="BT2" s="230">
        <v>1373324</v>
      </c>
      <c r="BU2" s="230">
        <v>1111452</v>
      </c>
      <c r="BV2" s="230">
        <v>261872</v>
      </c>
      <c r="BW2" s="229">
        <v>0.2356</v>
      </c>
      <c r="BX2" s="230">
        <v>2535000</v>
      </c>
      <c r="BY2" s="230">
        <v>2704000</v>
      </c>
      <c r="BZ2" s="230">
        <v>-169000</v>
      </c>
      <c r="CA2" s="229">
        <v>-6.25E-2</v>
      </c>
      <c r="CB2" s="230">
        <v>1675000</v>
      </c>
      <c r="CC2" s="230">
        <v>2486500</v>
      </c>
      <c r="CD2" s="230">
        <v>-811500</v>
      </c>
      <c r="CE2" s="229">
        <v>-0.32640000000000002</v>
      </c>
      <c r="CF2" s="230">
        <v>849500</v>
      </c>
      <c r="CG2" s="230">
        <v>210000</v>
      </c>
      <c r="CH2" s="230">
        <v>639500</v>
      </c>
      <c r="CI2" s="229">
        <v>3.0451999999999999</v>
      </c>
      <c r="CJ2" s="230">
        <v>10500</v>
      </c>
      <c r="CK2" s="230">
        <v>7500</v>
      </c>
      <c r="CL2" s="230">
        <v>3000</v>
      </c>
      <c r="CM2" s="229">
        <v>0.4</v>
      </c>
      <c r="CN2" s="230">
        <v>1720000</v>
      </c>
      <c r="CO2" s="230">
        <v>1921500</v>
      </c>
      <c r="CP2" s="230">
        <v>-201500</v>
      </c>
      <c r="CQ2" s="229">
        <v>-0.10489999999999999</v>
      </c>
      <c r="CR2" s="230">
        <v>1142500</v>
      </c>
      <c r="CS2" s="230">
        <v>877000</v>
      </c>
      <c r="CT2" s="230">
        <v>265500</v>
      </c>
      <c r="CU2" s="229">
        <v>0.30270000000000002</v>
      </c>
      <c r="CV2" s="230">
        <v>5397500</v>
      </c>
      <c r="CW2" s="230">
        <v>5502500</v>
      </c>
      <c r="CX2" s="230">
        <v>-105000</v>
      </c>
      <c r="CY2" s="229">
        <v>-1.9099999999999999E-2</v>
      </c>
      <c r="CZ2" s="228">
        <v>27.01</v>
      </c>
      <c r="DA2" s="228">
        <v>28.61</v>
      </c>
      <c r="DB2" s="228">
        <v>-1.6</v>
      </c>
      <c r="DC2" s="228">
        <v>-1.6</v>
      </c>
      <c r="DD2" s="228">
        <v>44.66</v>
      </c>
      <c r="DE2" s="228">
        <v>44.69</v>
      </c>
      <c r="DF2" s="228">
        <v>-17.649999999999999</v>
      </c>
      <c r="DG2" s="228">
        <v>-0.03</v>
      </c>
      <c r="DH2" s="228">
        <v>26.62</v>
      </c>
      <c r="DI2" s="228">
        <v>27.93</v>
      </c>
      <c r="DJ2" s="228">
        <v>-1.31</v>
      </c>
      <c r="DK2" s="228">
        <v>-1.31</v>
      </c>
      <c r="DL2" s="228">
        <v>27.95</v>
      </c>
      <c r="DM2" s="228">
        <v>30.79</v>
      </c>
      <c r="DN2" s="228">
        <v>-2.84</v>
      </c>
      <c r="DO2" s="228">
        <v>-2.84</v>
      </c>
      <c r="DP2" s="228">
        <v>0.66</v>
      </c>
      <c r="DQ2" s="228">
        <v>0.46</v>
      </c>
      <c r="DR2" s="228">
        <v>0.2</v>
      </c>
      <c r="DS2" s="229">
        <v>0.43480000000000002</v>
      </c>
      <c r="DT2" s="231">
        <v>1200</v>
      </c>
      <c r="DU2" s="231">
        <v>1100</v>
      </c>
      <c r="DV2" s="228">
        <v>0.31</v>
      </c>
      <c r="DW2" s="228">
        <v>0.31</v>
      </c>
      <c r="DX2" s="228">
        <v>0</v>
      </c>
      <c r="DY2" s="229">
        <v>0</v>
      </c>
      <c r="DZ2" s="229">
        <v>0.33929999999999999</v>
      </c>
      <c r="EA2" s="230">
        <v>217500</v>
      </c>
      <c r="EB2" s="229">
        <v>4.5999999999999999E-3</v>
      </c>
      <c r="EC2" s="229">
        <v>0.33929999999999999</v>
      </c>
      <c r="ED2" s="228">
        <v>4.99</v>
      </c>
      <c r="EE2" s="229">
        <v>4.4000000000000003E-3</v>
      </c>
      <c r="EF2" s="230">
        <v>517370</v>
      </c>
      <c r="EG2" s="230">
        <v>570693</v>
      </c>
      <c r="EH2" s="229">
        <v>-9.3399999999999997E-2</v>
      </c>
      <c r="EI2" s="229">
        <v>0.37669999999999998</v>
      </c>
      <c r="EJ2" s="231">
        <v>108262.42</v>
      </c>
      <c r="EK2" s="231">
        <v>33005.35</v>
      </c>
      <c r="EL2" s="231">
        <v>39278.49</v>
      </c>
      <c r="EM2" s="231">
        <v>1392</v>
      </c>
      <c r="EN2" s="231">
        <v>180546.26</v>
      </c>
      <c r="EO2" s="231">
        <v>128277.36</v>
      </c>
      <c r="EP2" s="231">
        <v>52268.9</v>
      </c>
      <c r="EQ2" s="229">
        <v>0.40749999999999997</v>
      </c>
      <c r="ER2" s="231">
        <v>19962</v>
      </c>
      <c r="ES2" s="231">
        <v>12467</v>
      </c>
      <c r="ET2" s="231">
        <v>28983</v>
      </c>
      <c r="EU2" s="231">
        <v>44660948</v>
      </c>
      <c r="EV2" s="231">
        <v>61412</v>
      </c>
      <c r="EW2" s="231">
        <v>61907</v>
      </c>
      <c r="EX2" s="228">
        <v>-495</v>
      </c>
      <c r="EY2" s="229">
        <v>-8.0000000000000002E-3</v>
      </c>
      <c r="EZ2" s="229">
        <v>0.12089999999999999</v>
      </c>
      <c r="FA2" s="227" t="s">
        <v>556</v>
      </c>
      <c r="FB2" s="161">
        <f>BX2-CB2</f>
        <v>860000</v>
      </c>
    </row>
    <row r="3" spans="1:158" ht="17.25" hidden="1" thickBot="1" x14ac:dyDescent="0.3">
      <c r="A3" s="226">
        <v>45981</v>
      </c>
      <c r="B3" s="227" t="s">
        <v>184</v>
      </c>
      <c r="C3" s="227" t="s">
        <v>553</v>
      </c>
      <c r="D3" s="228">
        <v>125</v>
      </c>
      <c r="E3" s="231">
        <v>5130.5</v>
      </c>
      <c r="F3" s="231">
        <v>5087.5</v>
      </c>
      <c r="G3" s="228">
        <v>43</v>
      </c>
      <c r="H3" s="229">
        <v>8.5000000000000006E-3</v>
      </c>
      <c r="I3" s="231">
        <v>5147</v>
      </c>
      <c r="J3" s="231">
        <v>5083</v>
      </c>
      <c r="K3" s="228">
        <v>64</v>
      </c>
      <c r="L3" s="229">
        <v>1.26E-2</v>
      </c>
      <c r="M3" s="231">
        <v>5130.5</v>
      </c>
      <c r="N3" s="231">
        <v>5087.5</v>
      </c>
      <c r="O3" s="228">
        <v>43</v>
      </c>
      <c r="P3" s="229">
        <v>8.5000000000000006E-3</v>
      </c>
      <c r="Q3" s="231">
        <v>5129.5</v>
      </c>
      <c r="R3" s="231">
        <v>5082.5</v>
      </c>
      <c r="S3" s="228">
        <v>47</v>
      </c>
      <c r="T3" s="229">
        <v>9.1999999999999998E-3</v>
      </c>
      <c r="U3" s="231">
        <v>5140.5</v>
      </c>
      <c r="V3" s="231">
        <v>5094.5</v>
      </c>
      <c r="W3" s="228">
        <v>46</v>
      </c>
      <c r="X3" s="229">
        <v>8.9999999999999993E-3</v>
      </c>
      <c r="Y3" s="228">
        <v>-16.5</v>
      </c>
      <c r="Z3" s="228">
        <v>4.5</v>
      </c>
      <c r="AA3" s="228">
        <v>-21</v>
      </c>
      <c r="AB3" s="229">
        <v>-3.2000000000000002E-3</v>
      </c>
      <c r="AC3" s="228">
        <v>-16.5</v>
      </c>
      <c r="AD3" s="228">
        <v>4.5</v>
      </c>
      <c r="AE3" s="228">
        <v>-21</v>
      </c>
      <c r="AF3" s="229">
        <v>-3.2000000000000002E-3</v>
      </c>
      <c r="AG3" s="228">
        <v>-17.5</v>
      </c>
      <c r="AH3" s="228">
        <v>-0.5</v>
      </c>
      <c r="AI3" s="228">
        <v>-17</v>
      </c>
      <c r="AJ3" s="229">
        <v>-3.3999999999999998E-3</v>
      </c>
      <c r="AK3" s="228">
        <v>-6.5</v>
      </c>
      <c r="AL3" s="228">
        <v>11.5</v>
      </c>
      <c r="AM3" s="228">
        <v>-18</v>
      </c>
      <c r="AN3" s="229">
        <v>-1.2999999999999999E-3</v>
      </c>
      <c r="AO3" s="231">
        <v>5145.63</v>
      </c>
      <c r="AP3" s="231">
        <v>5142.93</v>
      </c>
      <c r="AQ3" s="228">
        <v>0</v>
      </c>
      <c r="AR3" s="230">
        <v>3141375</v>
      </c>
      <c r="AS3" s="230">
        <v>710000</v>
      </c>
      <c r="AT3" s="230">
        <v>2431375</v>
      </c>
      <c r="AU3" s="229">
        <v>3.4245000000000001</v>
      </c>
      <c r="AV3" s="230">
        <v>1599125</v>
      </c>
      <c r="AW3" s="230">
        <v>458875</v>
      </c>
      <c r="AX3" s="230">
        <v>1140250</v>
      </c>
      <c r="AY3" s="229">
        <v>2.4849000000000001</v>
      </c>
      <c r="AZ3" s="230">
        <v>1522500</v>
      </c>
      <c r="BA3" s="230">
        <v>246625</v>
      </c>
      <c r="BB3" s="230">
        <v>1275875</v>
      </c>
      <c r="BC3" s="229">
        <v>5.1733000000000002</v>
      </c>
      <c r="BD3" s="230">
        <v>19750</v>
      </c>
      <c r="BE3" s="230">
        <v>4500</v>
      </c>
      <c r="BF3" s="230">
        <v>15250</v>
      </c>
      <c r="BG3" s="229">
        <v>3.3889</v>
      </c>
      <c r="BH3" s="230">
        <v>3535750</v>
      </c>
      <c r="BI3" s="230">
        <v>2306000</v>
      </c>
      <c r="BJ3" s="230">
        <v>1229750</v>
      </c>
      <c r="BK3" s="229">
        <v>0.5333</v>
      </c>
      <c r="BL3" s="230">
        <v>1418875</v>
      </c>
      <c r="BM3" s="230">
        <v>935875</v>
      </c>
      <c r="BN3" s="230">
        <v>483000</v>
      </c>
      <c r="BO3" s="229">
        <v>0.5161</v>
      </c>
      <c r="BP3" s="230">
        <v>8096000</v>
      </c>
      <c r="BQ3" s="230">
        <v>3951875</v>
      </c>
      <c r="BR3" s="230">
        <v>4144125</v>
      </c>
      <c r="BS3" s="229">
        <v>1.0486</v>
      </c>
      <c r="BT3" s="230">
        <v>322401</v>
      </c>
      <c r="BU3" s="230">
        <v>264095</v>
      </c>
      <c r="BV3" s="230">
        <v>58306</v>
      </c>
      <c r="BW3" s="229">
        <v>0.2208</v>
      </c>
      <c r="BX3" s="230">
        <v>3132375</v>
      </c>
      <c r="BY3" s="230">
        <v>3617250</v>
      </c>
      <c r="BZ3" s="230">
        <v>-484875</v>
      </c>
      <c r="CA3" s="229">
        <v>-0.13400000000000001</v>
      </c>
      <c r="CB3" s="230">
        <v>1743125</v>
      </c>
      <c r="CC3" s="230">
        <v>2851750</v>
      </c>
      <c r="CD3" s="230">
        <v>-1108625</v>
      </c>
      <c r="CE3" s="229">
        <v>-0.38879999999999998</v>
      </c>
      <c r="CF3" s="230">
        <v>1349375</v>
      </c>
      <c r="CG3" s="230">
        <v>725375</v>
      </c>
      <c r="CH3" s="230">
        <v>624000</v>
      </c>
      <c r="CI3" s="229">
        <v>0.86019999999999996</v>
      </c>
      <c r="CJ3" s="230">
        <v>39875</v>
      </c>
      <c r="CK3" s="230">
        <v>40125</v>
      </c>
      <c r="CL3" s="228">
        <v>-250</v>
      </c>
      <c r="CM3" s="229">
        <v>-6.1999999999999998E-3</v>
      </c>
      <c r="CN3" s="230">
        <v>1480250</v>
      </c>
      <c r="CO3" s="230">
        <v>1727625</v>
      </c>
      <c r="CP3" s="230">
        <v>-247375</v>
      </c>
      <c r="CQ3" s="229">
        <v>-0.14319999999999999</v>
      </c>
      <c r="CR3" s="230">
        <v>1011000</v>
      </c>
      <c r="CS3" s="230">
        <v>1056875</v>
      </c>
      <c r="CT3" s="230">
        <v>-45875</v>
      </c>
      <c r="CU3" s="229">
        <v>-4.3400000000000001E-2</v>
      </c>
      <c r="CV3" s="230">
        <v>5623625</v>
      </c>
      <c r="CW3" s="230">
        <v>6401750</v>
      </c>
      <c r="CX3" s="230">
        <v>-778125</v>
      </c>
      <c r="CY3" s="229">
        <v>-0.1215</v>
      </c>
      <c r="CZ3" s="228">
        <v>22.02</v>
      </c>
      <c r="DA3" s="228">
        <v>24.06</v>
      </c>
      <c r="DB3" s="228">
        <v>-2.04</v>
      </c>
      <c r="DC3" s="228">
        <v>-2.04</v>
      </c>
      <c r="DD3" s="228">
        <v>35.4</v>
      </c>
      <c r="DE3" s="228">
        <v>35.450000000000003</v>
      </c>
      <c r="DF3" s="228">
        <v>-13.38</v>
      </c>
      <c r="DG3" s="228">
        <v>-0.05</v>
      </c>
      <c r="DH3" s="228">
        <v>21.8</v>
      </c>
      <c r="DI3" s="228">
        <v>24.48</v>
      </c>
      <c r="DJ3" s="228">
        <v>-2.68</v>
      </c>
      <c r="DK3" s="228">
        <v>-2.68</v>
      </c>
      <c r="DL3" s="228">
        <v>22.42</v>
      </c>
      <c r="DM3" s="228">
        <v>23.02</v>
      </c>
      <c r="DN3" s="228">
        <v>-0.6</v>
      </c>
      <c r="DO3" s="228">
        <v>-0.6</v>
      </c>
      <c r="DP3" s="228">
        <v>0.68</v>
      </c>
      <c r="DQ3" s="228">
        <v>0.61</v>
      </c>
      <c r="DR3" s="228">
        <v>7.0000000000000007E-2</v>
      </c>
      <c r="DS3" s="229">
        <v>0.1148</v>
      </c>
      <c r="DT3" s="231">
        <v>5500</v>
      </c>
      <c r="DU3" s="231">
        <v>5200</v>
      </c>
      <c r="DV3" s="228">
        <v>0.4</v>
      </c>
      <c r="DW3" s="228">
        <v>0.41</v>
      </c>
      <c r="DX3" s="228">
        <v>-0.01</v>
      </c>
      <c r="DY3" s="229">
        <v>-2.4400000000000002E-2</v>
      </c>
      <c r="DZ3" s="229">
        <v>0.44350000000000001</v>
      </c>
      <c r="EA3" s="230">
        <v>765500</v>
      </c>
      <c r="EB3" s="229">
        <v>-2.0000000000000001E-4</v>
      </c>
      <c r="EC3" s="229">
        <v>0.44350000000000001</v>
      </c>
      <c r="ED3" s="228">
        <v>-2.7</v>
      </c>
      <c r="EE3" s="229">
        <v>-5.0000000000000001E-4</v>
      </c>
      <c r="EF3" s="230">
        <v>183681</v>
      </c>
      <c r="EG3" s="230">
        <v>140456</v>
      </c>
      <c r="EH3" s="229">
        <v>0.30769999999999997</v>
      </c>
      <c r="EI3" s="229">
        <v>0.56969999999999998</v>
      </c>
      <c r="EJ3" s="231">
        <v>186708.91</v>
      </c>
      <c r="EK3" s="231">
        <v>72291.070000000007</v>
      </c>
      <c r="EL3" s="231">
        <v>161605.04999999999</v>
      </c>
      <c r="EM3" s="231">
        <v>5582</v>
      </c>
      <c r="EN3" s="231">
        <v>420605.03</v>
      </c>
      <c r="EO3" s="231">
        <v>204412.32</v>
      </c>
      <c r="EP3" s="231">
        <v>216192.71</v>
      </c>
      <c r="EQ3" s="229">
        <v>1.0576000000000001</v>
      </c>
      <c r="ER3" s="231">
        <v>78939</v>
      </c>
      <c r="ES3" s="231">
        <v>51402</v>
      </c>
      <c r="ET3" s="231">
        <v>160697</v>
      </c>
      <c r="EU3" s="231">
        <v>7946564</v>
      </c>
      <c r="EV3" s="231">
        <v>291038</v>
      </c>
      <c r="EW3" s="231">
        <v>329291</v>
      </c>
      <c r="EX3" s="231">
        <v>-38253</v>
      </c>
      <c r="EY3" s="229">
        <v>-0.1162</v>
      </c>
      <c r="EZ3" s="229">
        <v>0.7077</v>
      </c>
      <c r="FA3" s="227" t="s">
        <v>556</v>
      </c>
      <c r="FB3" s="161">
        <f t="shared" ref="FB3:FB66" si="0">BX3-CB3</f>
        <v>1389250</v>
      </c>
    </row>
    <row r="4" spans="1:158" ht="17.25" hidden="1" thickBot="1" x14ac:dyDescent="0.3">
      <c r="A4" s="226">
        <v>45981</v>
      </c>
      <c r="B4" s="227" t="s">
        <v>175</v>
      </c>
      <c r="C4" s="227" t="s">
        <v>544</v>
      </c>
      <c r="D4" s="228">
        <v>3100</v>
      </c>
      <c r="E4" s="228">
        <v>328</v>
      </c>
      <c r="F4" s="228">
        <v>330.7</v>
      </c>
      <c r="G4" s="228">
        <v>-2.7</v>
      </c>
      <c r="H4" s="229">
        <v>-8.2000000000000007E-3</v>
      </c>
      <c r="I4" s="228">
        <v>327.85</v>
      </c>
      <c r="J4" s="228">
        <v>330.65</v>
      </c>
      <c r="K4" s="228">
        <v>-2.8</v>
      </c>
      <c r="L4" s="229">
        <v>-8.5000000000000006E-3</v>
      </c>
      <c r="M4" s="228">
        <v>328</v>
      </c>
      <c r="N4" s="228">
        <v>330.7</v>
      </c>
      <c r="O4" s="228">
        <v>-2.7</v>
      </c>
      <c r="P4" s="229">
        <v>-8.2000000000000007E-3</v>
      </c>
      <c r="Q4" s="228">
        <v>330.2</v>
      </c>
      <c r="R4" s="228">
        <v>332.95</v>
      </c>
      <c r="S4" s="228">
        <v>-2.75</v>
      </c>
      <c r="T4" s="229">
        <v>-8.3000000000000001E-3</v>
      </c>
      <c r="U4" s="228">
        <v>331.8</v>
      </c>
      <c r="V4" s="228">
        <v>335.1</v>
      </c>
      <c r="W4" s="228">
        <v>-3.3</v>
      </c>
      <c r="X4" s="229">
        <v>-9.7999999999999997E-3</v>
      </c>
      <c r="Y4" s="228">
        <v>0.15</v>
      </c>
      <c r="Z4" s="228">
        <v>0.05</v>
      </c>
      <c r="AA4" s="228">
        <v>0.1</v>
      </c>
      <c r="AB4" s="229">
        <v>5.0000000000000001E-4</v>
      </c>
      <c r="AC4" s="228">
        <v>0.15</v>
      </c>
      <c r="AD4" s="228">
        <v>0.05</v>
      </c>
      <c r="AE4" s="228">
        <v>0.1</v>
      </c>
      <c r="AF4" s="229">
        <v>5.0000000000000001E-4</v>
      </c>
      <c r="AG4" s="228">
        <v>2.35</v>
      </c>
      <c r="AH4" s="228">
        <v>2.2999999999999998</v>
      </c>
      <c r="AI4" s="228">
        <v>0.05</v>
      </c>
      <c r="AJ4" s="229">
        <v>7.1999999999999998E-3</v>
      </c>
      <c r="AK4" s="228">
        <v>3.95</v>
      </c>
      <c r="AL4" s="228">
        <v>4.45</v>
      </c>
      <c r="AM4" s="228">
        <v>-0.5</v>
      </c>
      <c r="AN4" s="229">
        <v>1.2E-2</v>
      </c>
      <c r="AO4" s="228">
        <v>330.13</v>
      </c>
      <c r="AP4" s="228">
        <v>332.42</v>
      </c>
      <c r="AQ4" s="228">
        <v>0</v>
      </c>
      <c r="AR4" s="230">
        <v>39568400</v>
      </c>
      <c r="AS4" s="230">
        <v>9117100</v>
      </c>
      <c r="AT4" s="230">
        <v>30451300</v>
      </c>
      <c r="AU4" s="229">
        <v>3.34</v>
      </c>
      <c r="AV4" s="230">
        <v>21275300</v>
      </c>
      <c r="AW4" s="230">
        <v>6699100</v>
      </c>
      <c r="AX4" s="230">
        <v>14576200</v>
      </c>
      <c r="AY4" s="229">
        <v>2.1758000000000002</v>
      </c>
      <c r="AZ4" s="230">
        <v>18172200</v>
      </c>
      <c r="BA4" s="230">
        <v>2250600</v>
      </c>
      <c r="BB4" s="230">
        <v>15921600</v>
      </c>
      <c r="BC4" s="229">
        <v>7.0743999999999998</v>
      </c>
      <c r="BD4" s="230">
        <v>120900</v>
      </c>
      <c r="BE4" s="230">
        <v>167400</v>
      </c>
      <c r="BF4" s="230">
        <v>-46500</v>
      </c>
      <c r="BG4" s="229">
        <v>-0.27779999999999999</v>
      </c>
      <c r="BH4" s="230">
        <v>20469300</v>
      </c>
      <c r="BI4" s="230">
        <v>25435500</v>
      </c>
      <c r="BJ4" s="230">
        <v>-4966200</v>
      </c>
      <c r="BK4" s="229">
        <v>-0.19520000000000001</v>
      </c>
      <c r="BL4" s="230">
        <v>9864200</v>
      </c>
      <c r="BM4" s="230">
        <v>8165400</v>
      </c>
      <c r="BN4" s="230">
        <v>1698800</v>
      </c>
      <c r="BO4" s="229">
        <v>0.20799999999999999</v>
      </c>
      <c r="BP4" s="230">
        <v>69901900</v>
      </c>
      <c r="BQ4" s="230">
        <v>42718000</v>
      </c>
      <c r="BR4" s="230">
        <v>27183900</v>
      </c>
      <c r="BS4" s="229">
        <v>0.63639999999999997</v>
      </c>
      <c r="BT4" s="230">
        <v>2041606</v>
      </c>
      <c r="BU4" s="230">
        <v>1968070</v>
      </c>
      <c r="BV4" s="230">
        <v>73536</v>
      </c>
      <c r="BW4" s="229">
        <v>3.7400000000000003E-2</v>
      </c>
      <c r="BX4" s="230">
        <v>77924700</v>
      </c>
      <c r="BY4" s="230">
        <v>78606700</v>
      </c>
      <c r="BZ4" s="230">
        <v>-682000</v>
      </c>
      <c r="CA4" s="229">
        <v>-8.6999999999999994E-3</v>
      </c>
      <c r="CB4" s="230">
        <v>58667500</v>
      </c>
      <c r="CC4" s="230">
        <v>75233900</v>
      </c>
      <c r="CD4" s="230">
        <v>-16566400</v>
      </c>
      <c r="CE4" s="229">
        <v>-0.22020000000000001</v>
      </c>
      <c r="CF4" s="230">
        <v>18844900</v>
      </c>
      <c r="CG4" s="230">
        <v>2966700</v>
      </c>
      <c r="CH4" s="230">
        <v>15878200</v>
      </c>
      <c r="CI4" s="229">
        <v>5.3521000000000001</v>
      </c>
      <c r="CJ4" s="230">
        <v>412300</v>
      </c>
      <c r="CK4" s="230">
        <v>406100</v>
      </c>
      <c r="CL4" s="230">
        <v>6200</v>
      </c>
      <c r="CM4" s="229">
        <v>1.5299999999999999E-2</v>
      </c>
      <c r="CN4" s="230">
        <v>18572100</v>
      </c>
      <c r="CO4" s="230">
        <v>20584000</v>
      </c>
      <c r="CP4" s="230">
        <v>-2011900</v>
      </c>
      <c r="CQ4" s="229">
        <v>-9.7699999999999995E-2</v>
      </c>
      <c r="CR4" s="230">
        <v>14365400</v>
      </c>
      <c r="CS4" s="230">
        <v>15310900</v>
      </c>
      <c r="CT4" s="230">
        <v>-945500</v>
      </c>
      <c r="CU4" s="229">
        <v>-6.1800000000000001E-2</v>
      </c>
      <c r="CV4" s="230">
        <v>110862200</v>
      </c>
      <c r="CW4" s="230">
        <v>114501600</v>
      </c>
      <c r="CX4" s="230">
        <v>-3639400</v>
      </c>
      <c r="CY4" s="229">
        <v>-3.1800000000000002E-2</v>
      </c>
      <c r="CZ4" s="228">
        <v>26.08</v>
      </c>
      <c r="DA4" s="228">
        <v>28.37</v>
      </c>
      <c r="DB4" s="228">
        <v>-2.29</v>
      </c>
      <c r="DC4" s="228">
        <v>-2.29</v>
      </c>
      <c r="DD4" s="228">
        <v>39.43</v>
      </c>
      <c r="DE4" s="228">
        <v>39.51</v>
      </c>
      <c r="DF4" s="228">
        <v>-13.35</v>
      </c>
      <c r="DG4" s="228">
        <v>-0.08</v>
      </c>
      <c r="DH4" s="228">
        <v>26.13</v>
      </c>
      <c r="DI4" s="228">
        <v>28.17</v>
      </c>
      <c r="DJ4" s="228">
        <v>-2.04</v>
      </c>
      <c r="DK4" s="228">
        <v>-2.04</v>
      </c>
      <c r="DL4" s="228">
        <v>26.01</v>
      </c>
      <c r="DM4" s="228">
        <v>28.99</v>
      </c>
      <c r="DN4" s="228">
        <v>-2.98</v>
      </c>
      <c r="DO4" s="228">
        <v>-2.98</v>
      </c>
      <c r="DP4" s="228">
        <v>0.77</v>
      </c>
      <c r="DQ4" s="228">
        <v>0.74</v>
      </c>
      <c r="DR4" s="228">
        <v>0.03</v>
      </c>
      <c r="DS4" s="229">
        <v>4.0500000000000001E-2</v>
      </c>
      <c r="DT4" s="228">
        <v>350</v>
      </c>
      <c r="DU4" s="228">
        <v>320</v>
      </c>
      <c r="DV4" s="228">
        <v>0.48</v>
      </c>
      <c r="DW4" s="228">
        <v>0.32</v>
      </c>
      <c r="DX4" s="228">
        <v>0.16</v>
      </c>
      <c r="DY4" s="229">
        <v>0.5</v>
      </c>
      <c r="DZ4" s="229">
        <v>0.24709999999999999</v>
      </c>
      <c r="EA4" s="230">
        <v>3372800</v>
      </c>
      <c r="EB4" s="229">
        <v>6.7000000000000002E-3</v>
      </c>
      <c r="EC4" s="229">
        <v>0.24709999999999999</v>
      </c>
      <c r="ED4" s="228">
        <v>2.29</v>
      </c>
      <c r="EE4" s="229">
        <v>6.8999999999999999E-3</v>
      </c>
      <c r="EF4" s="230">
        <v>872993</v>
      </c>
      <c r="EG4" s="230">
        <v>860089</v>
      </c>
      <c r="EH4" s="229">
        <v>1.4999999999999999E-2</v>
      </c>
      <c r="EI4" s="229">
        <v>0.42759999999999998</v>
      </c>
      <c r="EJ4" s="231">
        <v>70019.7</v>
      </c>
      <c r="EK4" s="231">
        <v>32097.83</v>
      </c>
      <c r="EL4" s="231">
        <v>131047.91</v>
      </c>
      <c r="EM4" s="231">
        <v>2338</v>
      </c>
      <c r="EN4" s="231">
        <v>233165.44</v>
      </c>
      <c r="EO4" s="231">
        <v>144460.5</v>
      </c>
      <c r="EP4" s="231">
        <v>88704.94</v>
      </c>
      <c r="EQ4" s="229">
        <v>0.61399999999999999</v>
      </c>
      <c r="ER4" s="231">
        <v>62570</v>
      </c>
      <c r="ES4" s="231">
        <v>44713</v>
      </c>
      <c r="ET4" s="231">
        <v>256023</v>
      </c>
      <c r="EU4" s="231">
        <v>122316423</v>
      </c>
      <c r="EV4" s="231">
        <v>363306</v>
      </c>
      <c r="EW4" s="231">
        <v>377317</v>
      </c>
      <c r="EX4" s="231">
        <v>-14011</v>
      </c>
      <c r="EY4" s="229">
        <v>-3.7100000000000001E-2</v>
      </c>
      <c r="EZ4" s="229">
        <v>0.90639999999999998</v>
      </c>
      <c r="FA4" s="227" t="s">
        <v>568</v>
      </c>
      <c r="FB4" s="161">
        <f t="shared" si="0"/>
        <v>19257200</v>
      </c>
    </row>
    <row r="5" spans="1:158" ht="17.25" hidden="1" thickBot="1" x14ac:dyDescent="0.3">
      <c r="A5" s="226">
        <v>45981</v>
      </c>
      <c r="B5" s="227" t="s">
        <v>161</v>
      </c>
      <c r="C5" s="227" t="s">
        <v>579</v>
      </c>
      <c r="D5" s="228">
        <v>675</v>
      </c>
      <c r="E5" s="228">
        <v>991.9</v>
      </c>
      <c r="F5" s="231">
        <v>1005.65</v>
      </c>
      <c r="G5" s="228">
        <v>-13.75</v>
      </c>
      <c r="H5" s="229">
        <v>-1.37E-2</v>
      </c>
      <c r="I5" s="228">
        <v>993.6</v>
      </c>
      <c r="J5" s="231">
        <v>1006.25</v>
      </c>
      <c r="K5" s="228">
        <v>-12.65</v>
      </c>
      <c r="L5" s="229">
        <v>-1.26E-2</v>
      </c>
      <c r="M5" s="228">
        <v>991.9</v>
      </c>
      <c r="N5" s="231">
        <v>1005.65</v>
      </c>
      <c r="O5" s="228">
        <v>-13.75</v>
      </c>
      <c r="P5" s="229">
        <v>-1.37E-2</v>
      </c>
      <c r="Q5" s="228">
        <v>998.45</v>
      </c>
      <c r="R5" s="231">
        <v>1012.05</v>
      </c>
      <c r="S5" s="228">
        <v>-13.6</v>
      </c>
      <c r="T5" s="229">
        <v>-1.34E-2</v>
      </c>
      <c r="U5" s="231">
        <v>1004.05</v>
      </c>
      <c r="V5" s="231">
        <v>1018.4</v>
      </c>
      <c r="W5" s="228">
        <v>-14.35</v>
      </c>
      <c r="X5" s="229">
        <v>-1.41E-2</v>
      </c>
      <c r="Y5" s="228">
        <v>-1.7</v>
      </c>
      <c r="Z5" s="228">
        <v>-0.6</v>
      </c>
      <c r="AA5" s="228">
        <v>-1.1000000000000001</v>
      </c>
      <c r="AB5" s="229">
        <v>-1.6999999999999999E-3</v>
      </c>
      <c r="AC5" s="228">
        <v>-1.7</v>
      </c>
      <c r="AD5" s="228">
        <v>-0.6</v>
      </c>
      <c r="AE5" s="228">
        <v>-1.1000000000000001</v>
      </c>
      <c r="AF5" s="229">
        <v>-1.6999999999999999E-3</v>
      </c>
      <c r="AG5" s="228">
        <v>4.8499999999999996</v>
      </c>
      <c r="AH5" s="228">
        <v>5.8</v>
      </c>
      <c r="AI5" s="228">
        <v>-0.95</v>
      </c>
      <c r="AJ5" s="229">
        <v>4.8999999999999998E-3</v>
      </c>
      <c r="AK5" s="228">
        <v>10.45</v>
      </c>
      <c r="AL5" s="228">
        <v>12.15</v>
      </c>
      <c r="AM5" s="228">
        <v>-1.7</v>
      </c>
      <c r="AN5" s="229">
        <v>1.0500000000000001E-2</v>
      </c>
      <c r="AO5" s="231">
        <v>1001.65</v>
      </c>
      <c r="AP5" s="231">
        <v>1008.3</v>
      </c>
      <c r="AQ5" s="228">
        <v>0</v>
      </c>
      <c r="AR5" s="230">
        <v>15566850</v>
      </c>
      <c r="AS5" s="230">
        <v>4246425</v>
      </c>
      <c r="AT5" s="230">
        <v>11320425</v>
      </c>
      <c r="AU5" s="229">
        <v>2.6659000000000002</v>
      </c>
      <c r="AV5" s="230">
        <v>8064225</v>
      </c>
      <c r="AW5" s="230">
        <v>3146850</v>
      </c>
      <c r="AX5" s="230">
        <v>4917375</v>
      </c>
      <c r="AY5" s="229">
        <v>1.5626</v>
      </c>
      <c r="AZ5" s="230">
        <v>7485075</v>
      </c>
      <c r="BA5" s="230">
        <v>1071900</v>
      </c>
      <c r="BB5" s="230">
        <v>6413175</v>
      </c>
      <c r="BC5" s="229">
        <v>5.9829999999999997</v>
      </c>
      <c r="BD5" s="230">
        <v>17550</v>
      </c>
      <c r="BE5" s="230">
        <v>27675</v>
      </c>
      <c r="BF5" s="230">
        <v>-10125</v>
      </c>
      <c r="BG5" s="229">
        <v>-0.3659</v>
      </c>
      <c r="BH5" s="230">
        <v>19684350</v>
      </c>
      <c r="BI5" s="230">
        <v>32328450</v>
      </c>
      <c r="BJ5" s="230">
        <v>-12644100</v>
      </c>
      <c r="BK5" s="229">
        <v>-0.3911</v>
      </c>
      <c r="BL5" s="230">
        <v>4448925</v>
      </c>
      <c r="BM5" s="230">
        <v>9502650</v>
      </c>
      <c r="BN5" s="230">
        <v>-5053725</v>
      </c>
      <c r="BO5" s="229">
        <v>-0.53180000000000005</v>
      </c>
      <c r="BP5" s="230">
        <v>39700125</v>
      </c>
      <c r="BQ5" s="230">
        <v>46077525</v>
      </c>
      <c r="BR5" s="230">
        <v>-6377400</v>
      </c>
      <c r="BS5" s="229">
        <v>-0.1384</v>
      </c>
      <c r="BT5" s="230">
        <v>883566</v>
      </c>
      <c r="BU5" s="230">
        <v>1676299</v>
      </c>
      <c r="BV5" s="230">
        <v>-792733</v>
      </c>
      <c r="BW5" s="229">
        <v>-0.47289999999999999</v>
      </c>
      <c r="BX5" s="230">
        <v>19699200</v>
      </c>
      <c r="BY5" s="230">
        <v>19937475</v>
      </c>
      <c r="BZ5" s="230">
        <v>-238275</v>
      </c>
      <c r="CA5" s="229">
        <v>-1.2E-2</v>
      </c>
      <c r="CB5" s="230">
        <v>11689650</v>
      </c>
      <c r="CC5" s="230">
        <v>18841950</v>
      </c>
      <c r="CD5" s="230">
        <v>-7152300</v>
      </c>
      <c r="CE5" s="229">
        <v>-0.37959999999999999</v>
      </c>
      <c r="CF5" s="230">
        <v>7946775</v>
      </c>
      <c r="CG5" s="230">
        <v>1032750</v>
      </c>
      <c r="CH5" s="230">
        <v>6914025</v>
      </c>
      <c r="CI5" s="229">
        <v>6.6947999999999999</v>
      </c>
      <c r="CJ5" s="230">
        <v>62775</v>
      </c>
      <c r="CK5" s="230">
        <v>62775</v>
      </c>
      <c r="CL5" s="228">
        <v>0</v>
      </c>
      <c r="CM5" s="229">
        <v>0</v>
      </c>
      <c r="CN5" s="230">
        <v>7155675</v>
      </c>
      <c r="CO5" s="230">
        <v>6913350</v>
      </c>
      <c r="CP5" s="230">
        <v>242325</v>
      </c>
      <c r="CQ5" s="229">
        <v>3.5099999999999999E-2</v>
      </c>
      <c r="CR5" s="230">
        <v>4139100</v>
      </c>
      <c r="CS5" s="230">
        <v>4363875</v>
      </c>
      <c r="CT5" s="230">
        <v>-224775</v>
      </c>
      <c r="CU5" s="229">
        <v>-5.1499999999999997E-2</v>
      </c>
      <c r="CV5" s="230">
        <v>30993975</v>
      </c>
      <c r="CW5" s="230">
        <v>31214700</v>
      </c>
      <c r="CX5" s="230">
        <v>-220725</v>
      </c>
      <c r="CY5" s="229">
        <v>-7.1000000000000004E-3</v>
      </c>
      <c r="CZ5" s="228">
        <v>34.47</v>
      </c>
      <c r="DA5" s="228">
        <v>37.96</v>
      </c>
      <c r="DB5" s="228">
        <v>-3.49</v>
      </c>
      <c r="DC5" s="228">
        <v>-3.49</v>
      </c>
      <c r="DD5" s="228">
        <v>53.79</v>
      </c>
      <c r="DE5" s="228">
        <v>53.9</v>
      </c>
      <c r="DF5" s="228">
        <v>-19.32</v>
      </c>
      <c r="DG5" s="228">
        <v>-0.11</v>
      </c>
      <c r="DH5" s="228">
        <v>34.67</v>
      </c>
      <c r="DI5" s="228">
        <v>38.53</v>
      </c>
      <c r="DJ5" s="228">
        <v>-3.86</v>
      </c>
      <c r="DK5" s="228">
        <v>-3.86</v>
      </c>
      <c r="DL5" s="228">
        <v>34.03</v>
      </c>
      <c r="DM5" s="228">
        <v>36.03</v>
      </c>
      <c r="DN5" s="228">
        <v>-2</v>
      </c>
      <c r="DO5" s="228">
        <v>-2</v>
      </c>
      <c r="DP5" s="228">
        <v>0.57999999999999996</v>
      </c>
      <c r="DQ5" s="228">
        <v>0.63</v>
      </c>
      <c r="DR5" s="228">
        <v>-0.05</v>
      </c>
      <c r="DS5" s="229">
        <v>-7.9399999999999998E-2</v>
      </c>
      <c r="DT5" s="231">
        <v>1100</v>
      </c>
      <c r="DU5" s="228">
        <v>950</v>
      </c>
      <c r="DV5" s="228">
        <v>0.23</v>
      </c>
      <c r="DW5" s="228">
        <v>0.28999999999999998</v>
      </c>
      <c r="DX5" s="228">
        <v>-0.06</v>
      </c>
      <c r="DY5" s="229">
        <v>-0.2069</v>
      </c>
      <c r="DZ5" s="229">
        <v>0.40660000000000002</v>
      </c>
      <c r="EA5" s="230">
        <v>1095525</v>
      </c>
      <c r="EB5" s="229">
        <v>6.6E-3</v>
      </c>
      <c r="EC5" s="229">
        <v>0.40660000000000002</v>
      </c>
      <c r="ED5" s="228">
        <v>6.65</v>
      </c>
      <c r="EE5" s="229">
        <v>6.6E-3</v>
      </c>
      <c r="EF5" s="230">
        <v>333899</v>
      </c>
      <c r="EG5" s="230">
        <v>430083</v>
      </c>
      <c r="EH5" s="229">
        <v>-0.22359999999999999</v>
      </c>
      <c r="EI5" s="229">
        <v>0.37790000000000001</v>
      </c>
      <c r="EJ5" s="231">
        <v>206762.81</v>
      </c>
      <c r="EK5" s="231">
        <v>43731.08</v>
      </c>
      <c r="EL5" s="231">
        <v>156424.56</v>
      </c>
      <c r="EM5" s="231">
        <v>4450</v>
      </c>
      <c r="EN5" s="231">
        <v>406918.45</v>
      </c>
      <c r="EO5" s="231">
        <v>480807.49</v>
      </c>
      <c r="EP5" s="231">
        <v>-73889.039999999994</v>
      </c>
      <c r="EQ5" s="229">
        <v>-0.1537</v>
      </c>
      <c r="ER5" s="231">
        <v>74843</v>
      </c>
      <c r="ES5" s="231">
        <v>39151</v>
      </c>
      <c r="ET5" s="231">
        <v>195925</v>
      </c>
      <c r="EU5" s="231">
        <v>51907388</v>
      </c>
      <c r="EV5" s="231">
        <v>309918</v>
      </c>
      <c r="EW5" s="231">
        <v>314386</v>
      </c>
      <c r="EX5" s="231">
        <v>-4468</v>
      </c>
      <c r="EY5" s="229">
        <v>-1.4200000000000001E-2</v>
      </c>
      <c r="EZ5" s="229">
        <v>0.59709999999999996</v>
      </c>
      <c r="FA5" s="227" t="s">
        <v>568</v>
      </c>
      <c r="FB5" s="161">
        <f t="shared" si="0"/>
        <v>8009550</v>
      </c>
    </row>
    <row r="6" spans="1:158" ht="17.25" hidden="1" thickBot="1" x14ac:dyDescent="0.3">
      <c r="A6" s="226">
        <v>45981</v>
      </c>
      <c r="B6" s="227" t="s">
        <v>215</v>
      </c>
      <c r="C6" s="227" t="s">
        <v>159</v>
      </c>
      <c r="D6" s="228">
        <v>309</v>
      </c>
      <c r="E6" s="231">
        <v>2450.9</v>
      </c>
      <c r="F6" s="231">
        <v>2438.1999999999998</v>
      </c>
      <c r="G6" s="228">
        <v>12.7</v>
      </c>
      <c r="H6" s="229">
        <v>5.1999999999999998E-3</v>
      </c>
      <c r="I6" s="231">
        <v>2446.1</v>
      </c>
      <c r="J6" s="231">
        <v>2433.1</v>
      </c>
      <c r="K6" s="228">
        <v>13</v>
      </c>
      <c r="L6" s="229">
        <v>5.3E-3</v>
      </c>
      <c r="M6" s="231">
        <v>2450.9</v>
      </c>
      <c r="N6" s="231">
        <v>2438.1999999999998</v>
      </c>
      <c r="O6" s="228">
        <v>12.7</v>
      </c>
      <c r="P6" s="229">
        <v>5.1999999999999998E-3</v>
      </c>
      <c r="Q6" s="231">
        <v>2466</v>
      </c>
      <c r="R6" s="231">
        <v>2453.5</v>
      </c>
      <c r="S6" s="228">
        <v>12.5</v>
      </c>
      <c r="T6" s="229">
        <v>5.1000000000000004E-3</v>
      </c>
      <c r="U6" s="231">
        <v>2480.6999999999998</v>
      </c>
      <c r="V6" s="231">
        <v>2468.4</v>
      </c>
      <c r="W6" s="228">
        <v>12.3</v>
      </c>
      <c r="X6" s="229">
        <v>5.0000000000000001E-3</v>
      </c>
      <c r="Y6" s="228">
        <v>4.8</v>
      </c>
      <c r="Z6" s="228">
        <v>5.0999999999999996</v>
      </c>
      <c r="AA6" s="228">
        <v>-0.3</v>
      </c>
      <c r="AB6" s="229">
        <v>2E-3</v>
      </c>
      <c r="AC6" s="228">
        <v>4.8</v>
      </c>
      <c r="AD6" s="228">
        <v>5.0999999999999996</v>
      </c>
      <c r="AE6" s="228">
        <v>-0.3</v>
      </c>
      <c r="AF6" s="229">
        <v>2E-3</v>
      </c>
      <c r="AG6" s="228">
        <v>19.899999999999999</v>
      </c>
      <c r="AH6" s="228">
        <v>20.399999999999999</v>
      </c>
      <c r="AI6" s="228">
        <v>-0.5</v>
      </c>
      <c r="AJ6" s="229">
        <v>8.0999999999999996E-3</v>
      </c>
      <c r="AK6" s="228">
        <v>34.6</v>
      </c>
      <c r="AL6" s="228">
        <v>35.299999999999997</v>
      </c>
      <c r="AM6" s="228">
        <v>-0.7</v>
      </c>
      <c r="AN6" s="229">
        <v>1.41E-2</v>
      </c>
      <c r="AO6" s="231">
        <v>2458.21</v>
      </c>
      <c r="AP6" s="231">
        <v>2471.5700000000002</v>
      </c>
      <c r="AQ6" s="228">
        <v>0</v>
      </c>
      <c r="AR6" s="230">
        <v>7025115</v>
      </c>
      <c r="AS6" s="230">
        <v>2389806</v>
      </c>
      <c r="AT6" s="230">
        <v>4635309</v>
      </c>
      <c r="AU6" s="229">
        <v>1.9396</v>
      </c>
      <c r="AV6" s="230">
        <v>3775671</v>
      </c>
      <c r="AW6" s="230">
        <v>1649751</v>
      </c>
      <c r="AX6" s="230">
        <v>2125920</v>
      </c>
      <c r="AY6" s="229">
        <v>1.2886</v>
      </c>
      <c r="AZ6" s="230">
        <v>3207729</v>
      </c>
      <c r="BA6" s="230">
        <v>723060</v>
      </c>
      <c r="BB6" s="230">
        <v>2484669</v>
      </c>
      <c r="BC6" s="229">
        <v>3.4363000000000001</v>
      </c>
      <c r="BD6" s="230">
        <v>41715</v>
      </c>
      <c r="BE6" s="230">
        <v>16995</v>
      </c>
      <c r="BF6" s="230">
        <v>24720</v>
      </c>
      <c r="BG6" s="229">
        <v>1.4544999999999999</v>
      </c>
      <c r="BH6" s="230">
        <v>31599885</v>
      </c>
      <c r="BI6" s="230">
        <v>13423578</v>
      </c>
      <c r="BJ6" s="230">
        <v>18176307</v>
      </c>
      <c r="BK6" s="229">
        <v>1.3541000000000001</v>
      </c>
      <c r="BL6" s="230">
        <v>11739528</v>
      </c>
      <c r="BM6" s="230">
        <v>6848367</v>
      </c>
      <c r="BN6" s="230">
        <v>4891161</v>
      </c>
      <c r="BO6" s="229">
        <v>0.71419999999999995</v>
      </c>
      <c r="BP6" s="230">
        <v>50364528</v>
      </c>
      <c r="BQ6" s="230">
        <v>22661751</v>
      </c>
      <c r="BR6" s="230">
        <v>27702777</v>
      </c>
      <c r="BS6" s="229">
        <v>1.2223999999999999</v>
      </c>
      <c r="BT6" s="230">
        <v>1581302</v>
      </c>
      <c r="BU6" s="230">
        <v>808088</v>
      </c>
      <c r="BV6" s="230">
        <v>773214</v>
      </c>
      <c r="BW6" s="229">
        <v>0.95679999999999998</v>
      </c>
      <c r="BX6" s="230">
        <v>13069155</v>
      </c>
      <c r="BY6" s="230">
        <v>12772515</v>
      </c>
      <c r="BZ6" s="230">
        <v>296640</v>
      </c>
      <c r="CA6" s="229">
        <v>2.3199999999999998E-2</v>
      </c>
      <c r="CB6" s="230">
        <v>8685990</v>
      </c>
      <c r="CC6" s="230">
        <v>10665444</v>
      </c>
      <c r="CD6" s="230">
        <v>-1979454</v>
      </c>
      <c r="CE6" s="229">
        <v>-0.18559999999999999</v>
      </c>
      <c r="CF6" s="230">
        <v>4290465</v>
      </c>
      <c r="CG6" s="230">
        <v>2029512</v>
      </c>
      <c r="CH6" s="230">
        <v>2260953</v>
      </c>
      <c r="CI6" s="229">
        <v>1.1140000000000001</v>
      </c>
      <c r="CJ6" s="230">
        <v>92700</v>
      </c>
      <c r="CK6" s="230">
        <v>77559</v>
      </c>
      <c r="CL6" s="230">
        <v>15141</v>
      </c>
      <c r="CM6" s="229">
        <v>0.19520000000000001</v>
      </c>
      <c r="CN6" s="230">
        <v>11216700</v>
      </c>
      <c r="CO6" s="230">
        <v>10649067</v>
      </c>
      <c r="CP6" s="230">
        <v>567633</v>
      </c>
      <c r="CQ6" s="229">
        <v>5.33E-2</v>
      </c>
      <c r="CR6" s="230">
        <v>7497267</v>
      </c>
      <c r="CS6" s="230">
        <v>7547634</v>
      </c>
      <c r="CT6" s="230">
        <v>-50367</v>
      </c>
      <c r="CU6" s="229">
        <v>-6.7000000000000002E-3</v>
      </c>
      <c r="CV6" s="230">
        <v>31783122</v>
      </c>
      <c r="CW6" s="230">
        <v>30969216</v>
      </c>
      <c r="CX6" s="230">
        <v>813906</v>
      </c>
      <c r="CY6" s="229">
        <v>2.63E-2</v>
      </c>
      <c r="CZ6" s="228">
        <v>28.32</v>
      </c>
      <c r="DA6" s="228">
        <v>29.37</v>
      </c>
      <c r="DB6" s="228">
        <v>-1.05</v>
      </c>
      <c r="DC6" s="228">
        <v>-1.05</v>
      </c>
      <c r="DD6" s="228">
        <v>47.88</v>
      </c>
      <c r="DE6" s="228">
        <v>47.99</v>
      </c>
      <c r="DF6" s="228">
        <v>-19.559999999999999</v>
      </c>
      <c r="DG6" s="228">
        <v>-0.11</v>
      </c>
      <c r="DH6" s="228">
        <v>27.98</v>
      </c>
      <c r="DI6" s="228">
        <v>28.01</v>
      </c>
      <c r="DJ6" s="228">
        <v>-0.03</v>
      </c>
      <c r="DK6" s="228">
        <v>-0.03</v>
      </c>
      <c r="DL6" s="228">
        <v>28.89</v>
      </c>
      <c r="DM6" s="228">
        <v>32.020000000000003</v>
      </c>
      <c r="DN6" s="228">
        <v>-3.13</v>
      </c>
      <c r="DO6" s="228">
        <v>-3.13</v>
      </c>
      <c r="DP6" s="228">
        <v>0.67</v>
      </c>
      <c r="DQ6" s="228">
        <v>0.71</v>
      </c>
      <c r="DR6" s="228">
        <v>-0.04</v>
      </c>
      <c r="DS6" s="229">
        <v>-5.6300000000000003E-2</v>
      </c>
      <c r="DT6" s="231">
        <v>2520.65</v>
      </c>
      <c r="DU6" s="231">
        <v>2423.6999999999998</v>
      </c>
      <c r="DV6" s="228">
        <v>0.37</v>
      </c>
      <c r="DW6" s="228">
        <v>0.51</v>
      </c>
      <c r="DX6" s="228">
        <v>-0.14000000000000001</v>
      </c>
      <c r="DY6" s="229">
        <v>-0.27450000000000002</v>
      </c>
      <c r="DZ6" s="229">
        <v>0.33539999999999998</v>
      </c>
      <c r="EA6" s="230">
        <v>2107071</v>
      </c>
      <c r="EB6" s="229">
        <v>6.1999999999999998E-3</v>
      </c>
      <c r="EC6" s="229">
        <v>0.33539999999999998</v>
      </c>
      <c r="ED6" s="228">
        <v>13.36</v>
      </c>
      <c r="EE6" s="229">
        <v>5.4000000000000003E-3</v>
      </c>
      <c r="EF6" s="230">
        <v>430122</v>
      </c>
      <c r="EG6" s="230">
        <v>286933</v>
      </c>
      <c r="EH6" s="229">
        <v>0.499</v>
      </c>
      <c r="EI6" s="229">
        <v>0.27200000000000002</v>
      </c>
      <c r="EJ6" s="231">
        <v>798547.93</v>
      </c>
      <c r="EK6" s="231">
        <v>284309.96000000002</v>
      </c>
      <c r="EL6" s="231">
        <v>173132.62</v>
      </c>
      <c r="EM6" s="231">
        <v>14228</v>
      </c>
      <c r="EN6" s="231">
        <v>1255990.51</v>
      </c>
      <c r="EO6" s="231">
        <v>558380.38</v>
      </c>
      <c r="EP6" s="231">
        <v>697610.13</v>
      </c>
      <c r="EQ6" s="229">
        <v>1.2493000000000001</v>
      </c>
      <c r="ER6" s="231">
        <v>282527</v>
      </c>
      <c r="ES6" s="231">
        <v>176735</v>
      </c>
      <c r="ET6" s="231">
        <v>320987</v>
      </c>
      <c r="EU6" s="231">
        <v>30942206</v>
      </c>
      <c r="EV6" s="231">
        <v>780250</v>
      </c>
      <c r="EW6" s="231">
        <v>757175</v>
      </c>
      <c r="EX6" s="231">
        <v>23075</v>
      </c>
      <c r="EY6" s="229">
        <v>3.0499999999999999E-2</v>
      </c>
      <c r="EZ6" s="229">
        <v>1.0271999999999999</v>
      </c>
      <c r="FA6" s="227" t="s">
        <v>555</v>
      </c>
      <c r="FB6" s="161">
        <f t="shared" si="0"/>
        <v>4383165</v>
      </c>
    </row>
    <row r="7" spans="1:158" ht="17.25" hidden="1" thickBot="1" x14ac:dyDescent="0.3">
      <c r="A7" s="226">
        <v>45981</v>
      </c>
      <c r="B7" s="227" t="s">
        <v>161</v>
      </c>
      <c r="C7" s="227" t="s">
        <v>606</v>
      </c>
      <c r="D7" s="228">
        <v>600</v>
      </c>
      <c r="E7" s="231">
        <v>1058.4000000000001</v>
      </c>
      <c r="F7" s="231">
        <v>1069.2</v>
      </c>
      <c r="G7" s="228">
        <v>-10.8</v>
      </c>
      <c r="H7" s="229">
        <v>-1.01E-2</v>
      </c>
      <c r="I7" s="231">
        <v>1060</v>
      </c>
      <c r="J7" s="231">
        <v>1069.9000000000001</v>
      </c>
      <c r="K7" s="228">
        <v>-9.9</v>
      </c>
      <c r="L7" s="229">
        <v>-9.2999999999999992E-3</v>
      </c>
      <c r="M7" s="231">
        <v>1058.4000000000001</v>
      </c>
      <c r="N7" s="231">
        <v>1069.2</v>
      </c>
      <c r="O7" s="228">
        <v>-10.8</v>
      </c>
      <c r="P7" s="229">
        <v>-1.01E-2</v>
      </c>
      <c r="Q7" s="231">
        <v>1065.4000000000001</v>
      </c>
      <c r="R7" s="231">
        <v>1077</v>
      </c>
      <c r="S7" s="228">
        <v>-11.6</v>
      </c>
      <c r="T7" s="229">
        <v>-1.0800000000000001E-2</v>
      </c>
      <c r="U7" s="231">
        <v>1073.8</v>
      </c>
      <c r="V7" s="231">
        <v>1082.4000000000001</v>
      </c>
      <c r="W7" s="228">
        <v>-8.6</v>
      </c>
      <c r="X7" s="229">
        <v>-7.9000000000000008E-3</v>
      </c>
      <c r="Y7" s="228">
        <v>-1.6</v>
      </c>
      <c r="Z7" s="228">
        <v>-0.7</v>
      </c>
      <c r="AA7" s="228">
        <v>-0.9</v>
      </c>
      <c r="AB7" s="229">
        <v>-1.5E-3</v>
      </c>
      <c r="AC7" s="228">
        <v>-1.6</v>
      </c>
      <c r="AD7" s="228">
        <v>-0.7</v>
      </c>
      <c r="AE7" s="228">
        <v>-0.9</v>
      </c>
      <c r="AF7" s="229">
        <v>-1.5E-3</v>
      </c>
      <c r="AG7" s="228">
        <v>5.4</v>
      </c>
      <c r="AH7" s="228">
        <v>7.1</v>
      </c>
      <c r="AI7" s="228">
        <v>-1.7</v>
      </c>
      <c r="AJ7" s="229">
        <v>5.1000000000000004E-3</v>
      </c>
      <c r="AK7" s="228">
        <v>13.8</v>
      </c>
      <c r="AL7" s="228">
        <v>12.5</v>
      </c>
      <c r="AM7" s="228">
        <v>1.3</v>
      </c>
      <c r="AN7" s="229">
        <v>1.2999999999999999E-2</v>
      </c>
      <c r="AO7" s="231">
        <v>1070.06</v>
      </c>
      <c r="AP7" s="231">
        <v>1077.1400000000001</v>
      </c>
      <c r="AQ7" s="228">
        <v>0</v>
      </c>
      <c r="AR7" s="230">
        <v>9385800</v>
      </c>
      <c r="AS7" s="230">
        <v>6637800</v>
      </c>
      <c r="AT7" s="230">
        <v>2748000</v>
      </c>
      <c r="AU7" s="229">
        <v>0.41399999999999998</v>
      </c>
      <c r="AV7" s="230">
        <v>4968600</v>
      </c>
      <c r="AW7" s="230">
        <v>4404600</v>
      </c>
      <c r="AX7" s="230">
        <v>564000</v>
      </c>
      <c r="AY7" s="229">
        <v>0.128</v>
      </c>
      <c r="AZ7" s="230">
        <v>4358400</v>
      </c>
      <c r="BA7" s="230">
        <v>2164800</v>
      </c>
      <c r="BB7" s="230">
        <v>2193600</v>
      </c>
      <c r="BC7" s="229">
        <v>1.0133000000000001</v>
      </c>
      <c r="BD7" s="230">
        <v>58800</v>
      </c>
      <c r="BE7" s="230">
        <v>68400</v>
      </c>
      <c r="BF7" s="230">
        <v>-9600</v>
      </c>
      <c r="BG7" s="229">
        <v>-0.1404</v>
      </c>
      <c r="BH7" s="230">
        <v>25437600</v>
      </c>
      <c r="BI7" s="230">
        <v>44522400</v>
      </c>
      <c r="BJ7" s="230">
        <v>-19084800</v>
      </c>
      <c r="BK7" s="229">
        <v>-0.42870000000000003</v>
      </c>
      <c r="BL7" s="230">
        <v>8200800</v>
      </c>
      <c r="BM7" s="230">
        <v>16177800</v>
      </c>
      <c r="BN7" s="230">
        <v>-7977000</v>
      </c>
      <c r="BO7" s="229">
        <v>-0.49309999999999998</v>
      </c>
      <c r="BP7" s="230">
        <v>43024200</v>
      </c>
      <c r="BQ7" s="230">
        <v>67338000</v>
      </c>
      <c r="BR7" s="230">
        <v>-24313800</v>
      </c>
      <c r="BS7" s="229">
        <v>-0.36109999999999998</v>
      </c>
      <c r="BT7" s="230">
        <v>1445977</v>
      </c>
      <c r="BU7" s="230">
        <v>2276680</v>
      </c>
      <c r="BV7" s="230">
        <v>-830703</v>
      </c>
      <c r="BW7" s="229">
        <v>-0.3649</v>
      </c>
      <c r="BX7" s="230">
        <v>24304800</v>
      </c>
      <c r="BY7" s="230">
        <v>24359400</v>
      </c>
      <c r="BZ7" s="230">
        <v>-54600</v>
      </c>
      <c r="CA7" s="229">
        <v>-2.2000000000000001E-3</v>
      </c>
      <c r="CB7" s="230">
        <v>17485200</v>
      </c>
      <c r="CC7" s="230">
        <v>20970000</v>
      </c>
      <c r="CD7" s="230">
        <v>-3484800</v>
      </c>
      <c r="CE7" s="229">
        <v>-0.16619999999999999</v>
      </c>
      <c r="CF7" s="230">
        <v>6580800</v>
      </c>
      <c r="CG7" s="230">
        <v>3180000</v>
      </c>
      <c r="CH7" s="230">
        <v>3400800</v>
      </c>
      <c r="CI7" s="229">
        <v>1.0693999999999999</v>
      </c>
      <c r="CJ7" s="230">
        <v>238800</v>
      </c>
      <c r="CK7" s="230">
        <v>209400</v>
      </c>
      <c r="CL7" s="230">
        <v>29400</v>
      </c>
      <c r="CM7" s="229">
        <v>0.1404</v>
      </c>
      <c r="CN7" s="230">
        <v>19497600</v>
      </c>
      <c r="CO7" s="230">
        <v>19111200</v>
      </c>
      <c r="CP7" s="230">
        <v>386400</v>
      </c>
      <c r="CQ7" s="229">
        <v>2.0199999999999999E-2</v>
      </c>
      <c r="CR7" s="230">
        <v>8823600</v>
      </c>
      <c r="CS7" s="230">
        <v>8732400</v>
      </c>
      <c r="CT7" s="230">
        <v>91200</v>
      </c>
      <c r="CU7" s="229">
        <v>1.04E-2</v>
      </c>
      <c r="CV7" s="230">
        <v>52626000</v>
      </c>
      <c r="CW7" s="230">
        <v>52203000</v>
      </c>
      <c r="CX7" s="230">
        <v>423000</v>
      </c>
      <c r="CY7" s="229">
        <v>8.0999999999999996E-3</v>
      </c>
      <c r="CZ7" s="228">
        <v>38.64</v>
      </c>
      <c r="DA7" s="228">
        <v>42.45</v>
      </c>
      <c r="DB7" s="228">
        <v>-3.81</v>
      </c>
      <c r="DC7" s="228">
        <v>-3.81</v>
      </c>
      <c r="DD7" s="228">
        <v>57.58</v>
      </c>
      <c r="DE7" s="228">
        <v>57.71</v>
      </c>
      <c r="DF7" s="228">
        <v>-18.940000000000001</v>
      </c>
      <c r="DG7" s="228">
        <v>-0.13</v>
      </c>
      <c r="DH7" s="228">
        <v>38.9</v>
      </c>
      <c r="DI7" s="228">
        <v>43.13</v>
      </c>
      <c r="DJ7" s="228">
        <v>-4.2300000000000004</v>
      </c>
      <c r="DK7" s="228">
        <v>-4.2300000000000004</v>
      </c>
      <c r="DL7" s="228">
        <v>37.909999999999997</v>
      </c>
      <c r="DM7" s="228">
        <v>40.58</v>
      </c>
      <c r="DN7" s="228">
        <v>-2.67</v>
      </c>
      <c r="DO7" s="228">
        <v>-2.67</v>
      </c>
      <c r="DP7" s="228">
        <v>0.45</v>
      </c>
      <c r="DQ7" s="228">
        <v>0.46</v>
      </c>
      <c r="DR7" s="228">
        <v>-0.01</v>
      </c>
      <c r="DS7" s="229">
        <v>-2.1700000000000001E-2</v>
      </c>
      <c r="DT7" s="231">
        <v>1100</v>
      </c>
      <c r="DU7" s="231">
        <v>1060</v>
      </c>
      <c r="DV7" s="228">
        <v>0.32</v>
      </c>
      <c r="DW7" s="228">
        <v>0.36</v>
      </c>
      <c r="DX7" s="228">
        <v>-0.04</v>
      </c>
      <c r="DY7" s="229">
        <v>-0.1111</v>
      </c>
      <c r="DZ7" s="229">
        <v>0.28060000000000002</v>
      </c>
      <c r="EA7" s="230">
        <v>3389400</v>
      </c>
      <c r="EB7" s="229">
        <v>6.6E-3</v>
      </c>
      <c r="EC7" s="229">
        <v>0.28060000000000002</v>
      </c>
      <c r="ED7" s="228">
        <v>7.08</v>
      </c>
      <c r="EE7" s="229">
        <v>6.6E-3</v>
      </c>
      <c r="EF7" s="230">
        <v>400818</v>
      </c>
      <c r="EG7" s="230">
        <v>535048</v>
      </c>
      <c r="EH7" s="229">
        <v>-0.25090000000000001</v>
      </c>
      <c r="EI7" s="229">
        <v>0.2772</v>
      </c>
      <c r="EJ7" s="231">
        <v>289450.63</v>
      </c>
      <c r="EK7" s="231">
        <v>85100.87</v>
      </c>
      <c r="EL7" s="231">
        <v>100751.05</v>
      </c>
      <c r="EM7" s="231">
        <v>8622</v>
      </c>
      <c r="EN7" s="231">
        <v>475302.55</v>
      </c>
      <c r="EO7" s="231">
        <v>744992.14</v>
      </c>
      <c r="EP7" s="231">
        <v>-269689.59000000003</v>
      </c>
      <c r="EQ7" s="229">
        <v>-0.36199999999999999</v>
      </c>
      <c r="ER7" s="231">
        <v>222569</v>
      </c>
      <c r="ES7" s="231">
        <v>91857</v>
      </c>
      <c r="ET7" s="231">
        <v>257739</v>
      </c>
      <c r="EU7" s="231">
        <v>61877951</v>
      </c>
      <c r="EV7" s="231">
        <v>572166</v>
      </c>
      <c r="EW7" s="231">
        <v>570618</v>
      </c>
      <c r="EX7" s="231">
        <v>1548</v>
      </c>
      <c r="EY7" s="229">
        <v>2.7000000000000001E-3</v>
      </c>
      <c r="EZ7" s="229">
        <v>0.85050000000000003</v>
      </c>
      <c r="FA7" s="227" t="s">
        <v>568</v>
      </c>
      <c r="FB7" s="161">
        <f t="shared" si="0"/>
        <v>6819600</v>
      </c>
    </row>
    <row r="8" spans="1:158" ht="17.25" hidden="1" thickBot="1" x14ac:dyDescent="0.3">
      <c r="A8" s="226">
        <v>45981</v>
      </c>
      <c r="B8" s="227" t="s">
        <v>215</v>
      </c>
      <c r="C8" s="227" t="s">
        <v>160</v>
      </c>
      <c r="D8" s="228">
        <v>475</v>
      </c>
      <c r="E8" s="231">
        <v>1492.4</v>
      </c>
      <c r="F8" s="231">
        <v>1486.9</v>
      </c>
      <c r="G8" s="228">
        <v>5.5</v>
      </c>
      <c r="H8" s="229">
        <v>3.7000000000000002E-3</v>
      </c>
      <c r="I8" s="231">
        <v>1491.1</v>
      </c>
      <c r="J8" s="231">
        <v>1484.2</v>
      </c>
      <c r="K8" s="228">
        <v>6.9</v>
      </c>
      <c r="L8" s="229">
        <v>4.5999999999999999E-3</v>
      </c>
      <c r="M8" s="231">
        <v>1492.4</v>
      </c>
      <c r="N8" s="231">
        <v>1486.9</v>
      </c>
      <c r="O8" s="228">
        <v>5.5</v>
      </c>
      <c r="P8" s="229">
        <v>3.7000000000000002E-3</v>
      </c>
      <c r="Q8" s="231">
        <v>1502.6</v>
      </c>
      <c r="R8" s="231">
        <v>1496.7</v>
      </c>
      <c r="S8" s="228">
        <v>5.9</v>
      </c>
      <c r="T8" s="229">
        <v>3.8999999999999998E-3</v>
      </c>
      <c r="U8" s="231">
        <v>1510</v>
      </c>
      <c r="V8" s="231">
        <v>1505.8</v>
      </c>
      <c r="W8" s="228">
        <v>4.2</v>
      </c>
      <c r="X8" s="229">
        <v>2.8E-3</v>
      </c>
      <c r="Y8" s="228">
        <v>1.3</v>
      </c>
      <c r="Z8" s="228">
        <v>2.7</v>
      </c>
      <c r="AA8" s="228">
        <v>-1.4</v>
      </c>
      <c r="AB8" s="229">
        <v>8.9999999999999998E-4</v>
      </c>
      <c r="AC8" s="228">
        <v>1.3</v>
      </c>
      <c r="AD8" s="228">
        <v>2.7</v>
      </c>
      <c r="AE8" s="228">
        <v>-1.4</v>
      </c>
      <c r="AF8" s="229">
        <v>8.9999999999999998E-4</v>
      </c>
      <c r="AG8" s="228">
        <v>11.5</v>
      </c>
      <c r="AH8" s="228">
        <v>12.5</v>
      </c>
      <c r="AI8" s="228">
        <v>-1</v>
      </c>
      <c r="AJ8" s="229">
        <v>7.7000000000000002E-3</v>
      </c>
      <c r="AK8" s="228">
        <v>18.899999999999999</v>
      </c>
      <c r="AL8" s="228">
        <v>21.6</v>
      </c>
      <c r="AM8" s="228">
        <v>-2.7</v>
      </c>
      <c r="AN8" s="229">
        <v>1.2699999999999999E-2</v>
      </c>
      <c r="AO8" s="231">
        <v>1497.08</v>
      </c>
      <c r="AP8" s="231">
        <v>1507.03</v>
      </c>
      <c r="AQ8" s="228">
        <v>0</v>
      </c>
      <c r="AR8" s="230">
        <v>11609475</v>
      </c>
      <c r="AS8" s="230">
        <v>4654050</v>
      </c>
      <c r="AT8" s="230">
        <v>6955425</v>
      </c>
      <c r="AU8" s="229">
        <v>1.4944999999999999</v>
      </c>
      <c r="AV8" s="230">
        <v>6089500</v>
      </c>
      <c r="AW8" s="230">
        <v>2844300</v>
      </c>
      <c r="AX8" s="230">
        <v>3245200</v>
      </c>
      <c r="AY8" s="229">
        <v>1.1409</v>
      </c>
      <c r="AZ8" s="230">
        <v>5470575</v>
      </c>
      <c r="BA8" s="230">
        <v>1770325</v>
      </c>
      <c r="BB8" s="230">
        <v>3700250</v>
      </c>
      <c r="BC8" s="229">
        <v>2.0901999999999998</v>
      </c>
      <c r="BD8" s="230">
        <v>49400</v>
      </c>
      <c r="BE8" s="230">
        <v>39425</v>
      </c>
      <c r="BF8" s="230">
        <v>9975</v>
      </c>
      <c r="BG8" s="229">
        <v>0.253</v>
      </c>
      <c r="BH8" s="230">
        <v>21808675</v>
      </c>
      <c r="BI8" s="230">
        <v>17140375</v>
      </c>
      <c r="BJ8" s="230">
        <v>4668300</v>
      </c>
      <c r="BK8" s="229">
        <v>0.27239999999999998</v>
      </c>
      <c r="BL8" s="230">
        <v>7854125</v>
      </c>
      <c r="BM8" s="230">
        <v>7971450</v>
      </c>
      <c r="BN8" s="230">
        <v>-117325</v>
      </c>
      <c r="BO8" s="229">
        <v>-1.47E-2</v>
      </c>
      <c r="BP8" s="230">
        <v>41272275</v>
      </c>
      <c r="BQ8" s="230">
        <v>29765875</v>
      </c>
      <c r="BR8" s="230">
        <v>11506400</v>
      </c>
      <c r="BS8" s="229">
        <v>0.3866</v>
      </c>
      <c r="BT8" s="230">
        <v>1549215</v>
      </c>
      <c r="BU8" s="230">
        <v>1838026</v>
      </c>
      <c r="BV8" s="230">
        <v>-288811</v>
      </c>
      <c r="BW8" s="229">
        <v>-0.15709999999999999</v>
      </c>
      <c r="BX8" s="230">
        <v>25695600</v>
      </c>
      <c r="BY8" s="230">
        <v>25396825</v>
      </c>
      <c r="BZ8" s="230">
        <v>298775</v>
      </c>
      <c r="CA8" s="229">
        <v>1.18E-2</v>
      </c>
      <c r="CB8" s="230">
        <v>17022100</v>
      </c>
      <c r="CC8" s="230">
        <v>21579250</v>
      </c>
      <c r="CD8" s="230">
        <v>-4557150</v>
      </c>
      <c r="CE8" s="229">
        <v>-0.2112</v>
      </c>
      <c r="CF8" s="230">
        <v>8487775</v>
      </c>
      <c r="CG8" s="230">
        <v>3649425</v>
      </c>
      <c r="CH8" s="230">
        <v>4838350</v>
      </c>
      <c r="CI8" s="229">
        <v>1.3258000000000001</v>
      </c>
      <c r="CJ8" s="230">
        <v>185725</v>
      </c>
      <c r="CK8" s="230">
        <v>168150</v>
      </c>
      <c r="CL8" s="230">
        <v>17575</v>
      </c>
      <c r="CM8" s="229">
        <v>0.1045</v>
      </c>
      <c r="CN8" s="230">
        <v>11028075</v>
      </c>
      <c r="CO8" s="230">
        <v>11567200</v>
      </c>
      <c r="CP8" s="230">
        <v>-539125</v>
      </c>
      <c r="CQ8" s="229">
        <v>-4.6600000000000003E-2</v>
      </c>
      <c r="CR8" s="230">
        <v>6352650</v>
      </c>
      <c r="CS8" s="230">
        <v>6534100</v>
      </c>
      <c r="CT8" s="230">
        <v>-181450</v>
      </c>
      <c r="CU8" s="229">
        <v>-2.7799999999999998E-2</v>
      </c>
      <c r="CV8" s="230">
        <v>43076325</v>
      </c>
      <c r="CW8" s="230">
        <v>43498125</v>
      </c>
      <c r="CX8" s="230">
        <v>-421800</v>
      </c>
      <c r="CY8" s="229">
        <v>-9.7000000000000003E-3</v>
      </c>
      <c r="CZ8" s="228">
        <v>23.01</v>
      </c>
      <c r="DA8" s="228">
        <v>24.28</v>
      </c>
      <c r="DB8" s="228">
        <v>-1.27</v>
      </c>
      <c r="DC8" s="228">
        <v>-1.27</v>
      </c>
      <c r="DD8" s="228">
        <v>37.47</v>
      </c>
      <c r="DE8" s="228">
        <v>37.549999999999997</v>
      </c>
      <c r="DF8" s="228">
        <v>-14.46</v>
      </c>
      <c r="DG8" s="228">
        <v>-0.08</v>
      </c>
      <c r="DH8" s="228">
        <v>22.91</v>
      </c>
      <c r="DI8" s="228">
        <v>24.56</v>
      </c>
      <c r="DJ8" s="228">
        <v>-1.65</v>
      </c>
      <c r="DK8" s="228">
        <v>-1.65</v>
      </c>
      <c r="DL8" s="228">
        <v>23.31</v>
      </c>
      <c r="DM8" s="228">
        <v>23.67</v>
      </c>
      <c r="DN8" s="228">
        <v>-0.36</v>
      </c>
      <c r="DO8" s="228">
        <v>-0.36</v>
      </c>
      <c r="DP8" s="228">
        <v>0.57999999999999996</v>
      </c>
      <c r="DQ8" s="228">
        <v>0.56000000000000005</v>
      </c>
      <c r="DR8" s="228">
        <v>0.02</v>
      </c>
      <c r="DS8" s="229">
        <v>3.5700000000000003E-2</v>
      </c>
      <c r="DT8" s="231">
        <v>1500</v>
      </c>
      <c r="DU8" s="231">
        <v>1500</v>
      </c>
      <c r="DV8" s="228">
        <v>0.36</v>
      </c>
      <c r="DW8" s="228">
        <v>0.47</v>
      </c>
      <c r="DX8" s="228">
        <v>-0.11</v>
      </c>
      <c r="DY8" s="229">
        <v>-0.23400000000000001</v>
      </c>
      <c r="DZ8" s="229">
        <v>0.33750000000000002</v>
      </c>
      <c r="EA8" s="230">
        <v>3817575</v>
      </c>
      <c r="EB8" s="229">
        <v>6.7999999999999996E-3</v>
      </c>
      <c r="EC8" s="229">
        <v>0.33750000000000002</v>
      </c>
      <c r="ED8" s="228">
        <v>9.9499999999999993</v>
      </c>
      <c r="EE8" s="229">
        <v>6.6E-3</v>
      </c>
      <c r="EF8" s="230">
        <v>668670</v>
      </c>
      <c r="EG8" s="230">
        <v>1097092</v>
      </c>
      <c r="EH8" s="229">
        <v>-0.39050000000000001</v>
      </c>
      <c r="EI8" s="229">
        <v>0.43159999999999998</v>
      </c>
      <c r="EJ8" s="231">
        <v>335621.9</v>
      </c>
      <c r="EK8" s="231">
        <v>116324.08</v>
      </c>
      <c r="EL8" s="231">
        <v>174357.09</v>
      </c>
      <c r="EM8" s="231">
        <v>8180</v>
      </c>
      <c r="EN8" s="231">
        <v>626303.06999999995</v>
      </c>
      <c r="EO8" s="231">
        <v>450411.83</v>
      </c>
      <c r="EP8" s="231">
        <v>175891.24</v>
      </c>
      <c r="EQ8" s="229">
        <v>0.39050000000000001</v>
      </c>
      <c r="ER8" s="231">
        <v>168821</v>
      </c>
      <c r="ES8" s="231">
        <v>91354</v>
      </c>
      <c r="ET8" s="231">
        <v>384380</v>
      </c>
      <c r="EU8" s="231">
        <v>73799006</v>
      </c>
      <c r="EV8" s="231">
        <v>644555</v>
      </c>
      <c r="EW8" s="231">
        <v>649037</v>
      </c>
      <c r="EX8" s="231">
        <v>-4482</v>
      </c>
      <c r="EY8" s="229">
        <v>-6.8999999999999999E-3</v>
      </c>
      <c r="EZ8" s="229">
        <v>0.5837</v>
      </c>
      <c r="FA8" s="227" t="s">
        <v>555</v>
      </c>
      <c r="FB8" s="161">
        <f t="shared" si="0"/>
        <v>8673500</v>
      </c>
    </row>
    <row r="9" spans="1:158" ht="17.25" hidden="1" thickBot="1" x14ac:dyDescent="0.3">
      <c r="A9" s="226">
        <v>45981</v>
      </c>
      <c r="B9" s="227" t="s">
        <v>170</v>
      </c>
      <c r="C9" s="227" t="s">
        <v>497</v>
      </c>
      <c r="D9" s="228">
        <v>125</v>
      </c>
      <c r="E9" s="231">
        <v>5693.5</v>
      </c>
      <c r="F9" s="231">
        <v>5722.5</v>
      </c>
      <c r="G9" s="228">
        <v>-29</v>
      </c>
      <c r="H9" s="229">
        <v>-5.1000000000000004E-3</v>
      </c>
      <c r="I9" s="231">
        <v>5700</v>
      </c>
      <c r="J9" s="231">
        <v>5724</v>
      </c>
      <c r="K9" s="228">
        <v>-24</v>
      </c>
      <c r="L9" s="229">
        <v>-4.1999999999999997E-3</v>
      </c>
      <c r="M9" s="231">
        <v>5693.5</v>
      </c>
      <c r="N9" s="231">
        <v>5722.5</v>
      </c>
      <c r="O9" s="228">
        <v>-29</v>
      </c>
      <c r="P9" s="229">
        <v>-5.1000000000000004E-3</v>
      </c>
      <c r="Q9" s="231">
        <v>5730</v>
      </c>
      <c r="R9" s="231">
        <v>5756</v>
      </c>
      <c r="S9" s="228">
        <v>-26</v>
      </c>
      <c r="T9" s="229">
        <v>-4.4999999999999997E-3</v>
      </c>
      <c r="U9" s="231">
        <v>5800</v>
      </c>
      <c r="V9" s="231">
        <v>5800</v>
      </c>
      <c r="W9" s="228">
        <v>0</v>
      </c>
      <c r="X9" s="229">
        <v>0</v>
      </c>
      <c r="Y9" s="228">
        <v>-6.5</v>
      </c>
      <c r="Z9" s="228">
        <v>-1.5</v>
      </c>
      <c r="AA9" s="228">
        <v>-5</v>
      </c>
      <c r="AB9" s="229">
        <v>-1.1000000000000001E-3</v>
      </c>
      <c r="AC9" s="228">
        <v>-6.5</v>
      </c>
      <c r="AD9" s="228">
        <v>-1.5</v>
      </c>
      <c r="AE9" s="228">
        <v>-5</v>
      </c>
      <c r="AF9" s="229">
        <v>-1.1000000000000001E-3</v>
      </c>
      <c r="AG9" s="228">
        <v>30</v>
      </c>
      <c r="AH9" s="228">
        <v>32</v>
      </c>
      <c r="AI9" s="228">
        <v>-2</v>
      </c>
      <c r="AJ9" s="229">
        <v>5.3E-3</v>
      </c>
      <c r="AK9" s="228">
        <v>100</v>
      </c>
      <c r="AL9" s="228">
        <v>76</v>
      </c>
      <c r="AM9" s="228">
        <v>24</v>
      </c>
      <c r="AN9" s="229">
        <v>1.7500000000000002E-2</v>
      </c>
      <c r="AO9" s="231">
        <v>5708.6</v>
      </c>
      <c r="AP9" s="231">
        <v>5745.89</v>
      </c>
      <c r="AQ9" s="228">
        <v>0</v>
      </c>
      <c r="AR9" s="230">
        <v>742500</v>
      </c>
      <c r="AS9" s="230">
        <v>130750</v>
      </c>
      <c r="AT9" s="230">
        <v>611750</v>
      </c>
      <c r="AU9" s="229">
        <v>4.6787999999999998</v>
      </c>
      <c r="AV9" s="230">
        <v>402000</v>
      </c>
      <c r="AW9" s="230">
        <v>109500</v>
      </c>
      <c r="AX9" s="230">
        <v>292500</v>
      </c>
      <c r="AY9" s="229">
        <v>2.6711999999999998</v>
      </c>
      <c r="AZ9" s="230">
        <v>340500</v>
      </c>
      <c r="BA9" s="230">
        <v>20875</v>
      </c>
      <c r="BB9" s="230">
        <v>319625</v>
      </c>
      <c r="BC9" s="229">
        <v>15.311400000000001</v>
      </c>
      <c r="BD9" s="228">
        <v>0</v>
      </c>
      <c r="BE9" s="228">
        <v>375</v>
      </c>
      <c r="BF9" s="228">
        <v>-375</v>
      </c>
      <c r="BG9" s="229">
        <v>-1</v>
      </c>
      <c r="BH9" s="230">
        <v>664625</v>
      </c>
      <c r="BI9" s="230">
        <v>767875</v>
      </c>
      <c r="BJ9" s="230">
        <v>-103250</v>
      </c>
      <c r="BK9" s="229">
        <v>-0.13450000000000001</v>
      </c>
      <c r="BL9" s="230">
        <v>241875</v>
      </c>
      <c r="BM9" s="230">
        <v>153875</v>
      </c>
      <c r="BN9" s="230">
        <v>88000</v>
      </c>
      <c r="BO9" s="229">
        <v>0.57189999999999996</v>
      </c>
      <c r="BP9" s="230">
        <v>1649000</v>
      </c>
      <c r="BQ9" s="230">
        <v>1052500</v>
      </c>
      <c r="BR9" s="230">
        <v>596500</v>
      </c>
      <c r="BS9" s="229">
        <v>0.56669999999999998</v>
      </c>
      <c r="BT9" s="230">
        <v>81353</v>
      </c>
      <c r="BU9" s="230">
        <v>107449</v>
      </c>
      <c r="BV9" s="230">
        <v>-26096</v>
      </c>
      <c r="BW9" s="229">
        <v>-0.2429</v>
      </c>
      <c r="BX9" s="230">
        <v>1767875</v>
      </c>
      <c r="BY9" s="230">
        <v>1693875</v>
      </c>
      <c r="BZ9" s="230">
        <v>74000</v>
      </c>
      <c r="CA9" s="229">
        <v>4.3700000000000003E-2</v>
      </c>
      <c r="CB9" s="230">
        <v>1442125</v>
      </c>
      <c r="CC9" s="230">
        <v>1618000</v>
      </c>
      <c r="CD9" s="230">
        <v>-175875</v>
      </c>
      <c r="CE9" s="229">
        <v>-0.1087</v>
      </c>
      <c r="CF9" s="230">
        <v>324000</v>
      </c>
      <c r="CG9" s="230">
        <v>74125</v>
      </c>
      <c r="CH9" s="230">
        <v>249875</v>
      </c>
      <c r="CI9" s="229">
        <v>3.371</v>
      </c>
      <c r="CJ9" s="230">
        <v>1750</v>
      </c>
      <c r="CK9" s="230">
        <v>1750</v>
      </c>
      <c r="CL9" s="228">
        <v>0</v>
      </c>
      <c r="CM9" s="229">
        <v>0</v>
      </c>
      <c r="CN9" s="230">
        <v>634875</v>
      </c>
      <c r="CO9" s="230">
        <v>621375</v>
      </c>
      <c r="CP9" s="230">
        <v>13500</v>
      </c>
      <c r="CQ9" s="229">
        <v>2.1700000000000001E-2</v>
      </c>
      <c r="CR9" s="230">
        <v>353875</v>
      </c>
      <c r="CS9" s="230">
        <v>382000</v>
      </c>
      <c r="CT9" s="230">
        <v>-28125</v>
      </c>
      <c r="CU9" s="229">
        <v>-7.3599999999999999E-2</v>
      </c>
      <c r="CV9" s="230">
        <v>2756625</v>
      </c>
      <c r="CW9" s="230">
        <v>2697250</v>
      </c>
      <c r="CX9" s="230">
        <v>59375</v>
      </c>
      <c r="CY9" s="229">
        <v>2.1999999999999999E-2</v>
      </c>
      <c r="CZ9" s="228">
        <v>22.89</v>
      </c>
      <c r="DA9" s="228">
        <v>22.28</v>
      </c>
      <c r="DB9" s="228">
        <v>0.61</v>
      </c>
      <c r="DC9" s="228">
        <v>0.61</v>
      </c>
      <c r="DD9" s="228">
        <v>26.79</v>
      </c>
      <c r="DE9" s="228">
        <v>26.85</v>
      </c>
      <c r="DF9" s="228">
        <v>-3.9</v>
      </c>
      <c r="DG9" s="228">
        <v>-0.06</v>
      </c>
      <c r="DH9" s="228">
        <v>23.14</v>
      </c>
      <c r="DI9" s="228">
        <v>22.49</v>
      </c>
      <c r="DJ9" s="228">
        <v>0.65</v>
      </c>
      <c r="DK9" s="228">
        <v>0.65</v>
      </c>
      <c r="DL9" s="228">
        <v>22.36</v>
      </c>
      <c r="DM9" s="228">
        <v>21.26</v>
      </c>
      <c r="DN9" s="228">
        <v>1.1000000000000001</v>
      </c>
      <c r="DO9" s="228">
        <v>1.1000000000000001</v>
      </c>
      <c r="DP9" s="228">
        <v>0.56000000000000005</v>
      </c>
      <c r="DQ9" s="228">
        <v>0.61</v>
      </c>
      <c r="DR9" s="228">
        <v>-0.05</v>
      </c>
      <c r="DS9" s="229">
        <v>-8.2000000000000003E-2</v>
      </c>
      <c r="DT9" s="231">
        <v>5800</v>
      </c>
      <c r="DU9" s="231">
        <v>5700</v>
      </c>
      <c r="DV9" s="228">
        <v>0.36</v>
      </c>
      <c r="DW9" s="228">
        <v>0.2</v>
      </c>
      <c r="DX9" s="228">
        <v>0.16</v>
      </c>
      <c r="DY9" s="229">
        <v>0.8</v>
      </c>
      <c r="DZ9" s="229">
        <v>0.18429999999999999</v>
      </c>
      <c r="EA9" s="230">
        <v>75875</v>
      </c>
      <c r="EB9" s="229">
        <v>6.4000000000000003E-3</v>
      </c>
      <c r="EC9" s="229">
        <v>0.18429999999999999</v>
      </c>
      <c r="ED9" s="228">
        <v>37.29</v>
      </c>
      <c r="EE9" s="229">
        <v>6.4999999999999997E-3</v>
      </c>
      <c r="EF9" s="230">
        <v>52959</v>
      </c>
      <c r="EG9" s="230">
        <v>71805</v>
      </c>
      <c r="EH9" s="229">
        <v>-0.26250000000000001</v>
      </c>
      <c r="EI9" s="229">
        <v>0.65100000000000002</v>
      </c>
      <c r="EJ9" s="231">
        <v>38870.9</v>
      </c>
      <c r="EK9" s="231">
        <v>13720.29</v>
      </c>
      <c r="EL9" s="231">
        <v>42513.31</v>
      </c>
      <c r="EM9" s="231">
        <v>4975</v>
      </c>
      <c r="EN9" s="231">
        <v>95104.5</v>
      </c>
      <c r="EO9" s="231">
        <v>61595.77</v>
      </c>
      <c r="EP9" s="231">
        <v>33508.730000000003</v>
      </c>
      <c r="EQ9" s="229">
        <v>0.54400000000000004</v>
      </c>
      <c r="ER9" s="231">
        <v>37445</v>
      </c>
      <c r="ES9" s="231">
        <v>19873</v>
      </c>
      <c r="ET9" s="231">
        <v>100774</v>
      </c>
      <c r="EU9" s="231">
        <v>6130387</v>
      </c>
      <c r="EV9" s="231">
        <v>158092</v>
      </c>
      <c r="EW9" s="231">
        <v>155147</v>
      </c>
      <c r="EX9" s="231">
        <v>2945</v>
      </c>
      <c r="EY9" s="229">
        <v>1.9E-2</v>
      </c>
      <c r="EZ9" s="229">
        <v>0.44969999999999999</v>
      </c>
      <c r="FA9" s="227" t="s">
        <v>567</v>
      </c>
      <c r="FB9" s="161">
        <f t="shared" si="0"/>
        <v>325750</v>
      </c>
    </row>
    <row r="10" spans="1:158" ht="17.25" hidden="1" thickBot="1" x14ac:dyDescent="0.3">
      <c r="A10" s="226">
        <v>45981</v>
      </c>
      <c r="B10" s="227" t="s">
        <v>184</v>
      </c>
      <c r="C10" s="227" t="s">
        <v>682</v>
      </c>
      <c r="D10" s="228">
        <v>100</v>
      </c>
      <c r="E10" s="231">
        <v>7271</v>
      </c>
      <c r="F10" s="231">
        <v>7427.5</v>
      </c>
      <c r="G10" s="228">
        <v>-156.5</v>
      </c>
      <c r="H10" s="229">
        <v>-2.1100000000000001E-2</v>
      </c>
      <c r="I10" s="231">
        <v>7256.5</v>
      </c>
      <c r="J10" s="231">
        <v>7411</v>
      </c>
      <c r="K10" s="228">
        <v>-154.5</v>
      </c>
      <c r="L10" s="229">
        <v>-2.0799999999999999E-2</v>
      </c>
      <c r="M10" s="231">
        <v>7271</v>
      </c>
      <c r="N10" s="231">
        <v>7427.5</v>
      </c>
      <c r="O10" s="228">
        <v>-156.5</v>
      </c>
      <c r="P10" s="229">
        <v>-2.1100000000000001E-2</v>
      </c>
      <c r="Q10" s="231">
        <v>7066</v>
      </c>
      <c r="R10" s="231">
        <v>7188</v>
      </c>
      <c r="S10" s="228">
        <v>-122</v>
      </c>
      <c r="T10" s="229">
        <v>-1.7000000000000001E-2</v>
      </c>
      <c r="U10" s="231">
        <v>6946</v>
      </c>
      <c r="V10" s="231">
        <v>7060</v>
      </c>
      <c r="W10" s="228">
        <v>-114</v>
      </c>
      <c r="X10" s="229">
        <v>-1.61E-2</v>
      </c>
      <c r="Y10" s="228">
        <v>14.5</v>
      </c>
      <c r="Z10" s="228">
        <v>16.5</v>
      </c>
      <c r="AA10" s="228">
        <v>-2</v>
      </c>
      <c r="AB10" s="229">
        <v>2E-3</v>
      </c>
      <c r="AC10" s="228">
        <v>14.5</v>
      </c>
      <c r="AD10" s="228">
        <v>16.5</v>
      </c>
      <c r="AE10" s="228">
        <v>-2</v>
      </c>
      <c r="AF10" s="229">
        <v>2E-3</v>
      </c>
      <c r="AG10" s="228">
        <v>-190.5</v>
      </c>
      <c r="AH10" s="228">
        <v>-223</v>
      </c>
      <c r="AI10" s="228">
        <v>32.5</v>
      </c>
      <c r="AJ10" s="229">
        <v>-2.63E-2</v>
      </c>
      <c r="AK10" s="228">
        <v>-310.5</v>
      </c>
      <c r="AL10" s="228">
        <v>-351</v>
      </c>
      <c r="AM10" s="228">
        <v>40.5</v>
      </c>
      <c r="AN10" s="229">
        <v>-4.2799999999999998E-2</v>
      </c>
      <c r="AO10" s="231">
        <v>7335.12</v>
      </c>
      <c r="AP10" s="231">
        <v>7110.04</v>
      </c>
      <c r="AQ10" s="228">
        <v>0</v>
      </c>
      <c r="AR10" s="230">
        <v>1045500</v>
      </c>
      <c r="AS10" s="230">
        <v>308900</v>
      </c>
      <c r="AT10" s="230">
        <v>736600</v>
      </c>
      <c r="AU10" s="229">
        <v>2.3845999999999998</v>
      </c>
      <c r="AV10" s="230">
        <v>541600</v>
      </c>
      <c r="AW10" s="230">
        <v>195800</v>
      </c>
      <c r="AX10" s="230">
        <v>345800</v>
      </c>
      <c r="AY10" s="229">
        <v>1.7661</v>
      </c>
      <c r="AZ10" s="230">
        <v>497700</v>
      </c>
      <c r="BA10" s="230">
        <v>112600</v>
      </c>
      <c r="BB10" s="230">
        <v>385100</v>
      </c>
      <c r="BC10" s="229">
        <v>3.4201000000000001</v>
      </c>
      <c r="BD10" s="230">
        <v>6200</v>
      </c>
      <c r="BE10" s="228">
        <v>500</v>
      </c>
      <c r="BF10" s="230">
        <v>5700</v>
      </c>
      <c r="BG10" s="229">
        <v>11.4</v>
      </c>
      <c r="BH10" s="230">
        <v>2343000</v>
      </c>
      <c r="BI10" s="230">
        <v>1720300</v>
      </c>
      <c r="BJ10" s="230">
        <v>622700</v>
      </c>
      <c r="BK10" s="229">
        <v>0.36199999999999999</v>
      </c>
      <c r="BL10" s="230">
        <v>1247500</v>
      </c>
      <c r="BM10" s="230">
        <v>592500</v>
      </c>
      <c r="BN10" s="230">
        <v>655000</v>
      </c>
      <c r="BO10" s="229">
        <v>1.1054999999999999</v>
      </c>
      <c r="BP10" s="230">
        <v>4636000</v>
      </c>
      <c r="BQ10" s="230">
        <v>2621700</v>
      </c>
      <c r="BR10" s="230">
        <v>2014300</v>
      </c>
      <c r="BS10" s="229">
        <v>0.76829999999999998</v>
      </c>
      <c r="BT10" s="230">
        <v>139454</v>
      </c>
      <c r="BU10" s="230">
        <v>149777</v>
      </c>
      <c r="BV10" s="230">
        <v>-10323</v>
      </c>
      <c r="BW10" s="229">
        <v>-6.8900000000000003E-2</v>
      </c>
      <c r="BX10" s="230">
        <v>1522900</v>
      </c>
      <c r="BY10" s="230">
        <v>1720400</v>
      </c>
      <c r="BZ10" s="230">
        <v>-197500</v>
      </c>
      <c r="CA10" s="229">
        <v>-0.1148</v>
      </c>
      <c r="CB10" s="230">
        <v>841700</v>
      </c>
      <c r="CC10" s="230">
        <v>1168200</v>
      </c>
      <c r="CD10" s="230">
        <v>-326500</v>
      </c>
      <c r="CE10" s="229">
        <v>-0.27950000000000003</v>
      </c>
      <c r="CF10" s="230">
        <v>642700</v>
      </c>
      <c r="CG10" s="230">
        <v>515200</v>
      </c>
      <c r="CH10" s="230">
        <v>127500</v>
      </c>
      <c r="CI10" s="229">
        <v>0.2475</v>
      </c>
      <c r="CJ10" s="230">
        <v>38500</v>
      </c>
      <c r="CK10" s="230">
        <v>37000</v>
      </c>
      <c r="CL10" s="230">
        <v>1500</v>
      </c>
      <c r="CM10" s="229">
        <v>4.0500000000000001E-2</v>
      </c>
      <c r="CN10" s="230">
        <v>1613200</v>
      </c>
      <c r="CO10" s="230">
        <v>1681000</v>
      </c>
      <c r="CP10" s="230">
        <v>-67800</v>
      </c>
      <c r="CQ10" s="229">
        <v>-4.0300000000000002E-2</v>
      </c>
      <c r="CR10" s="230">
        <v>949100</v>
      </c>
      <c r="CS10" s="230">
        <v>1056900</v>
      </c>
      <c r="CT10" s="230">
        <v>-107800</v>
      </c>
      <c r="CU10" s="229">
        <v>-0.10199999999999999</v>
      </c>
      <c r="CV10" s="230">
        <v>4085200</v>
      </c>
      <c r="CW10" s="230">
        <v>4458300</v>
      </c>
      <c r="CX10" s="230">
        <v>-373100</v>
      </c>
      <c r="CY10" s="229">
        <v>-8.3699999999999997E-2</v>
      </c>
      <c r="CZ10" s="228">
        <v>28.46</v>
      </c>
      <c r="DA10" s="228">
        <v>34.32</v>
      </c>
      <c r="DB10" s="228">
        <v>-5.86</v>
      </c>
      <c r="DC10" s="228">
        <v>-5.86</v>
      </c>
      <c r="DD10" s="228">
        <v>54.33</v>
      </c>
      <c r="DE10" s="228">
        <v>54.39</v>
      </c>
      <c r="DF10" s="228">
        <v>-25.87</v>
      </c>
      <c r="DG10" s="228">
        <v>-0.06</v>
      </c>
      <c r="DH10" s="228">
        <v>28.65</v>
      </c>
      <c r="DI10" s="228">
        <v>33.08</v>
      </c>
      <c r="DJ10" s="228">
        <v>-4.43</v>
      </c>
      <c r="DK10" s="228">
        <v>-4.43</v>
      </c>
      <c r="DL10" s="228">
        <v>27.96</v>
      </c>
      <c r="DM10" s="228">
        <v>37.9</v>
      </c>
      <c r="DN10" s="228">
        <v>-9.94</v>
      </c>
      <c r="DO10" s="228">
        <v>-9.94</v>
      </c>
      <c r="DP10" s="228">
        <v>0.59</v>
      </c>
      <c r="DQ10" s="228">
        <v>0.63</v>
      </c>
      <c r="DR10" s="228">
        <v>-0.04</v>
      </c>
      <c r="DS10" s="229">
        <v>-6.3500000000000001E-2</v>
      </c>
      <c r="DT10" s="231">
        <v>8000</v>
      </c>
      <c r="DU10" s="231">
        <v>7000</v>
      </c>
      <c r="DV10" s="228">
        <v>0.53</v>
      </c>
      <c r="DW10" s="228">
        <v>0.34</v>
      </c>
      <c r="DX10" s="228">
        <v>0.19</v>
      </c>
      <c r="DY10" s="229">
        <v>0.55879999999999996</v>
      </c>
      <c r="DZ10" s="229">
        <v>0.44729999999999998</v>
      </c>
      <c r="EA10" s="230">
        <v>552200</v>
      </c>
      <c r="EB10" s="229">
        <v>-2.8199999999999999E-2</v>
      </c>
      <c r="EC10" s="229">
        <v>0.44729999999999998</v>
      </c>
      <c r="ED10" s="228">
        <v>-225.08</v>
      </c>
      <c r="EE10" s="229">
        <v>-3.0700000000000002E-2</v>
      </c>
      <c r="EF10" s="230">
        <v>52146</v>
      </c>
      <c r="EG10" s="230">
        <v>66214</v>
      </c>
      <c r="EH10" s="229">
        <v>-0.21249999999999999</v>
      </c>
      <c r="EI10" s="229">
        <v>0.37390000000000001</v>
      </c>
      <c r="EJ10" s="231">
        <v>180383.21</v>
      </c>
      <c r="EK10" s="231">
        <v>87068.58</v>
      </c>
      <c r="EL10" s="231">
        <v>75546.95</v>
      </c>
      <c r="EM10" s="231">
        <v>3801</v>
      </c>
      <c r="EN10" s="231">
        <v>342998.74</v>
      </c>
      <c r="EO10" s="231">
        <v>199989.89</v>
      </c>
      <c r="EP10" s="231">
        <v>143008.85</v>
      </c>
      <c r="EQ10" s="229">
        <v>0.71509999999999996</v>
      </c>
      <c r="ER10" s="231">
        <v>125828</v>
      </c>
      <c r="ES10" s="231">
        <v>67221</v>
      </c>
      <c r="ET10" s="231">
        <v>109287</v>
      </c>
      <c r="EU10" s="231">
        <v>3067454</v>
      </c>
      <c r="EV10" s="231">
        <v>302336</v>
      </c>
      <c r="EW10" s="231">
        <v>332747</v>
      </c>
      <c r="EX10" s="231">
        <v>-30411</v>
      </c>
      <c r="EY10" s="229">
        <v>-9.1399999999999995E-2</v>
      </c>
      <c r="EZ10" s="229">
        <v>1.3318000000000001</v>
      </c>
      <c r="FA10" s="227" t="s">
        <v>568</v>
      </c>
      <c r="FB10" s="161">
        <f t="shared" si="0"/>
        <v>681200</v>
      </c>
    </row>
    <row r="11" spans="1:158" ht="17.25" hidden="1" thickBot="1" x14ac:dyDescent="0.3">
      <c r="A11" s="226">
        <v>45981</v>
      </c>
      <c r="B11" s="227" t="s">
        <v>157</v>
      </c>
      <c r="C11" s="227" t="s">
        <v>164</v>
      </c>
      <c r="D11" s="228">
        <v>1050</v>
      </c>
      <c r="E11" s="228">
        <v>555.75</v>
      </c>
      <c r="F11" s="228">
        <v>555.54999999999995</v>
      </c>
      <c r="G11" s="228">
        <v>0.2</v>
      </c>
      <c r="H11" s="229">
        <v>4.0000000000000002E-4</v>
      </c>
      <c r="I11" s="228">
        <v>555.75</v>
      </c>
      <c r="J11" s="228">
        <v>555.29999999999995</v>
      </c>
      <c r="K11" s="228">
        <v>0.45</v>
      </c>
      <c r="L11" s="229">
        <v>8.0000000000000004E-4</v>
      </c>
      <c r="M11" s="228">
        <v>555.75</v>
      </c>
      <c r="N11" s="228">
        <v>555.54999999999995</v>
      </c>
      <c r="O11" s="228">
        <v>0.2</v>
      </c>
      <c r="P11" s="229">
        <v>4.0000000000000002E-4</v>
      </c>
      <c r="Q11" s="228">
        <v>559.45000000000005</v>
      </c>
      <c r="R11" s="228">
        <v>559.29999999999995</v>
      </c>
      <c r="S11" s="228">
        <v>0.15</v>
      </c>
      <c r="T11" s="229">
        <v>2.9999999999999997E-4</v>
      </c>
      <c r="U11" s="228">
        <v>563.79999999999995</v>
      </c>
      <c r="V11" s="228">
        <v>563.04999999999995</v>
      </c>
      <c r="W11" s="228">
        <v>0.75</v>
      </c>
      <c r="X11" s="229">
        <v>1.2999999999999999E-3</v>
      </c>
      <c r="Y11" s="228">
        <v>0</v>
      </c>
      <c r="Z11" s="228">
        <v>0.25</v>
      </c>
      <c r="AA11" s="228">
        <v>-0.25</v>
      </c>
      <c r="AB11" s="229">
        <v>0</v>
      </c>
      <c r="AC11" s="228">
        <v>0</v>
      </c>
      <c r="AD11" s="228">
        <v>0.25</v>
      </c>
      <c r="AE11" s="228">
        <v>-0.25</v>
      </c>
      <c r="AF11" s="229">
        <v>0</v>
      </c>
      <c r="AG11" s="228">
        <v>3.7</v>
      </c>
      <c r="AH11" s="228">
        <v>4</v>
      </c>
      <c r="AI11" s="228">
        <v>-0.3</v>
      </c>
      <c r="AJ11" s="229">
        <v>6.7000000000000002E-3</v>
      </c>
      <c r="AK11" s="228">
        <v>8.0500000000000007</v>
      </c>
      <c r="AL11" s="228">
        <v>7.75</v>
      </c>
      <c r="AM11" s="228">
        <v>0.3</v>
      </c>
      <c r="AN11" s="229">
        <v>1.4500000000000001E-2</v>
      </c>
      <c r="AO11" s="228">
        <v>557.66</v>
      </c>
      <c r="AP11" s="228">
        <v>561.29</v>
      </c>
      <c r="AQ11" s="228">
        <v>0</v>
      </c>
      <c r="AR11" s="230">
        <v>19428150</v>
      </c>
      <c r="AS11" s="230">
        <v>4457250</v>
      </c>
      <c r="AT11" s="230">
        <v>14970900</v>
      </c>
      <c r="AU11" s="229">
        <v>3.3588</v>
      </c>
      <c r="AV11" s="230">
        <v>10169250</v>
      </c>
      <c r="AW11" s="230">
        <v>2650200</v>
      </c>
      <c r="AX11" s="230">
        <v>7519050</v>
      </c>
      <c r="AY11" s="229">
        <v>2.8372000000000002</v>
      </c>
      <c r="AZ11" s="230">
        <v>9154950</v>
      </c>
      <c r="BA11" s="230">
        <v>1727250</v>
      </c>
      <c r="BB11" s="230">
        <v>7427700</v>
      </c>
      <c r="BC11" s="229">
        <v>4.3003</v>
      </c>
      <c r="BD11" s="230">
        <v>103950</v>
      </c>
      <c r="BE11" s="230">
        <v>79800</v>
      </c>
      <c r="BF11" s="230">
        <v>24150</v>
      </c>
      <c r="BG11" s="229">
        <v>0.30259999999999998</v>
      </c>
      <c r="BH11" s="230">
        <v>18943050</v>
      </c>
      <c r="BI11" s="230">
        <v>16083900</v>
      </c>
      <c r="BJ11" s="230">
        <v>2859150</v>
      </c>
      <c r="BK11" s="229">
        <v>0.17780000000000001</v>
      </c>
      <c r="BL11" s="230">
        <v>6296850</v>
      </c>
      <c r="BM11" s="230">
        <v>5222700</v>
      </c>
      <c r="BN11" s="230">
        <v>1074150</v>
      </c>
      <c r="BO11" s="229">
        <v>0.20569999999999999</v>
      </c>
      <c r="BP11" s="230">
        <v>44668050</v>
      </c>
      <c r="BQ11" s="230">
        <v>25763850</v>
      </c>
      <c r="BR11" s="230">
        <v>18904200</v>
      </c>
      <c r="BS11" s="229">
        <v>0.73370000000000002</v>
      </c>
      <c r="BT11" s="230">
        <v>1287564</v>
      </c>
      <c r="BU11" s="230">
        <v>860252</v>
      </c>
      <c r="BV11" s="230">
        <v>427312</v>
      </c>
      <c r="BW11" s="229">
        <v>0.49669999999999997</v>
      </c>
      <c r="BX11" s="230">
        <v>49804650</v>
      </c>
      <c r="BY11" s="230">
        <v>49924350</v>
      </c>
      <c r="BZ11" s="230">
        <v>-119700</v>
      </c>
      <c r="CA11" s="229">
        <v>-2.3999999999999998E-3</v>
      </c>
      <c r="CB11" s="230">
        <v>37452450</v>
      </c>
      <c r="CC11" s="230">
        <v>45223500</v>
      </c>
      <c r="CD11" s="230">
        <v>-7771050</v>
      </c>
      <c r="CE11" s="229">
        <v>-0.17180000000000001</v>
      </c>
      <c r="CF11" s="230">
        <v>11916450</v>
      </c>
      <c r="CG11" s="230">
        <v>4340700</v>
      </c>
      <c r="CH11" s="230">
        <v>7575750</v>
      </c>
      <c r="CI11" s="229">
        <v>1.7453000000000001</v>
      </c>
      <c r="CJ11" s="230">
        <v>435750</v>
      </c>
      <c r="CK11" s="230">
        <v>360150</v>
      </c>
      <c r="CL11" s="230">
        <v>75600</v>
      </c>
      <c r="CM11" s="229">
        <v>0.2099</v>
      </c>
      <c r="CN11" s="230">
        <v>16754850</v>
      </c>
      <c r="CO11" s="230">
        <v>17097150</v>
      </c>
      <c r="CP11" s="230">
        <v>-342300</v>
      </c>
      <c r="CQ11" s="229">
        <v>-0.02</v>
      </c>
      <c r="CR11" s="230">
        <v>11120550</v>
      </c>
      <c r="CS11" s="230">
        <v>11065950</v>
      </c>
      <c r="CT11" s="230">
        <v>54600</v>
      </c>
      <c r="CU11" s="229">
        <v>4.8999999999999998E-3</v>
      </c>
      <c r="CV11" s="230">
        <v>77680050</v>
      </c>
      <c r="CW11" s="230">
        <v>78087450</v>
      </c>
      <c r="CX11" s="230">
        <v>-407400</v>
      </c>
      <c r="CY11" s="229">
        <v>-5.1999999999999998E-3</v>
      </c>
      <c r="CZ11" s="228">
        <v>20.41</v>
      </c>
      <c r="DA11" s="228">
        <v>23.13</v>
      </c>
      <c r="DB11" s="228">
        <v>-2.72</v>
      </c>
      <c r="DC11" s="228">
        <v>-2.72</v>
      </c>
      <c r="DD11" s="228">
        <v>32.770000000000003</v>
      </c>
      <c r="DE11" s="228">
        <v>32.85</v>
      </c>
      <c r="DF11" s="228">
        <v>-12.36</v>
      </c>
      <c r="DG11" s="228">
        <v>-0.08</v>
      </c>
      <c r="DH11" s="228">
        <v>20.75</v>
      </c>
      <c r="DI11" s="228">
        <v>23.99</v>
      </c>
      <c r="DJ11" s="228">
        <v>-3.24</v>
      </c>
      <c r="DK11" s="228">
        <v>-3.24</v>
      </c>
      <c r="DL11" s="228">
        <v>19.78</v>
      </c>
      <c r="DM11" s="228">
        <v>20.47</v>
      </c>
      <c r="DN11" s="228">
        <v>-0.69</v>
      </c>
      <c r="DO11" s="228">
        <v>-0.69</v>
      </c>
      <c r="DP11" s="228">
        <v>0.66</v>
      </c>
      <c r="DQ11" s="228">
        <v>0.65</v>
      </c>
      <c r="DR11" s="228">
        <v>0.01</v>
      </c>
      <c r="DS11" s="229">
        <v>1.54E-2</v>
      </c>
      <c r="DT11" s="228">
        <v>580</v>
      </c>
      <c r="DU11" s="228">
        <v>650</v>
      </c>
      <c r="DV11" s="228">
        <v>0.33</v>
      </c>
      <c r="DW11" s="228">
        <v>0.32</v>
      </c>
      <c r="DX11" s="228">
        <v>0.01</v>
      </c>
      <c r="DY11" s="229">
        <v>3.1300000000000001E-2</v>
      </c>
      <c r="DZ11" s="229">
        <v>0.248</v>
      </c>
      <c r="EA11" s="230">
        <v>4700850</v>
      </c>
      <c r="EB11" s="229">
        <v>6.7000000000000002E-3</v>
      </c>
      <c r="EC11" s="229">
        <v>0.248</v>
      </c>
      <c r="ED11" s="228">
        <v>3.63</v>
      </c>
      <c r="EE11" s="229">
        <v>6.4999999999999997E-3</v>
      </c>
      <c r="EF11" s="230">
        <v>628497</v>
      </c>
      <c r="EG11" s="230">
        <v>543118</v>
      </c>
      <c r="EH11" s="229">
        <v>0.15720000000000001</v>
      </c>
      <c r="EI11" s="229">
        <v>0.48809999999999998</v>
      </c>
      <c r="EJ11" s="231">
        <v>109153.09</v>
      </c>
      <c r="EK11" s="231">
        <v>35820.620000000003</v>
      </c>
      <c r="EL11" s="231">
        <v>108684.15</v>
      </c>
      <c r="EM11" s="231">
        <v>3358</v>
      </c>
      <c r="EN11" s="231">
        <v>253657.86</v>
      </c>
      <c r="EO11" s="231">
        <v>147454.70000000001</v>
      </c>
      <c r="EP11" s="231">
        <v>106203.16</v>
      </c>
      <c r="EQ11" s="229">
        <v>0.72019999999999995</v>
      </c>
      <c r="ER11" s="231">
        <v>98631</v>
      </c>
      <c r="ES11" s="231">
        <v>63180</v>
      </c>
      <c r="ET11" s="231">
        <v>277265</v>
      </c>
      <c r="EU11" s="231">
        <v>119762774</v>
      </c>
      <c r="EV11" s="231">
        <v>439076</v>
      </c>
      <c r="EW11" s="231">
        <v>441136</v>
      </c>
      <c r="EX11" s="231">
        <v>-2060</v>
      </c>
      <c r="EY11" s="229">
        <v>-4.7000000000000002E-3</v>
      </c>
      <c r="EZ11" s="229">
        <v>0.64859999999999995</v>
      </c>
      <c r="FA11" s="227" t="s">
        <v>556</v>
      </c>
      <c r="FB11" s="161">
        <f t="shared" si="0"/>
        <v>12352200</v>
      </c>
    </row>
    <row r="12" spans="1:158" ht="17.25" hidden="1" thickBot="1" x14ac:dyDescent="0.3">
      <c r="A12" s="226">
        <v>45981</v>
      </c>
      <c r="B12" s="227" t="s">
        <v>175</v>
      </c>
      <c r="C12" s="227" t="s">
        <v>609</v>
      </c>
      <c r="D12" s="228">
        <v>250</v>
      </c>
      <c r="E12" s="231">
        <v>2811.4</v>
      </c>
      <c r="F12" s="231">
        <v>2817.1</v>
      </c>
      <c r="G12" s="228">
        <v>-5.7</v>
      </c>
      <c r="H12" s="229">
        <v>-2E-3</v>
      </c>
      <c r="I12" s="231">
        <v>2814.3</v>
      </c>
      <c r="J12" s="231">
        <v>2813.9</v>
      </c>
      <c r="K12" s="228">
        <v>0.4</v>
      </c>
      <c r="L12" s="229">
        <v>1E-4</v>
      </c>
      <c r="M12" s="231">
        <v>2811.4</v>
      </c>
      <c r="N12" s="231">
        <v>2817.1</v>
      </c>
      <c r="O12" s="228">
        <v>-5.7</v>
      </c>
      <c r="P12" s="229">
        <v>-2E-3</v>
      </c>
      <c r="Q12" s="231">
        <v>2807.3</v>
      </c>
      <c r="R12" s="231">
        <v>2808.1</v>
      </c>
      <c r="S12" s="228">
        <v>-0.8</v>
      </c>
      <c r="T12" s="229">
        <v>-2.9999999999999997E-4</v>
      </c>
      <c r="U12" s="231">
        <v>2807.3</v>
      </c>
      <c r="V12" s="231">
        <v>2805</v>
      </c>
      <c r="W12" s="228">
        <v>2.2999999999999998</v>
      </c>
      <c r="X12" s="229">
        <v>8.0000000000000004E-4</v>
      </c>
      <c r="Y12" s="228">
        <v>-2.9</v>
      </c>
      <c r="Z12" s="228">
        <v>3.2</v>
      </c>
      <c r="AA12" s="228">
        <v>-6.1</v>
      </c>
      <c r="AB12" s="229">
        <v>-1E-3</v>
      </c>
      <c r="AC12" s="228">
        <v>-2.9</v>
      </c>
      <c r="AD12" s="228">
        <v>3.2</v>
      </c>
      <c r="AE12" s="228">
        <v>-6.1</v>
      </c>
      <c r="AF12" s="229">
        <v>-1E-3</v>
      </c>
      <c r="AG12" s="228">
        <v>-7</v>
      </c>
      <c r="AH12" s="228">
        <v>-5.8</v>
      </c>
      <c r="AI12" s="228">
        <v>-1.2</v>
      </c>
      <c r="AJ12" s="229">
        <v>-2.5000000000000001E-3</v>
      </c>
      <c r="AK12" s="228">
        <v>-7</v>
      </c>
      <c r="AL12" s="228">
        <v>-8.9</v>
      </c>
      <c r="AM12" s="228">
        <v>1.9</v>
      </c>
      <c r="AN12" s="229">
        <v>-2.5000000000000001E-3</v>
      </c>
      <c r="AO12" s="231">
        <v>2820.27</v>
      </c>
      <c r="AP12" s="231">
        <v>2817.04</v>
      </c>
      <c r="AQ12" s="228">
        <v>0</v>
      </c>
      <c r="AR12" s="230">
        <v>3141750</v>
      </c>
      <c r="AS12" s="230">
        <v>1388500</v>
      </c>
      <c r="AT12" s="230">
        <v>1753250</v>
      </c>
      <c r="AU12" s="229">
        <v>1.2626999999999999</v>
      </c>
      <c r="AV12" s="230">
        <v>1714750</v>
      </c>
      <c r="AW12" s="230">
        <v>971250</v>
      </c>
      <c r="AX12" s="230">
        <v>743500</v>
      </c>
      <c r="AY12" s="229">
        <v>0.76549999999999996</v>
      </c>
      <c r="AZ12" s="230">
        <v>1410750</v>
      </c>
      <c r="BA12" s="230">
        <v>398500</v>
      </c>
      <c r="BB12" s="230">
        <v>1012250</v>
      </c>
      <c r="BC12" s="229">
        <v>2.5402</v>
      </c>
      <c r="BD12" s="230">
        <v>16250</v>
      </c>
      <c r="BE12" s="230">
        <v>18750</v>
      </c>
      <c r="BF12" s="230">
        <v>-2500</v>
      </c>
      <c r="BG12" s="229">
        <v>-0.1333</v>
      </c>
      <c r="BH12" s="230">
        <v>8822500</v>
      </c>
      <c r="BI12" s="230">
        <v>6496500</v>
      </c>
      <c r="BJ12" s="230">
        <v>2326000</v>
      </c>
      <c r="BK12" s="229">
        <v>0.35799999999999998</v>
      </c>
      <c r="BL12" s="230">
        <v>5346750</v>
      </c>
      <c r="BM12" s="230">
        <v>4305000</v>
      </c>
      <c r="BN12" s="230">
        <v>1041750</v>
      </c>
      <c r="BO12" s="229">
        <v>0.24199999999999999</v>
      </c>
      <c r="BP12" s="230">
        <v>17311000</v>
      </c>
      <c r="BQ12" s="230">
        <v>12190000</v>
      </c>
      <c r="BR12" s="230">
        <v>5121000</v>
      </c>
      <c r="BS12" s="229">
        <v>0.42009999999999997</v>
      </c>
      <c r="BT12" s="230">
        <v>724508</v>
      </c>
      <c r="BU12" s="230">
        <v>743631</v>
      </c>
      <c r="BV12" s="230">
        <v>-19123</v>
      </c>
      <c r="BW12" s="229">
        <v>-2.5700000000000001E-2</v>
      </c>
      <c r="BX12" s="230">
        <v>3418500</v>
      </c>
      <c r="BY12" s="230">
        <v>3760750</v>
      </c>
      <c r="BZ12" s="230">
        <v>-342250</v>
      </c>
      <c r="CA12" s="229">
        <v>-9.0999999999999998E-2</v>
      </c>
      <c r="CB12" s="230">
        <v>2227500</v>
      </c>
      <c r="CC12" s="230">
        <v>2988000</v>
      </c>
      <c r="CD12" s="230">
        <v>-760500</v>
      </c>
      <c r="CE12" s="229">
        <v>-0.2545</v>
      </c>
      <c r="CF12" s="230">
        <v>1133000</v>
      </c>
      <c r="CG12" s="230">
        <v>718000</v>
      </c>
      <c r="CH12" s="230">
        <v>415000</v>
      </c>
      <c r="CI12" s="229">
        <v>0.57799999999999996</v>
      </c>
      <c r="CJ12" s="230">
        <v>58000</v>
      </c>
      <c r="CK12" s="230">
        <v>54750</v>
      </c>
      <c r="CL12" s="230">
        <v>3250</v>
      </c>
      <c r="CM12" s="229">
        <v>5.9400000000000001E-2</v>
      </c>
      <c r="CN12" s="230">
        <v>2665750</v>
      </c>
      <c r="CO12" s="230">
        <v>2565500</v>
      </c>
      <c r="CP12" s="230">
        <v>100250</v>
      </c>
      <c r="CQ12" s="229">
        <v>3.9100000000000003E-2</v>
      </c>
      <c r="CR12" s="230">
        <v>2950000</v>
      </c>
      <c r="CS12" s="230">
        <v>2748500</v>
      </c>
      <c r="CT12" s="230">
        <v>201500</v>
      </c>
      <c r="CU12" s="229">
        <v>7.3300000000000004E-2</v>
      </c>
      <c r="CV12" s="230">
        <v>9034250</v>
      </c>
      <c r="CW12" s="230">
        <v>9074750</v>
      </c>
      <c r="CX12" s="230">
        <v>-40500</v>
      </c>
      <c r="CY12" s="229">
        <v>-4.4999999999999997E-3</v>
      </c>
      <c r="CZ12" s="228">
        <v>35.090000000000003</v>
      </c>
      <c r="DA12" s="228">
        <v>36.270000000000003</v>
      </c>
      <c r="DB12" s="228">
        <v>-1.18</v>
      </c>
      <c r="DC12" s="228">
        <v>-1.18</v>
      </c>
      <c r="DD12" s="228">
        <v>53.76</v>
      </c>
      <c r="DE12" s="228">
        <v>53.89</v>
      </c>
      <c r="DF12" s="228">
        <v>-18.670000000000002</v>
      </c>
      <c r="DG12" s="228">
        <v>-0.13</v>
      </c>
      <c r="DH12" s="228">
        <v>35.020000000000003</v>
      </c>
      <c r="DI12" s="228">
        <v>34.92</v>
      </c>
      <c r="DJ12" s="228">
        <v>0.1</v>
      </c>
      <c r="DK12" s="228">
        <v>0.1</v>
      </c>
      <c r="DL12" s="228">
        <v>35.44</v>
      </c>
      <c r="DM12" s="228">
        <v>38.31</v>
      </c>
      <c r="DN12" s="228">
        <v>-2.87</v>
      </c>
      <c r="DO12" s="228">
        <v>-2.87</v>
      </c>
      <c r="DP12" s="228">
        <v>1.1100000000000001</v>
      </c>
      <c r="DQ12" s="228">
        <v>1.07</v>
      </c>
      <c r="DR12" s="228">
        <v>0.04</v>
      </c>
      <c r="DS12" s="229">
        <v>3.7400000000000003E-2</v>
      </c>
      <c r="DT12" s="231">
        <v>2900</v>
      </c>
      <c r="DU12" s="231">
        <v>2650</v>
      </c>
      <c r="DV12" s="228">
        <v>0.61</v>
      </c>
      <c r="DW12" s="228">
        <v>0.66</v>
      </c>
      <c r="DX12" s="228">
        <v>-0.05</v>
      </c>
      <c r="DY12" s="229">
        <v>-7.5800000000000006E-2</v>
      </c>
      <c r="DZ12" s="229">
        <v>0.34839999999999999</v>
      </c>
      <c r="EA12" s="230">
        <v>772750</v>
      </c>
      <c r="EB12" s="229">
        <v>-1.5E-3</v>
      </c>
      <c r="EC12" s="229">
        <v>0.34839999999999999</v>
      </c>
      <c r="ED12" s="228">
        <v>-3.23</v>
      </c>
      <c r="EE12" s="229">
        <v>-1.1000000000000001E-3</v>
      </c>
      <c r="EF12" s="230">
        <v>210788</v>
      </c>
      <c r="EG12" s="230">
        <v>203115</v>
      </c>
      <c r="EH12" s="229">
        <v>3.78E-2</v>
      </c>
      <c r="EI12" s="229">
        <v>0.29089999999999999</v>
      </c>
      <c r="EJ12" s="231">
        <v>259100.56</v>
      </c>
      <c r="EK12" s="231">
        <v>145064.9</v>
      </c>
      <c r="EL12" s="231">
        <v>88559.18</v>
      </c>
      <c r="EM12" s="231">
        <v>6453</v>
      </c>
      <c r="EN12" s="231">
        <v>492724.64</v>
      </c>
      <c r="EO12" s="231">
        <v>347083.36</v>
      </c>
      <c r="EP12" s="231">
        <v>145641.28</v>
      </c>
      <c r="EQ12" s="229">
        <v>0.41959999999999997</v>
      </c>
      <c r="ER12" s="231">
        <v>74646</v>
      </c>
      <c r="ES12" s="231">
        <v>76850</v>
      </c>
      <c r="ET12" s="231">
        <v>96059</v>
      </c>
      <c r="EU12" s="231">
        <v>9647634</v>
      </c>
      <c r="EV12" s="231">
        <v>247555</v>
      </c>
      <c r="EW12" s="231">
        <v>248919</v>
      </c>
      <c r="EX12" s="231">
        <v>-1364</v>
      </c>
      <c r="EY12" s="229">
        <v>-5.4999999999999997E-3</v>
      </c>
      <c r="EZ12" s="229">
        <v>0.93640000000000001</v>
      </c>
      <c r="FA12" s="227" t="s">
        <v>568</v>
      </c>
      <c r="FB12" s="161">
        <f t="shared" si="0"/>
        <v>1191000</v>
      </c>
    </row>
    <row r="13" spans="1:158" ht="17.25" hidden="1" thickBot="1" x14ac:dyDescent="0.3">
      <c r="A13" s="226">
        <v>45981</v>
      </c>
      <c r="B13" s="227" t="s">
        <v>227</v>
      </c>
      <c r="C13" s="227" t="s">
        <v>598</v>
      </c>
      <c r="D13" s="228">
        <v>350</v>
      </c>
      <c r="E13" s="231">
        <v>1722.3</v>
      </c>
      <c r="F13" s="231">
        <v>1724.6</v>
      </c>
      <c r="G13" s="228">
        <v>-2.2999999999999998</v>
      </c>
      <c r="H13" s="229">
        <v>-1.2999999999999999E-3</v>
      </c>
      <c r="I13" s="231">
        <v>1721.2</v>
      </c>
      <c r="J13" s="231">
        <v>1720.9</v>
      </c>
      <c r="K13" s="228">
        <v>0.3</v>
      </c>
      <c r="L13" s="229">
        <v>2.0000000000000001E-4</v>
      </c>
      <c r="M13" s="231">
        <v>1722.3</v>
      </c>
      <c r="N13" s="231">
        <v>1724.6</v>
      </c>
      <c r="O13" s="228">
        <v>-2.2999999999999998</v>
      </c>
      <c r="P13" s="229">
        <v>-1.2999999999999999E-3</v>
      </c>
      <c r="Q13" s="231">
        <v>1733.8</v>
      </c>
      <c r="R13" s="231">
        <v>1735.5</v>
      </c>
      <c r="S13" s="228">
        <v>-1.7</v>
      </c>
      <c r="T13" s="229">
        <v>-1E-3</v>
      </c>
      <c r="U13" s="231">
        <v>1735.7</v>
      </c>
      <c r="V13" s="231">
        <v>1744.9</v>
      </c>
      <c r="W13" s="228">
        <v>-9.1999999999999993</v>
      </c>
      <c r="X13" s="229">
        <v>-5.3E-3</v>
      </c>
      <c r="Y13" s="228">
        <v>1.1000000000000001</v>
      </c>
      <c r="Z13" s="228">
        <v>3.7</v>
      </c>
      <c r="AA13" s="228">
        <v>-2.6</v>
      </c>
      <c r="AB13" s="229">
        <v>5.9999999999999995E-4</v>
      </c>
      <c r="AC13" s="228">
        <v>1.1000000000000001</v>
      </c>
      <c r="AD13" s="228">
        <v>3.7</v>
      </c>
      <c r="AE13" s="228">
        <v>-2.6</v>
      </c>
      <c r="AF13" s="229">
        <v>5.9999999999999995E-4</v>
      </c>
      <c r="AG13" s="228">
        <v>12.6</v>
      </c>
      <c r="AH13" s="228">
        <v>14.6</v>
      </c>
      <c r="AI13" s="228">
        <v>-2</v>
      </c>
      <c r="AJ13" s="229">
        <v>7.3000000000000001E-3</v>
      </c>
      <c r="AK13" s="228">
        <v>14.5</v>
      </c>
      <c r="AL13" s="228">
        <v>24</v>
      </c>
      <c r="AM13" s="228">
        <v>-9.5</v>
      </c>
      <c r="AN13" s="229">
        <v>8.3999999999999995E-3</v>
      </c>
      <c r="AO13" s="231">
        <v>1726.58</v>
      </c>
      <c r="AP13" s="231">
        <v>1739.13</v>
      </c>
      <c r="AQ13" s="228">
        <v>0</v>
      </c>
      <c r="AR13" s="230">
        <v>4296600</v>
      </c>
      <c r="AS13" s="230">
        <v>1548400</v>
      </c>
      <c r="AT13" s="230">
        <v>2748200</v>
      </c>
      <c r="AU13" s="229">
        <v>1.7748999999999999</v>
      </c>
      <c r="AV13" s="230">
        <v>2209900</v>
      </c>
      <c r="AW13" s="230">
        <v>1023050</v>
      </c>
      <c r="AX13" s="230">
        <v>1186850</v>
      </c>
      <c r="AY13" s="229">
        <v>1.1600999999999999</v>
      </c>
      <c r="AZ13" s="230">
        <v>2077250</v>
      </c>
      <c r="BA13" s="230">
        <v>515200</v>
      </c>
      <c r="BB13" s="230">
        <v>1562050</v>
      </c>
      <c r="BC13" s="229">
        <v>3.0318999999999998</v>
      </c>
      <c r="BD13" s="230">
        <v>9450</v>
      </c>
      <c r="BE13" s="230">
        <v>10150</v>
      </c>
      <c r="BF13" s="228">
        <v>-700</v>
      </c>
      <c r="BG13" s="229">
        <v>-6.9000000000000006E-2</v>
      </c>
      <c r="BH13" s="230">
        <v>2898700</v>
      </c>
      <c r="BI13" s="230">
        <v>2592800</v>
      </c>
      <c r="BJ13" s="230">
        <v>305900</v>
      </c>
      <c r="BK13" s="229">
        <v>0.11799999999999999</v>
      </c>
      <c r="BL13" s="230">
        <v>1104600</v>
      </c>
      <c r="BM13" s="230">
        <v>969500</v>
      </c>
      <c r="BN13" s="230">
        <v>135100</v>
      </c>
      <c r="BO13" s="229">
        <v>0.1394</v>
      </c>
      <c r="BP13" s="230">
        <v>8299900</v>
      </c>
      <c r="BQ13" s="230">
        <v>5110700</v>
      </c>
      <c r="BR13" s="230">
        <v>3189200</v>
      </c>
      <c r="BS13" s="229">
        <v>0.624</v>
      </c>
      <c r="BT13" s="230">
        <v>1114903</v>
      </c>
      <c r="BU13" s="230">
        <v>822947</v>
      </c>
      <c r="BV13" s="230">
        <v>291956</v>
      </c>
      <c r="BW13" s="229">
        <v>0.3548</v>
      </c>
      <c r="BX13" s="230">
        <v>7651700</v>
      </c>
      <c r="BY13" s="230">
        <v>7463400</v>
      </c>
      <c r="BZ13" s="230">
        <v>188300</v>
      </c>
      <c r="CA13" s="229">
        <v>2.52E-2</v>
      </c>
      <c r="CB13" s="230">
        <v>5647600</v>
      </c>
      <c r="CC13" s="230">
        <v>7006300</v>
      </c>
      <c r="CD13" s="230">
        <v>-1358700</v>
      </c>
      <c r="CE13" s="229">
        <v>-0.19389999999999999</v>
      </c>
      <c r="CF13" s="230">
        <v>1991850</v>
      </c>
      <c r="CG13" s="230">
        <v>445550</v>
      </c>
      <c r="CH13" s="230">
        <v>1546300</v>
      </c>
      <c r="CI13" s="229">
        <v>3.4704999999999999</v>
      </c>
      <c r="CJ13" s="230">
        <v>12250</v>
      </c>
      <c r="CK13" s="230">
        <v>11550</v>
      </c>
      <c r="CL13" s="228">
        <v>700</v>
      </c>
      <c r="CM13" s="229">
        <v>6.0600000000000001E-2</v>
      </c>
      <c r="CN13" s="230">
        <v>2302300</v>
      </c>
      <c r="CO13" s="230">
        <v>2169650</v>
      </c>
      <c r="CP13" s="230">
        <v>132650</v>
      </c>
      <c r="CQ13" s="229">
        <v>6.1100000000000002E-2</v>
      </c>
      <c r="CR13" s="230">
        <v>1521100</v>
      </c>
      <c r="CS13" s="230">
        <v>1502900</v>
      </c>
      <c r="CT13" s="230">
        <v>18200</v>
      </c>
      <c r="CU13" s="229">
        <v>1.21E-2</v>
      </c>
      <c r="CV13" s="230">
        <v>11475100</v>
      </c>
      <c r="CW13" s="230">
        <v>11135950</v>
      </c>
      <c r="CX13" s="230">
        <v>339150</v>
      </c>
      <c r="CY13" s="229">
        <v>3.0499999999999999E-2</v>
      </c>
      <c r="CZ13" s="228">
        <v>24.28</v>
      </c>
      <c r="DA13" s="228">
        <v>26.76</v>
      </c>
      <c r="DB13" s="228">
        <v>-2.48</v>
      </c>
      <c r="DC13" s="228">
        <v>-2.48</v>
      </c>
      <c r="DD13" s="228">
        <v>33.29</v>
      </c>
      <c r="DE13" s="228">
        <v>33.369999999999997</v>
      </c>
      <c r="DF13" s="228">
        <v>-9.01</v>
      </c>
      <c r="DG13" s="228">
        <v>-0.08</v>
      </c>
      <c r="DH13" s="228">
        <v>24.1</v>
      </c>
      <c r="DI13" s="228">
        <v>28.36</v>
      </c>
      <c r="DJ13" s="228">
        <v>-4.26</v>
      </c>
      <c r="DK13" s="228">
        <v>-4.26</v>
      </c>
      <c r="DL13" s="228">
        <v>24.55</v>
      </c>
      <c r="DM13" s="228">
        <v>22.49</v>
      </c>
      <c r="DN13" s="228">
        <v>2.06</v>
      </c>
      <c r="DO13" s="228">
        <v>2.06</v>
      </c>
      <c r="DP13" s="228">
        <v>0.66</v>
      </c>
      <c r="DQ13" s="228">
        <v>0.69</v>
      </c>
      <c r="DR13" s="228">
        <v>-0.03</v>
      </c>
      <c r="DS13" s="229">
        <v>-4.3499999999999997E-2</v>
      </c>
      <c r="DT13" s="231">
        <v>1800</v>
      </c>
      <c r="DU13" s="231">
        <v>1700</v>
      </c>
      <c r="DV13" s="228">
        <v>0.38</v>
      </c>
      <c r="DW13" s="228">
        <v>0.37</v>
      </c>
      <c r="DX13" s="228">
        <v>0.01</v>
      </c>
      <c r="DY13" s="229">
        <v>2.7E-2</v>
      </c>
      <c r="DZ13" s="229">
        <v>0.26190000000000002</v>
      </c>
      <c r="EA13" s="230">
        <v>457100</v>
      </c>
      <c r="EB13" s="229">
        <v>6.7000000000000002E-3</v>
      </c>
      <c r="EC13" s="229">
        <v>0.26190000000000002</v>
      </c>
      <c r="ED13" s="228">
        <v>12.55</v>
      </c>
      <c r="EE13" s="229">
        <v>7.3000000000000001E-3</v>
      </c>
      <c r="EF13" s="230">
        <v>791621</v>
      </c>
      <c r="EG13" s="230">
        <v>618521</v>
      </c>
      <c r="EH13" s="229">
        <v>0.27989999999999998</v>
      </c>
      <c r="EI13" s="229">
        <v>0.71</v>
      </c>
      <c r="EJ13" s="231">
        <v>51746.559999999998</v>
      </c>
      <c r="EK13" s="231">
        <v>19186.09</v>
      </c>
      <c r="EL13" s="231">
        <v>74447.45</v>
      </c>
      <c r="EM13" s="231">
        <v>2133</v>
      </c>
      <c r="EN13" s="231">
        <v>145380.1</v>
      </c>
      <c r="EO13" s="231">
        <v>91407.51</v>
      </c>
      <c r="EP13" s="231">
        <v>53972.59</v>
      </c>
      <c r="EQ13" s="229">
        <v>0.59050000000000002</v>
      </c>
      <c r="ER13" s="231">
        <v>41713</v>
      </c>
      <c r="ES13" s="231">
        <v>26533</v>
      </c>
      <c r="ET13" s="231">
        <v>132016</v>
      </c>
      <c r="EU13" s="231">
        <v>27232196</v>
      </c>
      <c r="EV13" s="231">
        <v>200262</v>
      </c>
      <c r="EW13" s="231">
        <v>194509</v>
      </c>
      <c r="EX13" s="231">
        <v>5753</v>
      </c>
      <c r="EY13" s="229">
        <v>2.9600000000000001E-2</v>
      </c>
      <c r="EZ13" s="229">
        <v>0.4214</v>
      </c>
      <c r="FA13" s="227" t="s">
        <v>567</v>
      </c>
      <c r="FB13" s="161">
        <f t="shared" si="0"/>
        <v>2004100</v>
      </c>
    </row>
    <row r="14" spans="1:158" ht="17.25" hidden="1" thickBot="1" x14ac:dyDescent="0.3">
      <c r="A14" s="226">
        <v>45981</v>
      </c>
      <c r="B14" s="227" t="s">
        <v>170</v>
      </c>
      <c r="C14" s="227" t="s">
        <v>165</v>
      </c>
      <c r="D14" s="228">
        <v>125</v>
      </c>
      <c r="E14" s="231">
        <v>7433.5</v>
      </c>
      <c r="F14" s="231">
        <v>7456.5</v>
      </c>
      <c r="G14" s="228">
        <v>-23</v>
      </c>
      <c r="H14" s="229">
        <v>-3.0999999999999999E-3</v>
      </c>
      <c r="I14" s="231">
        <v>7423</v>
      </c>
      <c r="J14" s="231">
        <v>7459</v>
      </c>
      <c r="K14" s="228">
        <v>-36</v>
      </c>
      <c r="L14" s="229">
        <v>-4.7999999999999996E-3</v>
      </c>
      <c r="M14" s="231">
        <v>7433.5</v>
      </c>
      <c r="N14" s="231">
        <v>7456.5</v>
      </c>
      <c r="O14" s="228">
        <v>-23</v>
      </c>
      <c r="P14" s="229">
        <v>-3.0999999999999999E-3</v>
      </c>
      <c r="Q14" s="231">
        <v>7483.5</v>
      </c>
      <c r="R14" s="231">
        <v>7505.5</v>
      </c>
      <c r="S14" s="228">
        <v>-22</v>
      </c>
      <c r="T14" s="229">
        <v>-2.8999999999999998E-3</v>
      </c>
      <c r="U14" s="231">
        <v>7531</v>
      </c>
      <c r="V14" s="231">
        <v>7550</v>
      </c>
      <c r="W14" s="228">
        <v>-19</v>
      </c>
      <c r="X14" s="229">
        <v>-2.5000000000000001E-3</v>
      </c>
      <c r="Y14" s="228">
        <v>10.5</v>
      </c>
      <c r="Z14" s="228">
        <v>-2.5</v>
      </c>
      <c r="AA14" s="228">
        <v>13</v>
      </c>
      <c r="AB14" s="229">
        <v>1.4E-3</v>
      </c>
      <c r="AC14" s="228">
        <v>10.5</v>
      </c>
      <c r="AD14" s="228">
        <v>-2.5</v>
      </c>
      <c r="AE14" s="228">
        <v>13</v>
      </c>
      <c r="AF14" s="229">
        <v>1.4E-3</v>
      </c>
      <c r="AG14" s="228">
        <v>60.5</v>
      </c>
      <c r="AH14" s="228">
        <v>46.5</v>
      </c>
      <c r="AI14" s="228">
        <v>14</v>
      </c>
      <c r="AJ14" s="229">
        <v>8.2000000000000007E-3</v>
      </c>
      <c r="AK14" s="228">
        <v>108</v>
      </c>
      <c r="AL14" s="228">
        <v>91</v>
      </c>
      <c r="AM14" s="228">
        <v>17</v>
      </c>
      <c r="AN14" s="229">
        <v>1.4500000000000001E-2</v>
      </c>
      <c r="AO14" s="231">
        <v>7458.57</v>
      </c>
      <c r="AP14" s="231">
        <v>7507.65</v>
      </c>
      <c r="AQ14" s="228">
        <v>0</v>
      </c>
      <c r="AR14" s="230">
        <v>1298375</v>
      </c>
      <c r="AS14" s="230">
        <v>618250</v>
      </c>
      <c r="AT14" s="230">
        <v>680125</v>
      </c>
      <c r="AU14" s="229">
        <v>1.1001000000000001</v>
      </c>
      <c r="AV14" s="230">
        <v>678250</v>
      </c>
      <c r="AW14" s="230">
        <v>443875</v>
      </c>
      <c r="AX14" s="230">
        <v>234375</v>
      </c>
      <c r="AY14" s="229">
        <v>0.52800000000000002</v>
      </c>
      <c r="AZ14" s="230">
        <v>615000</v>
      </c>
      <c r="BA14" s="230">
        <v>167500</v>
      </c>
      <c r="BB14" s="230">
        <v>447500</v>
      </c>
      <c r="BC14" s="229">
        <v>2.6716000000000002</v>
      </c>
      <c r="BD14" s="230">
        <v>5125</v>
      </c>
      <c r="BE14" s="230">
        <v>6875</v>
      </c>
      <c r="BF14" s="230">
        <v>-1750</v>
      </c>
      <c r="BG14" s="229">
        <v>-0.2545</v>
      </c>
      <c r="BH14" s="230">
        <v>2700000</v>
      </c>
      <c r="BI14" s="230">
        <v>5164500</v>
      </c>
      <c r="BJ14" s="230">
        <v>-2464500</v>
      </c>
      <c r="BK14" s="229">
        <v>-0.47720000000000001</v>
      </c>
      <c r="BL14" s="230">
        <v>867250</v>
      </c>
      <c r="BM14" s="230">
        <v>1545875</v>
      </c>
      <c r="BN14" s="230">
        <v>-678625</v>
      </c>
      <c r="BO14" s="229">
        <v>-0.439</v>
      </c>
      <c r="BP14" s="230">
        <v>4865625</v>
      </c>
      <c r="BQ14" s="230">
        <v>7328625</v>
      </c>
      <c r="BR14" s="230">
        <v>-2463000</v>
      </c>
      <c r="BS14" s="229">
        <v>-0.33610000000000001</v>
      </c>
      <c r="BT14" s="230">
        <v>230369</v>
      </c>
      <c r="BU14" s="230">
        <v>488895</v>
      </c>
      <c r="BV14" s="230">
        <v>-258526</v>
      </c>
      <c r="BW14" s="229">
        <v>-0.52880000000000005</v>
      </c>
      <c r="BX14" s="230">
        <v>2962875</v>
      </c>
      <c r="BY14" s="230">
        <v>2978375</v>
      </c>
      <c r="BZ14" s="230">
        <v>-15500</v>
      </c>
      <c r="CA14" s="229">
        <v>-5.1999999999999998E-3</v>
      </c>
      <c r="CB14" s="230">
        <v>2100250</v>
      </c>
      <c r="CC14" s="230">
        <v>2619000</v>
      </c>
      <c r="CD14" s="230">
        <v>-518750</v>
      </c>
      <c r="CE14" s="229">
        <v>-0.1981</v>
      </c>
      <c r="CF14" s="230">
        <v>837250</v>
      </c>
      <c r="CG14" s="230">
        <v>335875</v>
      </c>
      <c r="CH14" s="230">
        <v>501375</v>
      </c>
      <c r="CI14" s="229">
        <v>1.4926999999999999</v>
      </c>
      <c r="CJ14" s="230">
        <v>25375</v>
      </c>
      <c r="CK14" s="230">
        <v>23500</v>
      </c>
      <c r="CL14" s="230">
        <v>1875</v>
      </c>
      <c r="CM14" s="229">
        <v>7.9799999999999996E-2</v>
      </c>
      <c r="CN14" s="230">
        <v>2228625</v>
      </c>
      <c r="CO14" s="230">
        <v>2325375</v>
      </c>
      <c r="CP14" s="230">
        <v>-96750</v>
      </c>
      <c r="CQ14" s="229">
        <v>-4.1599999999999998E-2</v>
      </c>
      <c r="CR14" s="230">
        <v>916500</v>
      </c>
      <c r="CS14" s="230">
        <v>959875</v>
      </c>
      <c r="CT14" s="230">
        <v>-43375</v>
      </c>
      <c r="CU14" s="229">
        <v>-4.5199999999999997E-2</v>
      </c>
      <c r="CV14" s="230">
        <v>6108000</v>
      </c>
      <c r="CW14" s="230">
        <v>6263625</v>
      </c>
      <c r="CX14" s="230">
        <v>-155625</v>
      </c>
      <c r="CY14" s="229">
        <v>-2.4799999999999999E-2</v>
      </c>
      <c r="CZ14" s="228">
        <v>18.53</v>
      </c>
      <c r="DA14" s="228">
        <v>20.059999999999999</v>
      </c>
      <c r="DB14" s="228">
        <v>-1.53</v>
      </c>
      <c r="DC14" s="228">
        <v>-1.53</v>
      </c>
      <c r="DD14" s="228">
        <v>25.73</v>
      </c>
      <c r="DE14" s="228">
        <v>25.79</v>
      </c>
      <c r="DF14" s="228">
        <v>-7.2</v>
      </c>
      <c r="DG14" s="228">
        <v>-0.06</v>
      </c>
      <c r="DH14" s="228">
        <v>18.37</v>
      </c>
      <c r="DI14" s="228">
        <v>20.18</v>
      </c>
      <c r="DJ14" s="228">
        <v>-1.81</v>
      </c>
      <c r="DK14" s="228">
        <v>-1.81</v>
      </c>
      <c r="DL14" s="228">
        <v>19.07</v>
      </c>
      <c r="DM14" s="228">
        <v>19.649999999999999</v>
      </c>
      <c r="DN14" s="228">
        <v>-0.57999999999999996</v>
      </c>
      <c r="DO14" s="228">
        <v>-0.57999999999999996</v>
      </c>
      <c r="DP14" s="228">
        <v>0.41</v>
      </c>
      <c r="DQ14" s="228">
        <v>0.41</v>
      </c>
      <c r="DR14" s="228">
        <v>0</v>
      </c>
      <c r="DS14" s="229">
        <v>0</v>
      </c>
      <c r="DT14" s="231">
        <v>7500</v>
      </c>
      <c r="DU14" s="231">
        <v>7000</v>
      </c>
      <c r="DV14" s="228">
        <v>0.32</v>
      </c>
      <c r="DW14" s="228">
        <v>0.3</v>
      </c>
      <c r="DX14" s="228">
        <v>0.02</v>
      </c>
      <c r="DY14" s="229">
        <v>6.6699999999999995E-2</v>
      </c>
      <c r="DZ14" s="229">
        <v>0.29110000000000003</v>
      </c>
      <c r="EA14" s="230">
        <v>359375</v>
      </c>
      <c r="EB14" s="229">
        <v>6.7000000000000002E-3</v>
      </c>
      <c r="EC14" s="229">
        <v>0.29110000000000003</v>
      </c>
      <c r="ED14" s="228">
        <v>49.08</v>
      </c>
      <c r="EE14" s="229">
        <v>6.6E-3</v>
      </c>
      <c r="EF14" s="230">
        <v>150569</v>
      </c>
      <c r="EG14" s="230">
        <v>311375</v>
      </c>
      <c r="EH14" s="229">
        <v>-0.51639999999999997</v>
      </c>
      <c r="EI14" s="229">
        <v>0.65359999999999996</v>
      </c>
      <c r="EJ14" s="231">
        <v>208212.59</v>
      </c>
      <c r="EK14" s="231">
        <v>63804.97</v>
      </c>
      <c r="EL14" s="231">
        <v>97146.68</v>
      </c>
      <c r="EM14" s="231">
        <v>3518</v>
      </c>
      <c r="EN14" s="231">
        <v>369164.24</v>
      </c>
      <c r="EO14" s="231">
        <v>555077.37</v>
      </c>
      <c r="EP14" s="231">
        <v>-185913.13</v>
      </c>
      <c r="EQ14" s="229">
        <v>-0.33489999999999998</v>
      </c>
      <c r="ER14" s="231">
        <v>175327</v>
      </c>
      <c r="ES14" s="231">
        <v>67821</v>
      </c>
      <c r="ET14" s="231">
        <v>220689</v>
      </c>
      <c r="EU14" s="231">
        <v>15240043</v>
      </c>
      <c r="EV14" s="231">
        <v>463836</v>
      </c>
      <c r="EW14" s="231">
        <v>476301</v>
      </c>
      <c r="EX14" s="231">
        <v>-12465</v>
      </c>
      <c r="EY14" s="229">
        <v>-2.6200000000000001E-2</v>
      </c>
      <c r="EZ14" s="229">
        <v>0.40079999999999999</v>
      </c>
      <c r="FA14" s="227" t="s">
        <v>568</v>
      </c>
      <c r="FB14" s="161">
        <f t="shared" si="0"/>
        <v>862625</v>
      </c>
    </row>
    <row r="15" spans="1:158" ht="17.25" hidden="1" thickBot="1" x14ac:dyDescent="0.3">
      <c r="A15" s="226">
        <v>45981</v>
      </c>
      <c r="B15" s="227" t="s">
        <v>162</v>
      </c>
      <c r="C15" s="227" t="s">
        <v>167</v>
      </c>
      <c r="D15" s="228">
        <v>5000</v>
      </c>
      <c r="E15" s="228">
        <v>146.66</v>
      </c>
      <c r="F15" s="228">
        <v>145.59</v>
      </c>
      <c r="G15" s="228">
        <v>1.07</v>
      </c>
      <c r="H15" s="229">
        <v>7.3000000000000001E-3</v>
      </c>
      <c r="I15" s="228">
        <v>146.24</v>
      </c>
      <c r="J15" s="228">
        <v>145.46</v>
      </c>
      <c r="K15" s="228">
        <v>0.78</v>
      </c>
      <c r="L15" s="229">
        <v>5.4000000000000003E-3</v>
      </c>
      <c r="M15" s="228">
        <v>146.66</v>
      </c>
      <c r="N15" s="228">
        <v>145.59</v>
      </c>
      <c r="O15" s="228">
        <v>1.07</v>
      </c>
      <c r="P15" s="229">
        <v>7.3000000000000001E-3</v>
      </c>
      <c r="Q15" s="228">
        <v>145.75</v>
      </c>
      <c r="R15" s="228">
        <v>144.16999999999999</v>
      </c>
      <c r="S15" s="228">
        <v>1.58</v>
      </c>
      <c r="T15" s="229">
        <v>1.0999999999999999E-2</v>
      </c>
      <c r="U15" s="228">
        <v>145.29</v>
      </c>
      <c r="V15" s="228">
        <v>143.76</v>
      </c>
      <c r="W15" s="228">
        <v>1.53</v>
      </c>
      <c r="X15" s="229">
        <v>1.06E-2</v>
      </c>
      <c r="Y15" s="228">
        <v>0.42</v>
      </c>
      <c r="Z15" s="228">
        <v>0.13</v>
      </c>
      <c r="AA15" s="228">
        <v>0.28999999999999998</v>
      </c>
      <c r="AB15" s="229">
        <v>2.8999999999999998E-3</v>
      </c>
      <c r="AC15" s="228">
        <v>0.42</v>
      </c>
      <c r="AD15" s="228">
        <v>0.13</v>
      </c>
      <c r="AE15" s="228">
        <v>0.28999999999999998</v>
      </c>
      <c r="AF15" s="229">
        <v>2.8999999999999998E-3</v>
      </c>
      <c r="AG15" s="228">
        <v>-0.49</v>
      </c>
      <c r="AH15" s="228">
        <v>-1.29</v>
      </c>
      <c r="AI15" s="228">
        <v>0.8</v>
      </c>
      <c r="AJ15" s="229">
        <v>-3.3999999999999998E-3</v>
      </c>
      <c r="AK15" s="228">
        <v>-0.95</v>
      </c>
      <c r="AL15" s="228">
        <v>-1.7</v>
      </c>
      <c r="AM15" s="228">
        <v>0.75</v>
      </c>
      <c r="AN15" s="229">
        <v>-6.4999999999999997E-3</v>
      </c>
      <c r="AO15" s="228">
        <v>146.22</v>
      </c>
      <c r="AP15" s="228">
        <v>144.84</v>
      </c>
      <c r="AQ15" s="228">
        <v>0</v>
      </c>
      <c r="AR15" s="230">
        <v>126870000</v>
      </c>
      <c r="AS15" s="230">
        <v>28050000</v>
      </c>
      <c r="AT15" s="230">
        <v>98820000</v>
      </c>
      <c r="AU15" s="229">
        <v>3.5230000000000001</v>
      </c>
      <c r="AV15" s="230">
        <v>66685000</v>
      </c>
      <c r="AW15" s="230">
        <v>19160000</v>
      </c>
      <c r="AX15" s="230">
        <v>47525000</v>
      </c>
      <c r="AY15" s="229">
        <v>2.4803999999999999</v>
      </c>
      <c r="AZ15" s="230">
        <v>59865000</v>
      </c>
      <c r="BA15" s="230">
        <v>8610000</v>
      </c>
      <c r="BB15" s="230">
        <v>51255000</v>
      </c>
      <c r="BC15" s="229">
        <v>5.9530000000000003</v>
      </c>
      <c r="BD15" s="230">
        <v>320000</v>
      </c>
      <c r="BE15" s="230">
        <v>280000</v>
      </c>
      <c r="BF15" s="230">
        <v>40000</v>
      </c>
      <c r="BG15" s="229">
        <v>0.1429</v>
      </c>
      <c r="BH15" s="230">
        <v>85765000</v>
      </c>
      <c r="BI15" s="230">
        <v>79180000</v>
      </c>
      <c r="BJ15" s="230">
        <v>6585000</v>
      </c>
      <c r="BK15" s="229">
        <v>8.3199999999999996E-2</v>
      </c>
      <c r="BL15" s="230">
        <v>38125000</v>
      </c>
      <c r="BM15" s="230">
        <v>40570000</v>
      </c>
      <c r="BN15" s="230">
        <v>-2445000</v>
      </c>
      <c r="BO15" s="229">
        <v>-6.0299999999999999E-2</v>
      </c>
      <c r="BP15" s="230">
        <v>250760000</v>
      </c>
      <c r="BQ15" s="230">
        <v>147800000</v>
      </c>
      <c r="BR15" s="230">
        <v>102960000</v>
      </c>
      <c r="BS15" s="229">
        <v>0.6966</v>
      </c>
      <c r="BT15" s="230">
        <v>8889622</v>
      </c>
      <c r="BU15" s="230">
        <v>6193943</v>
      </c>
      <c r="BV15" s="230">
        <v>2695679</v>
      </c>
      <c r="BW15" s="229">
        <v>0.43519999999999998</v>
      </c>
      <c r="BX15" s="230">
        <v>133525000</v>
      </c>
      <c r="BY15" s="230">
        <v>163930000</v>
      </c>
      <c r="BZ15" s="230">
        <v>-30405000</v>
      </c>
      <c r="CA15" s="229">
        <v>-0.1855</v>
      </c>
      <c r="CB15" s="230">
        <v>81000000</v>
      </c>
      <c r="CC15" s="230">
        <v>127055000</v>
      </c>
      <c r="CD15" s="230">
        <v>-46055000</v>
      </c>
      <c r="CE15" s="229">
        <v>-0.36249999999999999</v>
      </c>
      <c r="CF15" s="230">
        <v>51210000</v>
      </c>
      <c r="CG15" s="230">
        <v>35610000</v>
      </c>
      <c r="CH15" s="230">
        <v>15600000</v>
      </c>
      <c r="CI15" s="229">
        <v>0.43809999999999999</v>
      </c>
      <c r="CJ15" s="230">
        <v>1315000</v>
      </c>
      <c r="CK15" s="230">
        <v>1265000</v>
      </c>
      <c r="CL15" s="230">
        <v>50000</v>
      </c>
      <c r="CM15" s="229">
        <v>3.95E-2</v>
      </c>
      <c r="CN15" s="230">
        <v>69110000</v>
      </c>
      <c r="CO15" s="230">
        <v>69630000</v>
      </c>
      <c r="CP15" s="230">
        <v>-520000</v>
      </c>
      <c r="CQ15" s="229">
        <v>-7.4999999999999997E-3</v>
      </c>
      <c r="CR15" s="230">
        <v>48855000</v>
      </c>
      <c r="CS15" s="230">
        <v>49420000</v>
      </c>
      <c r="CT15" s="230">
        <v>-565000</v>
      </c>
      <c r="CU15" s="229">
        <v>-1.14E-2</v>
      </c>
      <c r="CV15" s="230">
        <v>251490000</v>
      </c>
      <c r="CW15" s="230">
        <v>282980000</v>
      </c>
      <c r="CX15" s="230">
        <v>-31490000</v>
      </c>
      <c r="CY15" s="229">
        <v>-0.1113</v>
      </c>
      <c r="CZ15" s="228">
        <v>25.19</v>
      </c>
      <c r="DA15" s="228">
        <v>27.3</v>
      </c>
      <c r="DB15" s="228">
        <v>-2.11</v>
      </c>
      <c r="DC15" s="228">
        <v>-2.11</v>
      </c>
      <c r="DD15" s="228">
        <v>34.78</v>
      </c>
      <c r="DE15" s="228">
        <v>34.86</v>
      </c>
      <c r="DF15" s="228">
        <v>-9.59</v>
      </c>
      <c r="DG15" s="228">
        <v>-0.08</v>
      </c>
      <c r="DH15" s="228">
        <v>25.31</v>
      </c>
      <c r="DI15" s="228">
        <v>28.02</v>
      </c>
      <c r="DJ15" s="228">
        <v>-2.71</v>
      </c>
      <c r="DK15" s="228">
        <v>-2.71</v>
      </c>
      <c r="DL15" s="228">
        <v>24.84</v>
      </c>
      <c r="DM15" s="228">
        <v>25.9</v>
      </c>
      <c r="DN15" s="228">
        <v>-1.06</v>
      </c>
      <c r="DO15" s="228">
        <v>-1.06</v>
      </c>
      <c r="DP15" s="228">
        <v>0.71</v>
      </c>
      <c r="DQ15" s="228">
        <v>0.71</v>
      </c>
      <c r="DR15" s="228">
        <v>0</v>
      </c>
      <c r="DS15" s="229">
        <v>0</v>
      </c>
      <c r="DT15" s="228">
        <v>150</v>
      </c>
      <c r="DU15" s="228">
        <v>140</v>
      </c>
      <c r="DV15" s="228">
        <v>0.44</v>
      </c>
      <c r="DW15" s="228">
        <v>0.51</v>
      </c>
      <c r="DX15" s="228">
        <v>-7.0000000000000007E-2</v>
      </c>
      <c r="DY15" s="229">
        <v>-0.13730000000000001</v>
      </c>
      <c r="DZ15" s="229">
        <v>0.39340000000000003</v>
      </c>
      <c r="EA15" s="230">
        <v>36875000</v>
      </c>
      <c r="EB15" s="229">
        <v>-6.1999999999999998E-3</v>
      </c>
      <c r="EC15" s="229">
        <v>0.39340000000000003</v>
      </c>
      <c r="ED15" s="228">
        <v>-1.38</v>
      </c>
      <c r="EE15" s="229">
        <v>-9.4000000000000004E-3</v>
      </c>
      <c r="EF15" s="230">
        <v>4547118</v>
      </c>
      <c r="EG15" s="230">
        <v>2908319</v>
      </c>
      <c r="EH15" s="229">
        <v>0.5635</v>
      </c>
      <c r="EI15" s="229">
        <v>0.51149999999999995</v>
      </c>
      <c r="EJ15" s="231">
        <v>130270.75</v>
      </c>
      <c r="EK15" s="231">
        <v>54631.19</v>
      </c>
      <c r="EL15" s="231">
        <v>184680.82</v>
      </c>
      <c r="EM15" s="231">
        <v>8607</v>
      </c>
      <c r="EN15" s="231">
        <v>369582.76</v>
      </c>
      <c r="EO15" s="231">
        <v>219636.46</v>
      </c>
      <c r="EP15" s="231">
        <v>149946.29999999999</v>
      </c>
      <c r="EQ15" s="229">
        <v>0.68269999999999997</v>
      </c>
      <c r="ER15" s="231">
        <v>104137</v>
      </c>
      <c r="ES15" s="231">
        <v>67882</v>
      </c>
      <c r="ET15" s="231">
        <v>195344</v>
      </c>
      <c r="EU15" s="231">
        <v>409181558</v>
      </c>
      <c r="EV15" s="231">
        <v>367363</v>
      </c>
      <c r="EW15" s="231">
        <v>411490</v>
      </c>
      <c r="EX15" s="231">
        <v>-44127</v>
      </c>
      <c r="EY15" s="229">
        <v>-0.1072</v>
      </c>
      <c r="EZ15" s="229">
        <v>0.61460000000000004</v>
      </c>
      <c r="FA15" s="227" t="s">
        <v>556</v>
      </c>
      <c r="FB15" s="161">
        <f t="shared" si="0"/>
        <v>52525000</v>
      </c>
    </row>
    <row r="16" spans="1:158" ht="17.25" hidden="1" thickBot="1" x14ac:dyDescent="0.3">
      <c r="A16" s="226">
        <v>45981</v>
      </c>
      <c r="B16" s="227" t="s">
        <v>168</v>
      </c>
      <c r="C16" s="227" t="s">
        <v>169</v>
      </c>
      <c r="D16" s="228">
        <v>250</v>
      </c>
      <c r="E16" s="231">
        <v>2860</v>
      </c>
      <c r="F16" s="231">
        <v>2889</v>
      </c>
      <c r="G16" s="228">
        <v>-29</v>
      </c>
      <c r="H16" s="229">
        <v>-0.01</v>
      </c>
      <c r="I16" s="231">
        <v>2859.8</v>
      </c>
      <c r="J16" s="231">
        <v>2893.7</v>
      </c>
      <c r="K16" s="228">
        <v>-33.9</v>
      </c>
      <c r="L16" s="229">
        <v>-1.17E-2</v>
      </c>
      <c r="M16" s="231">
        <v>2860</v>
      </c>
      <c r="N16" s="231">
        <v>2889</v>
      </c>
      <c r="O16" s="228">
        <v>-29</v>
      </c>
      <c r="P16" s="229">
        <v>-0.01</v>
      </c>
      <c r="Q16" s="231">
        <v>2874.8</v>
      </c>
      <c r="R16" s="231">
        <v>2900.2</v>
      </c>
      <c r="S16" s="228">
        <v>-25.4</v>
      </c>
      <c r="T16" s="229">
        <v>-8.8000000000000005E-3</v>
      </c>
      <c r="U16" s="231">
        <v>2889.7</v>
      </c>
      <c r="V16" s="231">
        <v>2911.8</v>
      </c>
      <c r="W16" s="228">
        <v>-22.1</v>
      </c>
      <c r="X16" s="229">
        <v>-7.6E-3</v>
      </c>
      <c r="Y16" s="228">
        <v>0.2</v>
      </c>
      <c r="Z16" s="228">
        <v>-4.7</v>
      </c>
      <c r="AA16" s="228">
        <v>4.9000000000000004</v>
      </c>
      <c r="AB16" s="229">
        <v>1E-4</v>
      </c>
      <c r="AC16" s="228">
        <v>0.2</v>
      </c>
      <c r="AD16" s="228">
        <v>-4.7</v>
      </c>
      <c r="AE16" s="228">
        <v>4.9000000000000004</v>
      </c>
      <c r="AF16" s="229">
        <v>1E-4</v>
      </c>
      <c r="AG16" s="228">
        <v>15</v>
      </c>
      <c r="AH16" s="228">
        <v>6.5</v>
      </c>
      <c r="AI16" s="228">
        <v>8.5</v>
      </c>
      <c r="AJ16" s="229">
        <v>5.1999999999999998E-3</v>
      </c>
      <c r="AK16" s="228">
        <v>29.9</v>
      </c>
      <c r="AL16" s="228">
        <v>18.100000000000001</v>
      </c>
      <c r="AM16" s="228">
        <v>11.8</v>
      </c>
      <c r="AN16" s="229">
        <v>1.0500000000000001E-2</v>
      </c>
      <c r="AO16" s="231">
        <v>2864.94</v>
      </c>
      <c r="AP16" s="231">
        <v>2877.11</v>
      </c>
      <c r="AQ16" s="228">
        <v>0</v>
      </c>
      <c r="AR16" s="230">
        <v>6140500</v>
      </c>
      <c r="AS16" s="230">
        <v>2179750</v>
      </c>
      <c r="AT16" s="230">
        <v>3960750</v>
      </c>
      <c r="AU16" s="229">
        <v>1.8170999999999999</v>
      </c>
      <c r="AV16" s="230">
        <v>3691000</v>
      </c>
      <c r="AW16" s="230">
        <v>1478750</v>
      </c>
      <c r="AX16" s="230">
        <v>2212250</v>
      </c>
      <c r="AY16" s="229">
        <v>1.496</v>
      </c>
      <c r="AZ16" s="230">
        <v>2424250</v>
      </c>
      <c r="BA16" s="230">
        <v>679750</v>
      </c>
      <c r="BB16" s="230">
        <v>1744500</v>
      </c>
      <c r="BC16" s="229">
        <v>2.5663999999999998</v>
      </c>
      <c r="BD16" s="230">
        <v>25250</v>
      </c>
      <c r="BE16" s="230">
        <v>21250</v>
      </c>
      <c r="BF16" s="230">
        <v>4000</v>
      </c>
      <c r="BG16" s="229">
        <v>0.18820000000000001</v>
      </c>
      <c r="BH16" s="230">
        <v>19841500</v>
      </c>
      <c r="BI16" s="230">
        <v>12570000</v>
      </c>
      <c r="BJ16" s="230">
        <v>7271500</v>
      </c>
      <c r="BK16" s="229">
        <v>0.57850000000000001</v>
      </c>
      <c r="BL16" s="230">
        <v>13511000</v>
      </c>
      <c r="BM16" s="230">
        <v>10795250</v>
      </c>
      <c r="BN16" s="230">
        <v>2715750</v>
      </c>
      <c r="BO16" s="229">
        <v>0.25159999999999999</v>
      </c>
      <c r="BP16" s="230">
        <v>39493000</v>
      </c>
      <c r="BQ16" s="230">
        <v>25545000</v>
      </c>
      <c r="BR16" s="230">
        <v>13948000</v>
      </c>
      <c r="BS16" s="229">
        <v>0.54600000000000004</v>
      </c>
      <c r="BT16" s="230">
        <v>1126340</v>
      </c>
      <c r="BU16" s="230">
        <v>1423098</v>
      </c>
      <c r="BV16" s="230">
        <v>-296758</v>
      </c>
      <c r="BW16" s="229">
        <v>-0.20849999999999999</v>
      </c>
      <c r="BX16" s="230">
        <v>13631750</v>
      </c>
      <c r="BY16" s="230">
        <v>14006750</v>
      </c>
      <c r="BZ16" s="230">
        <v>-375000</v>
      </c>
      <c r="CA16" s="229">
        <v>-2.6800000000000001E-2</v>
      </c>
      <c r="CB16" s="230">
        <v>10065500</v>
      </c>
      <c r="CC16" s="230">
        <v>11894000</v>
      </c>
      <c r="CD16" s="230">
        <v>-1828500</v>
      </c>
      <c r="CE16" s="229">
        <v>-0.1537</v>
      </c>
      <c r="CF16" s="230">
        <v>3482750</v>
      </c>
      <c r="CG16" s="230">
        <v>2024750</v>
      </c>
      <c r="CH16" s="230">
        <v>1458000</v>
      </c>
      <c r="CI16" s="229">
        <v>0.72009999999999996</v>
      </c>
      <c r="CJ16" s="230">
        <v>83500</v>
      </c>
      <c r="CK16" s="230">
        <v>88000</v>
      </c>
      <c r="CL16" s="230">
        <v>-4500</v>
      </c>
      <c r="CM16" s="229">
        <v>-5.11E-2</v>
      </c>
      <c r="CN16" s="230">
        <v>11116000</v>
      </c>
      <c r="CO16" s="230">
        <v>12134500</v>
      </c>
      <c r="CP16" s="230">
        <v>-1018500</v>
      </c>
      <c r="CQ16" s="229">
        <v>-8.3900000000000002E-2</v>
      </c>
      <c r="CR16" s="230">
        <v>8785250</v>
      </c>
      <c r="CS16" s="230">
        <v>10694750</v>
      </c>
      <c r="CT16" s="230">
        <v>-1909500</v>
      </c>
      <c r="CU16" s="229">
        <v>-0.17849999999999999</v>
      </c>
      <c r="CV16" s="230">
        <v>33533000</v>
      </c>
      <c r="CW16" s="230">
        <v>36836000</v>
      </c>
      <c r="CX16" s="230">
        <v>-3303000</v>
      </c>
      <c r="CY16" s="229">
        <v>-8.9700000000000002E-2</v>
      </c>
      <c r="CZ16" s="228">
        <v>19.18</v>
      </c>
      <c r="DA16" s="228">
        <v>20.65</v>
      </c>
      <c r="DB16" s="228">
        <v>-1.47</v>
      </c>
      <c r="DC16" s="228">
        <v>-1.47</v>
      </c>
      <c r="DD16" s="228">
        <v>25.13</v>
      </c>
      <c r="DE16" s="228">
        <v>25.14</v>
      </c>
      <c r="DF16" s="228">
        <v>-5.95</v>
      </c>
      <c r="DG16" s="228">
        <v>-0.01</v>
      </c>
      <c r="DH16" s="228">
        <v>19.25</v>
      </c>
      <c r="DI16" s="228">
        <v>20.79</v>
      </c>
      <c r="DJ16" s="228">
        <v>-1.54</v>
      </c>
      <c r="DK16" s="228">
        <v>-1.54</v>
      </c>
      <c r="DL16" s="228">
        <v>19.079999999999998</v>
      </c>
      <c r="DM16" s="228">
        <v>20.49</v>
      </c>
      <c r="DN16" s="228">
        <v>-1.41</v>
      </c>
      <c r="DO16" s="228">
        <v>-1.41</v>
      </c>
      <c r="DP16" s="228">
        <v>0.79</v>
      </c>
      <c r="DQ16" s="228">
        <v>0.88</v>
      </c>
      <c r="DR16" s="228">
        <v>-0.09</v>
      </c>
      <c r="DS16" s="229">
        <v>-0.1023</v>
      </c>
      <c r="DT16" s="231">
        <v>3000</v>
      </c>
      <c r="DU16" s="231">
        <v>2800</v>
      </c>
      <c r="DV16" s="228">
        <v>0.68</v>
      </c>
      <c r="DW16" s="228">
        <v>0.86</v>
      </c>
      <c r="DX16" s="228">
        <v>-0.18</v>
      </c>
      <c r="DY16" s="229">
        <v>-0.20930000000000001</v>
      </c>
      <c r="DZ16" s="229">
        <v>0.2616</v>
      </c>
      <c r="EA16" s="230">
        <v>2112750</v>
      </c>
      <c r="EB16" s="229">
        <v>5.1999999999999998E-3</v>
      </c>
      <c r="EC16" s="229">
        <v>0.2616</v>
      </c>
      <c r="ED16" s="228">
        <v>12.17</v>
      </c>
      <c r="EE16" s="229">
        <v>4.1999999999999997E-3</v>
      </c>
      <c r="EF16" s="230">
        <v>778002</v>
      </c>
      <c r="EG16" s="230">
        <v>974713</v>
      </c>
      <c r="EH16" s="229">
        <v>-0.20180000000000001</v>
      </c>
      <c r="EI16" s="229">
        <v>0.69069999999999998</v>
      </c>
      <c r="EJ16" s="231">
        <v>585930.15</v>
      </c>
      <c r="EK16" s="231">
        <v>381805.47</v>
      </c>
      <c r="EL16" s="231">
        <v>176223.28</v>
      </c>
      <c r="EM16" s="231">
        <v>15869</v>
      </c>
      <c r="EN16" s="231">
        <v>1143958.8999999999</v>
      </c>
      <c r="EO16" s="231">
        <v>744028.4</v>
      </c>
      <c r="EP16" s="231">
        <v>399930.5</v>
      </c>
      <c r="EQ16" s="229">
        <v>0.53749999999999998</v>
      </c>
      <c r="ER16" s="231">
        <v>318112</v>
      </c>
      <c r="ES16" s="231">
        <v>237772</v>
      </c>
      <c r="ET16" s="231">
        <v>390408</v>
      </c>
      <c r="EU16" s="231">
        <v>52357280</v>
      </c>
      <c r="EV16" s="231">
        <v>946293</v>
      </c>
      <c r="EW16" s="231">
        <v>1044502</v>
      </c>
      <c r="EX16" s="231">
        <v>-98209</v>
      </c>
      <c r="EY16" s="229">
        <v>-9.4E-2</v>
      </c>
      <c r="EZ16" s="229">
        <v>0.64049999999999996</v>
      </c>
      <c r="FA16" s="227" t="s">
        <v>568</v>
      </c>
      <c r="FB16" s="161">
        <f t="shared" si="0"/>
        <v>3566250</v>
      </c>
    </row>
    <row r="17" spans="1:158" ht="17.25" hidden="1" thickBot="1" x14ac:dyDescent="0.3">
      <c r="A17" s="226">
        <v>45981</v>
      </c>
      <c r="B17" s="227" t="s">
        <v>184</v>
      </c>
      <c r="C17" s="227" t="s">
        <v>503</v>
      </c>
      <c r="D17" s="228">
        <v>425</v>
      </c>
      <c r="E17" s="231">
        <v>1465.6</v>
      </c>
      <c r="F17" s="231">
        <v>1454.2</v>
      </c>
      <c r="G17" s="228">
        <v>11.4</v>
      </c>
      <c r="H17" s="229">
        <v>7.7999999999999996E-3</v>
      </c>
      <c r="I17" s="231">
        <v>1462.4</v>
      </c>
      <c r="J17" s="231">
        <v>1448.2</v>
      </c>
      <c r="K17" s="228">
        <v>14.2</v>
      </c>
      <c r="L17" s="229">
        <v>9.7999999999999997E-3</v>
      </c>
      <c r="M17" s="231">
        <v>1465.6</v>
      </c>
      <c r="N17" s="231">
        <v>1454.2</v>
      </c>
      <c r="O17" s="228">
        <v>11.4</v>
      </c>
      <c r="P17" s="229">
        <v>7.7999999999999996E-3</v>
      </c>
      <c r="Q17" s="231">
        <v>1469.6</v>
      </c>
      <c r="R17" s="231">
        <v>1462.4</v>
      </c>
      <c r="S17" s="228">
        <v>7.2</v>
      </c>
      <c r="T17" s="229">
        <v>4.8999999999999998E-3</v>
      </c>
      <c r="U17" s="231">
        <v>1477.4</v>
      </c>
      <c r="V17" s="231">
        <v>1469.3</v>
      </c>
      <c r="W17" s="228">
        <v>8.1</v>
      </c>
      <c r="X17" s="229">
        <v>5.4999999999999997E-3</v>
      </c>
      <c r="Y17" s="228">
        <v>3.2</v>
      </c>
      <c r="Z17" s="228">
        <v>6</v>
      </c>
      <c r="AA17" s="228">
        <v>-2.8</v>
      </c>
      <c r="AB17" s="229">
        <v>2.2000000000000001E-3</v>
      </c>
      <c r="AC17" s="228">
        <v>3.2</v>
      </c>
      <c r="AD17" s="228">
        <v>6</v>
      </c>
      <c r="AE17" s="228">
        <v>-2.8</v>
      </c>
      <c r="AF17" s="229">
        <v>2.2000000000000001E-3</v>
      </c>
      <c r="AG17" s="228">
        <v>7.2</v>
      </c>
      <c r="AH17" s="228">
        <v>14.2</v>
      </c>
      <c r="AI17" s="228">
        <v>-7</v>
      </c>
      <c r="AJ17" s="229">
        <v>4.8999999999999998E-3</v>
      </c>
      <c r="AK17" s="228">
        <v>15</v>
      </c>
      <c r="AL17" s="228">
        <v>21.1</v>
      </c>
      <c r="AM17" s="228">
        <v>-6.1</v>
      </c>
      <c r="AN17" s="229">
        <v>1.03E-2</v>
      </c>
      <c r="AO17" s="231">
        <v>1462.12</v>
      </c>
      <c r="AP17" s="231">
        <v>1467.48</v>
      </c>
      <c r="AQ17" s="228">
        <v>0</v>
      </c>
      <c r="AR17" s="230">
        <v>7096225</v>
      </c>
      <c r="AS17" s="230">
        <v>1887425</v>
      </c>
      <c r="AT17" s="230">
        <v>5208800</v>
      </c>
      <c r="AU17" s="229">
        <v>2.7597</v>
      </c>
      <c r="AV17" s="230">
        <v>3644375</v>
      </c>
      <c r="AW17" s="230">
        <v>1331950</v>
      </c>
      <c r="AX17" s="230">
        <v>2312425</v>
      </c>
      <c r="AY17" s="229">
        <v>1.7361</v>
      </c>
      <c r="AZ17" s="230">
        <v>3428050</v>
      </c>
      <c r="BA17" s="230">
        <v>544425</v>
      </c>
      <c r="BB17" s="230">
        <v>2883625</v>
      </c>
      <c r="BC17" s="229">
        <v>5.2965999999999998</v>
      </c>
      <c r="BD17" s="230">
        <v>23800</v>
      </c>
      <c r="BE17" s="230">
        <v>11050</v>
      </c>
      <c r="BF17" s="230">
        <v>12750</v>
      </c>
      <c r="BG17" s="229">
        <v>1.1537999999999999</v>
      </c>
      <c r="BH17" s="230">
        <v>5050700</v>
      </c>
      <c r="BI17" s="230">
        <v>6432800</v>
      </c>
      <c r="BJ17" s="230">
        <v>-1382100</v>
      </c>
      <c r="BK17" s="229">
        <v>-0.21490000000000001</v>
      </c>
      <c r="BL17" s="230">
        <v>1821550</v>
      </c>
      <c r="BM17" s="230">
        <v>2296700</v>
      </c>
      <c r="BN17" s="230">
        <v>-475150</v>
      </c>
      <c r="BO17" s="229">
        <v>-0.2069</v>
      </c>
      <c r="BP17" s="230">
        <v>13968475</v>
      </c>
      <c r="BQ17" s="230">
        <v>10616925</v>
      </c>
      <c r="BR17" s="230">
        <v>3351550</v>
      </c>
      <c r="BS17" s="229">
        <v>0.31569999999999998</v>
      </c>
      <c r="BT17" s="230">
        <v>350657</v>
      </c>
      <c r="BU17" s="230">
        <v>940317</v>
      </c>
      <c r="BV17" s="230">
        <v>-589660</v>
      </c>
      <c r="BW17" s="229">
        <v>-0.62709999999999999</v>
      </c>
      <c r="BX17" s="230">
        <v>8579900</v>
      </c>
      <c r="BY17" s="230">
        <v>9631350</v>
      </c>
      <c r="BZ17" s="230">
        <v>-1051450</v>
      </c>
      <c r="CA17" s="229">
        <v>-0.10920000000000001</v>
      </c>
      <c r="CB17" s="230">
        <v>5154400</v>
      </c>
      <c r="CC17" s="230">
        <v>8117925</v>
      </c>
      <c r="CD17" s="230">
        <v>-2963525</v>
      </c>
      <c r="CE17" s="229">
        <v>-0.36509999999999998</v>
      </c>
      <c r="CF17" s="230">
        <v>3330725</v>
      </c>
      <c r="CG17" s="230">
        <v>1425450</v>
      </c>
      <c r="CH17" s="230">
        <v>1905275</v>
      </c>
      <c r="CI17" s="229">
        <v>1.3366</v>
      </c>
      <c r="CJ17" s="230">
        <v>94775</v>
      </c>
      <c r="CK17" s="230">
        <v>87975</v>
      </c>
      <c r="CL17" s="230">
        <v>6800</v>
      </c>
      <c r="CM17" s="229">
        <v>7.7299999999999994E-2</v>
      </c>
      <c r="CN17" s="230">
        <v>4674575</v>
      </c>
      <c r="CO17" s="230">
        <v>5131025</v>
      </c>
      <c r="CP17" s="230">
        <v>-456450</v>
      </c>
      <c r="CQ17" s="229">
        <v>-8.8999999999999996E-2</v>
      </c>
      <c r="CR17" s="230">
        <v>2644775</v>
      </c>
      <c r="CS17" s="230">
        <v>2783750</v>
      </c>
      <c r="CT17" s="230">
        <v>-138975</v>
      </c>
      <c r="CU17" s="229">
        <v>-4.99E-2</v>
      </c>
      <c r="CV17" s="230">
        <v>15899250</v>
      </c>
      <c r="CW17" s="230">
        <v>17546125</v>
      </c>
      <c r="CX17" s="230">
        <v>-1646875</v>
      </c>
      <c r="CY17" s="229">
        <v>-9.3899999999999997E-2</v>
      </c>
      <c r="CZ17" s="228">
        <v>24.4</v>
      </c>
      <c r="DA17" s="228">
        <v>27.84</v>
      </c>
      <c r="DB17" s="228">
        <v>-3.44</v>
      </c>
      <c r="DC17" s="228">
        <v>-3.44</v>
      </c>
      <c r="DD17" s="228">
        <v>34.18</v>
      </c>
      <c r="DE17" s="228">
        <v>34.25</v>
      </c>
      <c r="DF17" s="228">
        <v>-9.7799999999999994</v>
      </c>
      <c r="DG17" s="228">
        <v>-7.0000000000000007E-2</v>
      </c>
      <c r="DH17" s="228">
        <v>24.61</v>
      </c>
      <c r="DI17" s="228">
        <v>28.11</v>
      </c>
      <c r="DJ17" s="228">
        <v>-3.5</v>
      </c>
      <c r="DK17" s="228">
        <v>-3.5</v>
      </c>
      <c r="DL17" s="228">
        <v>23.91</v>
      </c>
      <c r="DM17" s="228">
        <v>27.11</v>
      </c>
      <c r="DN17" s="228">
        <v>-3.2</v>
      </c>
      <c r="DO17" s="228">
        <v>-3.2</v>
      </c>
      <c r="DP17" s="228">
        <v>0.56999999999999995</v>
      </c>
      <c r="DQ17" s="228">
        <v>0.54</v>
      </c>
      <c r="DR17" s="228">
        <v>0.03</v>
      </c>
      <c r="DS17" s="229">
        <v>5.5599999999999997E-2</v>
      </c>
      <c r="DT17" s="231">
        <v>1600</v>
      </c>
      <c r="DU17" s="231">
        <v>1400</v>
      </c>
      <c r="DV17" s="228">
        <v>0.36</v>
      </c>
      <c r="DW17" s="228">
        <v>0.36</v>
      </c>
      <c r="DX17" s="228">
        <v>0</v>
      </c>
      <c r="DY17" s="229">
        <v>0</v>
      </c>
      <c r="DZ17" s="229">
        <v>0.3992</v>
      </c>
      <c r="EA17" s="230">
        <v>1513425</v>
      </c>
      <c r="EB17" s="229">
        <v>2.7000000000000001E-3</v>
      </c>
      <c r="EC17" s="229">
        <v>0.3992</v>
      </c>
      <c r="ED17" s="228">
        <v>5.36</v>
      </c>
      <c r="EE17" s="229">
        <v>3.7000000000000002E-3</v>
      </c>
      <c r="EF17" s="230">
        <v>171393</v>
      </c>
      <c r="EG17" s="230">
        <v>556182</v>
      </c>
      <c r="EH17" s="229">
        <v>-0.69179999999999997</v>
      </c>
      <c r="EI17" s="229">
        <v>0.48880000000000001</v>
      </c>
      <c r="EJ17" s="231">
        <v>76837.539999999994</v>
      </c>
      <c r="EK17" s="231">
        <v>26046.92</v>
      </c>
      <c r="EL17" s="231">
        <v>103942.3</v>
      </c>
      <c r="EM17" s="231">
        <v>5661</v>
      </c>
      <c r="EN17" s="231">
        <v>206826.76</v>
      </c>
      <c r="EO17" s="231">
        <v>157956.04999999999</v>
      </c>
      <c r="EP17" s="231">
        <v>48870.71</v>
      </c>
      <c r="EQ17" s="229">
        <v>0.30940000000000001</v>
      </c>
      <c r="ER17" s="231">
        <v>72424</v>
      </c>
      <c r="ES17" s="231">
        <v>38178</v>
      </c>
      <c r="ET17" s="231">
        <v>125891</v>
      </c>
      <c r="EU17" s="231">
        <v>18495534</v>
      </c>
      <c r="EV17" s="231">
        <v>236494</v>
      </c>
      <c r="EW17" s="231">
        <v>259788</v>
      </c>
      <c r="EX17" s="231">
        <v>-23294</v>
      </c>
      <c r="EY17" s="229">
        <v>-8.9700000000000002E-2</v>
      </c>
      <c r="EZ17" s="229">
        <v>0.85960000000000003</v>
      </c>
      <c r="FA17" s="227" t="s">
        <v>556</v>
      </c>
      <c r="FB17" s="161">
        <f t="shared" si="0"/>
        <v>3425500</v>
      </c>
    </row>
    <row r="18" spans="1:158" ht="17.25" hidden="1" thickBot="1" x14ac:dyDescent="0.3">
      <c r="A18" s="226">
        <v>45981</v>
      </c>
      <c r="B18" s="227" t="s">
        <v>172</v>
      </c>
      <c r="C18" s="227" t="s">
        <v>495</v>
      </c>
      <c r="D18" s="228">
        <v>1000</v>
      </c>
      <c r="E18" s="228">
        <v>920.35</v>
      </c>
      <c r="F18" s="228">
        <v>924.75</v>
      </c>
      <c r="G18" s="228">
        <v>-4.4000000000000004</v>
      </c>
      <c r="H18" s="229">
        <v>-4.7999999999999996E-3</v>
      </c>
      <c r="I18" s="228">
        <v>919.3</v>
      </c>
      <c r="J18" s="228">
        <v>925.65</v>
      </c>
      <c r="K18" s="228">
        <v>-6.35</v>
      </c>
      <c r="L18" s="229">
        <v>-6.8999999999999999E-3</v>
      </c>
      <c r="M18" s="228">
        <v>920.35</v>
      </c>
      <c r="N18" s="228">
        <v>924.75</v>
      </c>
      <c r="O18" s="228">
        <v>-4.4000000000000004</v>
      </c>
      <c r="P18" s="229">
        <v>-4.7999999999999996E-3</v>
      </c>
      <c r="Q18" s="228">
        <v>926.4</v>
      </c>
      <c r="R18" s="228">
        <v>929.85</v>
      </c>
      <c r="S18" s="228">
        <v>-3.45</v>
      </c>
      <c r="T18" s="229">
        <v>-3.7000000000000002E-3</v>
      </c>
      <c r="U18" s="228">
        <v>930.15</v>
      </c>
      <c r="V18" s="228">
        <v>933.2</v>
      </c>
      <c r="W18" s="228">
        <v>-3.05</v>
      </c>
      <c r="X18" s="229">
        <v>-3.3E-3</v>
      </c>
      <c r="Y18" s="228">
        <v>1.05</v>
      </c>
      <c r="Z18" s="228">
        <v>-0.9</v>
      </c>
      <c r="AA18" s="228">
        <v>1.95</v>
      </c>
      <c r="AB18" s="229">
        <v>1.1000000000000001E-3</v>
      </c>
      <c r="AC18" s="228">
        <v>1.05</v>
      </c>
      <c r="AD18" s="228">
        <v>-0.9</v>
      </c>
      <c r="AE18" s="228">
        <v>1.95</v>
      </c>
      <c r="AF18" s="229">
        <v>1.1000000000000001E-3</v>
      </c>
      <c r="AG18" s="228">
        <v>7.1</v>
      </c>
      <c r="AH18" s="228">
        <v>4.2</v>
      </c>
      <c r="AI18" s="228">
        <v>2.9</v>
      </c>
      <c r="AJ18" s="229">
        <v>7.7000000000000002E-3</v>
      </c>
      <c r="AK18" s="228">
        <v>10.85</v>
      </c>
      <c r="AL18" s="228">
        <v>7.55</v>
      </c>
      <c r="AM18" s="228">
        <v>3.3</v>
      </c>
      <c r="AN18" s="229">
        <v>1.18E-2</v>
      </c>
      <c r="AO18" s="228">
        <v>920.99</v>
      </c>
      <c r="AP18" s="228">
        <v>926.7</v>
      </c>
      <c r="AQ18" s="228">
        <v>0</v>
      </c>
      <c r="AR18" s="230">
        <v>10330000</v>
      </c>
      <c r="AS18" s="230">
        <v>5293000</v>
      </c>
      <c r="AT18" s="230">
        <v>5037000</v>
      </c>
      <c r="AU18" s="229">
        <v>0.9516</v>
      </c>
      <c r="AV18" s="230">
        <v>5345000</v>
      </c>
      <c r="AW18" s="230">
        <v>3485000</v>
      </c>
      <c r="AX18" s="230">
        <v>1860000</v>
      </c>
      <c r="AY18" s="229">
        <v>0.53369999999999995</v>
      </c>
      <c r="AZ18" s="230">
        <v>4951000</v>
      </c>
      <c r="BA18" s="230">
        <v>1765000</v>
      </c>
      <c r="BB18" s="230">
        <v>3186000</v>
      </c>
      <c r="BC18" s="229">
        <v>1.8050999999999999</v>
      </c>
      <c r="BD18" s="230">
        <v>34000</v>
      </c>
      <c r="BE18" s="230">
        <v>43000</v>
      </c>
      <c r="BF18" s="230">
        <v>-9000</v>
      </c>
      <c r="BG18" s="229">
        <v>-0.20930000000000001</v>
      </c>
      <c r="BH18" s="230">
        <v>7289000</v>
      </c>
      <c r="BI18" s="230">
        <v>15379000</v>
      </c>
      <c r="BJ18" s="230">
        <v>-8090000</v>
      </c>
      <c r="BK18" s="229">
        <v>-0.52600000000000002</v>
      </c>
      <c r="BL18" s="230">
        <v>5641000</v>
      </c>
      <c r="BM18" s="230">
        <v>8919000</v>
      </c>
      <c r="BN18" s="230">
        <v>-3278000</v>
      </c>
      <c r="BO18" s="229">
        <v>-0.36749999999999999</v>
      </c>
      <c r="BP18" s="230">
        <v>23260000</v>
      </c>
      <c r="BQ18" s="230">
        <v>29591000</v>
      </c>
      <c r="BR18" s="230">
        <v>-6331000</v>
      </c>
      <c r="BS18" s="229">
        <v>-0.214</v>
      </c>
      <c r="BT18" s="230">
        <v>626769</v>
      </c>
      <c r="BU18" s="230">
        <v>3123515</v>
      </c>
      <c r="BV18" s="230">
        <v>-2496746</v>
      </c>
      <c r="BW18" s="229">
        <v>-0.79930000000000001</v>
      </c>
      <c r="BX18" s="230">
        <v>17044000</v>
      </c>
      <c r="BY18" s="230">
        <v>16837000</v>
      </c>
      <c r="BZ18" s="230">
        <v>207000</v>
      </c>
      <c r="CA18" s="229">
        <v>1.23E-2</v>
      </c>
      <c r="CB18" s="230">
        <v>11068000</v>
      </c>
      <c r="CC18" s="230">
        <v>14597000</v>
      </c>
      <c r="CD18" s="230">
        <v>-3529000</v>
      </c>
      <c r="CE18" s="229">
        <v>-0.24179999999999999</v>
      </c>
      <c r="CF18" s="230">
        <v>5831000</v>
      </c>
      <c r="CG18" s="230">
        <v>2101000</v>
      </c>
      <c r="CH18" s="230">
        <v>3730000</v>
      </c>
      <c r="CI18" s="229">
        <v>1.7753000000000001</v>
      </c>
      <c r="CJ18" s="230">
        <v>145000</v>
      </c>
      <c r="CK18" s="230">
        <v>139000</v>
      </c>
      <c r="CL18" s="230">
        <v>6000</v>
      </c>
      <c r="CM18" s="229">
        <v>4.3200000000000002E-2</v>
      </c>
      <c r="CN18" s="230">
        <v>6648000</v>
      </c>
      <c r="CO18" s="230">
        <v>6707000</v>
      </c>
      <c r="CP18" s="230">
        <v>-59000</v>
      </c>
      <c r="CQ18" s="229">
        <v>-8.8000000000000005E-3</v>
      </c>
      <c r="CR18" s="230">
        <v>6427000</v>
      </c>
      <c r="CS18" s="230">
        <v>7050000</v>
      </c>
      <c r="CT18" s="230">
        <v>-623000</v>
      </c>
      <c r="CU18" s="229">
        <v>-8.8400000000000006E-2</v>
      </c>
      <c r="CV18" s="230">
        <v>30119000</v>
      </c>
      <c r="CW18" s="230">
        <v>30594000</v>
      </c>
      <c r="CX18" s="230">
        <v>-475000</v>
      </c>
      <c r="CY18" s="229">
        <v>-1.55E-2</v>
      </c>
      <c r="CZ18" s="228">
        <v>24.22</v>
      </c>
      <c r="DA18" s="228">
        <v>23.85</v>
      </c>
      <c r="DB18" s="228">
        <v>0.37</v>
      </c>
      <c r="DC18" s="228">
        <v>0.37</v>
      </c>
      <c r="DD18" s="228">
        <v>36.74</v>
      </c>
      <c r="DE18" s="228">
        <v>36.82</v>
      </c>
      <c r="DF18" s="228">
        <v>-12.52</v>
      </c>
      <c r="DG18" s="228">
        <v>-0.08</v>
      </c>
      <c r="DH18" s="228">
        <v>24.16</v>
      </c>
      <c r="DI18" s="228">
        <v>22.94</v>
      </c>
      <c r="DJ18" s="228">
        <v>1.22</v>
      </c>
      <c r="DK18" s="228">
        <v>1.22</v>
      </c>
      <c r="DL18" s="228">
        <v>24.3</v>
      </c>
      <c r="DM18" s="228">
        <v>25.41</v>
      </c>
      <c r="DN18" s="228">
        <v>-1.1100000000000001</v>
      </c>
      <c r="DO18" s="228">
        <v>-1.1100000000000001</v>
      </c>
      <c r="DP18" s="228">
        <v>0.97</v>
      </c>
      <c r="DQ18" s="228">
        <v>1.05</v>
      </c>
      <c r="DR18" s="228">
        <v>-0.08</v>
      </c>
      <c r="DS18" s="229">
        <v>-7.6200000000000004E-2</v>
      </c>
      <c r="DT18" s="228">
        <v>930</v>
      </c>
      <c r="DU18" s="228">
        <v>900</v>
      </c>
      <c r="DV18" s="228">
        <v>0.77</v>
      </c>
      <c r="DW18" s="228">
        <v>0.57999999999999996</v>
      </c>
      <c r="DX18" s="228">
        <v>0.19</v>
      </c>
      <c r="DY18" s="229">
        <v>0.3276</v>
      </c>
      <c r="DZ18" s="229">
        <v>0.35060000000000002</v>
      </c>
      <c r="EA18" s="230">
        <v>2240000</v>
      </c>
      <c r="EB18" s="229">
        <v>6.6E-3</v>
      </c>
      <c r="EC18" s="229">
        <v>0.35060000000000002</v>
      </c>
      <c r="ED18" s="228">
        <v>5.71</v>
      </c>
      <c r="EE18" s="229">
        <v>6.1999999999999998E-3</v>
      </c>
      <c r="EF18" s="230">
        <v>283083</v>
      </c>
      <c r="EG18" s="230">
        <v>2313590</v>
      </c>
      <c r="EH18" s="229">
        <v>-0.87760000000000005</v>
      </c>
      <c r="EI18" s="229">
        <v>0.45169999999999999</v>
      </c>
      <c r="EJ18" s="231">
        <v>68906.69</v>
      </c>
      <c r="EK18" s="231">
        <v>50692.639999999999</v>
      </c>
      <c r="EL18" s="231">
        <v>95424.2</v>
      </c>
      <c r="EM18" s="231">
        <v>4580</v>
      </c>
      <c r="EN18" s="231">
        <v>215023.53</v>
      </c>
      <c r="EO18" s="231">
        <v>274923.94</v>
      </c>
      <c r="EP18" s="231">
        <v>-59900.41</v>
      </c>
      <c r="EQ18" s="229">
        <v>-0.21790000000000001</v>
      </c>
      <c r="ER18" s="231">
        <v>61748</v>
      </c>
      <c r="ES18" s="231">
        <v>55420</v>
      </c>
      <c r="ET18" s="231">
        <v>157231</v>
      </c>
      <c r="EU18" s="231">
        <v>86234186</v>
      </c>
      <c r="EV18" s="231">
        <v>274400</v>
      </c>
      <c r="EW18" s="231">
        <v>278742</v>
      </c>
      <c r="EX18" s="231">
        <v>-4342</v>
      </c>
      <c r="EY18" s="229">
        <v>-1.5599999999999999E-2</v>
      </c>
      <c r="EZ18" s="229">
        <v>0.3493</v>
      </c>
      <c r="FA18" s="227" t="s">
        <v>567</v>
      </c>
      <c r="FB18" s="161">
        <f t="shared" si="0"/>
        <v>5976000</v>
      </c>
    </row>
    <row r="19" spans="1:158" ht="17.25" hidden="1" thickBot="1" x14ac:dyDescent="0.3">
      <c r="A19" s="226">
        <v>45981</v>
      </c>
      <c r="B19" s="227" t="s">
        <v>170</v>
      </c>
      <c r="C19" s="227" t="s">
        <v>171</v>
      </c>
      <c r="D19" s="228">
        <v>550</v>
      </c>
      <c r="E19" s="231">
        <v>1208.7</v>
      </c>
      <c r="F19" s="231">
        <v>1235.2</v>
      </c>
      <c r="G19" s="228">
        <v>-26.5</v>
      </c>
      <c r="H19" s="229">
        <v>-2.1499999999999998E-2</v>
      </c>
      <c r="I19" s="231">
        <v>1207.7</v>
      </c>
      <c r="J19" s="231">
        <v>1235.8</v>
      </c>
      <c r="K19" s="228">
        <v>-28.1</v>
      </c>
      <c r="L19" s="229">
        <v>-2.2700000000000001E-2</v>
      </c>
      <c r="M19" s="231">
        <v>1208.7</v>
      </c>
      <c r="N19" s="231">
        <v>1235.2</v>
      </c>
      <c r="O19" s="228">
        <v>-26.5</v>
      </c>
      <c r="P19" s="229">
        <v>-2.1499999999999998E-2</v>
      </c>
      <c r="Q19" s="231">
        <v>1216.8</v>
      </c>
      <c r="R19" s="231">
        <v>1243.4000000000001</v>
      </c>
      <c r="S19" s="228">
        <v>-26.6</v>
      </c>
      <c r="T19" s="229">
        <v>-2.1399999999999999E-2</v>
      </c>
      <c r="U19" s="231">
        <v>1225.3</v>
      </c>
      <c r="V19" s="231">
        <v>1249.5</v>
      </c>
      <c r="W19" s="228">
        <v>-24.2</v>
      </c>
      <c r="X19" s="229">
        <v>-1.9400000000000001E-2</v>
      </c>
      <c r="Y19" s="228">
        <v>1</v>
      </c>
      <c r="Z19" s="228">
        <v>-0.6</v>
      </c>
      <c r="AA19" s="228">
        <v>1.6</v>
      </c>
      <c r="AB19" s="229">
        <v>8.0000000000000004E-4</v>
      </c>
      <c r="AC19" s="228">
        <v>1</v>
      </c>
      <c r="AD19" s="228">
        <v>-0.6</v>
      </c>
      <c r="AE19" s="228">
        <v>1.6</v>
      </c>
      <c r="AF19" s="229">
        <v>8.0000000000000004E-4</v>
      </c>
      <c r="AG19" s="228">
        <v>9.1</v>
      </c>
      <c r="AH19" s="228">
        <v>7.6</v>
      </c>
      <c r="AI19" s="228">
        <v>1.5</v>
      </c>
      <c r="AJ19" s="229">
        <v>7.4999999999999997E-3</v>
      </c>
      <c r="AK19" s="228">
        <v>17.600000000000001</v>
      </c>
      <c r="AL19" s="228">
        <v>13.7</v>
      </c>
      <c r="AM19" s="228">
        <v>3.9</v>
      </c>
      <c r="AN19" s="229">
        <v>1.46E-2</v>
      </c>
      <c r="AO19" s="231">
        <v>1218</v>
      </c>
      <c r="AP19" s="231">
        <v>1225.8900000000001</v>
      </c>
      <c r="AQ19" s="228">
        <v>0</v>
      </c>
      <c r="AR19" s="230">
        <v>13323750</v>
      </c>
      <c r="AS19" s="230">
        <v>3665200</v>
      </c>
      <c r="AT19" s="230">
        <v>9658550</v>
      </c>
      <c r="AU19" s="229">
        <v>2.6352000000000002</v>
      </c>
      <c r="AV19" s="230">
        <v>7145050</v>
      </c>
      <c r="AW19" s="230">
        <v>2194500</v>
      </c>
      <c r="AX19" s="230">
        <v>4950550</v>
      </c>
      <c r="AY19" s="229">
        <v>2.2559</v>
      </c>
      <c r="AZ19" s="230">
        <v>6146800</v>
      </c>
      <c r="BA19" s="230">
        <v>1460250</v>
      </c>
      <c r="BB19" s="230">
        <v>4686550</v>
      </c>
      <c r="BC19" s="229">
        <v>3.2094</v>
      </c>
      <c r="BD19" s="230">
        <v>31900</v>
      </c>
      <c r="BE19" s="230">
        <v>10450</v>
      </c>
      <c r="BF19" s="230">
        <v>21450</v>
      </c>
      <c r="BG19" s="229">
        <v>2.0526</v>
      </c>
      <c r="BH19" s="230">
        <v>8840700</v>
      </c>
      <c r="BI19" s="230">
        <v>5779950</v>
      </c>
      <c r="BJ19" s="230">
        <v>3060750</v>
      </c>
      <c r="BK19" s="229">
        <v>0.52949999999999997</v>
      </c>
      <c r="BL19" s="230">
        <v>7985450</v>
      </c>
      <c r="BM19" s="230">
        <v>4252050</v>
      </c>
      <c r="BN19" s="230">
        <v>3733400</v>
      </c>
      <c r="BO19" s="229">
        <v>0.878</v>
      </c>
      <c r="BP19" s="230">
        <v>30149900</v>
      </c>
      <c r="BQ19" s="230">
        <v>13697200</v>
      </c>
      <c r="BR19" s="230">
        <v>16452700</v>
      </c>
      <c r="BS19" s="229">
        <v>1.2012</v>
      </c>
      <c r="BT19" s="230">
        <v>787756</v>
      </c>
      <c r="BU19" s="230">
        <v>763336</v>
      </c>
      <c r="BV19" s="230">
        <v>24420</v>
      </c>
      <c r="BW19" s="229">
        <v>3.2000000000000001E-2</v>
      </c>
      <c r="BX19" s="230">
        <v>24009700</v>
      </c>
      <c r="BY19" s="230">
        <v>24307800</v>
      </c>
      <c r="BZ19" s="230">
        <v>-298100</v>
      </c>
      <c r="CA19" s="229">
        <v>-1.23E-2</v>
      </c>
      <c r="CB19" s="230">
        <v>13655400</v>
      </c>
      <c r="CC19" s="230">
        <v>19200500</v>
      </c>
      <c r="CD19" s="230">
        <v>-5545100</v>
      </c>
      <c r="CE19" s="229">
        <v>-0.2888</v>
      </c>
      <c r="CF19" s="230">
        <v>10305900</v>
      </c>
      <c r="CG19" s="230">
        <v>5064950</v>
      </c>
      <c r="CH19" s="230">
        <v>5240950</v>
      </c>
      <c r="CI19" s="229">
        <v>1.0347</v>
      </c>
      <c r="CJ19" s="230">
        <v>48400</v>
      </c>
      <c r="CK19" s="230">
        <v>42350</v>
      </c>
      <c r="CL19" s="230">
        <v>6050</v>
      </c>
      <c r="CM19" s="229">
        <v>0.1429</v>
      </c>
      <c r="CN19" s="230">
        <v>4659600</v>
      </c>
      <c r="CO19" s="230">
        <v>4441250</v>
      </c>
      <c r="CP19" s="230">
        <v>218350</v>
      </c>
      <c r="CQ19" s="229">
        <v>4.9200000000000001E-2</v>
      </c>
      <c r="CR19" s="230">
        <v>4389550</v>
      </c>
      <c r="CS19" s="230">
        <v>4770700</v>
      </c>
      <c r="CT19" s="230">
        <v>-381150</v>
      </c>
      <c r="CU19" s="229">
        <v>-7.9899999999999999E-2</v>
      </c>
      <c r="CV19" s="230">
        <v>33058850</v>
      </c>
      <c r="CW19" s="230">
        <v>33519750</v>
      </c>
      <c r="CX19" s="230">
        <v>-460900</v>
      </c>
      <c r="CY19" s="229">
        <v>-1.38E-2</v>
      </c>
      <c r="CZ19" s="228">
        <v>24.52</v>
      </c>
      <c r="DA19" s="228">
        <v>25.12</v>
      </c>
      <c r="DB19" s="228">
        <v>-0.6</v>
      </c>
      <c r="DC19" s="228">
        <v>-0.6</v>
      </c>
      <c r="DD19" s="228">
        <v>34.04</v>
      </c>
      <c r="DE19" s="228">
        <v>34</v>
      </c>
      <c r="DF19" s="228">
        <v>-9.52</v>
      </c>
      <c r="DG19" s="228">
        <v>0.04</v>
      </c>
      <c r="DH19" s="228">
        <v>24.88</v>
      </c>
      <c r="DI19" s="228">
        <v>24</v>
      </c>
      <c r="DJ19" s="228">
        <v>0.88</v>
      </c>
      <c r="DK19" s="228">
        <v>0.88</v>
      </c>
      <c r="DL19" s="228">
        <v>23.95</v>
      </c>
      <c r="DM19" s="228">
        <v>26.66</v>
      </c>
      <c r="DN19" s="228">
        <v>-2.71</v>
      </c>
      <c r="DO19" s="228">
        <v>-2.71</v>
      </c>
      <c r="DP19" s="228">
        <v>0.94</v>
      </c>
      <c r="DQ19" s="228">
        <v>1.07</v>
      </c>
      <c r="DR19" s="228">
        <v>-0.13</v>
      </c>
      <c r="DS19" s="229">
        <v>-0.1215</v>
      </c>
      <c r="DT19" s="231">
        <v>1240</v>
      </c>
      <c r="DU19" s="231">
        <v>1160</v>
      </c>
      <c r="DV19" s="228">
        <v>0.9</v>
      </c>
      <c r="DW19" s="228">
        <v>0.74</v>
      </c>
      <c r="DX19" s="228">
        <v>0.16</v>
      </c>
      <c r="DY19" s="229">
        <v>0.2162</v>
      </c>
      <c r="DZ19" s="229">
        <v>0.43130000000000002</v>
      </c>
      <c r="EA19" s="230">
        <v>5107300</v>
      </c>
      <c r="EB19" s="229">
        <v>6.7000000000000002E-3</v>
      </c>
      <c r="EC19" s="229">
        <v>0.43130000000000002</v>
      </c>
      <c r="ED19" s="228">
        <v>7.89</v>
      </c>
      <c r="EE19" s="229">
        <v>6.4999999999999997E-3</v>
      </c>
      <c r="EF19" s="230">
        <v>374457</v>
      </c>
      <c r="EG19" s="230">
        <v>454701</v>
      </c>
      <c r="EH19" s="229">
        <v>-0.17649999999999999</v>
      </c>
      <c r="EI19" s="229">
        <v>0.4753</v>
      </c>
      <c r="EJ19" s="231">
        <v>111173.78</v>
      </c>
      <c r="EK19" s="231">
        <v>96196.45</v>
      </c>
      <c r="EL19" s="231">
        <v>162773.13</v>
      </c>
      <c r="EM19" s="231">
        <v>9656</v>
      </c>
      <c r="EN19" s="231">
        <v>370143.36</v>
      </c>
      <c r="EO19" s="231">
        <v>170546.91</v>
      </c>
      <c r="EP19" s="231">
        <v>199596.45</v>
      </c>
      <c r="EQ19" s="229">
        <v>1.1702999999999999</v>
      </c>
      <c r="ER19" s="231">
        <v>57042</v>
      </c>
      <c r="ES19" s="231">
        <v>50160</v>
      </c>
      <c r="ET19" s="231">
        <v>291048</v>
      </c>
      <c r="EU19" s="231">
        <v>41977935</v>
      </c>
      <c r="EV19" s="231">
        <v>398250</v>
      </c>
      <c r="EW19" s="231">
        <v>409674</v>
      </c>
      <c r="EX19" s="231">
        <v>-11424</v>
      </c>
      <c r="EY19" s="229">
        <v>-2.7900000000000001E-2</v>
      </c>
      <c r="EZ19" s="229">
        <v>0.78749999999999998</v>
      </c>
      <c r="FA19" s="227" t="s">
        <v>568</v>
      </c>
      <c r="FB19" s="161">
        <f t="shared" si="0"/>
        <v>10354300</v>
      </c>
    </row>
    <row r="20" spans="1:158" ht="17.25" hidden="1" thickBot="1" x14ac:dyDescent="0.3">
      <c r="A20" s="226">
        <v>45981</v>
      </c>
      <c r="B20" s="227" t="s">
        <v>172</v>
      </c>
      <c r="C20" s="227" t="s">
        <v>173</v>
      </c>
      <c r="D20" s="228">
        <v>625</v>
      </c>
      <c r="E20" s="231">
        <v>1283.7</v>
      </c>
      <c r="F20" s="231">
        <v>1269.5999999999999</v>
      </c>
      <c r="G20" s="228">
        <v>14.1</v>
      </c>
      <c r="H20" s="229">
        <v>1.11E-2</v>
      </c>
      <c r="I20" s="231">
        <v>1285.2</v>
      </c>
      <c r="J20" s="231">
        <v>1270.4000000000001</v>
      </c>
      <c r="K20" s="228">
        <v>14.8</v>
      </c>
      <c r="L20" s="229">
        <v>1.1599999999999999E-2</v>
      </c>
      <c r="M20" s="231">
        <v>1283.7</v>
      </c>
      <c r="N20" s="231">
        <v>1269.5999999999999</v>
      </c>
      <c r="O20" s="228">
        <v>14.1</v>
      </c>
      <c r="P20" s="229">
        <v>1.11E-2</v>
      </c>
      <c r="Q20" s="231">
        <v>1292.9000000000001</v>
      </c>
      <c r="R20" s="231">
        <v>1278</v>
      </c>
      <c r="S20" s="228">
        <v>14.9</v>
      </c>
      <c r="T20" s="229">
        <v>1.17E-2</v>
      </c>
      <c r="U20" s="231">
        <v>1300.5</v>
      </c>
      <c r="V20" s="231">
        <v>1285.2</v>
      </c>
      <c r="W20" s="228">
        <v>15.3</v>
      </c>
      <c r="X20" s="229">
        <v>1.1900000000000001E-2</v>
      </c>
      <c r="Y20" s="228">
        <v>-1.5</v>
      </c>
      <c r="Z20" s="228">
        <v>-0.8</v>
      </c>
      <c r="AA20" s="228">
        <v>-0.7</v>
      </c>
      <c r="AB20" s="229">
        <v>-1.1999999999999999E-3</v>
      </c>
      <c r="AC20" s="228">
        <v>-1.5</v>
      </c>
      <c r="AD20" s="228">
        <v>-0.8</v>
      </c>
      <c r="AE20" s="228">
        <v>-0.7</v>
      </c>
      <c r="AF20" s="229">
        <v>-1.1999999999999999E-3</v>
      </c>
      <c r="AG20" s="228">
        <v>7.7</v>
      </c>
      <c r="AH20" s="228">
        <v>7.6</v>
      </c>
      <c r="AI20" s="228">
        <v>0.1</v>
      </c>
      <c r="AJ20" s="229">
        <v>6.0000000000000001E-3</v>
      </c>
      <c r="AK20" s="228">
        <v>15.3</v>
      </c>
      <c r="AL20" s="228">
        <v>14.8</v>
      </c>
      <c r="AM20" s="228">
        <v>0.5</v>
      </c>
      <c r="AN20" s="229">
        <v>1.1900000000000001E-2</v>
      </c>
      <c r="AO20" s="231">
        <v>1279.25</v>
      </c>
      <c r="AP20" s="231">
        <v>1288.5999999999999</v>
      </c>
      <c r="AQ20" s="228">
        <v>0</v>
      </c>
      <c r="AR20" s="230">
        <v>67015000</v>
      </c>
      <c r="AS20" s="230">
        <v>16516250</v>
      </c>
      <c r="AT20" s="230">
        <v>50498750</v>
      </c>
      <c r="AU20" s="229">
        <v>3.0575000000000001</v>
      </c>
      <c r="AV20" s="230">
        <v>35453750</v>
      </c>
      <c r="AW20" s="230">
        <v>10350000</v>
      </c>
      <c r="AX20" s="230">
        <v>25103750</v>
      </c>
      <c r="AY20" s="229">
        <v>2.4255</v>
      </c>
      <c r="AZ20" s="230">
        <v>31426250</v>
      </c>
      <c r="BA20" s="230">
        <v>6087500</v>
      </c>
      <c r="BB20" s="230">
        <v>25338750</v>
      </c>
      <c r="BC20" s="229">
        <v>4.1623999999999999</v>
      </c>
      <c r="BD20" s="230">
        <v>135000</v>
      </c>
      <c r="BE20" s="230">
        <v>78750</v>
      </c>
      <c r="BF20" s="230">
        <v>56250</v>
      </c>
      <c r="BG20" s="229">
        <v>0.71430000000000005</v>
      </c>
      <c r="BH20" s="230">
        <v>79431250</v>
      </c>
      <c r="BI20" s="230">
        <v>44776250</v>
      </c>
      <c r="BJ20" s="230">
        <v>34655000</v>
      </c>
      <c r="BK20" s="229">
        <v>0.77400000000000002</v>
      </c>
      <c r="BL20" s="230">
        <v>39936250</v>
      </c>
      <c r="BM20" s="230">
        <v>23899375</v>
      </c>
      <c r="BN20" s="230">
        <v>16036875</v>
      </c>
      <c r="BO20" s="229">
        <v>0.67100000000000004</v>
      </c>
      <c r="BP20" s="230">
        <v>186382500</v>
      </c>
      <c r="BQ20" s="230">
        <v>85191875</v>
      </c>
      <c r="BR20" s="230">
        <v>101190625</v>
      </c>
      <c r="BS20" s="229">
        <v>1.1878</v>
      </c>
      <c r="BT20" s="230">
        <v>5871134</v>
      </c>
      <c r="BU20" s="230">
        <v>4166647</v>
      </c>
      <c r="BV20" s="230">
        <v>1704487</v>
      </c>
      <c r="BW20" s="229">
        <v>0.40910000000000002</v>
      </c>
      <c r="BX20" s="230">
        <v>74943125</v>
      </c>
      <c r="BY20" s="230">
        <v>75598750</v>
      </c>
      <c r="BZ20" s="230">
        <v>-655625</v>
      </c>
      <c r="CA20" s="229">
        <v>-8.6999999999999994E-3</v>
      </c>
      <c r="CB20" s="230">
        <v>35402500</v>
      </c>
      <c r="CC20" s="230">
        <v>64166875</v>
      </c>
      <c r="CD20" s="230">
        <v>-28764375</v>
      </c>
      <c r="CE20" s="229">
        <v>-0.44829999999999998</v>
      </c>
      <c r="CF20" s="230">
        <v>39129375</v>
      </c>
      <c r="CG20" s="230">
        <v>11063125</v>
      </c>
      <c r="CH20" s="230">
        <v>28066250</v>
      </c>
      <c r="CI20" s="229">
        <v>2.5369000000000002</v>
      </c>
      <c r="CJ20" s="230">
        <v>411250</v>
      </c>
      <c r="CK20" s="230">
        <v>368750</v>
      </c>
      <c r="CL20" s="230">
        <v>42500</v>
      </c>
      <c r="CM20" s="229">
        <v>0.1153</v>
      </c>
      <c r="CN20" s="230">
        <v>18295000</v>
      </c>
      <c r="CO20" s="230">
        <v>19750625</v>
      </c>
      <c r="CP20" s="230">
        <v>-1455625</v>
      </c>
      <c r="CQ20" s="229">
        <v>-7.3700000000000002E-2</v>
      </c>
      <c r="CR20" s="230">
        <v>13889375</v>
      </c>
      <c r="CS20" s="230">
        <v>13410625</v>
      </c>
      <c r="CT20" s="230">
        <v>478750</v>
      </c>
      <c r="CU20" s="229">
        <v>3.5700000000000003E-2</v>
      </c>
      <c r="CV20" s="230">
        <v>107127500</v>
      </c>
      <c r="CW20" s="230">
        <v>108760000</v>
      </c>
      <c r="CX20" s="230">
        <v>-1632500</v>
      </c>
      <c r="CY20" s="229">
        <v>-1.4999999999999999E-2</v>
      </c>
      <c r="CZ20" s="228">
        <v>18.12</v>
      </c>
      <c r="DA20" s="228">
        <v>17.54</v>
      </c>
      <c r="DB20" s="228">
        <v>0.57999999999999996</v>
      </c>
      <c r="DC20" s="228">
        <v>0.57999999999999996</v>
      </c>
      <c r="DD20" s="228">
        <v>26.1</v>
      </c>
      <c r="DE20" s="228">
        <v>26.12</v>
      </c>
      <c r="DF20" s="228">
        <v>-7.98</v>
      </c>
      <c r="DG20" s="228">
        <v>-0.02</v>
      </c>
      <c r="DH20" s="228">
        <v>17.78</v>
      </c>
      <c r="DI20" s="228">
        <v>17.329999999999998</v>
      </c>
      <c r="DJ20" s="228">
        <v>0.45</v>
      </c>
      <c r="DK20" s="228">
        <v>0.45</v>
      </c>
      <c r="DL20" s="228">
        <v>18.79</v>
      </c>
      <c r="DM20" s="228">
        <v>17.940000000000001</v>
      </c>
      <c r="DN20" s="228">
        <v>0.85</v>
      </c>
      <c r="DO20" s="228">
        <v>0.85</v>
      </c>
      <c r="DP20" s="228">
        <v>0.76</v>
      </c>
      <c r="DQ20" s="228">
        <v>0.68</v>
      </c>
      <c r="DR20" s="228">
        <v>0.08</v>
      </c>
      <c r="DS20" s="229">
        <v>0.1176</v>
      </c>
      <c r="DT20" s="231">
        <v>1300</v>
      </c>
      <c r="DU20" s="231">
        <v>1260</v>
      </c>
      <c r="DV20" s="228">
        <v>0.5</v>
      </c>
      <c r="DW20" s="228">
        <v>0.53</v>
      </c>
      <c r="DX20" s="228">
        <v>-0.03</v>
      </c>
      <c r="DY20" s="229">
        <v>-5.6599999999999998E-2</v>
      </c>
      <c r="DZ20" s="229">
        <v>0.52759999999999996</v>
      </c>
      <c r="EA20" s="230">
        <v>11431875</v>
      </c>
      <c r="EB20" s="229">
        <v>7.1999999999999998E-3</v>
      </c>
      <c r="EC20" s="229">
        <v>0.52759999999999996</v>
      </c>
      <c r="ED20" s="228">
        <v>9.35</v>
      </c>
      <c r="EE20" s="229">
        <v>7.3000000000000001E-3</v>
      </c>
      <c r="EF20" s="230">
        <v>3345212</v>
      </c>
      <c r="EG20" s="230">
        <v>2904682</v>
      </c>
      <c r="EH20" s="229">
        <v>0.1517</v>
      </c>
      <c r="EI20" s="229">
        <v>0.56979999999999997</v>
      </c>
      <c r="EJ20" s="231">
        <v>1033220.99</v>
      </c>
      <c r="EK20" s="231">
        <v>505523.46</v>
      </c>
      <c r="EL20" s="231">
        <v>860249.08</v>
      </c>
      <c r="EM20" s="231">
        <v>17815</v>
      </c>
      <c r="EN20" s="231">
        <v>2398993.5299999998</v>
      </c>
      <c r="EO20" s="231">
        <v>1089037.71</v>
      </c>
      <c r="EP20" s="231">
        <v>1309955.82</v>
      </c>
      <c r="EQ20" s="229">
        <v>1.2029000000000001</v>
      </c>
      <c r="ER20" s="231">
        <v>235714</v>
      </c>
      <c r="ES20" s="231">
        <v>170366</v>
      </c>
      <c r="ET20" s="231">
        <v>965714</v>
      </c>
      <c r="EU20" s="231">
        <v>316147681</v>
      </c>
      <c r="EV20" s="231">
        <v>1371793</v>
      </c>
      <c r="EW20" s="231">
        <v>1378112</v>
      </c>
      <c r="EX20" s="231">
        <v>-6319</v>
      </c>
      <c r="EY20" s="229">
        <v>-4.5999999999999999E-3</v>
      </c>
      <c r="EZ20" s="229">
        <v>0.33889999999999998</v>
      </c>
      <c r="FA20" s="227" t="s">
        <v>556</v>
      </c>
      <c r="FB20" s="161">
        <f t="shared" si="0"/>
        <v>39540625</v>
      </c>
    </row>
    <row r="21" spans="1:158" ht="17.25" hidden="1" thickBot="1" x14ac:dyDescent="0.3">
      <c r="A21" s="226">
        <v>45981</v>
      </c>
      <c r="B21" s="227" t="s">
        <v>162</v>
      </c>
      <c r="C21" s="227" t="s">
        <v>174</v>
      </c>
      <c r="D21" s="228">
        <v>75</v>
      </c>
      <c r="E21" s="231">
        <v>8982</v>
      </c>
      <c r="F21" s="231">
        <v>8885</v>
      </c>
      <c r="G21" s="228">
        <v>97</v>
      </c>
      <c r="H21" s="229">
        <v>1.09E-2</v>
      </c>
      <c r="I21" s="231">
        <v>8979.5</v>
      </c>
      <c r="J21" s="231">
        <v>8884.5</v>
      </c>
      <c r="K21" s="228">
        <v>95</v>
      </c>
      <c r="L21" s="229">
        <v>1.0699999999999999E-2</v>
      </c>
      <c r="M21" s="231">
        <v>8982</v>
      </c>
      <c r="N21" s="231">
        <v>8885</v>
      </c>
      <c r="O21" s="228">
        <v>97</v>
      </c>
      <c r="P21" s="229">
        <v>1.09E-2</v>
      </c>
      <c r="Q21" s="231">
        <v>9001</v>
      </c>
      <c r="R21" s="231">
        <v>8916</v>
      </c>
      <c r="S21" s="228">
        <v>85</v>
      </c>
      <c r="T21" s="229">
        <v>9.4999999999999998E-3</v>
      </c>
      <c r="U21" s="231">
        <v>9028.5</v>
      </c>
      <c r="V21" s="231">
        <v>8940.5</v>
      </c>
      <c r="W21" s="228">
        <v>88</v>
      </c>
      <c r="X21" s="229">
        <v>9.7999999999999997E-3</v>
      </c>
      <c r="Y21" s="228">
        <v>2.5</v>
      </c>
      <c r="Z21" s="228">
        <v>0.5</v>
      </c>
      <c r="AA21" s="228">
        <v>2</v>
      </c>
      <c r="AB21" s="229">
        <v>2.9999999999999997E-4</v>
      </c>
      <c r="AC21" s="228">
        <v>2.5</v>
      </c>
      <c r="AD21" s="228">
        <v>0.5</v>
      </c>
      <c r="AE21" s="228">
        <v>2</v>
      </c>
      <c r="AF21" s="229">
        <v>2.9999999999999997E-4</v>
      </c>
      <c r="AG21" s="228">
        <v>21.5</v>
      </c>
      <c r="AH21" s="228">
        <v>31.5</v>
      </c>
      <c r="AI21" s="228">
        <v>-10</v>
      </c>
      <c r="AJ21" s="229">
        <v>2.3999999999999998E-3</v>
      </c>
      <c r="AK21" s="228">
        <v>49</v>
      </c>
      <c r="AL21" s="228">
        <v>56</v>
      </c>
      <c r="AM21" s="228">
        <v>-7</v>
      </c>
      <c r="AN21" s="229">
        <v>5.4999999999999997E-3</v>
      </c>
      <c r="AO21" s="231">
        <v>8964.76</v>
      </c>
      <c r="AP21" s="231">
        <v>8985.15</v>
      </c>
      <c r="AQ21" s="228">
        <v>0</v>
      </c>
      <c r="AR21" s="230">
        <v>3171225</v>
      </c>
      <c r="AS21" s="230">
        <v>480600</v>
      </c>
      <c r="AT21" s="230">
        <v>2690625</v>
      </c>
      <c r="AU21" s="229">
        <v>5.5984999999999996</v>
      </c>
      <c r="AV21" s="230">
        <v>1640100</v>
      </c>
      <c r="AW21" s="230">
        <v>295425</v>
      </c>
      <c r="AX21" s="230">
        <v>1344675</v>
      </c>
      <c r="AY21" s="229">
        <v>4.5517000000000003</v>
      </c>
      <c r="AZ21" s="230">
        <v>1525425</v>
      </c>
      <c r="BA21" s="230">
        <v>181050</v>
      </c>
      <c r="BB21" s="230">
        <v>1344375</v>
      </c>
      <c r="BC21" s="229">
        <v>7.4253999999999998</v>
      </c>
      <c r="BD21" s="230">
        <v>5700</v>
      </c>
      <c r="BE21" s="230">
        <v>4125</v>
      </c>
      <c r="BF21" s="230">
        <v>1575</v>
      </c>
      <c r="BG21" s="229">
        <v>0.38179999999999997</v>
      </c>
      <c r="BH21" s="230">
        <v>5063550</v>
      </c>
      <c r="BI21" s="230">
        <v>2792250</v>
      </c>
      <c r="BJ21" s="230">
        <v>2271300</v>
      </c>
      <c r="BK21" s="229">
        <v>0.81340000000000001</v>
      </c>
      <c r="BL21" s="230">
        <v>2222475</v>
      </c>
      <c r="BM21" s="230">
        <v>1058625</v>
      </c>
      <c r="BN21" s="230">
        <v>1163850</v>
      </c>
      <c r="BO21" s="229">
        <v>1.0993999999999999</v>
      </c>
      <c r="BP21" s="230">
        <v>10457250</v>
      </c>
      <c r="BQ21" s="230">
        <v>4331475</v>
      </c>
      <c r="BR21" s="230">
        <v>6125775</v>
      </c>
      <c r="BS21" s="229">
        <v>1.4141999999999999</v>
      </c>
      <c r="BT21" s="230">
        <v>196133</v>
      </c>
      <c r="BU21" s="230">
        <v>335993</v>
      </c>
      <c r="BV21" s="230">
        <v>-139860</v>
      </c>
      <c r="BW21" s="229">
        <v>-0.4163</v>
      </c>
      <c r="BX21" s="230">
        <v>3381150</v>
      </c>
      <c r="BY21" s="230">
        <v>3758100</v>
      </c>
      <c r="BZ21" s="230">
        <v>-376950</v>
      </c>
      <c r="CA21" s="229">
        <v>-0.1003</v>
      </c>
      <c r="CB21" s="230">
        <v>2071875</v>
      </c>
      <c r="CC21" s="230">
        <v>3275475</v>
      </c>
      <c r="CD21" s="230">
        <v>-1203600</v>
      </c>
      <c r="CE21" s="229">
        <v>-0.36749999999999999</v>
      </c>
      <c r="CF21" s="230">
        <v>1284675</v>
      </c>
      <c r="CG21" s="230">
        <v>458850</v>
      </c>
      <c r="CH21" s="230">
        <v>825825</v>
      </c>
      <c r="CI21" s="229">
        <v>1.7998000000000001</v>
      </c>
      <c r="CJ21" s="230">
        <v>24600</v>
      </c>
      <c r="CK21" s="230">
        <v>23775</v>
      </c>
      <c r="CL21" s="228">
        <v>825</v>
      </c>
      <c r="CM21" s="229">
        <v>3.4700000000000002E-2</v>
      </c>
      <c r="CN21" s="230">
        <v>2031450</v>
      </c>
      <c r="CO21" s="230">
        <v>2178000</v>
      </c>
      <c r="CP21" s="230">
        <v>-146550</v>
      </c>
      <c r="CQ21" s="229">
        <v>-6.7299999999999999E-2</v>
      </c>
      <c r="CR21" s="230">
        <v>1223475</v>
      </c>
      <c r="CS21" s="230">
        <v>1291575</v>
      </c>
      <c r="CT21" s="230">
        <v>-68100</v>
      </c>
      <c r="CU21" s="229">
        <v>-5.2699999999999997E-2</v>
      </c>
      <c r="CV21" s="230">
        <v>6636075</v>
      </c>
      <c r="CW21" s="230">
        <v>7227675</v>
      </c>
      <c r="CX21" s="230">
        <v>-591600</v>
      </c>
      <c r="CY21" s="229">
        <v>-8.1900000000000001E-2</v>
      </c>
      <c r="CZ21" s="228">
        <v>22.06</v>
      </c>
      <c r="DA21" s="228">
        <v>23.14</v>
      </c>
      <c r="DB21" s="228">
        <v>-1.08</v>
      </c>
      <c r="DC21" s="228">
        <v>-1.08</v>
      </c>
      <c r="DD21" s="228">
        <v>29.17</v>
      </c>
      <c r="DE21" s="228">
        <v>29.21</v>
      </c>
      <c r="DF21" s="228">
        <v>-7.11</v>
      </c>
      <c r="DG21" s="228">
        <v>-0.04</v>
      </c>
      <c r="DH21" s="228">
        <v>21.46</v>
      </c>
      <c r="DI21" s="228">
        <v>23.39</v>
      </c>
      <c r="DJ21" s="228">
        <v>-1.93</v>
      </c>
      <c r="DK21" s="228">
        <v>-1.93</v>
      </c>
      <c r="DL21" s="228">
        <v>22.87</v>
      </c>
      <c r="DM21" s="228">
        <v>22.5</v>
      </c>
      <c r="DN21" s="228">
        <v>0.37</v>
      </c>
      <c r="DO21" s="228">
        <v>0.37</v>
      </c>
      <c r="DP21" s="228">
        <v>0.6</v>
      </c>
      <c r="DQ21" s="228">
        <v>0.59</v>
      </c>
      <c r="DR21" s="228">
        <v>0.01</v>
      </c>
      <c r="DS21" s="229">
        <v>1.6899999999999998E-2</v>
      </c>
      <c r="DT21" s="231">
        <v>9000</v>
      </c>
      <c r="DU21" s="231">
        <v>8800</v>
      </c>
      <c r="DV21" s="228">
        <v>0.44</v>
      </c>
      <c r="DW21" s="228">
        <v>0.38</v>
      </c>
      <c r="DX21" s="228">
        <v>0.06</v>
      </c>
      <c r="DY21" s="229">
        <v>0.15790000000000001</v>
      </c>
      <c r="DZ21" s="229">
        <v>0.38719999999999999</v>
      </c>
      <c r="EA21" s="230">
        <v>482625</v>
      </c>
      <c r="EB21" s="229">
        <v>2.0999999999999999E-3</v>
      </c>
      <c r="EC21" s="229">
        <v>0.38719999999999999</v>
      </c>
      <c r="ED21" s="228">
        <v>20.39</v>
      </c>
      <c r="EE21" s="229">
        <v>2.3E-3</v>
      </c>
      <c r="EF21" s="230">
        <v>96308</v>
      </c>
      <c r="EG21" s="230">
        <v>234693</v>
      </c>
      <c r="EH21" s="229">
        <v>-0.58960000000000001</v>
      </c>
      <c r="EI21" s="229">
        <v>0.49099999999999999</v>
      </c>
      <c r="EJ21" s="231">
        <v>467702.9</v>
      </c>
      <c r="EK21" s="231">
        <v>193894.94</v>
      </c>
      <c r="EL21" s="231">
        <v>284607.59999999998</v>
      </c>
      <c r="EM21" s="231">
        <v>7866</v>
      </c>
      <c r="EN21" s="231">
        <v>946205.44</v>
      </c>
      <c r="EO21" s="231">
        <v>393878.33</v>
      </c>
      <c r="EP21" s="231">
        <v>552327.11</v>
      </c>
      <c r="EQ21" s="229">
        <v>1.4023000000000001</v>
      </c>
      <c r="ER21" s="231">
        <v>189749</v>
      </c>
      <c r="ES21" s="231">
        <v>106049</v>
      </c>
      <c r="ET21" s="231">
        <v>303950</v>
      </c>
      <c r="EU21" s="231">
        <v>12547731</v>
      </c>
      <c r="EV21" s="231">
        <v>599748</v>
      </c>
      <c r="EW21" s="231">
        <v>648822</v>
      </c>
      <c r="EX21" s="231">
        <v>-49074</v>
      </c>
      <c r="EY21" s="229">
        <v>-7.5600000000000001E-2</v>
      </c>
      <c r="EZ21" s="229">
        <v>0.52890000000000004</v>
      </c>
      <c r="FA21" s="227" t="s">
        <v>556</v>
      </c>
      <c r="FB21" s="161">
        <f t="shared" si="0"/>
        <v>1309275</v>
      </c>
    </row>
    <row r="22" spans="1:158" ht="17.25" hidden="1" thickBot="1" x14ac:dyDescent="0.3">
      <c r="A22" s="226">
        <v>45981</v>
      </c>
      <c r="B22" s="227" t="s">
        <v>175</v>
      </c>
      <c r="C22" s="227" t="s">
        <v>176</v>
      </c>
      <c r="D22" s="228">
        <v>250</v>
      </c>
      <c r="E22" s="231">
        <v>2099.3000000000002</v>
      </c>
      <c r="F22" s="231">
        <v>2051</v>
      </c>
      <c r="G22" s="228">
        <v>48.3</v>
      </c>
      <c r="H22" s="229">
        <v>2.35E-2</v>
      </c>
      <c r="I22" s="231">
        <v>2095.6</v>
      </c>
      <c r="J22" s="231">
        <v>2050.1999999999998</v>
      </c>
      <c r="K22" s="228">
        <v>45.4</v>
      </c>
      <c r="L22" s="229">
        <v>2.2100000000000002E-2</v>
      </c>
      <c r="M22" s="231">
        <v>2099.3000000000002</v>
      </c>
      <c r="N22" s="231">
        <v>2051</v>
      </c>
      <c r="O22" s="228">
        <v>48.3</v>
      </c>
      <c r="P22" s="229">
        <v>2.35E-2</v>
      </c>
      <c r="Q22" s="231">
        <v>2114.5</v>
      </c>
      <c r="R22" s="231">
        <v>2065.3000000000002</v>
      </c>
      <c r="S22" s="228">
        <v>49.2</v>
      </c>
      <c r="T22" s="229">
        <v>2.3800000000000002E-2</v>
      </c>
      <c r="U22" s="231">
        <v>2126</v>
      </c>
      <c r="V22" s="231">
        <v>2075.6999999999998</v>
      </c>
      <c r="W22" s="228">
        <v>50.3</v>
      </c>
      <c r="X22" s="229">
        <v>2.4199999999999999E-2</v>
      </c>
      <c r="Y22" s="228">
        <v>3.7</v>
      </c>
      <c r="Z22" s="228">
        <v>0.8</v>
      </c>
      <c r="AA22" s="228">
        <v>2.9</v>
      </c>
      <c r="AB22" s="229">
        <v>1.8E-3</v>
      </c>
      <c r="AC22" s="228">
        <v>3.7</v>
      </c>
      <c r="AD22" s="228">
        <v>0.8</v>
      </c>
      <c r="AE22" s="228">
        <v>2.9</v>
      </c>
      <c r="AF22" s="229">
        <v>1.8E-3</v>
      </c>
      <c r="AG22" s="228">
        <v>18.899999999999999</v>
      </c>
      <c r="AH22" s="228">
        <v>15.1</v>
      </c>
      <c r="AI22" s="228">
        <v>3.8</v>
      </c>
      <c r="AJ22" s="229">
        <v>8.9999999999999993E-3</v>
      </c>
      <c r="AK22" s="228">
        <v>30.4</v>
      </c>
      <c r="AL22" s="228">
        <v>25.5</v>
      </c>
      <c r="AM22" s="228">
        <v>4.9000000000000004</v>
      </c>
      <c r="AN22" s="229">
        <v>1.4500000000000001E-2</v>
      </c>
      <c r="AO22" s="231">
        <v>2083.7600000000002</v>
      </c>
      <c r="AP22" s="231">
        <v>2097.84</v>
      </c>
      <c r="AQ22" s="228">
        <v>0</v>
      </c>
      <c r="AR22" s="230">
        <v>12470500</v>
      </c>
      <c r="AS22" s="230">
        <v>4199500</v>
      </c>
      <c r="AT22" s="230">
        <v>8271000</v>
      </c>
      <c r="AU22" s="229">
        <v>1.9695</v>
      </c>
      <c r="AV22" s="230">
        <v>6542500</v>
      </c>
      <c r="AW22" s="230">
        <v>2559750</v>
      </c>
      <c r="AX22" s="230">
        <v>3982750</v>
      </c>
      <c r="AY22" s="229">
        <v>1.5559000000000001</v>
      </c>
      <c r="AZ22" s="230">
        <v>5887000</v>
      </c>
      <c r="BA22" s="230">
        <v>1624000</v>
      </c>
      <c r="BB22" s="230">
        <v>4263000</v>
      </c>
      <c r="BC22" s="229">
        <v>2.625</v>
      </c>
      <c r="BD22" s="230">
        <v>41000</v>
      </c>
      <c r="BE22" s="230">
        <v>15750</v>
      </c>
      <c r="BF22" s="230">
        <v>25250</v>
      </c>
      <c r="BG22" s="229">
        <v>1.6032</v>
      </c>
      <c r="BH22" s="230">
        <v>24621000</v>
      </c>
      <c r="BI22" s="230">
        <v>8942500</v>
      </c>
      <c r="BJ22" s="230">
        <v>15678500</v>
      </c>
      <c r="BK22" s="229">
        <v>1.7533000000000001</v>
      </c>
      <c r="BL22" s="230">
        <v>9246750</v>
      </c>
      <c r="BM22" s="230">
        <v>3849250</v>
      </c>
      <c r="BN22" s="230">
        <v>5397500</v>
      </c>
      <c r="BO22" s="229">
        <v>1.4021999999999999</v>
      </c>
      <c r="BP22" s="230">
        <v>46338250</v>
      </c>
      <c r="BQ22" s="230">
        <v>16991250</v>
      </c>
      <c r="BR22" s="230">
        <v>29347000</v>
      </c>
      <c r="BS22" s="229">
        <v>1.7272000000000001</v>
      </c>
      <c r="BT22" s="230">
        <v>1681219</v>
      </c>
      <c r="BU22" s="230">
        <v>720509</v>
      </c>
      <c r="BV22" s="230">
        <v>960710</v>
      </c>
      <c r="BW22" s="229">
        <v>1.3333999999999999</v>
      </c>
      <c r="BX22" s="230">
        <v>19174000</v>
      </c>
      <c r="BY22" s="230">
        <v>19194750</v>
      </c>
      <c r="BZ22" s="230">
        <v>-20750</v>
      </c>
      <c r="CA22" s="229">
        <v>-1.1000000000000001E-3</v>
      </c>
      <c r="CB22" s="230">
        <v>11741000</v>
      </c>
      <c r="CC22" s="230">
        <v>16714500</v>
      </c>
      <c r="CD22" s="230">
        <v>-4973500</v>
      </c>
      <c r="CE22" s="229">
        <v>-0.29759999999999998</v>
      </c>
      <c r="CF22" s="230">
        <v>7353000</v>
      </c>
      <c r="CG22" s="230">
        <v>2401750</v>
      </c>
      <c r="CH22" s="230">
        <v>4951250</v>
      </c>
      <c r="CI22" s="229">
        <v>2.0615000000000001</v>
      </c>
      <c r="CJ22" s="230">
        <v>80000</v>
      </c>
      <c r="CK22" s="230">
        <v>78500</v>
      </c>
      <c r="CL22" s="230">
        <v>1500</v>
      </c>
      <c r="CM22" s="229">
        <v>1.9099999999999999E-2</v>
      </c>
      <c r="CN22" s="230">
        <v>6710000</v>
      </c>
      <c r="CO22" s="230">
        <v>7250250</v>
      </c>
      <c r="CP22" s="230">
        <v>-540250</v>
      </c>
      <c r="CQ22" s="229">
        <v>-7.4499999999999997E-2</v>
      </c>
      <c r="CR22" s="230">
        <v>4833500</v>
      </c>
      <c r="CS22" s="230">
        <v>4417750</v>
      </c>
      <c r="CT22" s="230">
        <v>415750</v>
      </c>
      <c r="CU22" s="229">
        <v>9.4100000000000003E-2</v>
      </c>
      <c r="CV22" s="230">
        <v>30717500</v>
      </c>
      <c r="CW22" s="230">
        <v>30862750</v>
      </c>
      <c r="CX22" s="230">
        <v>-145250</v>
      </c>
      <c r="CY22" s="229">
        <v>-4.7000000000000002E-3</v>
      </c>
      <c r="CZ22" s="228">
        <v>20.25</v>
      </c>
      <c r="DA22" s="228">
        <v>20.74</v>
      </c>
      <c r="DB22" s="228">
        <v>-0.49</v>
      </c>
      <c r="DC22" s="228">
        <v>-0.49</v>
      </c>
      <c r="DD22" s="228">
        <v>29.05</v>
      </c>
      <c r="DE22" s="228">
        <v>28.95</v>
      </c>
      <c r="DF22" s="228">
        <v>-8.8000000000000007</v>
      </c>
      <c r="DG22" s="228">
        <v>0.1</v>
      </c>
      <c r="DH22" s="228">
        <v>19.940000000000001</v>
      </c>
      <c r="DI22" s="228">
        <v>20.96</v>
      </c>
      <c r="DJ22" s="228">
        <v>-1.02</v>
      </c>
      <c r="DK22" s="228">
        <v>-1.02</v>
      </c>
      <c r="DL22" s="228">
        <v>20.89</v>
      </c>
      <c r="DM22" s="228">
        <v>20.23</v>
      </c>
      <c r="DN22" s="228">
        <v>0.66</v>
      </c>
      <c r="DO22" s="228">
        <v>0.66</v>
      </c>
      <c r="DP22" s="228">
        <v>0.72</v>
      </c>
      <c r="DQ22" s="228">
        <v>0.61</v>
      </c>
      <c r="DR22" s="228">
        <v>0.11</v>
      </c>
      <c r="DS22" s="229">
        <v>0.18029999999999999</v>
      </c>
      <c r="DT22" s="231">
        <v>2100</v>
      </c>
      <c r="DU22" s="231">
        <v>2000</v>
      </c>
      <c r="DV22" s="228">
        <v>0.38</v>
      </c>
      <c r="DW22" s="228">
        <v>0.43</v>
      </c>
      <c r="DX22" s="228">
        <v>-0.05</v>
      </c>
      <c r="DY22" s="229">
        <v>-0.1163</v>
      </c>
      <c r="DZ22" s="229">
        <v>0.38769999999999999</v>
      </c>
      <c r="EA22" s="230">
        <v>2480250</v>
      </c>
      <c r="EB22" s="229">
        <v>7.1999999999999998E-3</v>
      </c>
      <c r="EC22" s="229">
        <v>0.38769999999999999</v>
      </c>
      <c r="ED22" s="228">
        <v>14.08</v>
      </c>
      <c r="EE22" s="229">
        <v>6.7999999999999996E-3</v>
      </c>
      <c r="EF22" s="230">
        <v>896095</v>
      </c>
      <c r="EG22" s="230">
        <v>440994</v>
      </c>
      <c r="EH22" s="229">
        <v>1.032</v>
      </c>
      <c r="EI22" s="229">
        <v>0.53300000000000003</v>
      </c>
      <c r="EJ22" s="231">
        <v>524552.54</v>
      </c>
      <c r="EK22" s="231">
        <v>190933.43</v>
      </c>
      <c r="EL22" s="231">
        <v>260694.66</v>
      </c>
      <c r="EM22" s="231">
        <v>9340</v>
      </c>
      <c r="EN22" s="231">
        <v>976180.63</v>
      </c>
      <c r="EO22" s="231">
        <v>353226.46</v>
      </c>
      <c r="EP22" s="231">
        <v>622954.17000000004</v>
      </c>
      <c r="EQ22" s="229">
        <v>1.7636000000000001</v>
      </c>
      <c r="ER22" s="231">
        <v>144031</v>
      </c>
      <c r="ES22" s="231">
        <v>96938</v>
      </c>
      <c r="ET22" s="231">
        <v>403659</v>
      </c>
      <c r="EU22" s="231">
        <v>65659712</v>
      </c>
      <c r="EV22" s="231">
        <v>644627</v>
      </c>
      <c r="EW22" s="231">
        <v>637010</v>
      </c>
      <c r="EX22" s="231">
        <v>7617</v>
      </c>
      <c r="EY22" s="229">
        <v>1.2E-2</v>
      </c>
      <c r="EZ22" s="229">
        <v>0.46779999999999999</v>
      </c>
      <c r="FA22" s="227" t="s">
        <v>556</v>
      </c>
      <c r="FB22" s="161">
        <f t="shared" si="0"/>
        <v>7433000</v>
      </c>
    </row>
    <row r="23" spans="1:158" ht="17.25" hidden="1" thickBot="1" x14ac:dyDescent="0.3">
      <c r="A23" s="226">
        <v>45981</v>
      </c>
      <c r="B23" s="227" t="s">
        <v>175</v>
      </c>
      <c r="C23" s="227" t="s">
        <v>177</v>
      </c>
      <c r="D23" s="228">
        <v>750</v>
      </c>
      <c r="E23" s="231">
        <v>1030.0999999999999</v>
      </c>
      <c r="F23" s="231">
        <v>1007.7</v>
      </c>
      <c r="G23" s="228">
        <v>22.4</v>
      </c>
      <c r="H23" s="229">
        <v>2.2200000000000001E-2</v>
      </c>
      <c r="I23" s="231">
        <v>1028.5999999999999</v>
      </c>
      <c r="J23" s="231">
        <v>1005.6</v>
      </c>
      <c r="K23" s="228">
        <v>23</v>
      </c>
      <c r="L23" s="229">
        <v>2.29E-2</v>
      </c>
      <c r="M23" s="231">
        <v>1030.0999999999999</v>
      </c>
      <c r="N23" s="231">
        <v>1007.7</v>
      </c>
      <c r="O23" s="228">
        <v>22.4</v>
      </c>
      <c r="P23" s="229">
        <v>2.2200000000000001E-2</v>
      </c>
      <c r="Q23" s="231">
        <v>1036.9000000000001</v>
      </c>
      <c r="R23" s="231">
        <v>1014.2</v>
      </c>
      <c r="S23" s="228">
        <v>22.7</v>
      </c>
      <c r="T23" s="229">
        <v>2.24E-2</v>
      </c>
      <c r="U23" s="231">
        <v>1042.9000000000001</v>
      </c>
      <c r="V23" s="231">
        <v>1020.6</v>
      </c>
      <c r="W23" s="228">
        <v>22.3</v>
      </c>
      <c r="X23" s="229">
        <v>2.18E-2</v>
      </c>
      <c r="Y23" s="228">
        <v>1.5</v>
      </c>
      <c r="Z23" s="228">
        <v>2.1</v>
      </c>
      <c r="AA23" s="228">
        <v>-0.6</v>
      </c>
      <c r="AB23" s="229">
        <v>1.5E-3</v>
      </c>
      <c r="AC23" s="228">
        <v>1.5</v>
      </c>
      <c r="AD23" s="228">
        <v>2.1</v>
      </c>
      <c r="AE23" s="228">
        <v>-0.6</v>
      </c>
      <c r="AF23" s="229">
        <v>1.5E-3</v>
      </c>
      <c r="AG23" s="228">
        <v>8.3000000000000007</v>
      </c>
      <c r="AH23" s="228">
        <v>8.6</v>
      </c>
      <c r="AI23" s="228">
        <v>-0.3</v>
      </c>
      <c r="AJ23" s="229">
        <v>8.0999999999999996E-3</v>
      </c>
      <c r="AK23" s="228">
        <v>14.3</v>
      </c>
      <c r="AL23" s="228">
        <v>15</v>
      </c>
      <c r="AM23" s="228">
        <v>-0.7</v>
      </c>
      <c r="AN23" s="229">
        <v>1.3899999999999999E-2</v>
      </c>
      <c r="AO23" s="231">
        <v>1021.95</v>
      </c>
      <c r="AP23" s="231">
        <v>1028.53</v>
      </c>
      <c r="AQ23" s="228">
        <v>0</v>
      </c>
      <c r="AR23" s="230">
        <v>63412500</v>
      </c>
      <c r="AS23" s="230">
        <v>11743500</v>
      </c>
      <c r="AT23" s="230">
        <v>51669000</v>
      </c>
      <c r="AU23" s="229">
        <v>4.3997999999999999</v>
      </c>
      <c r="AV23" s="230">
        <v>32381250</v>
      </c>
      <c r="AW23" s="230">
        <v>6972750</v>
      </c>
      <c r="AX23" s="230">
        <v>25408500</v>
      </c>
      <c r="AY23" s="229">
        <v>3.6440000000000001</v>
      </c>
      <c r="AZ23" s="230">
        <v>30858000</v>
      </c>
      <c r="BA23" s="230">
        <v>4630500</v>
      </c>
      <c r="BB23" s="230">
        <v>26227500</v>
      </c>
      <c r="BC23" s="229">
        <v>5.6641000000000004</v>
      </c>
      <c r="BD23" s="230">
        <v>173250</v>
      </c>
      <c r="BE23" s="230">
        <v>140250</v>
      </c>
      <c r="BF23" s="230">
        <v>33000</v>
      </c>
      <c r="BG23" s="229">
        <v>0.23530000000000001</v>
      </c>
      <c r="BH23" s="230">
        <v>54257250</v>
      </c>
      <c r="BI23" s="230">
        <v>36599250</v>
      </c>
      <c r="BJ23" s="230">
        <v>17658000</v>
      </c>
      <c r="BK23" s="229">
        <v>0.48249999999999998</v>
      </c>
      <c r="BL23" s="230">
        <v>23976000</v>
      </c>
      <c r="BM23" s="230">
        <v>15909000</v>
      </c>
      <c r="BN23" s="230">
        <v>8067000</v>
      </c>
      <c r="BO23" s="229">
        <v>0.5071</v>
      </c>
      <c r="BP23" s="230">
        <v>141645750</v>
      </c>
      <c r="BQ23" s="230">
        <v>64251750</v>
      </c>
      <c r="BR23" s="230">
        <v>77394000</v>
      </c>
      <c r="BS23" s="229">
        <v>1.2044999999999999</v>
      </c>
      <c r="BT23" s="230">
        <v>5923387</v>
      </c>
      <c r="BU23" s="230">
        <v>5841050</v>
      </c>
      <c r="BV23" s="230">
        <v>82337</v>
      </c>
      <c r="BW23" s="229">
        <v>1.41E-2</v>
      </c>
      <c r="BX23" s="230">
        <v>92992500</v>
      </c>
      <c r="BY23" s="230">
        <v>94208250</v>
      </c>
      <c r="BZ23" s="230">
        <v>-1215750</v>
      </c>
      <c r="CA23" s="229">
        <v>-1.29E-2</v>
      </c>
      <c r="CB23" s="230">
        <v>52906500</v>
      </c>
      <c r="CC23" s="230">
        <v>81330000</v>
      </c>
      <c r="CD23" s="230">
        <v>-28423500</v>
      </c>
      <c r="CE23" s="229">
        <v>-0.34949999999999998</v>
      </c>
      <c r="CF23" s="230">
        <v>39583500</v>
      </c>
      <c r="CG23" s="230">
        <v>12377250</v>
      </c>
      <c r="CH23" s="230">
        <v>27206250</v>
      </c>
      <c r="CI23" s="229">
        <v>2.1981000000000002</v>
      </c>
      <c r="CJ23" s="230">
        <v>502500</v>
      </c>
      <c r="CK23" s="230">
        <v>501000</v>
      </c>
      <c r="CL23" s="230">
        <v>1500</v>
      </c>
      <c r="CM23" s="229">
        <v>3.0000000000000001E-3</v>
      </c>
      <c r="CN23" s="230">
        <v>27608250</v>
      </c>
      <c r="CO23" s="230">
        <v>33400500</v>
      </c>
      <c r="CP23" s="230">
        <v>-5792250</v>
      </c>
      <c r="CQ23" s="229">
        <v>-0.1734</v>
      </c>
      <c r="CR23" s="230">
        <v>17313000</v>
      </c>
      <c r="CS23" s="230">
        <v>18675000</v>
      </c>
      <c r="CT23" s="230">
        <v>-1362000</v>
      </c>
      <c r="CU23" s="229">
        <v>-7.2900000000000006E-2</v>
      </c>
      <c r="CV23" s="230">
        <v>137913750</v>
      </c>
      <c r="CW23" s="230">
        <v>146283750</v>
      </c>
      <c r="CX23" s="230">
        <v>-8370000</v>
      </c>
      <c r="CY23" s="229">
        <v>-5.7200000000000001E-2</v>
      </c>
      <c r="CZ23" s="228">
        <v>20.41</v>
      </c>
      <c r="DA23" s="228">
        <v>25.25</v>
      </c>
      <c r="DB23" s="228">
        <v>-4.84</v>
      </c>
      <c r="DC23" s="228">
        <v>-4.84</v>
      </c>
      <c r="DD23" s="228">
        <v>32.130000000000003</v>
      </c>
      <c r="DE23" s="228">
        <v>32.07</v>
      </c>
      <c r="DF23" s="228">
        <v>-11.72</v>
      </c>
      <c r="DG23" s="228">
        <v>0.06</v>
      </c>
      <c r="DH23" s="228">
        <v>20.21</v>
      </c>
      <c r="DI23" s="228">
        <v>26.19</v>
      </c>
      <c r="DJ23" s="228">
        <v>-5.98</v>
      </c>
      <c r="DK23" s="228">
        <v>-5.98</v>
      </c>
      <c r="DL23" s="228">
        <v>20.85</v>
      </c>
      <c r="DM23" s="228">
        <v>23.09</v>
      </c>
      <c r="DN23" s="228">
        <v>-2.2400000000000002</v>
      </c>
      <c r="DO23" s="228">
        <v>-2.2400000000000002</v>
      </c>
      <c r="DP23" s="228">
        <v>0.63</v>
      </c>
      <c r="DQ23" s="228">
        <v>0.56000000000000005</v>
      </c>
      <c r="DR23" s="228">
        <v>7.0000000000000007E-2</v>
      </c>
      <c r="DS23" s="229">
        <v>0.125</v>
      </c>
      <c r="DT23" s="231">
        <v>1100</v>
      </c>
      <c r="DU23" s="231">
        <v>1000</v>
      </c>
      <c r="DV23" s="228">
        <v>0.44</v>
      </c>
      <c r="DW23" s="228">
        <v>0.43</v>
      </c>
      <c r="DX23" s="228">
        <v>0.01</v>
      </c>
      <c r="DY23" s="229">
        <v>2.3300000000000001E-2</v>
      </c>
      <c r="DZ23" s="229">
        <v>0.43109999999999998</v>
      </c>
      <c r="EA23" s="230">
        <v>12878250</v>
      </c>
      <c r="EB23" s="229">
        <v>6.6E-3</v>
      </c>
      <c r="EC23" s="229">
        <v>0.43109999999999998</v>
      </c>
      <c r="ED23" s="228">
        <v>6.58</v>
      </c>
      <c r="EE23" s="229">
        <v>6.4000000000000003E-3</v>
      </c>
      <c r="EF23" s="230">
        <v>3465123</v>
      </c>
      <c r="EG23" s="230">
        <v>4240980</v>
      </c>
      <c r="EH23" s="229">
        <v>-0.18290000000000001</v>
      </c>
      <c r="EI23" s="229">
        <v>0.58499999999999996</v>
      </c>
      <c r="EJ23" s="231">
        <v>572760.89</v>
      </c>
      <c r="EK23" s="231">
        <v>242739.71</v>
      </c>
      <c r="EL23" s="231">
        <v>650100.19999999995</v>
      </c>
      <c r="EM23" s="231">
        <v>12446</v>
      </c>
      <c r="EN23" s="231">
        <v>1465600.8</v>
      </c>
      <c r="EO23" s="231">
        <v>665609.23</v>
      </c>
      <c r="EP23" s="231">
        <v>799991.57</v>
      </c>
      <c r="EQ23" s="229">
        <v>1.2019</v>
      </c>
      <c r="ER23" s="231">
        <v>299337</v>
      </c>
      <c r="ES23" s="231">
        <v>174124</v>
      </c>
      <c r="ET23" s="231">
        <v>960672</v>
      </c>
      <c r="EU23" s="231">
        <v>281116345</v>
      </c>
      <c r="EV23" s="231">
        <v>1434134</v>
      </c>
      <c r="EW23" s="231">
        <v>1497929</v>
      </c>
      <c r="EX23" s="231">
        <v>-63795</v>
      </c>
      <c r="EY23" s="229">
        <v>-4.2599999999999999E-2</v>
      </c>
      <c r="EZ23" s="229">
        <v>0.49059999999999998</v>
      </c>
      <c r="FA23" s="227" t="s">
        <v>556</v>
      </c>
      <c r="FB23" s="161">
        <f t="shared" si="0"/>
        <v>40086000</v>
      </c>
    </row>
    <row r="24" spans="1:158" ht="17.25" hidden="1" thickBot="1" x14ac:dyDescent="0.3">
      <c r="A24" s="226">
        <v>45981</v>
      </c>
      <c r="B24" s="227" t="s">
        <v>172</v>
      </c>
      <c r="C24" s="227" t="s">
        <v>179</v>
      </c>
      <c r="D24" s="228">
        <v>3600</v>
      </c>
      <c r="E24" s="228">
        <v>151.4</v>
      </c>
      <c r="F24" s="228">
        <v>153.16999999999999</v>
      </c>
      <c r="G24" s="228">
        <v>-1.77</v>
      </c>
      <c r="H24" s="229">
        <v>-1.1599999999999999E-2</v>
      </c>
      <c r="I24" s="228">
        <v>151.22</v>
      </c>
      <c r="J24" s="228">
        <v>152.88</v>
      </c>
      <c r="K24" s="228">
        <v>-1.66</v>
      </c>
      <c r="L24" s="229">
        <v>-1.09E-2</v>
      </c>
      <c r="M24" s="228">
        <v>151.4</v>
      </c>
      <c r="N24" s="228">
        <v>153.16999999999999</v>
      </c>
      <c r="O24" s="228">
        <v>-1.77</v>
      </c>
      <c r="P24" s="229">
        <v>-1.1599999999999999E-2</v>
      </c>
      <c r="Q24" s="228">
        <v>152.41999999999999</v>
      </c>
      <c r="R24" s="228">
        <v>154.24</v>
      </c>
      <c r="S24" s="228">
        <v>-1.82</v>
      </c>
      <c r="T24" s="229">
        <v>-1.18E-2</v>
      </c>
      <c r="U24" s="228">
        <v>153.33000000000001</v>
      </c>
      <c r="V24" s="228">
        <v>155.15</v>
      </c>
      <c r="W24" s="228">
        <v>-1.82</v>
      </c>
      <c r="X24" s="229">
        <v>-1.17E-2</v>
      </c>
      <c r="Y24" s="228">
        <v>0.18</v>
      </c>
      <c r="Z24" s="228">
        <v>0.28999999999999998</v>
      </c>
      <c r="AA24" s="228">
        <v>-0.11</v>
      </c>
      <c r="AB24" s="229">
        <v>1.1999999999999999E-3</v>
      </c>
      <c r="AC24" s="228">
        <v>0.18</v>
      </c>
      <c r="AD24" s="228">
        <v>0.28999999999999998</v>
      </c>
      <c r="AE24" s="228">
        <v>-0.11</v>
      </c>
      <c r="AF24" s="229">
        <v>1.1999999999999999E-3</v>
      </c>
      <c r="AG24" s="228">
        <v>1.2</v>
      </c>
      <c r="AH24" s="228">
        <v>1.36</v>
      </c>
      <c r="AI24" s="228">
        <v>-0.16</v>
      </c>
      <c r="AJ24" s="229">
        <v>7.9000000000000008E-3</v>
      </c>
      <c r="AK24" s="228">
        <v>2.11</v>
      </c>
      <c r="AL24" s="228">
        <v>2.27</v>
      </c>
      <c r="AM24" s="228">
        <v>-0.16</v>
      </c>
      <c r="AN24" s="229">
        <v>1.4E-2</v>
      </c>
      <c r="AO24" s="228">
        <v>152.15</v>
      </c>
      <c r="AP24" s="228">
        <v>153.16999999999999</v>
      </c>
      <c r="AQ24" s="228">
        <v>0</v>
      </c>
      <c r="AR24" s="230">
        <v>43873200</v>
      </c>
      <c r="AS24" s="230">
        <v>24728400</v>
      </c>
      <c r="AT24" s="230">
        <v>19144800</v>
      </c>
      <c r="AU24" s="229">
        <v>0.7742</v>
      </c>
      <c r="AV24" s="230">
        <v>22075200</v>
      </c>
      <c r="AW24" s="230">
        <v>12996000</v>
      </c>
      <c r="AX24" s="230">
        <v>9079200</v>
      </c>
      <c r="AY24" s="229">
        <v>0.6986</v>
      </c>
      <c r="AZ24" s="230">
        <v>21304800</v>
      </c>
      <c r="BA24" s="230">
        <v>11415600</v>
      </c>
      <c r="BB24" s="230">
        <v>9889200</v>
      </c>
      <c r="BC24" s="229">
        <v>0.86629999999999996</v>
      </c>
      <c r="BD24" s="230">
        <v>493200</v>
      </c>
      <c r="BE24" s="230">
        <v>316800</v>
      </c>
      <c r="BF24" s="230">
        <v>176400</v>
      </c>
      <c r="BG24" s="229">
        <v>0.55679999999999996</v>
      </c>
      <c r="BH24" s="230">
        <v>45489600</v>
      </c>
      <c r="BI24" s="230">
        <v>44787600</v>
      </c>
      <c r="BJ24" s="230">
        <v>702000</v>
      </c>
      <c r="BK24" s="229">
        <v>1.5699999999999999E-2</v>
      </c>
      <c r="BL24" s="230">
        <v>15620400</v>
      </c>
      <c r="BM24" s="230">
        <v>16704000</v>
      </c>
      <c r="BN24" s="230">
        <v>-1083600</v>
      </c>
      <c r="BO24" s="229">
        <v>-6.4899999999999999E-2</v>
      </c>
      <c r="BP24" s="230">
        <v>104983200</v>
      </c>
      <c r="BQ24" s="230">
        <v>86220000</v>
      </c>
      <c r="BR24" s="230">
        <v>18763200</v>
      </c>
      <c r="BS24" s="229">
        <v>0.21759999999999999</v>
      </c>
      <c r="BT24" s="230">
        <v>3707444</v>
      </c>
      <c r="BU24" s="230">
        <v>3270933</v>
      </c>
      <c r="BV24" s="230">
        <v>436511</v>
      </c>
      <c r="BW24" s="229">
        <v>0.13350000000000001</v>
      </c>
      <c r="BX24" s="230">
        <v>132062400</v>
      </c>
      <c r="BY24" s="230">
        <v>133603200</v>
      </c>
      <c r="BZ24" s="230">
        <v>-1540800</v>
      </c>
      <c r="CA24" s="229">
        <v>-1.15E-2</v>
      </c>
      <c r="CB24" s="230">
        <v>77950800</v>
      </c>
      <c r="CC24" s="230">
        <v>93697200</v>
      </c>
      <c r="CD24" s="230">
        <v>-15746400</v>
      </c>
      <c r="CE24" s="229">
        <v>-0.1681</v>
      </c>
      <c r="CF24" s="230">
        <v>51163200</v>
      </c>
      <c r="CG24" s="230">
        <v>37242000</v>
      </c>
      <c r="CH24" s="230">
        <v>13921200</v>
      </c>
      <c r="CI24" s="229">
        <v>0.37380000000000002</v>
      </c>
      <c r="CJ24" s="230">
        <v>2948400</v>
      </c>
      <c r="CK24" s="230">
        <v>2664000</v>
      </c>
      <c r="CL24" s="230">
        <v>284400</v>
      </c>
      <c r="CM24" s="229">
        <v>0.10680000000000001</v>
      </c>
      <c r="CN24" s="230">
        <v>82558800</v>
      </c>
      <c r="CO24" s="230">
        <v>86878800</v>
      </c>
      <c r="CP24" s="230">
        <v>-4320000</v>
      </c>
      <c r="CQ24" s="229">
        <v>-4.9700000000000001E-2</v>
      </c>
      <c r="CR24" s="230">
        <v>44784000</v>
      </c>
      <c r="CS24" s="230">
        <v>44892000</v>
      </c>
      <c r="CT24" s="230">
        <v>-108000</v>
      </c>
      <c r="CU24" s="229">
        <v>-2.3999999999999998E-3</v>
      </c>
      <c r="CV24" s="230">
        <v>259405200</v>
      </c>
      <c r="CW24" s="230">
        <v>265374000</v>
      </c>
      <c r="CX24" s="230">
        <v>-5968800</v>
      </c>
      <c r="CY24" s="229">
        <v>-2.2499999999999999E-2</v>
      </c>
      <c r="CZ24" s="228">
        <v>29.8</v>
      </c>
      <c r="DA24" s="228">
        <v>33.549999999999997</v>
      </c>
      <c r="DB24" s="228">
        <v>-3.75</v>
      </c>
      <c r="DC24" s="228">
        <v>-3.75</v>
      </c>
      <c r="DD24" s="228">
        <v>42.41</v>
      </c>
      <c r="DE24" s="228">
        <v>42.49</v>
      </c>
      <c r="DF24" s="228">
        <v>-12.61</v>
      </c>
      <c r="DG24" s="228">
        <v>-0.08</v>
      </c>
      <c r="DH24" s="228">
        <v>30.18</v>
      </c>
      <c r="DI24" s="228">
        <v>34.68</v>
      </c>
      <c r="DJ24" s="228">
        <v>-4.5</v>
      </c>
      <c r="DK24" s="228">
        <v>-4.5</v>
      </c>
      <c r="DL24" s="228">
        <v>29.14</v>
      </c>
      <c r="DM24" s="228">
        <v>30.53</v>
      </c>
      <c r="DN24" s="228">
        <v>-1.39</v>
      </c>
      <c r="DO24" s="228">
        <v>-1.39</v>
      </c>
      <c r="DP24" s="228">
        <v>0.54</v>
      </c>
      <c r="DQ24" s="228">
        <v>0.52</v>
      </c>
      <c r="DR24" s="228">
        <v>0.02</v>
      </c>
      <c r="DS24" s="229">
        <v>3.85E-2</v>
      </c>
      <c r="DT24" s="228">
        <v>160</v>
      </c>
      <c r="DU24" s="228">
        <v>152.5</v>
      </c>
      <c r="DV24" s="228">
        <v>0.34</v>
      </c>
      <c r="DW24" s="228">
        <v>0.37</v>
      </c>
      <c r="DX24" s="228">
        <v>-0.03</v>
      </c>
      <c r="DY24" s="229">
        <v>-8.1100000000000005E-2</v>
      </c>
      <c r="DZ24" s="229">
        <v>0.40970000000000001</v>
      </c>
      <c r="EA24" s="230">
        <v>39906000</v>
      </c>
      <c r="EB24" s="229">
        <v>6.7000000000000002E-3</v>
      </c>
      <c r="EC24" s="229">
        <v>0.40970000000000001</v>
      </c>
      <c r="ED24" s="228">
        <v>1.02</v>
      </c>
      <c r="EE24" s="229">
        <v>6.7000000000000002E-3</v>
      </c>
      <c r="EF24" s="230">
        <v>1438494</v>
      </c>
      <c r="EG24" s="230">
        <v>1490409</v>
      </c>
      <c r="EH24" s="229">
        <v>-3.4799999999999998E-2</v>
      </c>
      <c r="EI24" s="229">
        <v>0.38800000000000001</v>
      </c>
      <c r="EJ24" s="231">
        <v>73778.13</v>
      </c>
      <c r="EK24" s="231">
        <v>24181.439999999999</v>
      </c>
      <c r="EL24" s="231">
        <v>66981.3</v>
      </c>
      <c r="EM24" s="231">
        <v>5075</v>
      </c>
      <c r="EN24" s="231">
        <v>164940.87</v>
      </c>
      <c r="EO24" s="231">
        <v>136962.04</v>
      </c>
      <c r="EP24" s="231">
        <v>27978.83</v>
      </c>
      <c r="EQ24" s="229">
        <v>0.20430000000000001</v>
      </c>
      <c r="ER24" s="231">
        <v>139010</v>
      </c>
      <c r="ES24" s="231">
        <v>70630</v>
      </c>
      <c r="ET24" s="231">
        <v>200521</v>
      </c>
      <c r="EU24" s="231">
        <v>142752962</v>
      </c>
      <c r="EV24" s="231">
        <v>410162</v>
      </c>
      <c r="EW24" s="231">
        <v>422793</v>
      </c>
      <c r="EX24" s="231">
        <v>-12631</v>
      </c>
      <c r="EY24" s="229">
        <v>-2.9899999999999999E-2</v>
      </c>
      <c r="EZ24" s="229">
        <v>1.8171999999999999</v>
      </c>
      <c r="FA24" s="227" t="s">
        <v>568</v>
      </c>
      <c r="FB24" s="161">
        <f t="shared" si="0"/>
        <v>54111600</v>
      </c>
    </row>
    <row r="25" spans="1:158" ht="17.25" hidden="1" thickBot="1" x14ac:dyDescent="0.3">
      <c r="A25" s="226">
        <v>45981</v>
      </c>
      <c r="B25" s="227" t="s">
        <v>172</v>
      </c>
      <c r="C25" s="227" t="s">
        <v>180</v>
      </c>
      <c r="D25" s="228">
        <v>2925</v>
      </c>
      <c r="E25" s="228">
        <v>288.60000000000002</v>
      </c>
      <c r="F25" s="228">
        <v>293.35000000000002</v>
      </c>
      <c r="G25" s="228">
        <v>-4.75</v>
      </c>
      <c r="H25" s="229">
        <v>-1.6199999999999999E-2</v>
      </c>
      <c r="I25" s="228">
        <v>288.25</v>
      </c>
      <c r="J25" s="228">
        <v>293.3</v>
      </c>
      <c r="K25" s="228">
        <v>-5.05</v>
      </c>
      <c r="L25" s="229">
        <v>-1.72E-2</v>
      </c>
      <c r="M25" s="228">
        <v>288.60000000000002</v>
      </c>
      <c r="N25" s="228">
        <v>293.35000000000002</v>
      </c>
      <c r="O25" s="228">
        <v>-4.75</v>
      </c>
      <c r="P25" s="229">
        <v>-1.6199999999999999E-2</v>
      </c>
      <c r="Q25" s="228">
        <v>290.5</v>
      </c>
      <c r="R25" s="228">
        <v>295.3</v>
      </c>
      <c r="S25" s="228">
        <v>-4.8</v>
      </c>
      <c r="T25" s="229">
        <v>-1.6299999999999999E-2</v>
      </c>
      <c r="U25" s="228">
        <v>292.45</v>
      </c>
      <c r="V25" s="228">
        <v>297.25</v>
      </c>
      <c r="W25" s="228">
        <v>-4.8</v>
      </c>
      <c r="X25" s="229">
        <v>-1.61E-2</v>
      </c>
      <c r="Y25" s="228">
        <v>0.35</v>
      </c>
      <c r="Z25" s="228">
        <v>0.05</v>
      </c>
      <c r="AA25" s="228">
        <v>0.3</v>
      </c>
      <c r="AB25" s="229">
        <v>1.1999999999999999E-3</v>
      </c>
      <c r="AC25" s="228">
        <v>0.35</v>
      </c>
      <c r="AD25" s="228">
        <v>0.05</v>
      </c>
      <c r="AE25" s="228">
        <v>0.3</v>
      </c>
      <c r="AF25" s="229">
        <v>1.1999999999999999E-3</v>
      </c>
      <c r="AG25" s="228">
        <v>2.25</v>
      </c>
      <c r="AH25" s="228">
        <v>2</v>
      </c>
      <c r="AI25" s="228">
        <v>0.25</v>
      </c>
      <c r="AJ25" s="229">
        <v>7.7999999999999996E-3</v>
      </c>
      <c r="AK25" s="228">
        <v>4.2</v>
      </c>
      <c r="AL25" s="228">
        <v>3.95</v>
      </c>
      <c r="AM25" s="228">
        <v>0.25</v>
      </c>
      <c r="AN25" s="229">
        <v>1.46E-2</v>
      </c>
      <c r="AO25" s="228">
        <v>290.72000000000003</v>
      </c>
      <c r="AP25" s="228">
        <v>292.55</v>
      </c>
      <c r="AQ25" s="228">
        <v>0</v>
      </c>
      <c r="AR25" s="230">
        <v>42067350</v>
      </c>
      <c r="AS25" s="230">
        <v>28849275</v>
      </c>
      <c r="AT25" s="230">
        <v>13218075</v>
      </c>
      <c r="AU25" s="229">
        <v>0.4582</v>
      </c>
      <c r="AV25" s="230">
        <v>22709700</v>
      </c>
      <c r="AW25" s="230">
        <v>19550700</v>
      </c>
      <c r="AX25" s="230">
        <v>3159000</v>
      </c>
      <c r="AY25" s="229">
        <v>0.16159999999999999</v>
      </c>
      <c r="AZ25" s="230">
        <v>18989100</v>
      </c>
      <c r="BA25" s="230">
        <v>8889075</v>
      </c>
      <c r="BB25" s="230">
        <v>10100025</v>
      </c>
      <c r="BC25" s="229">
        <v>1.1362000000000001</v>
      </c>
      <c r="BD25" s="230">
        <v>368550</v>
      </c>
      <c r="BE25" s="230">
        <v>409500</v>
      </c>
      <c r="BF25" s="230">
        <v>-40950</v>
      </c>
      <c r="BG25" s="229">
        <v>-0.1</v>
      </c>
      <c r="BH25" s="230">
        <v>58075875</v>
      </c>
      <c r="BI25" s="230">
        <v>117406575</v>
      </c>
      <c r="BJ25" s="230">
        <v>-59330700</v>
      </c>
      <c r="BK25" s="229">
        <v>-0.50529999999999997</v>
      </c>
      <c r="BL25" s="230">
        <v>29443050</v>
      </c>
      <c r="BM25" s="230">
        <v>53483625</v>
      </c>
      <c r="BN25" s="230">
        <v>-24040575</v>
      </c>
      <c r="BO25" s="229">
        <v>-0.44950000000000001</v>
      </c>
      <c r="BP25" s="230">
        <v>129586275</v>
      </c>
      <c r="BQ25" s="230">
        <v>199739475</v>
      </c>
      <c r="BR25" s="230">
        <v>-70153200</v>
      </c>
      <c r="BS25" s="229">
        <v>-0.35120000000000001</v>
      </c>
      <c r="BT25" s="230">
        <v>7650180</v>
      </c>
      <c r="BU25" s="230">
        <v>12901335</v>
      </c>
      <c r="BV25" s="230">
        <v>-5251155</v>
      </c>
      <c r="BW25" s="229">
        <v>-0.40699999999999997</v>
      </c>
      <c r="BX25" s="230">
        <v>101433150</v>
      </c>
      <c r="BY25" s="230">
        <v>100315800</v>
      </c>
      <c r="BZ25" s="230">
        <v>1117350</v>
      </c>
      <c r="CA25" s="229">
        <v>1.11E-2</v>
      </c>
      <c r="CB25" s="230">
        <v>73125000</v>
      </c>
      <c r="CC25" s="230">
        <v>86647275</v>
      </c>
      <c r="CD25" s="230">
        <v>-13522275</v>
      </c>
      <c r="CE25" s="229">
        <v>-0.15609999999999999</v>
      </c>
      <c r="CF25" s="230">
        <v>27720225</v>
      </c>
      <c r="CG25" s="230">
        <v>13218075</v>
      </c>
      <c r="CH25" s="230">
        <v>14502150</v>
      </c>
      <c r="CI25" s="229">
        <v>1.0971</v>
      </c>
      <c r="CJ25" s="230">
        <v>587925</v>
      </c>
      <c r="CK25" s="230">
        <v>450450</v>
      </c>
      <c r="CL25" s="230">
        <v>137475</v>
      </c>
      <c r="CM25" s="229">
        <v>0.30520000000000003</v>
      </c>
      <c r="CN25" s="230">
        <v>52345800</v>
      </c>
      <c r="CO25" s="230">
        <v>51149475</v>
      </c>
      <c r="CP25" s="230">
        <v>1196325</v>
      </c>
      <c r="CQ25" s="229">
        <v>2.3400000000000001E-2</v>
      </c>
      <c r="CR25" s="230">
        <v>38299950</v>
      </c>
      <c r="CS25" s="230">
        <v>39894075</v>
      </c>
      <c r="CT25" s="230">
        <v>-1594125</v>
      </c>
      <c r="CU25" s="229">
        <v>-0.04</v>
      </c>
      <c r="CV25" s="230">
        <v>192078900</v>
      </c>
      <c r="CW25" s="230">
        <v>191359350</v>
      </c>
      <c r="CX25" s="230">
        <v>719550</v>
      </c>
      <c r="CY25" s="229">
        <v>3.8E-3</v>
      </c>
      <c r="CZ25" s="228">
        <v>21.36</v>
      </c>
      <c r="DA25" s="228">
        <v>25.89</v>
      </c>
      <c r="DB25" s="228">
        <v>-4.53</v>
      </c>
      <c r="DC25" s="228">
        <v>-4.53</v>
      </c>
      <c r="DD25" s="228">
        <v>34.67</v>
      </c>
      <c r="DE25" s="228">
        <v>34.69</v>
      </c>
      <c r="DF25" s="228">
        <v>-13.31</v>
      </c>
      <c r="DG25" s="228">
        <v>-0.02</v>
      </c>
      <c r="DH25" s="228">
        <v>21.59</v>
      </c>
      <c r="DI25" s="228">
        <v>25.16</v>
      </c>
      <c r="DJ25" s="228">
        <v>-3.57</v>
      </c>
      <c r="DK25" s="228">
        <v>-3.57</v>
      </c>
      <c r="DL25" s="228">
        <v>20.88</v>
      </c>
      <c r="DM25" s="228">
        <v>27.49</v>
      </c>
      <c r="DN25" s="228">
        <v>-6.61</v>
      </c>
      <c r="DO25" s="228">
        <v>-6.61</v>
      </c>
      <c r="DP25" s="228">
        <v>0.73</v>
      </c>
      <c r="DQ25" s="228">
        <v>0.78</v>
      </c>
      <c r="DR25" s="228">
        <v>-0.05</v>
      </c>
      <c r="DS25" s="229">
        <v>-6.4100000000000004E-2</v>
      </c>
      <c r="DT25" s="228">
        <v>300</v>
      </c>
      <c r="DU25" s="228">
        <v>280</v>
      </c>
      <c r="DV25" s="228">
        <v>0.51</v>
      </c>
      <c r="DW25" s="228">
        <v>0.46</v>
      </c>
      <c r="DX25" s="228">
        <v>0.05</v>
      </c>
      <c r="DY25" s="229">
        <v>0.1087</v>
      </c>
      <c r="DZ25" s="229">
        <v>0.27910000000000001</v>
      </c>
      <c r="EA25" s="230">
        <v>13668525</v>
      </c>
      <c r="EB25" s="229">
        <v>6.6E-3</v>
      </c>
      <c r="EC25" s="229">
        <v>0.27910000000000001</v>
      </c>
      <c r="ED25" s="228">
        <v>1.83</v>
      </c>
      <c r="EE25" s="229">
        <v>6.3E-3</v>
      </c>
      <c r="EF25" s="230">
        <v>3581644</v>
      </c>
      <c r="EG25" s="230">
        <v>7327090</v>
      </c>
      <c r="EH25" s="229">
        <v>-0.51119999999999999</v>
      </c>
      <c r="EI25" s="229">
        <v>0.46820000000000001</v>
      </c>
      <c r="EJ25" s="231">
        <v>173996.98</v>
      </c>
      <c r="EK25" s="231">
        <v>84800.86</v>
      </c>
      <c r="EL25" s="231">
        <v>122657.9</v>
      </c>
      <c r="EM25" s="231">
        <v>7310</v>
      </c>
      <c r="EN25" s="231">
        <v>381455.74</v>
      </c>
      <c r="EO25" s="231">
        <v>588795.03</v>
      </c>
      <c r="EP25" s="231">
        <v>-207339.29</v>
      </c>
      <c r="EQ25" s="229">
        <v>-0.35210000000000002</v>
      </c>
      <c r="ER25" s="231">
        <v>152280</v>
      </c>
      <c r="ES25" s="231">
        <v>106349</v>
      </c>
      <c r="ET25" s="231">
        <v>293285</v>
      </c>
      <c r="EU25" s="231">
        <v>257509827</v>
      </c>
      <c r="EV25" s="231">
        <v>551915</v>
      </c>
      <c r="EW25" s="231">
        <v>553631</v>
      </c>
      <c r="EX25" s="231">
        <v>-1716</v>
      </c>
      <c r="EY25" s="229">
        <v>-3.0999999999999999E-3</v>
      </c>
      <c r="EZ25" s="229">
        <v>0.74590000000000001</v>
      </c>
      <c r="FA25" s="227" t="s">
        <v>567</v>
      </c>
      <c r="FB25" s="161">
        <f t="shared" si="0"/>
        <v>28308150</v>
      </c>
    </row>
    <row r="26" spans="1:158" ht="17.25" hidden="1" thickBot="1" x14ac:dyDescent="0.3">
      <c r="A26" s="226">
        <v>45981</v>
      </c>
      <c r="B26" s="227" t="s">
        <v>172</v>
      </c>
      <c r="C26" s="227" t="s">
        <v>602</v>
      </c>
      <c r="D26" s="228">
        <v>5200</v>
      </c>
      <c r="E26" s="228">
        <v>147.54</v>
      </c>
      <c r="F26" s="228">
        <v>148.56</v>
      </c>
      <c r="G26" s="228">
        <v>-1.02</v>
      </c>
      <c r="H26" s="229">
        <v>-6.8999999999999999E-3</v>
      </c>
      <c r="I26" s="228">
        <v>147.72</v>
      </c>
      <c r="J26" s="228">
        <v>148.59</v>
      </c>
      <c r="K26" s="228">
        <v>-0.87</v>
      </c>
      <c r="L26" s="229">
        <v>-5.8999999999999999E-3</v>
      </c>
      <c r="M26" s="228">
        <v>147.54</v>
      </c>
      <c r="N26" s="228">
        <v>148.56</v>
      </c>
      <c r="O26" s="228">
        <v>-1.02</v>
      </c>
      <c r="P26" s="229">
        <v>-6.8999999999999999E-3</v>
      </c>
      <c r="Q26" s="228">
        <v>148.47999999999999</v>
      </c>
      <c r="R26" s="228">
        <v>149.56</v>
      </c>
      <c r="S26" s="228">
        <v>-1.08</v>
      </c>
      <c r="T26" s="229">
        <v>-7.1999999999999998E-3</v>
      </c>
      <c r="U26" s="228">
        <v>149.43</v>
      </c>
      <c r="V26" s="228">
        <v>150.5</v>
      </c>
      <c r="W26" s="228">
        <v>-1.07</v>
      </c>
      <c r="X26" s="229">
        <v>-7.1000000000000004E-3</v>
      </c>
      <c r="Y26" s="228">
        <v>-0.18</v>
      </c>
      <c r="Z26" s="228">
        <v>-0.03</v>
      </c>
      <c r="AA26" s="228">
        <v>-0.15</v>
      </c>
      <c r="AB26" s="229">
        <v>-1.1999999999999999E-3</v>
      </c>
      <c r="AC26" s="228">
        <v>-0.18</v>
      </c>
      <c r="AD26" s="228">
        <v>-0.03</v>
      </c>
      <c r="AE26" s="228">
        <v>-0.15</v>
      </c>
      <c r="AF26" s="229">
        <v>-1.1999999999999999E-3</v>
      </c>
      <c r="AG26" s="228">
        <v>0.76</v>
      </c>
      <c r="AH26" s="228">
        <v>0.97</v>
      </c>
      <c r="AI26" s="228">
        <v>-0.21</v>
      </c>
      <c r="AJ26" s="229">
        <v>5.1000000000000004E-3</v>
      </c>
      <c r="AK26" s="228">
        <v>1.71</v>
      </c>
      <c r="AL26" s="228">
        <v>1.91</v>
      </c>
      <c r="AM26" s="228">
        <v>-0.2</v>
      </c>
      <c r="AN26" s="229">
        <v>1.1599999999999999E-2</v>
      </c>
      <c r="AO26" s="228">
        <v>148.22999999999999</v>
      </c>
      <c r="AP26" s="228">
        <v>149.24</v>
      </c>
      <c r="AQ26" s="228">
        <v>0</v>
      </c>
      <c r="AR26" s="230">
        <v>29686800</v>
      </c>
      <c r="AS26" s="230">
        <v>13124800</v>
      </c>
      <c r="AT26" s="230">
        <v>16562000</v>
      </c>
      <c r="AU26" s="229">
        <v>1.2619</v>
      </c>
      <c r="AV26" s="230">
        <v>16416400</v>
      </c>
      <c r="AW26" s="230">
        <v>8590400</v>
      </c>
      <c r="AX26" s="230">
        <v>7826000</v>
      </c>
      <c r="AY26" s="229">
        <v>0.91100000000000003</v>
      </c>
      <c r="AZ26" s="230">
        <v>13135200</v>
      </c>
      <c r="BA26" s="230">
        <v>4378400</v>
      </c>
      <c r="BB26" s="230">
        <v>8756800</v>
      </c>
      <c r="BC26" s="229">
        <v>2</v>
      </c>
      <c r="BD26" s="230">
        <v>135200</v>
      </c>
      <c r="BE26" s="230">
        <v>156000</v>
      </c>
      <c r="BF26" s="230">
        <v>-20800</v>
      </c>
      <c r="BG26" s="229">
        <v>-0.1333</v>
      </c>
      <c r="BH26" s="230">
        <v>17160000</v>
      </c>
      <c r="BI26" s="230">
        <v>27045200</v>
      </c>
      <c r="BJ26" s="230">
        <v>-9885200</v>
      </c>
      <c r="BK26" s="229">
        <v>-0.36549999999999999</v>
      </c>
      <c r="BL26" s="230">
        <v>9989200</v>
      </c>
      <c r="BM26" s="230">
        <v>14471600</v>
      </c>
      <c r="BN26" s="230">
        <v>-4482400</v>
      </c>
      <c r="BO26" s="229">
        <v>-0.30969999999999998</v>
      </c>
      <c r="BP26" s="230">
        <v>56836000</v>
      </c>
      <c r="BQ26" s="230">
        <v>54641600</v>
      </c>
      <c r="BR26" s="230">
        <v>2194400</v>
      </c>
      <c r="BS26" s="229">
        <v>4.02E-2</v>
      </c>
      <c r="BT26" s="230">
        <v>6951693</v>
      </c>
      <c r="BU26" s="230">
        <v>6448691</v>
      </c>
      <c r="BV26" s="230">
        <v>503002</v>
      </c>
      <c r="BW26" s="229">
        <v>7.8E-2</v>
      </c>
      <c r="BX26" s="230">
        <v>52894400</v>
      </c>
      <c r="BY26" s="230">
        <v>54693600</v>
      </c>
      <c r="BZ26" s="230">
        <v>-1799200</v>
      </c>
      <c r="CA26" s="229">
        <v>-3.2899999999999999E-2</v>
      </c>
      <c r="CB26" s="230">
        <v>32614400</v>
      </c>
      <c r="CC26" s="230">
        <v>44948800</v>
      </c>
      <c r="CD26" s="230">
        <v>-12334400</v>
      </c>
      <c r="CE26" s="229">
        <v>-0.27439999999999998</v>
      </c>
      <c r="CF26" s="230">
        <v>19682000</v>
      </c>
      <c r="CG26" s="230">
        <v>9204000</v>
      </c>
      <c r="CH26" s="230">
        <v>10478000</v>
      </c>
      <c r="CI26" s="229">
        <v>1.1384000000000001</v>
      </c>
      <c r="CJ26" s="230">
        <v>598000</v>
      </c>
      <c r="CK26" s="230">
        <v>540800</v>
      </c>
      <c r="CL26" s="230">
        <v>57200</v>
      </c>
      <c r="CM26" s="229">
        <v>0.10580000000000001</v>
      </c>
      <c r="CN26" s="230">
        <v>29322800</v>
      </c>
      <c r="CO26" s="230">
        <v>30352400</v>
      </c>
      <c r="CP26" s="230">
        <v>-1029600</v>
      </c>
      <c r="CQ26" s="229">
        <v>-3.39E-2</v>
      </c>
      <c r="CR26" s="230">
        <v>26036400</v>
      </c>
      <c r="CS26" s="230">
        <v>24247600</v>
      </c>
      <c r="CT26" s="230">
        <v>1788800</v>
      </c>
      <c r="CU26" s="229">
        <v>7.3800000000000004E-2</v>
      </c>
      <c r="CV26" s="230">
        <v>108253600</v>
      </c>
      <c r="CW26" s="230">
        <v>109293600</v>
      </c>
      <c r="CX26" s="230">
        <v>-1040000</v>
      </c>
      <c r="CY26" s="229">
        <v>-9.4999999999999998E-3</v>
      </c>
      <c r="CZ26" s="228">
        <v>26.52</v>
      </c>
      <c r="DA26" s="228">
        <v>25.77</v>
      </c>
      <c r="DB26" s="228">
        <v>0.75</v>
      </c>
      <c r="DC26" s="228">
        <v>0.75</v>
      </c>
      <c r="DD26" s="228">
        <v>39.22</v>
      </c>
      <c r="DE26" s="228">
        <v>39.31</v>
      </c>
      <c r="DF26" s="228">
        <v>-12.7</v>
      </c>
      <c r="DG26" s="228">
        <v>-0.09</v>
      </c>
      <c r="DH26" s="228">
        <v>26.33</v>
      </c>
      <c r="DI26" s="228">
        <v>23.96</v>
      </c>
      <c r="DJ26" s="228">
        <v>2.37</v>
      </c>
      <c r="DK26" s="228">
        <v>2.37</v>
      </c>
      <c r="DL26" s="228">
        <v>26.71</v>
      </c>
      <c r="DM26" s="228">
        <v>29.15</v>
      </c>
      <c r="DN26" s="228">
        <v>-2.44</v>
      </c>
      <c r="DO26" s="228">
        <v>-2.44</v>
      </c>
      <c r="DP26" s="228">
        <v>0.89</v>
      </c>
      <c r="DQ26" s="228">
        <v>0.8</v>
      </c>
      <c r="DR26" s="228">
        <v>0.09</v>
      </c>
      <c r="DS26" s="229">
        <v>0.1125</v>
      </c>
      <c r="DT26" s="228">
        <v>150</v>
      </c>
      <c r="DU26" s="228">
        <v>148</v>
      </c>
      <c r="DV26" s="228">
        <v>0.57999999999999996</v>
      </c>
      <c r="DW26" s="228">
        <v>0.54</v>
      </c>
      <c r="DX26" s="228">
        <v>0.04</v>
      </c>
      <c r="DY26" s="229">
        <v>7.4099999999999999E-2</v>
      </c>
      <c r="DZ26" s="229">
        <v>0.38340000000000002</v>
      </c>
      <c r="EA26" s="230">
        <v>9744800</v>
      </c>
      <c r="EB26" s="229">
        <v>6.4000000000000003E-3</v>
      </c>
      <c r="EC26" s="229">
        <v>0.38340000000000002</v>
      </c>
      <c r="ED26" s="228">
        <v>1.01</v>
      </c>
      <c r="EE26" s="229">
        <v>6.7999999999999996E-3</v>
      </c>
      <c r="EF26" s="230">
        <v>4037466</v>
      </c>
      <c r="EG26" s="230">
        <v>3246739</v>
      </c>
      <c r="EH26" s="229">
        <v>0.24349999999999999</v>
      </c>
      <c r="EI26" s="229">
        <v>0.58079999999999998</v>
      </c>
      <c r="EJ26" s="231">
        <v>26050.61</v>
      </c>
      <c r="EK26" s="231">
        <v>14465.07</v>
      </c>
      <c r="EL26" s="231">
        <v>44139.7</v>
      </c>
      <c r="EM26" s="231">
        <v>2312</v>
      </c>
      <c r="EN26" s="231">
        <v>84655.38</v>
      </c>
      <c r="EO26" s="231">
        <v>81089.77</v>
      </c>
      <c r="EP26" s="231">
        <v>3565.61</v>
      </c>
      <c r="EQ26" s="229">
        <v>4.3999999999999997E-2</v>
      </c>
      <c r="ER26" s="231">
        <v>43493</v>
      </c>
      <c r="ES26" s="231">
        <v>36310</v>
      </c>
      <c r="ET26" s="231">
        <v>78237</v>
      </c>
      <c r="EU26" s="231">
        <v>181770921</v>
      </c>
      <c r="EV26" s="231">
        <v>158039</v>
      </c>
      <c r="EW26" s="231">
        <v>160024</v>
      </c>
      <c r="EX26" s="231">
        <v>-1985</v>
      </c>
      <c r="EY26" s="229">
        <v>-1.24E-2</v>
      </c>
      <c r="EZ26" s="229">
        <v>0.59550000000000003</v>
      </c>
      <c r="FA26" s="227" t="s">
        <v>568</v>
      </c>
      <c r="FB26" s="161">
        <f t="shared" si="0"/>
        <v>20280000</v>
      </c>
    </row>
    <row r="27" spans="1:158" ht="17.25" hidden="1" thickBot="1" x14ac:dyDescent="0.3">
      <c r="A27" s="226">
        <v>45981</v>
      </c>
      <c r="B27" s="227" t="s">
        <v>181</v>
      </c>
      <c r="C27" s="227" t="s">
        <v>182</v>
      </c>
      <c r="D27" s="228">
        <v>35</v>
      </c>
      <c r="E27" s="231">
        <v>59399</v>
      </c>
      <c r="F27" s="231">
        <v>59227.4</v>
      </c>
      <c r="G27" s="228">
        <v>171.6</v>
      </c>
      <c r="H27" s="229">
        <v>2.8999999999999998E-3</v>
      </c>
      <c r="I27" s="231">
        <v>59347.7</v>
      </c>
      <c r="J27" s="231">
        <v>59216.05</v>
      </c>
      <c r="K27" s="228">
        <v>131.65</v>
      </c>
      <c r="L27" s="229">
        <v>2.2000000000000001E-3</v>
      </c>
      <c r="M27" s="231">
        <v>59399</v>
      </c>
      <c r="N27" s="231">
        <v>59227.4</v>
      </c>
      <c r="O27" s="228">
        <v>171.6</v>
      </c>
      <c r="P27" s="229">
        <v>2.8999999999999998E-3</v>
      </c>
      <c r="Q27" s="231">
        <v>59759</v>
      </c>
      <c r="R27" s="231">
        <v>59585.2</v>
      </c>
      <c r="S27" s="228">
        <v>173.8</v>
      </c>
      <c r="T27" s="229">
        <v>2.8999999999999998E-3</v>
      </c>
      <c r="U27" s="231">
        <v>60084.4</v>
      </c>
      <c r="V27" s="231">
        <v>59912</v>
      </c>
      <c r="W27" s="228">
        <v>172.4</v>
      </c>
      <c r="X27" s="229">
        <v>2.8999999999999998E-3</v>
      </c>
      <c r="Y27" s="228">
        <v>51.3</v>
      </c>
      <c r="Z27" s="228">
        <v>11.35</v>
      </c>
      <c r="AA27" s="228">
        <v>39.950000000000003</v>
      </c>
      <c r="AB27" s="229">
        <v>8.9999999999999998E-4</v>
      </c>
      <c r="AC27" s="228">
        <v>51.3</v>
      </c>
      <c r="AD27" s="228">
        <v>11.35</v>
      </c>
      <c r="AE27" s="228">
        <v>39.950000000000003</v>
      </c>
      <c r="AF27" s="229">
        <v>8.9999999999999998E-4</v>
      </c>
      <c r="AG27" s="228">
        <v>411.3</v>
      </c>
      <c r="AH27" s="228">
        <v>369.15</v>
      </c>
      <c r="AI27" s="228">
        <v>42.15</v>
      </c>
      <c r="AJ27" s="229">
        <v>6.8999999999999999E-3</v>
      </c>
      <c r="AK27" s="228">
        <v>736.7</v>
      </c>
      <c r="AL27" s="228">
        <v>695.95</v>
      </c>
      <c r="AM27" s="228">
        <v>40.75</v>
      </c>
      <c r="AN27" s="229">
        <v>1.24E-2</v>
      </c>
      <c r="AO27" s="231">
        <v>59342.54</v>
      </c>
      <c r="AP27" s="231">
        <v>59709.96</v>
      </c>
      <c r="AQ27" s="228">
        <v>0</v>
      </c>
      <c r="AR27" s="230">
        <v>1011640</v>
      </c>
      <c r="AS27" s="230">
        <v>1183105</v>
      </c>
      <c r="AT27" s="230">
        <v>-171465</v>
      </c>
      <c r="AU27" s="229">
        <v>-0.1449</v>
      </c>
      <c r="AV27" s="230">
        <v>691495</v>
      </c>
      <c r="AW27" s="230">
        <v>884940</v>
      </c>
      <c r="AX27" s="230">
        <v>-193445</v>
      </c>
      <c r="AY27" s="229">
        <v>-0.21859999999999999</v>
      </c>
      <c r="AZ27" s="230">
        <v>279300</v>
      </c>
      <c r="BA27" s="230">
        <v>258300</v>
      </c>
      <c r="BB27" s="230">
        <v>21000</v>
      </c>
      <c r="BC27" s="229">
        <v>8.1299999999999997E-2</v>
      </c>
      <c r="BD27" s="230">
        <v>40845</v>
      </c>
      <c r="BE27" s="230">
        <v>39865</v>
      </c>
      <c r="BF27" s="228">
        <v>980</v>
      </c>
      <c r="BG27" s="229">
        <v>2.46E-2</v>
      </c>
      <c r="BH27" s="230">
        <v>88712960</v>
      </c>
      <c r="BI27" s="230">
        <v>98423885</v>
      </c>
      <c r="BJ27" s="230">
        <v>-9710925</v>
      </c>
      <c r="BK27" s="229">
        <v>-9.8699999999999996E-2</v>
      </c>
      <c r="BL27" s="230">
        <v>88694095</v>
      </c>
      <c r="BM27" s="230">
        <v>95639565</v>
      </c>
      <c r="BN27" s="230">
        <v>-6945470</v>
      </c>
      <c r="BO27" s="229">
        <v>-7.2599999999999998E-2</v>
      </c>
      <c r="BP27" s="230">
        <v>178418695</v>
      </c>
      <c r="BQ27" s="230">
        <v>195246555</v>
      </c>
      <c r="BR27" s="230">
        <v>-16827860</v>
      </c>
      <c r="BS27" s="229">
        <v>-8.6199999999999999E-2</v>
      </c>
      <c r="BT27" s="228">
        <v>0</v>
      </c>
      <c r="BU27" s="228">
        <v>0</v>
      </c>
      <c r="BV27" s="228">
        <v>0</v>
      </c>
      <c r="BW27" s="229">
        <v>0</v>
      </c>
      <c r="BX27" s="230">
        <v>2181750</v>
      </c>
      <c r="BY27" s="230">
        <v>2100905</v>
      </c>
      <c r="BZ27" s="230">
        <v>80845</v>
      </c>
      <c r="CA27" s="229">
        <v>3.85E-2</v>
      </c>
      <c r="CB27" s="230">
        <v>1609055</v>
      </c>
      <c r="CC27" s="230">
        <v>1673315</v>
      </c>
      <c r="CD27" s="230">
        <v>-64260</v>
      </c>
      <c r="CE27" s="229">
        <v>-3.8399999999999997E-2</v>
      </c>
      <c r="CF27" s="230">
        <v>498715</v>
      </c>
      <c r="CG27" s="230">
        <v>361200</v>
      </c>
      <c r="CH27" s="230">
        <v>137515</v>
      </c>
      <c r="CI27" s="229">
        <v>0.38069999999999998</v>
      </c>
      <c r="CJ27" s="230">
        <v>73980</v>
      </c>
      <c r="CK27" s="230">
        <v>66390</v>
      </c>
      <c r="CL27" s="230">
        <v>7590</v>
      </c>
      <c r="CM27" s="229">
        <v>0.1143</v>
      </c>
      <c r="CN27" s="230">
        <v>19682650</v>
      </c>
      <c r="CO27" s="230">
        <v>19270245</v>
      </c>
      <c r="CP27" s="230">
        <v>412405</v>
      </c>
      <c r="CQ27" s="229">
        <v>2.1399999999999999E-2</v>
      </c>
      <c r="CR27" s="230">
        <v>24641690</v>
      </c>
      <c r="CS27" s="230">
        <v>23648300</v>
      </c>
      <c r="CT27" s="230">
        <v>993390</v>
      </c>
      <c r="CU27" s="229">
        <v>4.2000000000000003E-2</v>
      </c>
      <c r="CV27" s="230">
        <v>46506090</v>
      </c>
      <c r="CW27" s="230">
        <v>45019450</v>
      </c>
      <c r="CX27" s="230">
        <v>1486640</v>
      </c>
      <c r="CY27" s="229">
        <v>3.3000000000000002E-2</v>
      </c>
      <c r="CZ27" s="228">
        <v>11.34</v>
      </c>
      <c r="DA27" s="228">
        <v>12.99</v>
      </c>
      <c r="DB27" s="228">
        <v>-1.65</v>
      </c>
      <c r="DC27" s="228">
        <v>-1.65</v>
      </c>
      <c r="DD27" s="228">
        <v>16.5</v>
      </c>
      <c r="DE27" s="228">
        <v>16.54</v>
      </c>
      <c r="DF27" s="228">
        <v>-5.16</v>
      </c>
      <c r="DG27" s="228">
        <v>-0.04</v>
      </c>
      <c r="DH27" s="228">
        <v>10.63</v>
      </c>
      <c r="DI27" s="228">
        <v>12.12</v>
      </c>
      <c r="DJ27" s="228">
        <v>-1.49</v>
      </c>
      <c r="DK27" s="228">
        <v>-1.49</v>
      </c>
      <c r="DL27" s="228">
        <v>11.93</v>
      </c>
      <c r="DM27" s="228">
        <v>13.88</v>
      </c>
      <c r="DN27" s="228">
        <v>-1.95</v>
      </c>
      <c r="DO27" s="228">
        <v>-1.95</v>
      </c>
      <c r="DP27" s="228">
        <v>1.25</v>
      </c>
      <c r="DQ27" s="228">
        <v>1.23</v>
      </c>
      <c r="DR27" s="228">
        <v>0.02</v>
      </c>
      <c r="DS27" s="229">
        <v>1.6299999999999999E-2</v>
      </c>
      <c r="DT27" s="231">
        <v>60000</v>
      </c>
      <c r="DU27" s="231">
        <v>58000</v>
      </c>
      <c r="DV27" s="228">
        <v>1</v>
      </c>
      <c r="DW27" s="228">
        <v>0.97</v>
      </c>
      <c r="DX27" s="228">
        <v>0.03</v>
      </c>
      <c r="DY27" s="229">
        <v>3.09E-2</v>
      </c>
      <c r="DZ27" s="229">
        <v>0.26250000000000001</v>
      </c>
      <c r="EA27" s="230">
        <v>427590</v>
      </c>
      <c r="EB27" s="229">
        <v>6.1000000000000004E-3</v>
      </c>
      <c r="EC27" s="229">
        <v>0.26250000000000001</v>
      </c>
      <c r="ED27" s="228">
        <v>367.42</v>
      </c>
      <c r="EE27" s="229">
        <v>6.1999999999999998E-3</v>
      </c>
      <c r="EF27" s="228">
        <v>0</v>
      </c>
      <c r="EG27" s="228">
        <v>0</v>
      </c>
      <c r="EH27" s="229">
        <v>0</v>
      </c>
      <c r="EI27" s="229">
        <v>0</v>
      </c>
      <c r="EJ27" s="231">
        <v>53351741.380000003</v>
      </c>
      <c r="EK27" s="231">
        <v>51536029.859999999</v>
      </c>
      <c r="EL27" s="231">
        <v>598142.01</v>
      </c>
      <c r="EM27" s="228">
        <v>0</v>
      </c>
      <c r="EN27" s="231">
        <v>105485913.25</v>
      </c>
      <c r="EO27" s="231">
        <v>115182281.03</v>
      </c>
      <c r="EP27" s="231">
        <v>-9696367.7799999993</v>
      </c>
      <c r="EQ27" s="229">
        <v>-8.4199999999999997E-2</v>
      </c>
      <c r="ER27" s="231">
        <v>11806067</v>
      </c>
      <c r="ES27" s="231">
        <v>14064336</v>
      </c>
      <c r="ET27" s="231">
        <v>1298240</v>
      </c>
      <c r="EU27" s="228">
        <v>0</v>
      </c>
      <c r="EV27" s="231">
        <v>27168643</v>
      </c>
      <c r="EW27" s="231">
        <v>26252971</v>
      </c>
      <c r="EX27" s="231">
        <v>915672</v>
      </c>
      <c r="EY27" s="229">
        <v>3.49E-2</v>
      </c>
      <c r="EZ27" s="229">
        <v>0</v>
      </c>
      <c r="FA27" s="227" t="s">
        <v>555</v>
      </c>
      <c r="FB27" s="161">
        <f t="shared" si="0"/>
        <v>572695</v>
      </c>
    </row>
    <row r="28" spans="1:158" ht="17.25" hidden="1" thickBot="1" x14ac:dyDescent="0.3">
      <c r="A28" s="226">
        <v>45981</v>
      </c>
      <c r="B28" s="227" t="s">
        <v>184</v>
      </c>
      <c r="C28" s="227" t="s">
        <v>672</v>
      </c>
      <c r="D28" s="228">
        <v>325</v>
      </c>
      <c r="E28" s="231">
        <v>1557.2</v>
      </c>
      <c r="F28" s="231">
        <v>1540.8</v>
      </c>
      <c r="G28" s="228">
        <v>16.399999999999999</v>
      </c>
      <c r="H28" s="229">
        <v>1.06E-2</v>
      </c>
      <c r="I28" s="231">
        <v>1557</v>
      </c>
      <c r="J28" s="231">
        <v>1536.8</v>
      </c>
      <c r="K28" s="228">
        <v>20.2</v>
      </c>
      <c r="L28" s="229">
        <v>1.3100000000000001E-2</v>
      </c>
      <c r="M28" s="231">
        <v>1557.2</v>
      </c>
      <c r="N28" s="231">
        <v>1540.8</v>
      </c>
      <c r="O28" s="228">
        <v>16.399999999999999</v>
      </c>
      <c r="P28" s="229">
        <v>1.06E-2</v>
      </c>
      <c r="Q28" s="231">
        <v>1567.3</v>
      </c>
      <c r="R28" s="231">
        <v>1549.9</v>
      </c>
      <c r="S28" s="228">
        <v>17.399999999999999</v>
      </c>
      <c r="T28" s="229">
        <v>1.12E-2</v>
      </c>
      <c r="U28" s="231">
        <v>1575.9</v>
      </c>
      <c r="V28" s="231">
        <v>1559.7</v>
      </c>
      <c r="W28" s="228">
        <v>16.2</v>
      </c>
      <c r="X28" s="229">
        <v>1.04E-2</v>
      </c>
      <c r="Y28" s="228">
        <v>0.2</v>
      </c>
      <c r="Z28" s="228">
        <v>4</v>
      </c>
      <c r="AA28" s="228">
        <v>-3.8</v>
      </c>
      <c r="AB28" s="229">
        <v>1E-4</v>
      </c>
      <c r="AC28" s="228">
        <v>0.2</v>
      </c>
      <c r="AD28" s="228">
        <v>4</v>
      </c>
      <c r="AE28" s="228">
        <v>-3.8</v>
      </c>
      <c r="AF28" s="229">
        <v>1E-4</v>
      </c>
      <c r="AG28" s="228">
        <v>10.3</v>
      </c>
      <c r="AH28" s="228">
        <v>13.1</v>
      </c>
      <c r="AI28" s="228">
        <v>-2.8</v>
      </c>
      <c r="AJ28" s="229">
        <v>6.6E-3</v>
      </c>
      <c r="AK28" s="228">
        <v>18.899999999999999</v>
      </c>
      <c r="AL28" s="228">
        <v>22.9</v>
      </c>
      <c r="AM28" s="228">
        <v>-4</v>
      </c>
      <c r="AN28" s="229">
        <v>1.21E-2</v>
      </c>
      <c r="AO28" s="231">
        <v>1564.07</v>
      </c>
      <c r="AP28" s="231">
        <v>1573.69</v>
      </c>
      <c r="AQ28" s="228">
        <v>0</v>
      </c>
      <c r="AR28" s="230">
        <v>3002025</v>
      </c>
      <c r="AS28" s="230">
        <v>1616550</v>
      </c>
      <c r="AT28" s="230">
        <v>1385475</v>
      </c>
      <c r="AU28" s="229">
        <v>0.85709999999999997</v>
      </c>
      <c r="AV28" s="230">
        <v>1587950</v>
      </c>
      <c r="AW28" s="230">
        <v>983125</v>
      </c>
      <c r="AX28" s="230">
        <v>604825</v>
      </c>
      <c r="AY28" s="229">
        <v>0.61519999999999997</v>
      </c>
      <c r="AZ28" s="230">
        <v>1383850</v>
      </c>
      <c r="BA28" s="230">
        <v>618800</v>
      </c>
      <c r="BB28" s="230">
        <v>765050</v>
      </c>
      <c r="BC28" s="229">
        <v>1.2363</v>
      </c>
      <c r="BD28" s="230">
        <v>30225</v>
      </c>
      <c r="BE28" s="230">
        <v>14625</v>
      </c>
      <c r="BF28" s="230">
        <v>15600</v>
      </c>
      <c r="BG28" s="229">
        <v>1.0667</v>
      </c>
      <c r="BH28" s="230">
        <v>16507075</v>
      </c>
      <c r="BI28" s="230">
        <v>8701875</v>
      </c>
      <c r="BJ28" s="230">
        <v>7805200</v>
      </c>
      <c r="BK28" s="229">
        <v>0.89700000000000002</v>
      </c>
      <c r="BL28" s="230">
        <v>4385225</v>
      </c>
      <c r="BM28" s="230">
        <v>4591275</v>
      </c>
      <c r="BN28" s="230">
        <v>-206050</v>
      </c>
      <c r="BO28" s="229">
        <v>-4.4900000000000002E-2</v>
      </c>
      <c r="BP28" s="230">
        <v>23894325</v>
      </c>
      <c r="BQ28" s="230">
        <v>14909700</v>
      </c>
      <c r="BR28" s="230">
        <v>8984625</v>
      </c>
      <c r="BS28" s="229">
        <v>0.60260000000000002</v>
      </c>
      <c r="BT28" s="230">
        <v>1902315</v>
      </c>
      <c r="BU28" s="230">
        <v>911856</v>
      </c>
      <c r="BV28" s="230">
        <v>990459</v>
      </c>
      <c r="BW28" s="229">
        <v>1.0862000000000001</v>
      </c>
      <c r="BX28" s="230">
        <v>5638925</v>
      </c>
      <c r="BY28" s="230">
        <v>5489500</v>
      </c>
      <c r="BZ28" s="230">
        <v>149425</v>
      </c>
      <c r="CA28" s="229">
        <v>2.7199999999999998E-2</v>
      </c>
      <c r="CB28" s="230">
        <v>3924375</v>
      </c>
      <c r="CC28" s="230">
        <v>4478500</v>
      </c>
      <c r="CD28" s="230">
        <v>-554125</v>
      </c>
      <c r="CE28" s="229">
        <v>-0.1237</v>
      </c>
      <c r="CF28" s="230">
        <v>1634750</v>
      </c>
      <c r="CG28" s="230">
        <v>943800</v>
      </c>
      <c r="CH28" s="230">
        <v>690950</v>
      </c>
      <c r="CI28" s="229">
        <v>0.73209999999999997</v>
      </c>
      <c r="CJ28" s="230">
        <v>79800</v>
      </c>
      <c r="CK28" s="230">
        <v>67200</v>
      </c>
      <c r="CL28" s="230">
        <v>12600</v>
      </c>
      <c r="CM28" s="229">
        <v>0.1875</v>
      </c>
      <c r="CN28" s="230">
        <v>5040875</v>
      </c>
      <c r="CO28" s="230">
        <v>5317425</v>
      </c>
      <c r="CP28" s="230">
        <v>-276550</v>
      </c>
      <c r="CQ28" s="229">
        <v>-5.1999999999999998E-2</v>
      </c>
      <c r="CR28" s="230">
        <v>3013650</v>
      </c>
      <c r="CS28" s="230">
        <v>3132600</v>
      </c>
      <c r="CT28" s="230">
        <v>-118950</v>
      </c>
      <c r="CU28" s="229">
        <v>-3.7999999999999999E-2</v>
      </c>
      <c r="CV28" s="230">
        <v>13693450</v>
      </c>
      <c r="CW28" s="230">
        <v>13939525</v>
      </c>
      <c r="CX28" s="230">
        <v>-246075</v>
      </c>
      <c r="CY28" s="229">
        <v>-1.77E-2</v>
      </c>
      <c r="CZ28" s="228">
        <v>31.12</v>
      </c>
      <c r="DA28" s="228">
        <v>30.07</v>
      </c>
      <c r="DB28" s="228">
        <v>1.05</v>
      </c>
      <c r="DC28" s="228">
        <v>1.05</v>
      </c>
      <c r="DD28" s="228">
        <v>51.89</v>
      </c>
      <c r="DE28" s="228">
        <v>52</v>
      </c>
      <c r="DF28" s="228">
        <v>-20.77</v>
      </c>
      <c r="DG28" s="228">
        <v>-0.11</v>
      </c>
      <c r="DH28" s="228">
        <v>30.99</v>
      </c>
      <c r="DI28" s="228">
        <v>31.84</v>
      </c>
      <c r="DJ28" s="228">
        <v>-0.85</v>
      </c>
      <c r="DK28" s="228">
        <v>-0.85</v>
      </c>
      <c r="DL28" s="228">
        <v>31.52</v>
      </c>
      <c r="DM28" s="228">
        <v>26.71</v>
      </c>
      <c r="DN28" s="228">
        <v>4.8099999999999996</v>
      </c>
      <c r="DO28" s="228">
        <v>4.8099999999999996</v>
      </c>
      <c r="DP28" s="228">
        <v>0.6</v>
      </c>
      <c r="DQ28" s="228">
        <v>0.59</v>
      </c>
      <c r="DR28" s="228">
        <v>0.01</v>
      </c>
      <c r="DS28" s="229">
        <v>1.6899999999999998E-2</v>
      </c>
      <c r="DT28" s="231">
        <v>1600</v>
      </c>
      <c r="DU28" s="231">
        <v>1500</v>
      </c>
      <c r="DV28" s="228">
        <v>0.27</v>
      </c>
      <c r="DW28" s="228">
        <v>0.53</v>
      </c>
      <c r="DX28" s="228">
        <v>-0.26</v>
      </c>
      <c r="DY28" s="229">
        <v>-0.49059999999999998</v>
      </c>
      <c r="DZ28" s="229">
        <v>0.30409999999999998</v>
      </c>
      <c r="EA28" s="230">
        <v>1011000</v>
      </c>
      <c r="EB28" s="229">
        <v>6.4999999999999997E-3</v>
      </c>
      <c r="EC28" s="229">
        <v>0.30409999999999998</v>
      </c>
      <c r="ED28" s="228">
        <v>9.6199999999999992</v>
      </c>
      <c r="EE28" s="229">
        <v>6.1999999999999998E-3</v>
      </c>
      <c r="EF28" s="230">
        <v>551704</v>
      </c>
      <c r="EG28" s="230">
        <v>363525</v>
      </c>
      <c r="EH28" s="229">
        <v>0.51770000000000005</v>
      </c>
      <c r="EI28" s="229">
        <v>0.28999999999999998</v>
      </c>
      <c r="EJ28" s="231">
        <v>267007.5</v>
      </c>
      <c r="EK28" s="231">
        <v>67467.23</v>
      </c>
      <c r="EL28" s="231">
        <v>47130.32</v>
      </c>
      <c r="EM28" s="231">
        <v>7151</v>
      </c>
      <c r="EN28" s="231">
        <v>381605.05</v>
      </c>
      <c r="EO28" s="231">
        <v>236315.35</v>
      </c>
      <c r="EP28" s="231">
        <v>145289.70000000001</v>
      </c>
      <c r="EQ28" s="229">
        <v>0.61480000000000001</v>
      </c>
      <c r="ER28" s="231">
        <v>81716</v>
      </c>
      <c r="ES28" s="231">
        <v>45730</v>
      </c>
      <c r="ET28" s="231">
        <v>87989</v>
      </c>
      <c r="EU28" s="231">
        <v>13786716</v>
      </c>
      <c r="EV28" s="231">
        <v>215435</v>
      </c>
      <c r="EW28" s="231">
        <v>218449</v>
      </c>
      <c r="EX28" s="231">
        <v>-3014</v>
      </c>
      <c r="EY28" s="229">
        <v>-1.38E-2</v>
      </c>
      <c r="EZ28" s="229">
        <v>0.99319999999999997</v>
      </c>
      <c r="FA28" s="227" t="s">
        <v>555</v>
      </c>
      <c r="FB28" s="161">
        <f t="shared" si="0"/>
        <v>1714550</v>
      </c>
    </row>
    <row r="29" spans="1:158" ht="17.25" thickBot="1" x14ac:dyDescent="0.3">
      <c r="A29" s="226">
        <v>45981</v>
      </c>
      <c r="B29" s="227" t="s">
        <v>184</v>
      </c>
      <c r="C29" s="227" t="s">
        <v>185</v>
      </c>
      <c r="D29" s="228">
        <v>1425</v>
      </c>
      <c r="E29" s="228">
        <v>423.6</v>
      </c>
      <c r="F29" s="228">
        <v>423.1</v>
      </c>
      <c r="G29" s="228">
        <v>0.5</v>
      </c>
      <c r="H29" s="229">
        <v>1.1999999999999999E-3</v>
      </c>
      <c r="I29" s="228">
        <v>423</v>
      </c>
      <c r="J29" s="228">
        <v>423.2</v>
      </c>
      <c r="K29" s="228">
        <v>-0.2</v>
      </c>
      <c r="L29" s="229">
        <v>-5.0000000000000001E-4</v>
      </c>
      <c r="M29" s="228">
        <v>423.6</v>
      </c>
      <c r="N29" s="228">
        <v>423.1</v>
      </c>
      <c r="O29" s="228">
        <v>0.5</v>
      </c>
      <c r="P29" s="229">
        <v>1.1999999999999999E-3</v>
      </c>
      <c r="Q29" s="228">
        <v>426.4</v>
      </c>
      <c r="R29" s="228">
        <v>425.85</v>
      </c>
      <c r="S29" s="228">
        <v>0.55000000000000004</v>
      </c>
      <c r="T29" s="229">
        <v>1.2999999999999999E-3</v>
      </c>
      <c r="U29" s="228">
        <v>429.1</v>
      </c>
      <c r="V29" s="228">
        <v>428.45</v>
      </c>
      <c r="W29" s="228">
        <v>0.65</v>
      </c>
      <c r="X29" s="229">
        <v>1.5E-3</v>
      </c>
      <c r="Y29" s="228">
        <v>0.6</v>
      </c>
      <c r="Z29" s="228">
        <v>-0.1</v>
      </c>
      <c r="AA29" s="228">
        <v>0.7</v>
      </c>
      <c r="AB29" s="229">
        <v>1.4E-3</v>
      </c>
      <c r="AC29" s="228">
        <v>0.6</v>
      </c>
      <c r="AD29" s="228">
        <v>-0.1</v>
      </c>
      <c r="AE29" s="228">
        <v>0.7</v>
      </c>
      <c r="AF29" s="229">
        <v>1.4E-3</v>
      </c>
      <c r="AG29" s="228">
        <v>3.4</v>
      </c>
      <c r="AH29" s="228">
        <v>2.65</v>
      </c>
      <c r="AI29" s="228">
        <v>0.75</v>
      </c>
      <c r="AJ29" s="229">
        <v>8.0000000000000002E-3</v>
      </c>
      <c r="AK29" s="228">
        <v>6.1</v>
      </c>
      <c r="AL29" s="228">
        <v>5.25</v>
      </c>
      <c r="AM29" s="228">
        <v>0.85</v>
      </c>
      <c r="AN29" s="229">
        <v>1.44E-2</v>
      </c>
      <c r="AO29" s="228">
        <v>425.6</v>
      </c>
      <c r="AP29" s="228">
        <v>428.36</v>
      </c>
      <c r="AQ29" s="228">
        <v>0</v>
      </c>
      <c r="AR29" s="230">
        <v>44176425</v>
      </c>
      <c r="AS29" s="230">
        <v>19858800</v>
      </c>
      <c r="AT29" s="230">
        <v>24317625</v>
      </c>
      <c r="AU29" s="229">
        <v>1.2244999999999999</v>
      </c>
      <c r="AV29" s="230">
        <v>24956025</v>
      </c>
      <c r="AW29" s="230">
        <v>12706725</v>
      </c>
      <c r="AX29" s="230">
        <v>12249300</v>
      </c>
      <c r="AY29" s="229">
        <v>0.96399999999999997</v>
      </c>
      <c r="AZ29" s="230">
        <v>18854175</v>
      </c>
      <c r="BA29" s="230">
        <v>6773025</v>
      </c>
      <c r="BB29" s="230">
        <v>12081150</v>
      </c>
      <c r="BC29" s="229">
        <v>1.7837000000000001</v>
      </c>
      <c r="BD29" s="230">
        <v>366225</v>
      </c>
      <c r="BE29" s="230">
        <v>379050</v>
      </c>
      <c r="BF29" s="230">
        <v>-12825</v>
      </c>
      <c r="BG29" s="229">
        <v>-3.3799999999999997E-2</v>
      </c>
      <c r="BH29" s="230">
        <v>125451300</v>
      </c>
      <c r="BI29" s="230">
        <v>124607700</v>
      </c>
      <c r="BJ29" s="230">
        <v>843600</v>
      </c>
      <c r="BK29" s="229">
        <v>6.7999999999999996E-3</v>
      </c>
      <c r="BL29" s="230">
        <v>55376925</v>
      </c>
      <c r="BM29" s="230">
        <v>64965750</v>
      </c>
      <c r="BN29" s="230">
        <v>-9588825</v>
      </c>
      <c r="BO29" s="229">
        <v>-0.14760000000000001</v>
      </c>
      <c r="BP29" s="230">
        <v>225004650</v>
      </c>
      <c r="BQ29" s="230">
        <v>209432250</v>
      </c>
      <c r="BR29" s="230">
        <v>15572400</v>
      </c>
      <c r="BS29" s="229">
        <v>7.4399999999999994E-2</v>
      </c>
      <c r="BT29" s="230">
        <v>11531947</v>
      </c>
      <c r="BU29" s="230">
        <v>10144350</v>
      </c>
      <c r="BV29" s="230">
        <v>1387597</v>
      </c>
      <c r="BW29" s="229">
        <v>0.1368</v>
      </c>
      <c r="BX29" s="230">
        <v>112361250</v>
      </c>
      <c r="BY29" s="230">
        <v>116221575</v>
      </c>
      <c r="BZ29" s="230">
        <v>-3860325</v>
      </c>
      <c r="CA29" s="229">
        <v>-3.32E-2</v>
      </c>
      <c r="CB29" s="230">
        <v>75563475</v>
      </c>
      <c r="CC29" s="230">
        <v>92988375</v>
      </c>
      <c r="CD29" s="230">
        <v>-17424900</v>
      </c>
      <c r="CE29" s="229">
        <v>-0.18740000000000001</v>
      </c>
      <c r="CF29" s="230">
        <v>34846950</v>
      </c>
      <c r="CG29" s="230">
        <v>21392100</v>
      </c>
      <c r="CH29" s="230">
        <v>13454850</v>
      </c>
      <c r="CI29" s="229">
        <v>0.629</v>
      </c>
      <c r="CJ29" s="230">
        <v>1950825</v>
      </c>
      <c r="CK29" s="230">
        <v>1841100</v>
      </c>
      <c r="CL29" s="230">
        <v>109725</v>
      </c>
      <c r="CM29" s="229">
        <v>5.96E-2</v>
      </c>
      <c r="CN29" s="230">
        <v>66883800</v>
      </c>
      <c r="CO29" s="230">
        <v>77471550</v>
      </c>
      <c r="CP29" s="230">
        <v>-10587750</v>
      </c>
      <c r="CQ29" s="229">
        <v>-0.13669999999999999</v>
      </c>
      <c r="CR29" s="230">
        <v>37498875</v>
      </c>
      <c r="CS29" s="230">
        <v>41350650</v>
      </c>
      <c r="CT29" s="230">
        <v>-3851775</v>
      </c>
      <c r="CU29" s="229">
        <v>-9.3100000000000002E-2</v>
      </c>
      <c r="CV29" s="230">
        <v>216743925</v>
      </c>
      <c r="CW29" s="230">
        <v>235043775</v>
      </c>
      <c r="CX29" s="230">
        <v>-18299850</v>
      </c>
      <c r="CY29" s="229">
        <v>-7.7899999999999997E-2</v>
      </c>
      <c r="CZ29" s="228">
        <v>23.86</v>
      </c>
      <c r="DA29" s="228">
        <v>25.73</v>
      </c>
      <c r="DB29" s="228">
        <v>-1.87</v>
      </c>
      <c r="DC29" s="228">
        <v>-1.87</v>
      </c>
      <c r="DD29" s="228">
        <v>36.56</v>
      </c>
      <c r="DE29" s="228">
        <v>36.659999999999997</v>
      </c>
      <c r="DF29" s="228">
        <v>-12.7</v>
      </c>
      <c r="DG29" s="228">
        <v>-0.1</v>
      </c>
      <c r="DH29" s="228">
        <v>24.09</v>
      </c>
      <c r="DI29" s="228">
        <v>26.3</v>
      </c>
      <c r="DJ29" s="228">
        <v>-2.21</v>
      </c>
      <c r="DK29" s="228">
        <v>-2.21</v>
      </c>
      <c r="DL29" s="228">
        <v>23.4</v>
      </c>
      <c r="DM29" s="228">
        <v>24.63</v>
      </c>
      <c r="DN29" s="228">
        <v>-1.23</v>
      </c>
      <c r="DO29" s="228">
        <v>-1.23</v>
      </c>
      <c r="DP29" s="228">
        <v>0.56000000000000005</v>
      </c>
      <c r="DQ29" s="228">
        <v>0.53</v>
      </c>
      <c r="DR29" s="228">
        <v>0.03</v>
      </c>
      <c r="DS29" s="229">
        <v>5.6599999999999998E-2</v>
      </c>
      <c r="DT29" s="228">
        <v>430</v>
      </c>
      <c r="DU29" s="228">
        <v>420</v>
      </c>
      <c r="DV29" s="228">
        <v>0.44</v>
      </c>
      <c r="DW29" s="228">
        <v>0.52</v>
      </c>
      <c r="DX29" s="228">
        <v>-0.08</v>
      </c>
      <c r="DY29" s="229">
        <v>-0.15379999999999999</v>
      </c>
      <c r="DZ29" s="229">
        <v>0.32750000000000001</v>
      </c>
      <c r="EA29" s="230">
        <v>23233200</v>
      </c>
      <c r="EB29" s="229">
        <v>6.6E-3</v>
      </c>
      <c r="EC29" s="229">
        <v>0.32750000000000001</v>
      </c>
      <c r="ED29" s="228">
        <v>2.76</v>
      </c>
      <c r="EE29" s="229">
        <v>6.4999999999999997E-3</v>
      </c>
      <c r="EF29" s="230">
        <v>6591309</v>
      </c>
      <c r="EG29" s="230">
        <v>5380596</v>
      </c>
      <c r="EH29" s="229">
        <v>0.22500000000000001</v>
      </c>
      <c r="EI29" s="229">
        <v>0.5716</v>
      </c>
      <c r="EJ29" s="231">
        <v>551785.91</v>
      </c>
      <c r="EK29" s="231">
        <v>232722.69</v>
      </c>
      <c r="EL29" s="231">
        <v>188557.4</v>
      </c>
      <c r="EM29" s="231">
        <v>13284</v>
      </c>
      <c r="EN29" s="231">
        <v>973066</v>
      </c>
      <c r="EO29" s="231">
        <v>898407.93</v>
      </c>
      <c r="EP29" s="231">
        <v>74658.070000000007</v>
      </c>
      <c r="EQ29" s="229">
        <v>8.3099999999999993E-2</v>
      </c>
      <c r="ER29" s="231">
        <v>291081</v>
      </c>
      <c r="ES29" s="231">
        <v>153423</v>
      </c>
      <c r="ET29" s="231">
        <v>477045</v>
      </c>
      <c r="EU29" s="231">
        <v>535778534</v>
      </c>
      <c r="EV29" s="231">
        <v>921549</v>
      </c>
      <c r="EW29" s="231">
        <v>999085</v>
      </c>
      <c r="EX29" s="231">
        <v>-77536</v>
      </c>
      <c r="EY29" s="229">
        <v>-7.7600000000000002E-2</v>
      </c>
      <c r="EZ29" s="229">
        <v>0.40450000000000003</v>
      </c>
      <c r="FA29" s="227" t="s">
        <v>556</v>
      </c>
      <c r="FB29" s="161">
        <f t="shared" si="0"/>
        <v>36797775</v>
      </c>
    </row>
    <row r="30" spans="1:158" ht="17.25" hidden="1" thickBot="1" x14ac:dyDescent="0.3">
      <c r="A30" s="226">
        <v>45981</v>
      </c>
      <c r="B30" s="227" t="s">
        <v>162</v>
      </c>
      <c r="C30" s="227" t="s">
        <v>187</v>
      </c>
      <c r="D30" s="228">
        <v>500</v>
      </c>
      <c r="E30" s="231">
        <v>1436</v>
      </c>
      <c r="F30" s="231">
        <v>1447.1</v>
      </c>
      <c r="G30" s="228">
        <v>-11.1</v>
      </c>
      <c r="H30" s="229">
        <v>-7.7000000000000002E-3</v>
      </c>
      <c r="I30" s="231">
        <v>1435.4</v>
      </c>
      <c r="J30" s="231">
        <v>1446.2</v>
      </c>
      <c r="K30" s="228">
        <v>-10.8</v>
      </c>
      <c r="L30" s="229">
        <v>-7.4999999999999997E-3</v>
      </c>
      <c r="M30" s="231">
        <v>1436</v>
      </c>
      <c r="N30" s="231">
        <v>1447.1</v>
      </c>
      <c r="O30" s="228">
        <v>-11.1</v>
      </c>
      <c r="P30" s="229">
        <v>-7.7000000000000002E-3</v>
      </c>
      <c r="Q30" s="231">
        <v>1439.9</v>
      </c>
      <c r="R30" s="231">
        <v>1444.7</v>
      </c>
      <c r="S30" s="228">
        <v>-4.8</v>
      </c>
      <c r="T30" s="229">
        <v>-3.3E-3</v>
      </c>
      <c r="U30" s="231">
        <v>1440.5</v>
      </c>
      <c r="V30" s="231">
        <v>1441.9</v>
      </c>
      <c r="W30" s="228">
        <v>-1.4</v>
      </c>
      <c r="X30" s="229">
        <v>-1E-3</v>
      </c>
      <c r="Y30" s="228">
        <v>0.6</v>
      </c>
      <c r="Z30" s="228">
        <v>0.9</v>
      </c>
      <c r="AA30" s="228">
        <v>-0.3</v>
      </c>
      <c r="AB30" s="229">
        <v>4.0000000000000002E-4</v>
      </c>
      <c r="AC30" s="228">
        <v>0.6</v>
      </c>
      <c r="AD30" s="228">
        <v>0.9</v>
      </c>
      <c r="AE30" s="228">
        <v>-0.3</v>
      </c>
      <c r="AF30" s="229">
        <v>4.0000000000000002E-4</v>
      </c>
      <c r="AG30" s="228">
        <v>4.5</v>
      </c>
      <c r="AH30" s="228">
        <v>-1.5</v>
      </c>
      <c r="AI30" s="228">
        <v>6</v>
      </c>
      <c r="AJ30" s="229">
        <v>3.0999999999999999E-3</v>
      </c>
      <c r="AK30" s="228">
        <v>5.0999999999999996</v>
      </c>
      <c r="AL30" s="228">
        <v>-4.3</v>
      </c>
      <c r="AM30" s="228">
        <v>9.4</v>
      </c>
      <c r="AN30" s="229">
        <v>3.5999999999999999E-3</v>
      </c>
      <c r="AO30" s="231">
        <v>1442.02</v>
      </c>
      <c r="AP30" s="231">
        <v>1441.34</v>
      </c>
      <c r="AQ30" s="228">
        <v>0</v>
      </c>
      <c r="AR30" s="230">
        <v>7028500</v>
      </c>
      <c r="AS30" s="230">
        <v>5382000</v>
      </c>
      <c r="AT30" s="230">
        <v>1646500</v>
      </c>
      <c r="AU30" s="229">
        <v>0.30590000000000001</v>
      </c>
      <c r="AV30" s="230">
        <v>3816000</v>
      </c>
      <c r="AW30" s="230">
        <v>3767500</v>
      </c>
      <c r="AX30" s="230">
        <v>48500</v>
      </c>
      <c r="AY30" s="229">
        <v>1.29E-2</v>
      </c>
      <c r="AZ30" s="230">
        <v>3178500</v>
      </c>
      <c r="BA30" s="230">
        <v>1519500</v>
      </c>
      <c r="BB30" s="230">
        <v>1659000</v>
      </c>
      <c r="BC30" s="229">
        <v>1.0918000000000001</v>
      </c>
      <c r="BD30" s="230">
        <v>34000</v>
      </c>
      <c r="BE30" s="230">
        <v>95000</v>
      </c>
      <c r="BF30" s="230">
        <v>-61000</v>
      </c>
      <c r="BG30" s="229">
        <v>-0.6421</v>
      </c>
      <c r="BH30" s="230">
        <v>12610500</v>
      </c>
      <c r="BI30" s="230">
        <v>36152500</v>
      </c>
      <c r="BJ30" s="230">
        <v>-23542000</v>
      </c>
      <c r="BK30" s="229">
        <v>-0.6512</v>
      </c>
      <c r="BL30" s="230">
        <v>5322500</v>
      </c>
      <c r="BM30" s="230">
        <v>12082000</v>
      </c>
      <c r="BN30" s="230">
        <v>-6759500</v>
      </c>
      <c r="BO30" s="229">
        <v>-0.5595</v>
      </c>
      <c r="BP30" s="230">
        <v>24961500</v>
      </c>
      <c r="BQ30" s="230">
        <v>53616500</v>
      </c>
      <c r="BR30" s="230">
        <v>-28655000</v>
      </c>
      <c r="BS30" s="229">
        <v>-0.53439999999999999</v>
      </c>
      <c r="BT30" s="230">
        <v>953809</v>
      </c>
      <c r="BU30" s="230">
        <v>2602228</v>
      </c>
      <c r="BV30" s="230">
        <v>-1648419</v>
      </c>
      <c r="BW30" s="229">
        <v>-0.63349999999999995</v>
      </c>
      <c r="BX30" s="230">
        <v>9460000</v>
      </c>
      <c r="BY30" s="230">
        <v>10116500</v>
      </c>
      <c r="BZ30" s="230">
        <v>-656500</v>
      </c>
      <c r="CA30" s="229">
        <v>-6.4899999999999999E-2</v>
      </c>
      <c r="CB30" s="230">
        <v>6127000</v>
      </c>
      <c r="CC30" s="230">
        <v>8302500</v>
      </c>
      <c r="CD30" s="230">
        <v>-2175500</v>
      </c>
      <c r="CE30" s="229">
        <v>-0.26200000000000001</v>
      </c>
      <c r="CF30" s="230">
        <v>3256000</v>
      </c>
      <c r="CG30" s="230">
        <v>1746500</v>
      </c>
      <c r="CH30" s="230">
        <v>1509500</v>
      </c>
      <c r="CI30" s="229">
        <v>0.86429999999999996</v>
      </c>
      <c r="CJ30" s="230">
        <v>77000</v>
      </c>
      <c r="CK30" s="230">
        <v>67500</v>
      </c>
      <c r="CL30" s="230">
        <v>9500</v>
      </c>
      <c r="CM30" s="229">
        <v>0.14069999999999999</v>
      </c>
      <c r="CN30" s="230">
        <v>4375000</v>
      </c>
      <c r="CO30" s="230">
        <v>4418500</v>
      </c>
      <c r="CP30" s="230">
        <v>-43500</v>
      </c>
      <c r="CQ30" s="229">
        <v>-9.7999999999999997E-3</v>
      </c>
      <c r="CR30" s="230">
        <v>3479000</v>
      </c>
      <c r="CS30" s="230">
        <v>3855000</v>
      </c>
      <c r="CT30" s="230">
        <v>-376000</v>
      </c>
      <c r="CU30" s="229">
        <v>-9.7500000000000003E-2</v>
      </c>
      <c r="CV30" s="230">
        <v>17314000</v>
      </c>
      <c r="CW30" s="230">
        <v>18390000</v>
      </c>
      <c r="CX30" s="230">
        <v>-1076000</v>
      </c>
      <c r="CY30" s="229">
        <v>-5.8500000000000003E-2</v>
      </c>
      <c r="CZ30" s="228">
        <v>26.4</v>
      </c>
      <c r="DA30" s="228">
        <v>30.44</v>
      </c>
      <c r="DB30" s="228">
        <v>-4.04</v>
      </c>
      <c r="DC30" s="228">
        <v>-4.04</v>
      </c>
      <c r="DD30" s="228">
        <v>38.46</v>
      </c>
      <c r="DE30" s="228">
        <v>38.549999999999997</v>
      </c>
      <c r="DF30" s="228">
        <v>-12.06</v>
      </c>
      <c r="DG30" s="228">
        <v>-0.09</v>
      </c>
      <c r="DH30" s="228">
        <v>26.33</v>
      </c>
      <c r="DI30" s="228">
        <v>29.82</v>
      </c>
      <c r="DJ30" s="228">
        <v>-3.49</v>
      </c>
      <c r="DK30" s="228">
        <v>-3.49</v>
      </c>
      <c r="DL30" s="228">
        <v>26.59</v>
      </c>
      <c r="DM30" s="228">
        <v>32.31</v>
      </c>
      <c r="DN30" s="228">
        <v>-5.72</v>
      </c>
      <c r="DO30" s="228">
        <v>-5.72</v>
      </c>
      <c r="DP30" s="228">
        <v>0.8</v>
      </c>
      <c r="DQ30" s="228">
        <v>0.87</v>
      </c>
      <c r="DR30" s="228">
        <v>-7.0000000000000007E-2</v>
      </c>
      <c r="DS30" s="229">
        <v>-8.0500000000000002E-2</v>
      </c>
      <c r="DT30" s="231">
        <v>1460</v>
      </c>
      <c r="DU30" s="231">
        <v>1300</v>
      </c>
      <c r="DV30" s="228">
        <v>0.42</v>
      </c>
      <c r="DW30" s="228">
        <v>0.33</v>
      </c>
      <c r="DX30" s="228">
        <v>0.09</v>
      </c>
      <c r="DY30" s="229">
        <v>0.2727</v>
      </c>
      <c r="DZ30" s="229">
        <v>0.3523</v>
      </c>
      <c r="EA30" s="230">
        <v>1814000</v>
      </c>
      <c r="EB30" s="229">
        <v>2.7000000000000001E-3</v>
      </c>
      <c r="EC30" s="229">
        <v>0.3523</v>
      </c>
      <c r="ED30" s="228">
        <v>-0.68</v>
      </c>
      <c r="EE30" s="229">
        <v>-5.0000000000000001E-4</v>
      </c>
      <c r="EF30" s="230">
        <v>400703</v>
      </c>
      <c r="EG30" s="230">
        <v>884313</v>
      </c>
      <c r="EH30" s="229">
        <v>-0.54690000000000005</v>
      </c>
      <c r="EI30" s="229">
        <v>0.42009999999999997</v>
      </c>
      <c r="EJ30" s="231">
        <v>187028.87</v>
      </c>
      <c r="EK30" s="231">
        <v>74964.17</v>
      </c>
      <c r="EL30" s="231">
        <v>101331.5</v>
      </c>
      <c r="EM30" s="231">
        <v>6099</v>
      </c>
      <c r="EN30" s="231">
        <v>363324.54</v>
      </c>
      <c r="EO30" s="231">
        <v>775086.12</v>
      </c>
      <c r="EP30" s="231">
        <v>-411761.58</v>
      </c>
      <c r="EQ30" s="229">
        <v>-0.53120000000000001</v>
      </c>
      <c r="ER30" s="231">
        <v>62856</v>
      </c>
      <c r="ES30" s="231">
        <v>46792</v>
      </c>
      <c r="ET30" s="231">
        <v>135976</v>
      </c>
      <c r="EU30" s="231">
        <v>35155737</v>
      </c>
      <c r="EV30" s="231">
        <v>245625</v>
      </c>
      <c r="EW30" s="231">
        <v>261440</v>
      </c>
      <c r="EX30" s="231">
        <v>-15815</v>
      </c>
      <c r="EY30" s="229">
        <v>-6.0499999999999998E-2</v>
      </c>
      <c r="EZ30" s="229">
        <v>0.49249999999999999</v>
      </c>
      <c r="FA30" s="227" t="s">
        <v>568</v>
      </c>
      <c r="FB30" s="161">
        <f t="shared" si="0"/>
        <v>3333000</v>
      </c>
    </row>
    <row r="31" spans="1:158" ht="17.25" hidden="1" thickBot="1" x14ac:dyDescent="0.3">
      <c r="A31" s="226">
        <v>45981</v>
      </c>
      <c r="B31" s="227" t="s">
        <v>188</v>
      </c>
      <c r="C31" s="227" t="s">
        <v>189</v>
      </c>
      <c r="D31" s="228">
        <v>475</v>
      </c>
      <c r="E31" s="231">
        <v>2158.9</v>
      </c>
      <c r="F31" s="231">
        <v>2158.8000000000002</v>
      </c>
      <c r="G31" s="228">
        <v>0.1</v>
      </c>
      <c r="H31" s="229">
        <v>0</v>
      </c>
      <c r="I31" s="231">
        <v>2158.3000000000002</v>
      </c>
      <c r="J31" s="231">
        <v>2159.8000000000002</v>
      </c>
      <c r="K31" s="228">
        <v>-1.5</v>
      </c>
      <c r="L31" s="229">
        <v>-6.9999999999999999E-4</v>
      </c>
      <c r="M31" s="231">
        <v>2158.9</v>
      </c>
      <c r="N31" s="231">
        <v>2158.8000000000002</v>
      </c>
      <c r="O31" s="228">
        <v>0.1</v>
      </c>
      <c r="P31" s="229">
        <v>0</v>
      </c>
      <c r="Q31" s="231">
        <v>2174.6999999999998</v>
      </c>
      <c r="R31" s="231">
        <v>2173.4</v>
      </c>
      <c r="S31" s="228">
        <v>1.3</v>
      </c>
      <c r="T31" s="229">
        <v>5.9999999999999995E-4</v>
      </c>
      <c r="U31" s="231">
        <v>2187</v>
      </c>
      <c r="V31" s="231">
        <v>2185.1999999999998</v>
      </c>
      <c r="W31" s="228">
        <v>1.8</v>
      </c>
      <c r="X31" s="229">
        <v>8.0000000000000004E-4</v>
      </c>
      <c r="Y31" s="228">
        <v>0.6</v>
      </c>
      <c r="Z31" s="228">
        <v>-1</v>
      </c>
      <c r="AA31" s="228">
        <v>1.6</v>
      </c>
      <c r="AB31" s="229">
        <v>2.9999999999999997E-4</v>
      </c>
      <c r="AC31" s="228">
        <v>0.6</v>
      </c>
      <c r="AD31" s="228">
        <v>-1</v>
      </c>
      <c r="AE31" s="228">
        <v>1.6</v>
      </c>
      <c r="AF31" s="229">
        <v>2.9999999999999997E-4</v>
      </c>
      <c r="AG31" s="228">
        <v>16.399999999999999</v>
      </c>
      <c r="AH31" s="228">
        <v>13.6</v>
      </c>
      <c r="AI31" s="228">
        <v>2.8</v>
      </c>
      <c r="AJ31" s="229">
        <v>7.6E-3</v>
      </c>
      <c r="AK31" s="228">
        <v>28.7</v>
      </c>
      <c r="AL31" s="228">
        <v>25.4</v>
      </c>
      <c r="AM31" s="228">
        <v>3.3</v>
      </c>
      <c r="AN31" s="229">
        <v>1.3299999999999999E-2</v>
      </c>
      <c r="AO31" s="231">
        <v>2160.5500000000002</v>
      </c>
      <c r="AP31" s="231">
        <v>2176.1999999999998</v>
      </c>
      <c r="AQ31" s="228">
        <v>0</v>
      </c>
      <c r="AR31" s="230">
        <v>26506425</v>
      </c>
      <c r="AS31" s="230">
        <v>6627675</v>
      </c>
      <c r="AT31" s="230">
        <v>19878750</v>
      </c>
      <c r="AU31" s="229">
        <v>2.9994000000000001</v>
      </c>
      <c r="AV31" s="230">
        <v>13990175</v>
      </c>
      <c r="AW31" s="230">
        <v>5103400</v>
      </c>
      <c r="AX31" s="230">
        <v>8886775</v>
      </c>
      <c r="AY31" s="229">
        <v>1.7413000000000001</v>
      </c>
      <c r="AZ31" s="230">
        <v>12479200</v>
      </c>
      <c r="BA31" s="230">
        <v>1475825</v>
      </c>
      <c r="BB31" s="230">
        <v>11003375</v>
      </c>
      <c r="BC31" s="229">
        <v>7.4557000000000002</v>
      </c>
      <c r="BD31" s="230">
        <v>37050</v>
      </c>
      <c r="BE31" s="230">
        <v>48450</v>
      </c>
      <c r="BF31" s="230">
        <v>-11400</v>
      </c>
      <c r="BG31" s="229">
        <v>-0.23530000000000001</v>
      </c>
      <c r="BH31" s="230">
        <v>35110575</v>
      </c>
      <c r="BI31" s="230">
        <v>31141475</v>
      </c>
      <c r="BJ31" s="230">
        <v>3969100</v>
      </c>
      <c r="BK31" s="229">
        <v>0.1275</v>
      </c>
      <c r="BL31" s="230">
        <v>26882625</v>
      </c>
      <c r="BM31" s="230">
        <v>24212175</v>
      </c>
      <c r="BN31" s="230">
        <v>2670450</v>
      </c>
      <c r="BO31" s="229">
        <v>0.1103</v>
      </c>
      <c r="BP31" s="230">
        <v>88499625</v>
      </c>
      <c r="BQ31" s="230">
        <v>61981325</v>
      </c>
      <c r="BR31" s="230">
        <v>26518300</v>
      </c>
      <c r="BS31" s="229">
        <v>0.42780000000000001</v>
      </c>
      <c r="BT31" s="230">
        <v>7877407</v>
      </c>
      <c r="BU31" s="230">
        <v>7594816</v>
      </c>
      <c r="BV31" s="230">
        <v>282591</v>
      </c>
      <c r="BW31" s="229">
        <v>3.7199999999999997E-2</v>
      </c>
      <c r="BX31" s="230">
        <v>42887275</v>
      </c>
      <c r="BY31" s="230">
        <v>41809500</v>
      </c>
      <c r="BZ31" s="230">
        <v>1077775</v>
      </c>
      <c r="CA31" s="229">
        <v>2.58E-2</v>
      </c>
      <c r="CB31" s="230">
        <v>23262175</v>
      </c>
      <c r="CC31" s="230">
        <v>33382525</v>
      </c>
      <c r="CD31" s="230">
        <v>-10120350</v>
      </c>
      <c r="CE31" s="229">
        <v>-0.30320000000000003</v>
      </c>
      <c r="CF31" s="230">
        <v>19278825</v>
      </c>
      <c r="CG31" s="230">
        <v>8090200</v>
      </c>
      <c r="CH31" s="230">
        <v>11188625</v>
      </c>
      <c r="CI31" s="229">
        <v>1.383</v>
      </c>
      <c r="CJ31" s="230">
        <v>346275</v>
      </c>
      <c r="CK31" s="230">
        <v>336775</v>
      </c>
      <c r="CL31" s="230">
        <v>9500</v>
      </c>
      <c r="CM31" s="229">
        <v>2.8199999999999999E-2</v>
      </c>
      <c r="CN31" s="230">
        <v>20081575</v>
      </c>
      <c r="CO31" s="230">
        <v>21327975</v>
      </c>
      <c r="CP31" s="230">
        <v>-1246400</v>
      </c>
      <c r="CQ31" s="229">
        <v>-5.8400000000000001E-2</v>
      </c>
      <c r="CR31" s="230">
        <v>13438225</v>
      </c>
      <c r="CS31" s="230">
        <v>14355450</v>
      </c>
      <c r="CT31" s="230">
        <v>-917225</v>
      </c>
      <c r="CU31" s="229">
        <v>-6.3899999999999998E-2</v>
      </c>
      <c r="CV31" s="230">
        <v>76407075</v>
      </c>
      <c r="CW31" s="230">
        <v>77492925</v>
      </c>
      <c r="CX31" s="230">
        <v>-1085850</v>
      </c>
      <c r="CY31" s="229">
        <v>-1.4E-2</v>
      </c>
      <c r="CZ31" s="228">
        <v>17.329999999999998</v>
      </c>
      <c r="DA31" s="228">
        <v>17.77</v>
      </c>
      <c r="DB31" s="228">
        <v>-0.44</v>
      </c>
      <c r="DC31" s="228">
        <v>-0.44</v>
      </c>
      <c r="DD31" s="228">
        <v>25.26</v>
      </c>
      <c r="DE31" s="228">
        <v>25.32</v>
      </c>
      <c r="DF31" s="228">
        <v>-7.93</v>
      </c>
      <c r="DG31" s="228">
        <v>-0.06</v>
      </c>
      <c r="DH31" s="228">
        <v>16.89</v>
      </c>
      <c r="DI31" s="228">
        <v>17.059999999999999</v>
      </c>
      <c r="DJ31" s="228">
        <v>-0.17</v>
      </c>
      <c r="DK31" s="228">
        <v>-0.17</v>
      </c>
      <c r="DL31" s="228">
        <v>17.88</v>
      </c>
      <c r="DM31" s="228">
        <v>18.68</v>
      </c>
      <c r="DN31" s="228">
        <v>-0.8</v>
      </c>
      <c r="DO31" s="228">
        <v>-0.8</v>
      </c>
      <c r="DP31" s="228">
        <v>0.67</v>
      </c>
      <c r="DQ31" s="228">
        <v>0.67</v>
      </c>
      <c r="DR31" s="228">
        <v>0</v>
      </c>
      <c r="DS31" s="229">
        <v>0</v>
      </c>
      <c r="DT31" s="231">
        <v>2100</v>
      </c>
      <c r="DU31" s="231">
        <v>2100</v>
      </c>
      <c r="DV31" s="228">
        <v>0.77</v>
      </c>
      <c r="DW31" s="228">
        <v>0.78</v>
      </c>
      <c r="DX31" s="228">
        <v>-0.01</v>
      </c>
      <c r="DY31" s="229">
        <v>-1.2800000000000001E-2</v>
      </c>
      <c r="DZ31" s="229">
        <v>0.45760000000000001</v>
      </c>
      <c r="EA31" s="230">
        <v>8426975</v>
      </c>
      <c r="EB31" s="229">
        <v>7.3000000000000001E-3</v>
      </c>
      <c r="EC31" s="229">
        <v>0.45760000000000001</v>
      </c>
      <c r="ED31" s="228">
        <v>15.65</v>
      </c>
      <c r="EE31" s="229">
        <v>7.1999999999999998E-3</v>
      </c>
      <c r="EF31" s="230">
        <v>4571511</v>
      </c>
      <c r="EG31" s="230">
        <v>5771230</v>
      </c>
      <c r="EH31" s="229">
        <v>-0.2079</v>
      </c>
      <c r="EI31" s="229">
        <v>0.58030000000000004</v>
      </c>
      <c r="EJ31" s="231">
        <v>772370.32</v>
      </c>
      <c r="EK31" s="231">
        <v>569964.59</v>
      </c>
      <c r="EL31" s="231">
        <v>574647.48</v>
      </c>
      <c r="EM31" s="231">
        <v>13167</v>
      </c>
      <c r="EN31" s="231">
        <v>1916982.39</v>
      </c>
      <c r="EO31" s="231">
        <v>1339495.52</v>
      </c>
      <c r="EP31" s="231">
        <v>577486.87</v>
      </c>
      <c r="EQ31" s="229">
        <v>0.43109999999999998</v>
      </c>
      <c r="ER31" s="231">
        <v>431672</v>
      </c>
      <c r="ES31" s="231">
        <v>276876</v>
      </c>
      <c r="ET31" s="231">
        <v>929037</v>
      </c>
      <c r="EU31" s="231">
        <v>314058656</v>
      </c>
      <c r="EV31" s="231">
        <v>1637585</v>
      </c>
      <c r="EW31" s="231">
        <v>1657608</v>
      </c>
      <c r="EX31" s="231">
        <v>-20023</v>
      </c>
      <c r="EY31" s="229">
        <v>-1.21E-2</v>
      </c>
      <c r="EZ31" s="229">
        <v>0.24329999999999999</v>
      </c>
      <c r="FA31" s="227" t="s">
        <v>237</v>
      </c>
      <c r="FB31" s="161">
        <f t="shared" si="0"/>
        <v>19625100</v>
      </c>
    </row>
    <row r="32" spans="1:158" ht="17.25" hidden="1" thickBot="1" x14ac:dyDescent="0.3">
      <c r="A32" s="226">
        <v>45981</v>
      </c>
      <c r="B32" s="227" t="s">
        <v>184</v>
      </c>
      <c r="C32" s="227" t="s">
        <v>190</v>
      </c>
      <c r="D32" s="228">
        <v>2625</v>
      </c>
      <c r="E32" s="228">
        <v>285.75</v>
      </c>
      <c r="F32" s="228">
        <v>289</v>
      </c>
      <c r="G32" s="228">
        <v>-3.25</v>
      </c>
      <c r="H32" s="229">
        <v>-1.12E-2</v>
      </c>
      <c r="I32" s="228">
        <v>285.25</v>
      </c>
      <c r="J32" s="228">
        <v>289.2</v>
      </c>
      <c r="K32" s="228">
        <v>-3.95</v>
      </c>
      <c r="L32" s="229">
        <v>-1.37E-2</v>
      </c>
      <c r="M32" s="228">
        <v>285.75</v>
      </c>
      <c r="N32" s="228">
        <v>289</v>
      </c>
      <c r="O32" s="228">
        <v>-3.25</v>
      </c>
      <c r="P32" s="229">
        <v>-1.12E-2</v>
      </c>
      <c r="Q32" s="228">
        <v>287.64999999999998</v>
      </c>
      <c r="R32" s="228">
        <v>291.10000000000002</v>
      </c>
      <c r="S32" s="228">
        <v>-3.45</v>
      </c>
      <c r="T32" s="229">
        <v>-1.1900000000000001E-2</v>
      </c>
      <c r="U32" s="228">
        <v>289.25</v>
      </c>
      <c r="V32" s="228">
        <v>292.85000000000002</v>
      </c>
      <c r="W32" s="228">
        <v>-3.6</v>
      </c>
      <c r="X32" s="229">
        <v>-1.23E-2</v>
      </c>
      <c r="Y32" s="228">
        <v>0.5</v>
      </c>
      <c r="Z32" s="228">
        <v>-0.2</v>
      </c>
      <c r="AA32" s="228">
        <v>0.7</v>
      </c>
      <c r="AB32" s="229">
        <v>1.8E-3</v>
      </c>
      <c r="AC32" s="228">
        <v>0.5</v>
      </c>
      <c r="AD32" s="228">
        <v>-0.2</v>
      </c>
      <c r="AE32" s="228">
        <v>0.7</v>
      </c>
      <c r="AF32" s="229">
        <v>1.8E-3</v>
      </c>
      <c r="AG32" s="228">
        <v>2.4</v>
      </c>
      <c r="AH32" s="228">
        <v>1.9</v>
      </c>
      <c r="AI32" s="228">
        <v>0.5</v>
      </c>
      <c r="AJ32" s="229">
        <v>8.3999999999999995E-3</v>
      </c>
      <c r="AK32" s="228">
        <v>4</v>
      </c>
      <c r="AL32" s="228">
        <v>3.65</v>
      </c>
      <c r="AM32" s="228">
        <v>0.35</v>
      </c>
      <c r="AN32" s="229">
        <v>1.4E-2</v>
      </c>
      <c r="AO32" s="228">
        <v>287.86</v>
      </c>
      <c r="AP32" s="228">
        <v>289.77999999999997</v>
      </c>
      <c r="AQ32" s="228">
        <v>0</v>
      </c>
      <c r="AR32" s="230">
        <v>35180250</v>
      </c>
      <c r="AS32" s="230">
        <v>22323000</v>
      </c>
      <c r="AT32" s="230">
        <v>12857250</v>
      </c>
      <c r="AU32" s="229">
        <v>0.57599999999999996</v>
      </c>
      <c r="AV32" s="230">
        <v>19810875</v>
      </c>
      <c r="AW32" s="230">
        <v>17073000</v>
      </c>
      <c r="AX32" s="230">
        <v>2737875</v>
      </c>
      <c r="AY32" s="229">
        <v>0.16039999999999999</v>
      </c>
      <c r="AZ32" s="230">
        <v>15193500</v>
      </c>
      <c r="BA32" s="230">
        <v>4990125</v>
      </c>
      <c r="BB32" s="230">
        <v>10203375</v>
      </c>
      <c r="BC32" s="229">
        <v>2.0447000000000002</v>
      </c>
      <c r="BD32" s="230">
        <v>175875</v>
      </c>
      <c r="BE32" s="230">
        <v>259875</v>
      </c>
      <c r="BF32" s="230">
        <v>-84000</v>
      </c>
      <c r="BG32" s="229">
        <v>-0.32319999999999999</v>
      </c>
      <c r="BH32" s="230">
        <v>96768000</v>
      </c>
      <c r="BI32" s="230">
        <v>142828875</v>
      </c>
      <c r="BJ32" s="230">
        <v>-46060875</v>
      </c>
      <c r="BK32" s="229">
        <v>-0.32250000000000001</v>
      </c>
      <c r="BL32" s="230">
        <v>51347625</v>
      </c>
      <c r="BM32" s="230">
        <v>72783375</v>
      </c>
      <c r="BN32" s="230">
        <v>-21435750</v>
      </c>
      <c r="BO32" s="229">
        <v>-0.29449999999999998</v>
      </c>
      <c r="BP32" s="230">
        <v>183295875</v>
      </c>
      <c r="BQ32" s="230">
        <v>237935250</v>
      </c>
      <c r="BR32" s="230">
        <v>-54639375</v>
      </c>
      <c r="BS32" s="229">
        <v>-0.2296</v>
      </c>
      <c r="BT32" s="230">
        <v>9436706</v>
      </c>
      <c r="BU32" s="230">
        <v>15233060</v>
      </c>
      <c r="BV32" s="230">
        <v>-5796354</v>
      </c>
      <c r="BW32" s="229">
        <v>-0.3805</v>
      </c>
      <c r="BX32" s="230">
        <v>60340875</v>
      </c>
      <c r="BY32" s="230">
        <v>61627125</v>
      </c>
      <c r="BZ32" s="230">
        <v>-1286250</v>
      </c>
      <c r="CA32" s="229">
        <v>-2.0899999999999998E-2</v>
      </c>
      <c r="CB32" s="230">
        <v>41438250</v>
      </c>
      <c r="CC32" s="230">
        <v>53941125</v>
      </c>
      <c r="CD32" s="230">
        <v>-12502875</v>
      </c>
      <c r="CE32" s="229">
        <v>-0.23180000000000001</v>
      </c>
      <c r="CF32" s="230">
        <v>18010125</v>
      </c>
      <c r="CG32" s="230">
        <v>6811875</v>
      </c>
      <c r="CH32" s="230">
        <v>11198250</v>
      </c>
      <c r="CI32" s="229">
        <v>1.6438999999999999</v>
      </c>
      <c r="CJ32" s="230">
        <v>892500</v>
      </c>
      <c r="CK32" s="230">
        <v>874125</v>
      </c>
      <c r="CL32" s="230">
        <v>18375</v>
      </c>
      <c r="CM32" s="229">
        <v>2.1000000000000001E-2</v>
      </c>
      <c r="CN32" s="230">
        <v>52237500</v>
      </c>
      <c r="CO32" s="230">
        <v>53584125</v>
      </c>
      <c r="CP32" s="230">
        <v>-1346625</v>
      </c>
      <c r="CQ32" s="229">
        <v>-2.5100000000000001E-2</v>
      </c>
      <c r="CR32" s="230">
        <v>41832000</v>
      </c>
      <c r="CS32" s="230">
        <v>45814125</v>
      </c>
      <c r="CT32" s="230">
        <v>-3982125</v>
      </c>
      <c r="CU32" s="229">
        <v>-8.6900000000000005E-2</v>
      </c>
      <c r="CV32" s="230">
        <v>154410375</v>
      </c>
      <c r="CW32" s="230">
        <v>161025375</v>
      </c>
      <c r="CX32" s="230">
        <v>-6615000</v>
      </c>
      <c r="CY32" s="229">
        <v>-4.1099999999999998E-2</v>
      </c>
      <c r="CZ32" s="228">
        <v>28.6</v>
      </c>
      <c r="DA32" s="228">
        <v>29.32</v>
      </c>
      <c r="DB32" s="228">
        <v>-0.72</v>
      </c>
      <c r="DC32" s="228">
        <v>-0.72</v>
      </c>
      <c r="DD32" s="228">
        <v>45.37</v>
      </c>
      <c r="DE32" s="228">
        <v>45.46</v>
      </c>
      <c r="DF32" s="228">
        <v>-16.77</v>
      </c>
      <c r="DG32" s="228">
        <v>-0.09</v>
      </c>
      <c r="DH32" s="228">
        <v>28.71</v>
      </c>
      <c r="DI32" s="228">
        <v>28.6</v>
      </c>
      <c r="DJ32" s="228">
        <v>0.11</v>
      </c>
      <c r="DK32" s="228">
        <v>0.11</v>
      </c>
      <c r="DL32" s="228">
        <v>28.33</v>
      </c>
      <c r="DM32" s="228">
        <v>30.71</v>
      </c>
      <c r="DN32" s="228">
        <v>-2.38</v>
      </c>
      <c r="DO32" s="228">
        <v>-2.38</v>
      </c>
      <c r="DP32" s="228">
        <v>0.8</v>
      </c>
      <c r="DQ32" s="228">
        <v>0.85</v>
      </c>
      <c r="DR32" s="228">
        <v>-0.05</v>
      </c>
      <c r="DS32" s="229">
        <v>-5.8799999999999998E-2</v>
      </c>
      <c r="DT32" s="228">
        <v>290</v>
      </c>
      <c r="DU32" s="228">
        <v>260</v>
      </c>
      <c r="DV32" s="228">
        <v>0.53</v>
      </c>
      <c r="DW32" s="228">
        <v>0.51</v>
      </c>
      <c r="DX32" s="228">
        <v>0.02</v>
      </c>
      <c r="DY32" s="229">
        <v>3.9199999999999999E-2</v>
      </c>
      <c r="DZ32" s="229">
        <v>0.31330000000000002</v>
      </c>
      <c r="EA32" s="230">
        <v>7686000</v>
      </c>
      <c r="EB32" s="229">
        <v>6.6E-3</v>
      </c>
      <c r="EC32" s="229">
        <v>0.31330000000000002</v>
      </c>
      <c r="ED32" s="228">
        <v>1.92</v>
      </c>
      <c r="EE32" s="229">
        <v>6.7000000000000002E-3</v>
      </c>
      <c r="EF32" s="230">
        <v>4916589</v>
      </c>
      <c r="EG32" s="230">
        <v>6764837</v>
      </c>
      <c r="EH32" s="229">
        <v>-0.2732</v>
      </c>
      <c r="EI32" s="229">
        <v>0.52100000000000002</v>
      </c>
      <c r="EJ32" s="231">
        <v>287993.94</v>
      </c>
      <c r="EK32" s="231">
        <v>143701.42000000001</v>
      </c>
      <c r="EL32" s="231">
        <v>101566.17</v>
      </c>
      <c r="EM32" s="231">
        <v>6407</v>
      </c>
      <c r="EN32" s="231">
        <v>533261.53</v>
      </c>
      <c r="EO32" s="231">
        <v>695890.1</v>
      </c>
      <c r="EP32" s="231">
        <v>-162628.57</v>
      </c>
      <c r="EQ32" s="229">
        <v>-0.23369999999999999</v>
      </c>
      <c r="ER32" s="231">
        <v>150257</v>
      </c>
      <c r="ES32" s="231">
        <v>110085</v>
      </c>
      <c r="ET32" s="231">
        <v>172797</v>
      </c>
      <c r="EU32" s="231">
        <v>169029877</v>
      </c>
      <c r="EV32" s="231">
        <v>433139</v>
      </c>
      <c r="EW32" s="231">
        <v>452878</v>
      </c>
      <c r="EX32" s="231">
        <v>-19739</v>
      </c>
      <c r="EY32" s="229">
        <v>-4.36E-2</v>
      </c>
      <c r="EZ32" s="229">
        <v>0.91349999999999998</v>
      </c>
      <c r="FA32" s="227" t="s">
        <v>568</v>
      </c>
      <c r="FB32" s="161">
        <f t="shared" si="0"/>
        <v>18902625</v>
      </c>
    </row>
    <row r="33" spans="1:158" ht="17.25" hidden="1" thickBot="1" x14ac:dyDescent="0.3">
      <c r="A33" s="226">
        <v>45981</v>
      </c>
      <c r="B33" s="227" t="s">
        <v>170</v>
      </c>
      <c r="C33" s="227" t="s">
        <v>191</v>
      </c>
      <c r="D33" s="228">
        <v>2500</v>
      </c>
      <c r="E33" s="228">
        <v>395.3</v>
      </c>
      <c r="F33" s="228">
        <v>410.1</v>
      </c>
      <c r="G33" s="228">
        <v>-14.8</v>
      </c>
      <c r="H33" s="229">
        <v>-3.61E-2</v>
      </c>
      <c r="I33" s="228">
        <v>395.15</v>
      </c>
      <c r="J33" s="228">
        <v>410.1</v>
      </c>
      <c r="K33" s="228">
        <v>-14.95</v>
      </c>
      <c r="L33" s="229">
        <v>-3.6499999999999998E-2</v>
      </c>
      <c r="M33" s="228">
        <v>395.3</v>
      </c>
      <c r="N33" s="228">
        <v>410.1</v>
      </c>
      <c r="O33" s="228">
        <v>-14.8</v>
      </c>
      <c r="P33" s="229">
        <v>-3.61E-2</v>
      </c>
      <c r="Q33" s="228">
        <v>397.85</v>
      </c>
      <c r="R33" s="228">
        <v>412.9</v>
      </c>
      <c r="S33" s="228">
        <v>-15.05</v>
      </c>
      <c r="T33" s="229">
        <v>-3.6400000000000002E-2</v>
      </c>
      <c r="U33" s="228">
        <v>400.6</v>
      </c>
      <c r="V33" s="228">
        <v>415.15</v>
      </c>
      <c r="W33" s="228">
        <v>-14.55</v>
      </c>
      <c r="X33" s="229">
        <v>-3.5000000000000003E-2</v>
      </c>
      <c r="Y33" s="228">
        <v>0.15</v>
      </c>
      <c r="Z33" s="228">
        <v>0</v>
      </c>
      <c r="AA33" s="228">
        <v>0.15</v>
      </c>
      <c r="AB33" s="229">
        <v>4.0000000000000002E-4</v>
      </c>
      <c r="AC33" s="228">
        <v>0.15</v>
      </c>
      <c r="AD33" s="228">
        <v>0</v>
      </c>
      <c r="AE33" s="228">
        <v>0.15</v>
      </c>
      <c r="AF33" s="229">
        <v>4.0000000000000002E-4</v>
      </c>
      <c r="AG33" s="228">
        <v>2.7</v>
      </c>
      <c r="AH33" s="228">
        <v>2.8</v>
      </c>
      <c r="AI33" s="228">
        <v>-0.1</v>
      </c>
      <c r="AJ33" s="229">
        <v>6.7999999999999996E-3</v>
      </c>
      <c r="AK33" s="228">
        <v>5.45</v>
      </c>
      <c r="AL33" s="228">
        <v>5.05</v>
      </c>
      <c r="AM33" s="228">
        <v>0.4</v>
      </c>
      <c r="AN33" s="229">
        <v>1.38E-2</v>
      </c>
      <c r="AO33" s="228">
        <v>396.16</v>
      </c>
      <c r="AP33" s="228">
        <v>398.68</v>
      </c>
      <c r="AQ33" s="228">
        <v>0</v>
      </c>
      <c r="AR33" s="230">
        <v>35750000</v>
      </c>
      <c r="AS33" s="230">
        <v>24720000</v>
      </c>
      <c r="AT33" s="230">
        <v>11030000</v>
      </c>
      <c r="AU33" s="229">
        <v>0.44619999999999999</v>
      </c>
      <c r="AV33" s="230">
        <v>19695000</v>
      </c>
      <c r="AW33" s="230">
        <v>17135000</v>
      </c>
      <c r="AX33" s="230">
        <v>2560000</v>
      </c>
      <c r="AY33" s="229">
        <v>0.14940000000000001</v>
      </c>
      <c r="AZ33" s="230">
        <v>15215000</v>
      </c>
      <c r="BA33" s="230">
        <v>7250000</v>
      </c>
      <c r="BB33" s="230">
        <v>7965000</v>
      </c>
      <c r="BC33" s="229">
        <v>1.0986</v>
      </c>
      <c r="BD33" s="230">
        <v>840000</v>
      </c>
      <c r="BE33" s="230">
        <v>335000</v>
      </c>
      <c r="BF33" s="230">
        <v>505000</v>
      </c>
      <c r="BG33" s="229">
        <v>1.5075000000000001</v>
      </c>
      <c r="BH33" s="230">
        <v>141247500</v>
      </c>
      <c r="BI33" s="230">
        <v>75295000</v>
      </c>
      <c r="BJ33" s="230">
        <v>65952500</v>
      </c>
      <c r="BK33" s="229">
        <v>0.87590000000000001</v>
      </c>
      <c r="BL33" s="230">
        <v>92442500</v>
      </c>
      <c r="BM33" s="230">
        <v>49470000</v>
      </c>
      <c r="BN33" s="230">
        <v>42972500</v>
      </c>
      <c r="BO33" s="229">
        <v>0.86870000000000003</v>
      </c>
      <c r="BP33" s="230">
        <v>269440000</v>
      </c>
      <c r="BQ33" s="230">
        <v>149485000</v>
      </c>
      <c r="BR33" s="230">
        <v>119955000</v>
      </c>
      <c r="BS33" s="229">
        <v>0.80249999999999999</v>
      </c>
      <c r="BT33" s="230">
        <v>8744855</v>
      </c>
      <c r="BU33" s="230">
        <v>3417259</v>
      </c>
      <c r="BV33" s="230">
        <v>5327596</v>
      </c>
      <c r="BW33" s="229">
        <v>1.5589999999999999</v>
      </c>
      <c r="BX33" s="230">
        <v>53100000</v>
      </c>
      <c r="BY33" s="230">
        <v>51465000</v>
      </c>
      <c r="BZ33" s="230">
        <v>1635000</v>
      </c>
      <c r="CA33" s="229">
        <v>3.1800000000000002E-2</v>
      </c>
      <c r="CB33" s="230">
        <v>34697500</v>
      </c>
      <c r="CC33" s="230">
        <v>41080000</v>
      </c>
      <c r="CD33" s="230">
        <v>-6382500</v>
      </c>
      <c r="CE33" s="229">
        <v>-0.15540000000000001</v>
      </c>
      <c r="CF33" s="230">
        <v>17660000</v>
      </c>
      <c r="CG33" s="230">
        <v>9995000</v>
      </c>
      <c r="CH33" s="230">
        <v>7665000</v>
      </c>
      <c r="CI33" s="229">
        <v>0.76690000000000003</v>
      </c>
      <c r="CJ33" s="230">
        <v>742500</v>
      </c>
      <c r="CK33" s="230">
        <v>390000</v>
      </c>
      <c r="CL33" s="230">
        <v>352500</v>
      </c>
      <c r="CM33" s="229">
        <v>0.90380000000000005</v>
      </c>
      <c r="CN33" s="230">
        <v>35525000</v>
      </c>
      <c r="CO33" s="230">
        <v>29017500</v>
      </c>
      <c r="CP33" s="230">
        <v>6507500</v>
      </c>
      <c r="CQ33" s="229">
        <v>0.2243</v>
      </c>
      <c r="CR33" s="230">
        <v>24980000</v>
      </c>
      <c r="CS33" s="230">
        <v>23370000</v>
      </c>
      <c r="CT33" s="230">
        <v>1610000</v>
      </c>
      <c r="CU33" s="229">
        <v>6.8900000000000003E-2</v>
      </c>
      <c r="CV33" s="230">
        <v>113605000</v>
      </c>
      <c r="CW33" s="230">
        <v>103852500</v>
      </c>
      <c r="CX33" s="230">
        <v>9752500</v>
      </c>
      <c r="CY33" s="229">
        <v>9.3899999999999997E-2</v>
      </c>
      <c r="CZ33" s="228">
        <v>27.68</v>
      </c>
      <c r="DA33" s="228">
        <v>29.93</v>
      </c>
      <c r="DB33" s="228">
        <v>-2.25</v>
      </c>
      <c r="DC33" s="228">
        <v>-2.25</v>
      </c>
      <c r="DD33" s="228">
        <v>39.049999999999997</v>
      </c>
      <c r="DE33" s="228">
        <v>38.82</v>
      </c>
      <c r="DF33" s="228">
        <v>-11.37</v>
      </c>
      <c r="DG33" s="228">
        <v>0.23</v>
      </c>
      <c r="DH33" s="228">
        <v>27.63</v>
      </c>
      <c r="DI33" s="228">
        <v>29.88</v>
      </c>
      <c r="DJ33" s="228">
        <v>-2.25</v>
      </c>
      <c r="DK33" s="228">
        <v>-2.25</v>
      </c>
      <c r="DL33" s="228">
        <v>27.77</v>
      </c>
      <c r="DM33" s="228">
        <v>30</v>
      </c>
      <c r="DN33" s="228">
        <v>-2.23</v>
      </c>
      <c r="DO33" s="228">
        <v>-2.23</v>
      </c>
      <c r="DP33" s="228">
        <v>0.7</v>
      </c>
      <c r="DQ33" s="228">
        <v>0.81</v>
      </c>
      <c r="DR33" s="228">
        <v>-0.11</v>
      </c>
      <c r="DS33" s="229">
        <v>-0.1358</v>
      </c>
      <c r="DT33" s="228">
        <v>420</v>
      </c>
      <c r="DU33" s="228">
        <v>390</v>
      </c>
      <c r="DV33" s="228">
        <v>0.65</v>
      </c>
      <c r="DW33" s="228">
        <v>0.66</v>
      </c>
      <c r="DX33" s="228">
        <v>-0.01</v>
      </c>
      <c r="DY33" s="229">
        <v>-1.52E-2</v>
      </c>
      <c r="DZ33" s="229">
        <v>0.34660000000000002</v>
      </c>
      <c r="EA33" s="230">
        <v>10385000</v>
      </c>
      <c r="EB33" s="229">
        <v>6.4999999999999997E-3</v>
      </c>
      <c r="EC33" s="229">
        <v>0.34660000000000002</v>
      </c>
      <c r="ED33" s="228">
        <v>2.52</v>
      </c>
      <c r="EE33" s="229">
        <v>6.4000000000000003E-3</v>
      </c>
      <c r="EF33" s="230">
        <v>3447816</v>
      </c>
      <c r="EG33" s="230">
        <v>1425256</v>
      </c>
      <c r="EH33" s="229">
        <v>1.4191</v>
      </c>
      <c r="EI33" s="229">
        <v>0.39429999999999998</v>
      </c>
      <c r="EJ33" s="231">
        <v>585237.38</v>
      </c>
      <c r="EK33" s="231">
        <v>364878.68</v>
      </c>
      <c r="EL33" s="231">
        <v>142055.89000000001</v>
      </c>
      <c r="EM33" s="231">
        <v>7435</v>
      </c>
      <c r="EN33" s="231">
        <v>1092171.95</v>
      </c>
      <c r="EO33" s="231">
        <v>628123.18000000005</v>
      </c>
      <c r="EP33" s="231">
        <v>464048.77</v>
      </c>
      <c r="EQ33" s="229">
        <v>0.73880000000000001</v>
      </c>
      <c r="ER33" s="231">
        <v>147583</v>
      </c>
      <c r="ES33" s="231">
        <v>95854</v>
      </c>
      <c r="ET33" s="231">
        <v>210394</v>
      </c>
      <c r="EU33" s="231">
        <v>90981174</v>
      </c>
      <c r="EV33" s="231">
        <v>453831</v>
      </c>
      <c r="EW33" s="231">
        <v>423826</v>
      </c>
      <c r="EX33" s="231">
        <v>30005</v>
      </c>
      <c r="EY33" s="229">
        <v>7.0800000000000002E-2</v>
      </c>
      <c r="EZ33" s="229">
        <v>1.2486999999999999</v>
      </c>
      <c r="FA33" s="227" t="s">
        <v>567</v>
      </c>
      <c r="FB33" s="161">
        <f t="shared" si="0"/>
        <v>18402500</v>
      </c>
    </row>
    <row r="34" spans="1:158" ht="17.25" hidden="1" thickBot="1" x14ac:dyDescent="0.3">
      <c r="A34" s="226">
        <v>45981</v>
      </c>
      <c r="B34" s="227" t="s">
        <v>184</v>
      </c>
      <c r="C34" s="227" t="s">
        <v>680</v>
      </c>
      <c r="D34" s="228">
        <v>325</v>
      </c>
      <c r="E34" s="231">
        <v>1795.2</v>
      </c>
      <c r="F34" s="231">
        <v>1793.6</v>
      </c>
      <c r="G34" s="228">
        <v>1.6</v>
      </c>
      <c r="H34" s="229">
        <v>8.9999999999999998E-4</v>
      </c>
      <c r="I34" s="231">
        <v>1794.6</v>
      </c>
      <c r="J34" s="231">
        <v>1795</v>
      </c>
      <c r="K34" s="228">
        <v>-0.4</v>
      </c>
      <c r="L34" s="229">
        <v>-2.0000000000000001E-4</v>
      </c>
      <c r="M34" s="231">
        <v>1795.2</v>
      </c>
      <c r="N34" s="231">
        <v>1793.6</v>
      </c>
      <c r="O34" s="228">
        <v>1.6</v>
      </c>
      <c r="P34" s="229">
        <v>8.9999999999999998E-4</v>
      </c>
      <c r="Q34" s="231">
        <v>1797.4</v>
      </c>
      <c r="R34" s="231">
        <v>1797.6</v>
      </c>
      <c r="S34" s="228">
        <v>-0.2</v>
      </c>
      <c r="T34" s="229">
        <v>-1E-4</v>
      </c>
      <c r="U34" s="231">
        <v>1800.1</v>
      </c>
      <c r="V34" s="231">
        <v>1778</v>
      </c>
      <c r="W34" s="228">
        <v>22.1</v>
      </c>
      <c r="X34" s="229">
        <v>1.24E-2</v>
      </c>
      <c r="Y34" s="228">
        <v>0.6</v>
      </c>
      <c r="Z34" s="228">
        <v>-1.4</v>
      </c>
      <c r="AA34" s="228">
        <v>2</v>
      </c>
      <c r="AB34" s="229">
        <v>2.9999999999999997E-4</v>
      </c>
      <c r="AC34" s="228">
        <v>0.6</v>
      </c>
      <c r="AD34" s="228">
        <v>-1.4</v>
      </c>
      <c r="AE34" s="228">
        <v>2</v>
      </c>
      <c r="AF34" s="229">
        <v>2.9999999999999997E-4</v>
      </c>
      <c r="AG34" s="228">
        <v>2.8</v>
      </c>
      <c r="AH34" s="228">
        <v>2.6</v>
      </c>
      <c r="AI34" s="228">
        <v>0.2</v>
      </c>
      <c r="AJ34" s="229">
        <v>1.6000000000000001E-3</v>
      </c>
      <c r="AK34" s="228">
        <v>5.5</v>
      </c>
      <c r="AL34" s="228">
        <v>-17</v>
      </c>
      <c r="AM34" s="228">
        <v>22.5</v>
      </c>
      <c r="AN34" s="229">
        <v>3.0999999999999999E-3</v>
      </c>
      <c r="AO34" s="231">
        <v>1792.48</v>
      </c>
      <c r="AP34" s="231">
        <v>1794.99</v>
      </c>
      <c r="AQ34" s="228">
        <v>0</v>
      </c>
      <c r="AR34" s="230">
        <v>1366950</v>
      </c>
      <c r="AS34" s="230">
        <v>793325</v>
      </c>
      <c r="AT34" s="230">
        <v>573625</v>
      </c>
      <c r="AU34" s="229">
        <v>0.72309999999999997</v>
      </c>
      <c r="AV34" s="230">
        <v>755950</v>
      </c>
      <c r="AW34" s="230">
        <v>498225</v>
      </c>
      <c r="AX34" s="230">
        <v>257725</v>
      </c>
      <c r="AY34" s="229">
        <v>0.51729999999999998</v>
      </c>
      <c r="AZ34" s="230">
        <v>609375</v>
      </c>
      <c r="BA34" s="230">
        <v>294125</v>
      </c>
      <c r="BB34" s="230">
        <v>315250</v>
      </c>
      <c r="BC34" s="229">
        <v>1.0718000000000001</v>
      </c>
      <c r="BD34" s="230">
        <v>1625</v>
      </c>
      <c r="BE34" s="228">
        <v>975</v>
      </c>
      <c r="BF34" s="228">
        <v>650</v>
      </c>
      <c r="BG34" s="229">
        <v>0.66669999999999996</v>
      </c>
      <c r="BH34" s="230">
        <v>2080000</v>
      </c>
      <c r="BI34" s="230">
        <v>2433275</v>
      </c>
      <c r="BJ34" s="230">
        <v>-353275</v>
      </c>
      <c r="BK34" s="229">
        <v>-0.1452</v>
      </c>
      <c r="BL34" s="230">
        <v>1366950</v>
      </c>
      <c r="BM34" s="230">
        <v>1839825</v>
      </c>
      <c r="BN34" s="230">
        <v>-472875</v>
      </c>
      <c r="BO34" s="229">
        <v>-0.25700000000000001</v>
      </c>
      <c r="BP34" s="230">
        <v>4813900</v>
      </c>
      <c r="BQ34" s="230">
        <v>5066425</v>
      </c>
      <c r="BR34" s="230">
        <v>-252525</v>
      </c>
      <c r="BS34" s="229">
        <v>-4.9799999999999997E-2</v>
      </c>
      <c r="BT34" s="230">
        <v>234525</v>
      </c>
      <c r="BU34" s="230">
        <v>196466</v>
      </c>
      <c r="BV34" s="230">
        <v>38059</v>
      </c>
      <c r="BW34" s="229">
        <v>0.19370000000000001</v>
      </c>
      <c r="BX34" s="230">
        <v>1773200</v>
      </c>
      <c r="BY34" s="230">
        <v>1981525</v>
      </c>
      <c r="BZ34" s="230">
        <v>-208325</v>
      </c>
      <c r="CA34" s="229">
        <v>-0.1051</v>
      </c>
      <c r="CB34" s="230">
        <v>1095575</v>
      </c>
      <c r="CC34" s="230">
        <v>1578850</v>
      </c>
      <c r="CD34" s="230">
        <v>-483275</v>
      </c>
      <c r="CE34" s="229">
        <v>-0.30609999999999998</v>
      </c>
      <c r="CF34" s="230">
        <v>669500</v>
      </c>
      <c r="CG34" s="230">
        <v>395525</v>
      </c>
      <c r="CH34" s="230">
        <v>273975</v>
      </c>
      <c r="CI34" s="229">
        <v>0.69269999999999998</v>
      </c>
      <c r="CJ34" s="230">
        <v>8125</v>
      </c>
      <c r="CK34" s="230">
        <v>7150</v>
      </c>
      <c r="CL34" s="228">
        <v>975</v>
      </c>
      <c r="CM34" s="229">
        <v>0.13639999999999999</v>
      </c>
      <c r="CN34" s="230">
        <v>2208700</v>
      </c>
      <c r="CO34" s="230">
        <v>2503150</v>
      </c>
      <c r="CP34" s="230">
        <v>-294450</v>
      </c>
      <c r="CQ34" s="229">
        <v>-0.1176</v>
      </c>
      <c r="CR34" s="230">
        <v>780000</v>
      </c>
      <c r="CS34" s="230">
        <v>982475</v>
      </c>
      <c r="CT34" s="230">
        <v>-202475</v>
      </c>
      <c r="CU34" s="229">
        <v>-0.20610000000000001</v>
      </c>
      <c r="CV34" s="230">
        <v>4761900</v>
      </c>
      <c r="CW34" s="230">
        <v>5467150</v>
      </c>
      <c r="CX34" s="230">
        <v>-705250</v>
      </c>
      <c r="CY34" s="229">
        <v>-0.129</v>
      </c>
      <c r="CZ34" s="228">
        <v>27.78</v>
      </c>
      <c r="DA34" s="228">
        <v>28.22</v>
      </c>
      <c r="DB34" s="228">
        <v>-0.44</v>
      </c>
      <c r="DC34" s="228">
        <v>-0.44</v>
      </c>
      <c r="DD34" s="228">
        <v>41.24</v>
      </c>
      <c r="DE34" s="228">
        <v>41.34</v>
      </c>
      <c r="DF34" s="228">
        <v>-13.46</v>
      </c>
      <c r="DG34" s="228">
        <v>-0.1</v>
      </c>
      <c r="DH34" s="228">
        <v>28.81</v>
      </c>
      <c r="DI34" s="228">
        <v>27.27</v>
      </c>
      <c r="DJ34" s="228">
        <v>1.54</v>
      </c>
      <c r="DK34" s="228">
        <v>1.54</v>
      </c>
      <c r="DL34" s="228">
        <v>24.04</v>
      </c>
      <c r="DM34" s="228">
        <v>29.48</v>
      </c>
      <c r="DN34" s="228">
        <v>-5.44</v>
      </c>
      <c r="DO34" s="228">
        <v>-5.44</v>
      </c>
      <c r="DP34" s="228">
        <v>0.35</v>
      </c>
      <c r="DQ34" s="228">
        <v>0.39</v>
      </c>
      <c r="DR34" s="228">
        <v>-0.04</v>
      </c>
      <c r="DS34" s="229">
        <v>-0.1026</v>
      </c>
      <c r="DT34" s="231">
        <v>2000</v>
      </c>
      <c r="DU34" s="231">
        <v>1700</v>
      </c>
      <c r="DV34" s="228">
        <v>0.66</v>
      </c>
      <c r="DW34" s="228">
        <v>0.76</v>
      </c>
      <c r="DX34" s="228">
        <v>-0.1</v>
      </c>
      <c r="DY34" s="229">
        <v>-0.13159999999999999</v>
      </c>
      <c r="DZ34" s="229">
        <v>0.3821</v>
      </c>
      <c r="EA34" s="230">
        <v>402675</v>
      </c>
      <c r="EB34" s="229">
        <v>1.1999999999999999E-3</v>
      </c>
      <c r="EC34" s="229">
        <v>0.3821</v>
      </c>
      <c r="ED34" s="228">
        <v>2.5099999999999998</v>
      </c>
      <c r="EE34" s="229">
        <v>1.4E-3</v>
      </c>
      <c r="EF34" s="230">
        <v>131084</v>
      </c>
      <c r="EG34" s="230">
        <v>84940</v>
      </c>
      <c r="EH34" s="229">
        <v>0.54330000000000001</v>
      </c>
      <c r="EI34" s="229">
        <v>0.55889999999999995</v>
      </c>
      <c r="EJ34" s="231">
        <v>38913.19</v>
      </c>
      <c r="EK34" s="231">
        <v>23817.64</v>
      </c>
      <c r="EL34" s="231">
        <v>24517.81</v>
      </c>
      <c r="EM34" s="231">
        <v>1674</v>
      </c>
      <c r="EN34" s="231">
        <v>87248.639999999999</v>
      </c>
      <c r="EO34" s="231">
        <v>91917.64</v>
      </c>
      <c r="EP34" s="231">
        <v>-4669</v>
      </c>
      <c r="EQ34" s="229">
        <v>-5.0799999999999998E-2</v>
      </c>
      <c r="ER34" s="231">
        <v>43202</v>
      </c>
      <c r="ES34" s="231">
        <v>13832</v>
      </c>
      <c r="ET34" s="231">
        <v>31848</v>
      </c>
      <c r="EU34" s="231">
        <v>19584741</v>
      </c>
      <c r="EV34" s="231">
        <v>88881</v>
      </c>
      <c r="EW34" s="231">
        <v>101649</v>
      </c>
      <c r="EX34" s="231">
        <v>-12768</v>
      </c>
      <c r="EY34" s="229">
        <v>-0.12559999999999999</v>
      </c>
      <c r="EZ34" s="229">
        <v>0.24310000000000001</v>
      </c>
      <c r="FA34" s="227" t="s">
        <v>556</v>
      </c>
      <c r="FB34" s="161">
        <f t="shared" si="0"/>
        <v>677625</v>
      </c>
    </row>
    <row r="35" spans="1:158" ht="17.25" hidden="1" thickBot="1" x14ac:dyDescent="0.3">
      <c r="A35" s="226">
        <v>45981</v>
      </c>
      <c r="B35" s="227" t="s">
        <v>162</v>
      </c>
      <c r="C35" s="227" t="s">
        <v>192</v>
      </c>
      <c r="D35" s="228">
        <v>25</v>
      </c>
      <c r="E35" s="231">
        <v>37025</v>
      </c>
      <c r="F35" s="231">
        <v>36860</v>
      </c>
      <c r="G35" s="228">
        <v>165</v>
      </c>
      <c r="H35" s="229">
        <v>4.4999999999999997E-3</v>
      </c>
      <c r="I35" s="231">
        <v>37050</v>
      </c>
      <c r="J35" s="231">
        <v>36870</v>
      </c>
      <c r="K35" s="228">
        <v>180</v>
      </c>
      <c r="L35" s="229">
        <v>4.8999999999999998E-3</v>
      </c>
      <c r="M35" s="231">
        <v>37025</v>
      </c>
      <c r="N35" s="231">
        <v>36860</v>
      </c>
      <c r="O35" s="228">
        <v>165</v>
      </c>
      <c r="P35" s="229">
        <v>4.4999999999999997E-3</v>
      </c>
      <c r="Q35" s="231">
        <v>37275</v>
      </c>
      <c r="R35" s="231">
        <v>37140</v>
      </c>
      <c r="S35" s="228">
        <v>135</v>
      </c>
      <c r="T35" s="229">
        <v>3.5999999999999999E-3</v>
      </c>
      <c r="U35" s="231">
        <v>37470</v>
      </c>
      <c r="V35" s="231">
        <v>37425</v>
      </c>
      <c r="W35" s="228">
        <v>45</v>
      </c>
      <c r="X35" s="229">
        <v>1.1999999999999999E-3</v>
      </c>
      <c r="Y35" s="228">
        <v>-25</v>
      </c>
      <c r="Z35" s="228">
        <v>-10</v>
      </c>
      <c r="AA35" s="228">
        <v>-15</v>
      </c>
      <c r="AB35" s="229">
        <v>-6.9999999999999999E-4</v>
      </c>
      <c r="AC35" s="228">
        <v>-25</v>
      </c>
      <c r="AD35" s="228">
        <v>-10</v>
      </c>
      <c r="AE35" s="228">
        <v>-15</v>
      </c>
      <c r="AF35" s="229">
        <v>-6.9999999999999999E-4</v>
      </c>
      <c r="AG35" s="228">
        <v>225</v>
      </c>
      <c r="AH35" s="228">
        <v>270</v>
      </c>
      <c r="AI35" s="228">
        <v>-45</v>
      </c>
      <c r="AJ35" s="229">
        <v>6.1000000000000004E-3</v>
      </c>
      <c r="AK35" s="228">
        <v>420</v>
      </c>
      <c r="AL35" s="228">
        <v>555</v>
      </c>
      <c r="AM35" s="228">
        <v>-135</v>
      </c>
      <c r="AN35" s="229">
        <v>1.1299999999999999E-2</v>
      </c>
      <c r="AO35" s="231">
        <v>37084.14</v>
      </c>
      <c r="AP35" s="231">
        <v>37337.31</v>
      </c>
      <c r="AQ35" s="228">
        <v>0</v>
      </c>
      <c r="AR35" s="230">
        <v>152725</v>
      </c>
      <c r="AS35" s="230">
        <v>53500</v>
      </c>
      <c r="AT35" s="230">
        <v>99225</v>
      </c>
      <c r="AU35" s="229">
        <v>1.8547</v>
      </c>
      <c r="AV35" s="230">
        <v>81250</v>
      </c>
      <c r="AW35" s="230">
        <v>34525</v>
      </c>
      <c r="AX35" s="230">
        <v>46725</v>
      </c>
      <c r="AY35" s="229">
        <v>1.3533999999999999</v>
      </c>
      <c r="AZ35" s="230">
        <v>71225</v>
      </c>
      <c r="BA35" s="230">
        <v>18650</v>
      </c>
      <c r="BB35" s="230">
        <v>52575</v>
      </c>
      <c r="BC35" s="229">
        <v>2.819</v>
      </c>
      <c r="BD35" s="228">
        <v>250</v>
      </c>
      <c r="BE35" s="228">
        <v>325</v>
      </c>
      <c r="BF35" s="228">
        <v>-75</v>
      </c>
      <c r="BG35" s="229">
        <v>-0.23080000000000001</v>
      </c>
      <c r="BH35" s="230">
        <v>265225</v>
      </c>
      <c r="BI35" s="230">
        <v>302275</v>
      </c>
      <c r="BJ35" s="230">
        <v>-37050</v>
      </c>
      <c r="BK35" s="229">
        <v>-0.1226</v>
      </c>
      <c r="BL35" s="230">
        <v>62925</v>
      </c>
      <c r="BM35" s="230">
        <v>65500</v>
      </c>
      <c r="BN35" s="230">
        <v>-2575</v>
      </c>
      <c r="BO35" s="229">
        <v>-3.9300000000000002E-2</v>
      </c>
      <c r="BP35" s="230">
        <v>480875</v>
      </c>
      <c r="BQ35" s="230">
        <v>421275</v>
      </c>
      <c r="BR35" s="230">
        <v>59600</v>
      </c>
      <c r="BS35" s="229">
        <v>0.14149999999999999</v>
      </c>
      <c r="BT35" s="230">
        <v>18283</v>
      </c>
      <c r="BU35" s="230">
        <v>18802</v>
      </c>
      <c r="BV35" s="228">
        <v>-519</v>
      </c>
      <c r="BW35" s="229">
        <v>-2.76E-2</v>
      </c>
      <c r="BX35" s="230">
        <v>233875</v>
      </c>
      <c r="BY35" s="230">
        <v>240275</v>
      </c>
      <c r="BZ35" s="230">
        <v>-6400</v>
      </c>
      <c r="CA35" s="229">
        <v>-2.6599999999999999E-2</v>
      </c>
      <c r="CB35" s="230">
        <v>146550</v>
      </c>
      <c r="CC35" s="230">
        <v>214275</v>
      </c>
      <c r="CD35" s="230">
        <v>-67725</v>
      </c>
      <c r="CE35" s="229">
        <v>-0.31609999999999999</v>
      </c>
      <c r="CF35" s="230">
        <v>86250</v>
      </c>
      <c r="CG35" s="230">
        <v>25025</v>
      </c>
      <c r="CH35" s="230">
        <v>61225</v>
      </c>
      <c r="CI35" s="229">
        <v>2.4466000000000001</v>
      </c>
      <c r="CJ35" s="230">
        <v>1075</v>
      </c>
      <c r="CK35" s="228">
        <v>975</v>
      </c>
      <c r="CL35" s="228">
        <v>100</v>
      </c>
      <c r="CM35" s="229">
        <v>0.1026</v>
      </c>
      <c r="CN35" s="230">
        <v>179375</v>
      </c>
      <c r="CO35" s="230">
        <v>206875</v>
      </c>
      <c r="CP35" s="230">
        <v>-27500</v>
      </c>
      <c r="CQ35" s="229">
        <v>-0.13289999999999999</v>
      </c>
      <c r="CR35" s="230">
        <v>72650</v>
      </c>
      <c r="CS35" s="230">
        <v>77450</v>
      </c>
      <c r="CT35" s="230">
        <v>-4800</v>
      </c>
      <c r="CU35" s="229">
        <v>-6.2E-2</v>
      </c>
      <c r="CV35" s="230">
        <v>485900</v>
      </c>
      <c r="CW35" s="230">
        <v>524600</v>
      </c>
      <c r="CX35" s="230">
        <v>-38700</v>
      </c>
      <c r="CY35" s="229">
        <v>-7.3800000000000004E-2</v>
      </c>
      <c r="CZ35" s="228">
        <v>22.68</v>
      </c>
      <c r="DA35" s="228">
        <v>29.62</v>
      </c>
      <c r="DB35" s="228">
        <v>-6.94</v>
      </c>
      <c r="DC35" s="228">
        <v>-6.94</v>
      </c>
      <c r="DD35" s="228">
        <v>28.36</v>
      </c>
      <c r="DE35" s="228">
        <v>28.43</v>
      </c>
      <c r="DF35" s="228">
        <v>-5.68</v>
      </c>
      <c r="DG35" s="228">
        <v>-7.0000000000000007E-2</v>
      </c>
      <c r="DH35" s="228">
        <v>22.99</v>
      </c>
      <c r="DI35" s="228">
        <v>30.53</v>
      </c>
      <c r="DJ35" s="228">
        <v>-7.54</v>
      </c>
      <c r="DK35" s="228">
        <v>-7.54</v>
      </c>
      <c r="DL35" s="228">
        <v>22.41</v>
      </c>
      <c r="DM35" s="228">
        <v>25.42</v>
      </c>
      <c r="DN35" s="228">
        <v>-3.01</v>
      </c>
      <c r="DO35" s="228">
        <v>-3.01</v>
      </c>
      <c r="DP35" s="228">
        <v>0.41</v>
      </c>
      <c r="DQ35" s="228">
        <v>0.37</v>
      </c>
      <c r="DR35" s="228">
        <v>0.04</v>
      </c>
      <c r="DS35" s="229">
        <v>0.1081</v>
      </c>
      <c r="DT35" s="231">
        <v>40000</v>
      </c>
      <c r="DU35" s="231">
        <v>37000</v>
      </c>
      <c r="DV35" s="228">
        <v>0.24</v>
      </c>
      <c r="DW35" s="228">
        <v>0.22</v>
      </c>
      <c r="DX35" s="228">
        <v>0.02</v>
      </c>
      <c r="DY35" s="229">
        <v>9.0899999999999995E-2</v>
      </c>
      <c r="DZ35" s="229">
        <v>0.37340000000000001</v>
      </c>
      <c r="EA35" s="230">
        <v>26000</v>
      </c>
      <c r="EB35" s="229">
        <v>6.7999999999999996E-3</v>
      </c>
      <c r="EC35" s="229">
        <v>0.37340000000000001</v>
      </c>
      <c r="ED35" s="228">
        <v>253.17</v>
      </c>
      <c r="EE35" s="229">
        <v>6.7999999999999996E-3</v>
      </c>
      <c r="EF35" s="230">
        <v>11811</v>
      </c>
      <c r="EG35" s="230">
        <v>8506</v>
      </c>
      <c r="EH35" s="229">
        <v>0.38850000000000001</v>
      </c>
      <c r="EI35" s="229">
        <v>0.64600000000000002</v>
      </c>
      <c r="EJ35" s="231">
        <v>103236.5</v>
      </c>
      <c r="EK35" s="231">
        <v>22438.63</v>
      </c>
      <c r="EL35" s="231">
        <v>56818.22</v>
      </c>
      <c r="EM35" s="231">
        <v>1552</v>
      </c>
      <c r="EN35" s="231">
        <v>182493.35</v>
      </c>
      <c r="EO35" s="231">
        <v>161994.78</v>
      </c>
      <c r="EP35" s="231">
        <v>20498.57</v>
      </c>
      <c r="EQ35" s="229">
        <v>0.1265</v>
      </c>
      <c r="ER35" s="231">
        <v>70371</v>
      </c>
      <c r="ES35" s="231">
        <v>26395</v>
      </c>
      <c r="ET35" s="231">
        <v>86813</v>
      </c>
      <c r="EU35" s="231">
        <v>982526</v>
      </c>
      <c r="EV35" s="231">
        <v>183579</v>
      </c>
      <c r="EW35" s="231">
        <v>197805</v>
      </c>
      <c r="EX35" s="231">
        <v>-14226</v>
      </c>
      <c r="EY35" s="229">
        <v>-7.1900000000000006E-2</v>
      </c>
      <c r="EZ35" s="229">
        <v>0.4945</v>
      </c>
      <c r="FA35" s="227" t="s">
        <v>556</v>
      </c>
      <c r="FB35" s="161">
        <f t="shared" si="0"/>
        <v>87325</v>
      </c>
    </row>
    <row r="36" spans="1:158" ht="17.25" hidden="1" thickBot="1" x14ac:dyDescent="0.3">
      <c r="A36" s="226">
        <v>45981</v>
      </c>
      <c r="B36" s="227" t="s">
        <v>193</v>
      </c>
      <c r="C36" s="227" t="s">
        <v>194</v>
      </c>
      <c r="D36" s="228">
        <v>1975</v>
      </c>
      <c r="E36" s="228">
        <v>365.9</v>
      </c>
      <c r="F36" s="228">
        <v>366.75</v>
      </c>
      <c r="G36" s="228">
        <v>-0.85</v>
      </c>
      <c r="H36" s="229">
        <v>-2.3E-3</v>
      </c>
      <c r="I36" s="228">
        <v>365.05</v>
      </c>
      <c r="J36" s="228">
        <v>365.65</v>
      </c>
      <c r="K36" s="228">
        <v>-0.6</v>
      </c>
      <c r="L36" s="229">
        <v>-1.6000000000000001E-3</v>
      </c>
      <c r="M36" s="228">
        <v>365.9</v>
      </c>
      <c r="N36" s="228">
        <v>366.75</v>
      </c>
      <c r="O36" s="228">
        <v>-0.85</v>
      </c>
      <c r="P36" s="229">
        <v>-2.3E-3</v>
      </c>
      <c r="Q36" s="228">
        <v>368.05</v>
      </c>
      <c r="R36" s="228">
        <v>368.75</v>
      </c>
      <c r="S36" s="228">
        <v>-0.7</v>
      </c>
      <c r="T36" s="229">
        <v>-1.9E-3</v>
      </c>
      <c r="U36" s="228">
        <v>369.55</v>
      </c>
      <c r="V36" s="228">
        <v>370.2</v>
      </c>
      <c r="W36" s="228">
        <v>-0.65</v>
      </c>
      <c r="X36" s="229">
        <v>-1.8E-3</v>
      </c>
      <c r="Y36" s="228">
        <v>0.85</v>
      </c>
      <c r="Z36" s="228">
        <v>1.1000000000000001</v>
      </c>
      <c r="AA36" s="228">
        <v>-0.25</v>
      </c>
      <c r="AB36" s="229">
        <v>2.3E-3</v>
      </c>
      <c r="AC36" s="228">
        <v>0.85</v>
      </c>
      <c r="AD36" s="228">
        <v>1.1000000000000001</v>
      </c>
      <c r="AE36" s="228">
        <v>-0.25</v>
      </c>
      <c r="AF36" s="229">
        <v>2.3E-3</v>
      </c>
      <c r="AG36" s="228">
        <v>3</v>
      </c>
      <c r="AH36" s="228">
        <v>3.1</v>
      </c>
      <c r="AI36" s="228">
        <v>-0.1</v>
      </c>
      <c r="AJ36" s="229">
        <v>8.2000000000000007E-3</v>
      </c>
      <c r="AK36" s="228">
        <v>4.5</v>
      </c>
      <c r="AL36" s="228">
        <v>4.55</v>
      </c>
      <c r="AM36" s="228">
        <v>-0.05</v>
      </c>
      <c r="AN36" s="229">
        <v>1.23E-2</v>
      </c>
      <c r="AO36" s="228">
        <v>366.92</v>
      </c>
      <c r="AP36" s="228">
        <v>369.15</v>
      </c>
      <c r="AQ36" s="228">
        <v>0</v>
      </c>
      <c r="AR36" s="230">
        <v>23445225</v>
      </c>
      <c r="AS36" s="230">
        <v>7100125</v>
      </c>
      <c r="AT36" s="230">
        <v>16345100</v>
      </c>
      <c r="AU36" s="229">
        <v>2.3020999999999998</v>
      </c>
      <c r="AV36" s="230">
        <v>10911875</v>
      </c>
      <c r="AW36" s="230">
        <v>5296950</v>
      </c>
      <c r="AX36" s="230">
        <v>5614925</v>
      </c>
      <c r="AY36" s="229">
        <v>1.06</v>
      </c>
      <c r="AZ36" s="230">
        <v>12448425</v>
      </c>
      <c r="BA36" s="230">
        <v>1708375</v>
      </c>
      <c r="BB36" s="230">
        <v>10740050</v>
      </c>
      <c r="BC36" s="229">
        <v>6.2866999999999997</v>
      </c>
      <c r="BD36" s="230">
        <v>84925</v>
      </c>
      <c r="BE36" s="230">
        <v>94800</v>
      </c>
      <c r="BF36" s="230">
        <v>-9875</v>
      </c>
      <c r="BG36" s="229">
        <v>-0.1042</v>
      </c>
      <c r="BH36" s="230">
        <v>25540700</v>
      </c>
      <c r="BI36" s="230">
        <v>23500525</v>
      </c>
      <c r="BJ36" s="230">
        <v>2040175</v>
      </c>
      <c r="BK36" s="229">
        <v>8.6800000000000002E-2</v>
      </c>
      <c r="BL36" s="230">
        <v>13507025</v>
      </c>
      <c r="BM36" s="230">
        <v>16121925</v>
      </c>
      <c r="BN36" s="230">
        <v>-2614900</v>
      </c>
      <c r="BO36" s="229">
        <v>-0.16220000000000001</v>
      </c>
      <c r="BP36" s="230">
        <v>62492950</v>
      </c>
      <c r="BQ36" s="230">
        <v>46722575</v>
      </c>
      <c r="BR36" s="230">
        <v>15770375</v>
      </c>
      <c r="BS36" s="229">
        <v>0.33750000000000002</v>
      </c>
      <c r="BT36" s="230">
        <v>9637594</v>
      </c>
      <c r="BU36" s="230">
        <v>7392205</v>
      </c>
      <c r="BV36" s="230">
        <v>2245389</v>
      </c>
      <c r="BW36" s="229">
        <v>0.30380000000000001</v>
      </c>
      <c r="BX36" s="230">
        <v>34629650</v>
      </c>
      <c r="BY36" s="230">
        <v>30085175</v>
      </c>
      <c r="BZ36" s="230">
        <v>4544475</v>
      </c>
      <c r="CA36" s="229">
        <v>0.15110000000000001</v>
      </c>
      <c r="CB36" s="230">
        <v>21837575</v>
      </c>
      <c r="CC36" s="230">
        <v>27235250</v>
      </c>
      <c r="CD36" s="230">
        <v>-5397675</v>
      </c>
      <c r="CE36" s="229">
        <v>-0.19819999999999999</v>
      </c>
      <c r="CF36" s="230">
        <v>12610375</v>
      </c>
      <c r="CG36" s="230">
        <v>2672175</v>
      </c>
      <c r="CH36" s="230">
        <v>9938200</v>
      </c>
      <c r="CI36" s="229">
        <v>3.7191000000000001</v>
      </c>
      <c r="CJ36" s="230">
        <v>181700</v>
      </c>
      <c r="CK36" s="230">
        <v>177750</v>
      </c>
      <c r="CL36" s="230">
        <v>3950</v>
      </c>
      <c r="CM36" s="229">
        <v>2.2200000000000001E-2</v>
      </c>
      <c r="CN36" s="230">
        <v>20202275</v>
      </c>
      <c r="CO36" s="230">
        <v>18768425</v>
      </c>
      <c r="CP36" s="230">
        <v>1433850</v>
      </c>
      <c r="CQ36" s="229">
        <v>7.6399999999999996E-2</v>
      </c>
      <c r="CR36" s="230">
        <v>16773675</v>
      </c>
      <c r="CS36" s="230">
        <v>17089675</v>
      </c>
      <c r="CT36" s="230">
        <v>-316000</v>
      </c>
      <c r="CU36" s="229">
        <v>-1.8499999999999999E-2</v>
      </c>
      <c r="CV36" s="230">
        <v>71605600</v>
      </c>
      <c r="CW36" s="230">
        <v>65943275</v>
      </c>
      <c r="CX36" s="230">
        <v>5662325</v>
      </c>
      <c r="CY36" s="229">
        <v>8.5900000000000004E-2</v>
      </c>
      <c r="CZ36" s="228">
        <v>24.52</v>
      </c>
      <c r="DA36" s="228">
        <v>25.48</v>
      </c>
      <c r="DB36" s="228">
        <v>-0.96</v>
      </c>
      <c r="DC36" s="228">
        <v>-0.96</v>
      </c>
      <c r="DD36" s="228">
        <v>33.04</v>
      </c>
      <c r="DE36" s="228">
        <v>33.119999999999997</v>
      </c>
      <c r="DF36" s="228">
        <v>-8.52</v>
      </c>
      <c r="DG36" s="228">
        <v>-0.08</v>
      </c>
      <c r="DH36" s="228">
        <v>24.86</v>
      </c>
      <c r="DI36" s="228">
        <v>25.52</v>
      </c>
      <c r="DJ36" s="228">
        <v>-0.66</v>
      </c>
      <c r="DK36" s="228">
        <v>-0.66</v>
      </c>
      <c r="DL36" s="228">
        <v>23.7</v>
      </c>
      <c r="DM36" s="228">
        <v>25.43</v>
      </c>
      <c r="DN36" s="228">
        <v>-1.73</v>
      </c>
      <c r="DO36" s="228">
        <v>-1.73</v>
      </c>
      <c r="DP36" s="228">
        <v>0.83</v>
      </c>
      <c r="DQ36" s="228">
        <v>0.91</v>
      </c>
      <c r="DR36" s="228">
        <v>-0.08</v>
      </c>
      <c r="DS36" s="229">
        <v>-8.7900000000000006E-2</v>
      </c>
      <c r="DT36" s="228">
        <v>380</v>
      </c>
      <c r="DU36" s="228">
        <v>342.5</v>
      </c>
      <c r="DV36" s="228">
        <v>0.53</v>
      </c>
      <c r="DW36" s="228">
        <v>0.69</v>
      </c>
      <c r="DX36" s="228">
        <v>-0.16</v>
      </c>
      <c r="DY36" s="229">
        <v>-0.2319</v>
      </c>
      <c r="DZ36" s="229">
        <v>0.36940000000000001</v>
      </c>
      <c r="EA36" s="230">
        <v>2849925</v>
      </c>
      <c r="EB36" s="229">
        <v>5.8999999999999999E-3</v>
      </c>
      <c r="EC36" s="229">
        <v>0.36940000000000001</v>
      </c>
      <c r="ED36" s="228">
        <v>2.23</v>
      </c>
      <c r="EE36" s="229">
        <v>6.1000000000000004E-3</v>
      </c>
      <c r="EF36" s="230">
        <v>6952124</v>
      </c>
      <c r="EG36" s="230">
        <v>5064368</v>
      </c>
      <c r="EH36" s="229">
        <v>0.37280000000000002</v>
      </c>
      <c r="EI36" s="229">
        <v>0.72140000000000004</v>
      </c>
      <c r="EJ36" s="231">
        <v>96296.01</v>
      </c>
      <c r="EK36" s="231">
        <v>49106.17</v>
      </c>
      <c r="EL36" s="231">
        <v>86305.48</v>
      </c>
      <c r="EM36" s="231">
        <v>3629</v>
      </c>
      <c r="EN36" s="231">
        <v>231707.66</v>
      </c>
      <c r="EO36" s="231">
        <v>174268.39</v>
      </c>
      <c r="EP36" s="231">
        <v>57439.27</v>
      </c>
      <c r="EQ36" s="229">
        <v>0.3296</v>
      </c>
      <c r="ER36" s="231">
        <v>75241</v>
      </c>
      <c r="ES36" s="231">
        <v>58229</v>
      </c>
      <c r="ET36" s="231">
        <v>126988</v>
      </c>
      <c r="EU36" s="231">
        <v>281577339</v>
      </c>
      <c r="EV36" s="231">
        <v>260457</v>
      </c>
      <c r="EW36" s="231">
        <v>239550</v>
      </c>
      <c r="EX36" s="231">
        <v>20907</v>
      </c>
      <c r="EY36" s="229">
        <v>8.7300000000000003E-2</v>
      </c>
      <c r="EZ36" s="229">
        <v>0.25430000000000003</v>
      </c>
      <c r="FA36" s="227" t="s">
        <v>567</v>
      </c>
      <c r="FB36" s="161">
        <f t="shared" si="0"/>
        <v>12792075</v>
      </c>
    </row>
    <row r="37" spans="1:158" ht="17.25" hidden="1" thickBot="1" x14ac:dyDescent="0.3">
      <c r="A37" s="226">
        <v>45981</v>
      </c>
      <c r="B37" s="227" t="s">
        <v>168</v>
      </c>
      <c r="C37" s="227" t="s">
        <v>195</v>
      </c>
      <c r="D37" s="228">
        <v>125</v>
      </c>
      <c r="E37" s="231">
        <v>5817</v>
      </c>
      <c r="F37" s="231">
        <v>5871.5</v>
      </c>
      <c r="G37" s="228">
        <v>-54.5</v>
      </c>
      <c r="H37" s="229">
        <v>-9.2999999999999992E-3</v>
      </c>
      <c r="I37" s="231">
        <v>5819</v>
      </c>
      <c r="J37" s="231">
        <v>5874.5</v>
      </c>
      <c r="K37" s="228">
        <v>-55.5</v>
      </c>
      <c r="L37" s="229">
        <v>-9.4000000000000004E-3</v>
      </c>
      <c r="M37" s="231">
        <v>5817</v>
      </c>
      <c r="N37" s="231">
        <v>5871.5</v>
      </c>
      <c r="O37" s="228">
        <v>-54.5</v>
      </c>
      <c r="P37" s="229">
        <v>-9.2999999999999992E-3</v>
      </c>
      <c r="Q37" s="231">
        <v>5858</v>
      </c>
      <c r="R37" s="231">
        <v>5909</v>
      </c>
      <c r="S37" s="228">
        <v>-51</v>
      </c>
      <c r="T37" s="229">
        <v>-8.6E-3</v>
      </c>
      <c r="U37" s="231">
        <v>5893.5</v>
      </c>
      <c r="V37" s="231">
        <v>5950</v>
      </c>
      <c r="W37" s="228">
        <v>-56.5</v>
      </c>
      <c r="X37" s="229">
        <v>-9.4999999999999998E-3</v>
      </c>
      <c r="Y37" s="228">
        <v>-2</v>
      </c>
      <c r="Z37" s="228">
        <v>-3</v>
      </c>
      <c r="AA37" s="228">
        <v>1</v>
      </c>
      <c r="AB37" s="229">
        <v>-2.9999999999999997E-4</v>
      </c>
      <c r="AC37" s="228">
        <v>-2</v>
      </c>
      <c r="AD37" s="228">
        <v>-3</v>
      </c>
      <c r="AE37" s="228">
        <v>1</v>
      </c>
      <c r="AF37" s="229">
        <v>-2.9999999999999997E-4</v>
      </c>
      <c r="AG37" s="228">
        <v>39</v>
      </c>
      <c r="AH37" s="228">
        <v>34.5</v>
      </c>
      <c r="AI37" s="228">
        <v>4.5</v>
      </c>
      <c r="AJ37" s="229">
        <v>6.7000000000000002E-3</v>
      </c>
      <c r="AK37" s="228">
        <v>74.5</v>
      </c>
      <c r="AL37" s="228">
        <v>75.5</v>
      </c>
      <c r="AM37" s="228">
        <v>-1</v>
      </c>
      <c r="AN37" s="229">
        <v>1.2800000000000001E-2</v>
      </c>
      <c r="AO37" s="231">
        <v>5825.61</v>
      </c>
      <c r="AP37" s="231">
        <v>5860.09</v>
      </c>
      <c r="AQ37" s="228">
        <v>0</v>
      </c>
      <c r="AR37" s="230">
        <v>1740500</v>
      </c>
      <c r="AS37" s="230">
        <v>384375</v>
      </c>
      <c r="AT37" s="230">
        <v>1356125</v>
      </c>
      <c r="AU37" s="229">
        <v>3.5280999999999998</v>
      </c>
      <c r="AV37" s="230">
        <v>963125</v>
      </c>
      <c r="AW37" s="230">
        <v>324500</v>
      </c>
      <c r="AX37" s="230">
        <v>638625</v>
      </c>
      <c r="AY37" s="229">
        <v>1.968</v>
      </c>
      <c r="AZ37" s="230">
        <v>772125</v>
      </c>
      <c r="BA37" s="230">
        <v>58000</v>
      </c>
      <c r="BB37" s="230">
        <v>714125</v>
      </c>
      <c r="BC37" s="229">
        <v>12.3125</v>
      </c>
      <c r="BD37" s="230">
        <v>5250</v>
      </c>
      <c r="BE37" s="230">
        <v>1875</v>
      </c>
      <c r="BF37" s="230">
        <v>3375</v>
      </c>
      <c r="BG37" s="229">
        <v>1.8</v>
      </c>
      <c r="BH37" s="230">
        <v>4530125</v>
      </c>
      <c r="BI37" s="230">
        <v>2807375</v>
      </c>
      <c r="BJ37" s="230">
        <v>1722750</v>
      </c>
      <c r="BK37" s="229">
        <v>0.61370000000000002</v>
      </c>
      <c r="BL37" s="230">
        <v>2469875</v>
      </c>
      <c r="BM37" s="230">
        <v>854375</v>
      </c>
      <c r="BN37" s="230">
        <v>1615500</v>
      </c>
      <c r="BO37" s="229">
        <v>1.8909</v>
      </c>
      <c r="BP37" s="230">
        <v>8740500</v>
      </c>
      <c r="BQ37" s="230">
        <v>4046125</v>
      </c>
      <c r="BR37" s="230">
        <v>4694375</v>
      </c>
      <c r="BS37" s="229">
        <v>1.1601999999999999</v>
      </c>
      <c r="BT37" s="230">
        <v>646200</v>
      </c>
      <c r="BU37" s="230">
        <v>283997</v>
      </c>
      <c r="BV37" s="230">
        <v>362203</v>
      </c>
      <c r="BW37" s="229">
        <v>1.2754000000000001</v>
      </c>
      <c r="BX37" s="230">
        <v>3381625</v>
      </c>
      <c r="BY37" s="230">
        <v>3421625</v>
      </c>
      <c r="BZ37" s="230">
        <v>-40000</v>
      </c>
      <c r="CA37" s="229">
        <v>-1.17E-2</v>
      </c>
      <c r="CB37" s="230">
        <v>2718125</v>
      </c>
      <c r="CC37" s="230">
        <v>3290750</v>
      </c>
      <c r="CD37" s="230">
        <v>-572625</v>
      </c>
      <c r="CE37" s="229">
        <v>-0.17399999999999999</v>
      </c>
      <c r="CF37" s="230">
        <v>649625</v>
      </c>
      <c r="CG37" s="230">
        <v>120000</v>
      </c>
      <c r="CH37" s="230">
        <v>529625</v>
      </c>
      <c r="CI37" s="229">
        <v>4.4135</v>
      </c>
      <c r="CJ37" s="230">
        <v>13875</v>
      </c>
      <c r="CK37" s="230">
        <v>10875</v>
      </c>
      <c r="CL37" s="230">
        <v>3000</v>
      </c>
      <c r="CM37" s="229">
        <v>0.27589999999999998</v>
      </c>
      <c r="CN37" s="230">
        <v>2012625</v>
      </c>
      <c r="CO37" s="230">
        <v>2077375</v>
      </c>
      <c r="CP37" s="230">
        <v>-64750</v>
      </c>
      <c r="CQ37" s="229">
        <v>-3.1199999999999999E-2</v>
      </c>
      <c r="CR37" s="230">
        <v>1106500</v>
      </c>
      <c r="CS37" s="230">
        <v>1109250</v>
      </c>
      <c r="CT37" s="230">
        <v>-2750</v>
      </c>
      <c r="CU37" s="229">
        <v>-2.5000000000000001E-3</v>
      </c>
      <c r="CV37" s="230">
        <v>6500750</v>
      </c>
      <c r="CW37" s="230">
        <v>6608250</v>
      </c>
      <c r="CX37" s="230">
        <v>-107500</v>
      </c>
      <c r="CY37" s="229">
        <v>-1.6299999999999999E-2</v>
      </c>
      <c r="CZ37" s="228">
        <v>19.86</v>
      </c>
      <c r="DA37" s="228">
        <v>21.56</v>
      </c>
      <c r="DB37" s="228">
        <v>-1.7</v>
      </c>
      <c r="DC37" s="228">
        <v>-1.7</v>
      </c>
      <c r="DD37" s="228">
        <v>24.65</v>
      </c>
      <c r="DE37" s="228">
        <v>24.68</v>
      </c>
      <c r="DF37" s="228">
        <v>-4.79</v>
      </c>
      <c r="DG37" s="228">
        <v>-0.03</v>
      </c>
      <c r="DH37" s="228">
        <v>19.8</v>
      </c>
      <c r="DI37" s="228">
        <v>21.74</v>
      </c>
      <c r="DJ37" s="228">
        <v>-1.94</v>
      </c>
      <c r="DK37" s="228">
        <v>-1.94</v>
      </c>
      <c r="DL37" s="228">
        <v>19.989999999999998</v>
      </c>
      <c r="DM37" s="228">
        <v>20.97</v>
      </c>
      <c r="DN37" s="228">
        <v>-0.98</v>
      </c>
      <c r="DO37" s="228">
        <v>-0.98</v>
      </c>
      <c r="DP37" s="228">
        <v>0.55000000000000004</v>
      </c>
      <c r="DQ37" s="228">
        <v>0.53</v>
      </c>
      <c r="DR37" s="228">
        <v>0.02</v>
      </c>
      <c r="DS37" s="229">
        <v>3.7699999999999997E-2</v>
      </c>
      <c r="DT37" s="231">
        <v>6000</v>
      </c>
      <c r="DU37" s="231">
        <v>5800</v>
      </c>
      <c r="DV37" s="228">
        <v>0.55000000000000004</v>
      </c>
      <c r="DW37" s="228">
        <v>0.3</v>
      </c>
      <c r="DX37" s="228">
        <v>0.25</v>
      </c>
      <c r="DY37" s="229">
        <v>0.83330000000000004</v>
      </c>
      <c r="DZ37" s="229">
        <v>0.19620000000000001</v>
      </c>
      <c r="EA37" s="230">
        <v>130875</v>
      </c>
      <c r="EB37" s="229">
        <v>7.0000000000000001E-3</v>
      </c>
      <c r="EC37" s="229">
        <v>0.19620000000000001</v>
      </c>
      <c r="ED37" s="228">
        <v>34.479999999999997</v>
      </c>
      <c r="EE37" s="229">
        <v>5.8999999999999999E-3</v>
      </c>
      <c r="EF37" s="230">
        <v>495414</v>
      </c>
      <c r="EG37" s="230">
        <v>200529</v>
      </c>
      <c r="EH37" s="229">
        <v>1.4704999999999999</v>
      </c>
      <c r="EI37" s="229">
        <v>0.76670000000000005</v>
      </c>
      <c r="EJ37" s="231">
        <v>272250.48</v>
      </c>
      <c r="EK37" s="231">
        <v>142332.70000000001</v>
      </c>
      <c r="EL37" s="231">
        <v>101664.98</v>
      </c>
      <c r="EM37" s="231">
        <v>3267</v>
      </c>
      <c r="EN37" s="231">
        <v>516248.16</v>
      </c>
      <c r="EO37" s="231">
        <v>241571.36</v>
      </c>
      <c r="EP37" s="231">
        <v>274676.8</v>
      </c>
      <c r="EQ37" s="229">
        <v>1.137</v>
      </c>
      <c r="ER37" s="231">
        <v>123632</v>
      </c>
      <c r="ES37" s="231">
        <v>63050</v>
      </c>
      <c r="ET37" s="231">
        <v>196986</v>
      </c>
      <c r="EU37" s="231">
        <v>13082978</v>
      </c>
      <c r="EV37" s="231">
        <v>383667</v>
      </c>
      <c r="EW37" s="231">
        <v>392199</v>
      </c>
      <c r="EX37" s="231">
        <v>-8532</v>
      </c>
      <c r="EY37" s="229">
        <v>-2.18E-2</v>
      </c>
      <c r="EZ37" s="229">
        <v>0.49690000000000001</v>
      </c>
      <c r="FA37" s="227" t="s">
        <v>568</v>
      </c>
      <c r="FB37" s="161">
        <f t="shared" si="0"/>
        <v>663500</v>
      </c>
    </row>
    <row r="38" spans="1:158" ht="17.25" hidden="1" thickBot="1" x14ac:dyDescent="0.3">
      <c r="A38" s="226">
        <v>45981</v>
      </c>
      <c r="B38" s="227" t="s">
        <v>175</v>
      </c>
      <c r="C38" s="227" t="s">
        <v>584</v>
      </c>
      <c r="D38" s="228">
        <v>375</v>
      </c>
      <c r="E38" s="231">
        <v>2894.1</v>
      </c>
      <c r="F38" s="231">
        <v>2898.4</v>
      </c>
      <c r="G38" s="228">
        <v>-4.3</v>
      </c>
      <c r="H38" s="229">
        <v>-1.5E-3</v>
      </c>
      <c r="I38" s="231">
        <v>2895.5</v>
      </c>
      <c r="J38" s="231">
        <v>2898.3</v>
      </c>
      <c r="K38" s="228">
        <v>-2.8</v>
      </c>
      <c r="L38" s="229">
        <v>-1E-3</v>
      </c>
      <c r="M38" s="231">
        <v>2894.1</v>
      </c>
      <c r="N38" s="231">
        <v>2898.4</v>
      </c>
      <c r="O38" s="228">
        <v>-4.3</v>
      </c>
      <c r="P38" s="229">
        <v>-1.5E-3</v>
      </c>
      <c r="Q38" s="231">
        <v>2913</v>
      </c>
      <c r="R38" s="231">
        <v>2917.3</v>
      </c>
      <c r="S38" s="228">
        <v>-4.3</v>
      </c>
      <c r="T38" s="229">
        <v>-1.5E-3</v>
      </c>
      <c r="U38" s="231">
        <v>2927</v>
      </c>
      <c r="V38" s="231">
        <v>2932.7</v>
      </c>
      <c r="W38" s="228">
        <v>-5.7</v>
      </c>
      <c r="X38" s="229">
        <v>-1.9E-3</v>
      </c>
      <c r="Y38" s="228">
        <v>-1.4</v>
      </c>
      <c r="Z38" s="228">
        <v>0.1</v>
      </c>
      <c r="AA38" s="228">
        <v>-1.5</v>
      </c>
      <c r="AB38" s="229">
        <v>-5.0000000000000001E-4</v>
      </c>
      <c r="AC38" s="228">
        <v>-1.4</v>
      </c>
      <c r="AD38" s="228">
        <v>0.1</v>
      </c>
      <c r="AE38" s="228">
        <v>-1.5</v>
      </c>
      <c r="AF38" s="229">
        <v>-5.0000000000000001E-4</v>
      </c>
      <c r="AG38" s="228">
        <v>17.5</v>
      </c>
      <c r="AH38" s="228">
        <v>19</v>
      </c>
      <c r="AI38" s="228">
        <v>-1.5</v>
      </c>
      <c r="AJ38" s="229">
        <v>6.0000000000000001E-3</v>
      </c>
      <c r="AK38" s="228">
        <v>31.5</v>
      </c>
      <c r="AL38" s="228">
        <v>34.4</v>
      </c>
      <c r="AM38" s="228">
        <v>-2.9</v>
      </c>
      <c r="AN38" s="229">
        <v>1.09E-2</v>
      </c>
      <c r="AO38" s="231">
        <v>2926.87</v>
      </c>
      <c r="AP38" s="231">
        <v>2949.15</v>
      </c>
      <c r="AQ38" s="228">
        <v>0</v>
      </c>
      <c r="AR38" s="230">
        <v>9286500</v>
      </c>
      <c r="AS38" s="230">
        <v>4667625</v>
      </c>
      <c r="AT38" s="230">
        <v>4618875</v>
      </c>
      <c r="AU38" s="229">
        <v>0.98960000000000004</v>
      </c>
      <c r="AV38" s="230">
        <v>5451375</v>
      </c>
      <c r="AW38" s="230">
        <v>3230625</v>
      </c>
      <c r="AX38" s="230">
        <v>2220750</v>
      </c>
      <c r="AY38" s="229">
        <v>0.68740000000000001</v>
      </c>
      <c r="AZ38" s="230">
        <v>3706875</v>
      </c>
      <c r="BA38" s="230">
        <v>1328250</v>
      </c>
      <c r="BB38" s="230">
        <v>2378625</v>
      </c>
      <c r="BC38" s="229">
        <v>1.7907999999999999</v>
      </c>
      <c r="BD38" s="230">
        <v>128250</v>
      </c>
      <c r="BE38" s="230">
        <v>108750</v>
      </c>
      <c r="BF38" s="230">
        <v>19500</v>
      </c>
      <c r="BG38" s="229">
        <v>0.17929999999999999</v>
      </c>
      <c r="BH38" s="230">
        <v>50593500</v>
      </c>
      <c r="BI38" s="230">
        <v>37354125</v>
      </c>
      <c r="BJ38" s="230">
        <v>13239375</v>
      </c>
      <c r="BK38" s="229">
        <v>0.35439999999999999</v>
      </c>
      <c r="BL38" s="230">
        <v>36008625</v>
      </c>
      <c r="BM38" s="230">
        <v>22274250</v>
      </c>
      <c r="BN38" s="230">
        <v>13734375</v>
      </c>
      <c r="BO38" s="229">
        <v>0.61660000000000004</v>
      </c>
      <c r="BP38" s="230">
        <v>95888625</v>
      </c>
      <c r="BQ38" s="230">
        <v>64296000</v>
      </c>
      <c r="BR38" s="230">
        <v>31592625</v>
      </c>
      <c r="BS38" s="229">
        <v>0.4914</v>
      </c>
      <c r="BT38" s="230">
        <v>6301559</v>
      </c>
      <c r="BU38" s="230">
        <v>6111316</v>
      </c>
      <c r="BV38" s="230">
        <v>190243</v>
      </c>
      <c r="BW38" s="229">
        <v>3.1099999999999999E-2</v>
      </c>
      <c r="BX38" s="230">
        <v>12608250</v>
      </c>
      <c r="BY38" s="230">
        <v>13108125</v>
      </c>
      <c r="BZ38" s="230">
        <v>-499875</v>
      </c>
      <c r="CA38" s="229">
        <v>-3.8100000000000002E-2</v>
      </c>
      <c r="CB38" s="230">
        <v>8706000</v>
      </c>
      <c r="CC38" s="230">
        <v>10947750</v>
      </c>
      <c r="CD38" s="230">
        <v>-2241750</v>
      </c>
      <c r="CE38" s="229">
        <v>-0.20480000000000001</v>
      </c>
      <c r="CF38" s="230">
        <v>3739125</v>
      </c>
      <c r="CG38" s="230">
        <v>2020500</v>
      </c>
      <c r="CH38" s="230">
        <v>1718625</v>
      </c>
      <c r="CI38" s="229">
        <v>0.85060000000000002</v>
      </c>
      <c r="CJ38" s="230">
        <v>163125</v>
      </c>
      <c r="CK38" s="230">
        <v>139875</v>
      </c>
      <c r="CL38" s="230">
        <v>23250</v>
      </c>
      <c r="CM38" s="229">
        <v>0.16619999999999999</v>
      </c>
      <c r="CN38" s="230">
        <v>10644375</v>
      </c>
      <c r="CO38" s="230">
        <v>9873000</v>
      </c>
      <c r="CP38" s="230">
        <v>771375</v>
      </c>
      <c r="CQ38" s="229">
        <v>7.8100000000000003E-2</v>
      </c>
      <c r="CR38" s="230">
        <v>9697125</v>
      </c>
      <c r="CS38" s="230">
        <v>10222125</v>
      </c>
      <c r="CT38" s="230">
        <v>-525000</v>
      </c>
      <c r="CU38" s="229">
        <v>-5.1400000000000001E-2</v>
      </c>
      <c r="CV38" s="230">
        <v>32949750</v>
      </c>
      <c r="CW38" s="230">
        <v>33203250</v>
      </c>
      <c r="CX38" s="230">
        <v>-253500</v>
      </c>
      <c r="CY38" s="229">
        <v>-7.6E-3</v>
      </c>
      <c r="CZ38" s="228">
        <v>36.799999999999997</v>
      </c>
      <c r="DA38" s="228">
        <v>36.86</v>
      </c>
      <c r="DB38" s="228">
        <v>-0.06</v>
      </c>
      <c r="DC38" s="228">
        <v>-0.06</v>
      </c>
      <c r="DD38" s="228">
        <v>62.03</v>
      </c>
      <c r="DE38" s="228">
        <v>62.18</v>
      </c>
      <c r="DF38" s="228">
        <v>-25.23</v>
      </c>
      <c r="DG38" s="228">
        <v>-0.15</v>
      </c>
      <c r="DH38" s="228">
        <v>36.17</v>
      </c>
      <c r="DI38" s="228">
        <v>34.26</v>
      </c>
      <c r="DJ38" s="228">
        <v>1.91</v>
      </c>
      <c r="DK38" s="228">
        <v>1.91</v>
      </c>
      <c r="DL38" s="228">
        <v>37.82</v>
      </c>
      <c r="DM38" s="228">
        <v>41.2</v>
      </c>
      <c r="DN38" s="228">
        <v>-3.38</v>
      </c>
      <c r="DO38" s="228">
        <v>-3.38</v>
      </c>
      <c r="DP38" s="228">
        <v>0.91</v>
      </c>
      <c r="DQ38" s="228">
        <v>1.04</v>
      </c>
      <c r="DR38" s="228">
        <v>-0.13</v>
      </c>
      <c r="DS38" s="229">
        <v>-0.125</v>
      </c>
      <c r="DT38" s="231">
        <v>3000</v>
      </c>
      <c r="DU38" s="231">
        <v>2800</v>
      </c>
      <c r="DV38" s="228">
        <v>0.71</v>
      </c>
      <c r="DW38" s="228">
        <v>0.6</v>
      </c>
      <c r="DX38" s="228">
        <v>0.11</v>
      </c>
      <c r="DY38" s="229">
        <v>0.18329999999999999</v>
      </c>
      <c r="DZ38" s="229">
        <v>0.3095</v>
      </c>
      <c r="EA38" s="230">
        <v>2160375</v>
      </c>
      <c r="EB38" s="229">
        <v>6.4999999999999997E-3</v>
      </c>
      <c r="EC38" s="229">
        <v>0.3095</v>
      </c>
      <c r="ED38" s="228">
        <v>22.28</v>
      </c>
      <c r="EE38" s="229">
        <v>7.6E-3</v>
      </c>
      <c r="EF38" s="230">
        <v>1784781</v>
      </c>
      <c r="EG38" s="230">
        <v>2198874</v>
      </c>
      <c r="EH38" s="229">
        <v>-0.1883</v>
      </c>
      <c r="EI38" s="229">
        <v>0.28320000000000001</v>
      </c>
      <c r="EJ38" s="231">
        <v>1536040.78</v>
      </c>
      <c r="EK38" s="231">
        <v>1006799.99</v>
      </c>
      <c r="EL38" s="231">
        <v>272673.40000000002</v>
      </c>
      <c r="EM38" s="231">
        <v>10340</v>
      </c>
      <c r="EN38" s="231">
        <v>2815514.17</v>
      </c>
      <c r="EO38" s="231">
        <v>1864491.08</v>
      </c>
      <c r="EP38" s="231">
        <v>951023.09</v>
      </c>
      <c r="EQ38" s="229">
        <v>0.5101</v>
      </c>
      <c r="ER38" s="231">
        <v>306000</v>
      </c>
      <c r="ES38" s="231">
        <v>255019</v>
      </c>
      <c r="ET38" s="231">
        <v>365656</v>
      </c>
      <c r="EU38" s="231">
        <v>48385387</v>
      </c>
      <c r="EV38" s="231">
        <v>926674</v>
      </c>
      <c r="EW38" s="231">
        <v>927929</v>
      </c>
      <c r="EX38" s="231">
        <v>-1255</v>
      </c>
      <c r="EY38" s="229">
        <v>-1.4E-3</v>
      </c>
      <c r="EZ38" s="229">
        <v>0.68100000000000005</v>
      </c>
      <c r="FA38" s="227" t="s">
        <v>568</v>
      </c>
      <c r="FB38" s="161">
        <f t="shared" si="0"/>
        <v>3902250</v>
      </c>
    </row>
    <row r="39" spans="1:158" ht="17.25" hidden="1" thickBot="1" x14ac:dyDescent="0.3">
      <c r="A39" s="226">
        <v>45981</v>
      </c>
      <c r="B39" s="227" t="s">
        <v>175</v>
      </c>
      <c r="C39" s="227" t="s">
        <v>611</v>
      </c>
      <c r="D39" s="228">
        <v>150</v>
      </c>
      <c r="E39" s="231">
        <v>4012.4</v>
      </c>
      <c r="F39" s="231">
        <v>3926.9</v>
      </c>
      <c r="G39" s="228">
        <v>85.5</v>
      </c>
      <c r="H39" s="229">
        <v>2.18E-2</v>
      </c>
      <c r="I39" s="231">
        <v>4014.5</v>
      </c>
      <c r="J39" s="231">
        <v>3929</v>
      </c>
      <c r="K39" s="228">
        <v>85.5</v>
      </c>
      <c r="L39" s="229">
        <v>2.18E-2</v>
      </c>
      <c r="M39" s="231">
        <v>4012.4</v>
      </c>
      <c r="N39" s="231">
        <v>3926.9</v>
      </c>
      <c r="O39" s="228">
        <v>85.5</v>
      </c>
      <c r="P39" s="229">
        <v>2.18E-2</v>
      </c>
      <c r="Q39" s="231">
        <v>4039.2</v>
      </c>
      <c r="R39" s="231">
        <v>3954.1</v>
      </c>
      <c r="S39" s="228">
        <v>85.1</v>
      </c>
      <c r="T39" s="229">
        <v>2.1499999999999998E-2</v>
      </c>
      <c r="U39" s="231">
        <v>4065.2</v>
      </c>
      <c r="V39" s="231">
        <v>3976</v>
      </c>
      <c r="W39" s="228">
        <v>89.2</v>
      </c>
      <c r="X39" s="229">
        <v>2.24E-2</v>
      </c>
      <c r="Y39" s="228">
        <v>-2.1</v>
      </c>
      <c r="Z39" s="228">
        <v>-2.1</v>
      </c>
      <c r="AA39" s="228">
        <v>0</v>
      </c>
      <c r="AB39" s="229">
        <v>-5.0000000000000001E-4</v>
      </c>
      <c r="AC39" s="228">
        <v>-2.1</v>
      </c>
      <c r="AD39" s="228">
        <v>-2.1</v>
      </c>
      <c r="AE39" s="228">
        <v>0</v>
      </c>
      <c r="AF39" s="229">
        <v>-5.0000000000000001E-4</v>
      </c>
      <c r="AG39" s="228">
        <v>24.7</v>
      </c>
      <c r="AH39" s="228">
        <v>25.1</v>
      </c>
      <c r="AI39" s="228">
        <v>-0.4</v>
      </c>
      <c r="AJ39" s="229">
        <v>6.1999999999999998E-3</v>
      </c>
      <c r="AK39" s="228">
        <v>50.7</v>
      </c>
      <c r="AL39" s="228">
        <v>47</v>
      </c>
      <c r="AM39" s="228">
        <v>3.7</v>
      </c>
      <c r="AN39" s="229">
        <v>1.26E-2</v>
      </c>
      <c r="AO39" s="231">
        <v>4021.9</v>
      </c>
      <c r="AP39" s="231">
        <v>4051.79</v>
      </c>
      <c r="AQ39" s="228">
        <v>0</v>
      </c>
      <c r="AR39" s="230">
        <v>1998600</v>
      </c>
      <c r="AS39" s="230">
        <v>453150</v>
      </c>
      <c r="AT39" s="230">
        <v>1545450</v>
      </c>
      <c r="AU39" s="229">
        <v>3.4104999999999999</v>
      </c>
      <c r="AV39" s="230">
        <v>1009350</v>
      </c>
      <c r="AW39" s="230">
        <v>303150</v>
      </c>
      <c r="AX39" s="230">
        <v>706200</v>
      </c>
      <c r="AY39" s="229">
        <v>2.3294999999999999</v>
      </c>
      <c r="AZ39" s="230">
        <v>973800</v>
      </c>
      <c r="BA39" s="230">
        <v>142950</v>
      </c>
      <c r="BB39" s="230">
        <v>830850</v>
      </c>
      <c r="BC39" s="229">
        <v>5.8121999999999998</v>
      </c>
      <c r="BD39" s="230">
        <v>15450</v>
      </c>
      <c r="BE39" s="230">
        <v>7050</v>
      </c>
      <c r="BF39" s="230">
        <v>8400</v>
      </c>
      <c r="BG39" s="229">
        <v>1.1915</v>
      </c>
      <c r="BH39" s="230">
        <v>11839800</v>
      </c>
      <c r="BI39" s="230">
        <v>1995300</v>
      </c>
      <c r="BJ39" s="230">
        <v>9844500</v>
      </c>
      <c r="BK39" s="229">
        <v>4.9337999999999997</v>
      </c>
      <c r="BL39" s="230">
        <v>3782700</v>
      </c>
      <c r="BM39" s="230">
        <v>493650</v>
      </c>
      <c r="BN39" s="230">
        <v>3289050</v>
      </c>
      <c r="BO39" s="229">
        <v>6.6627000000000001</v>
      </c>
      <c r="BP39" s="230">
        <v>17621100</v>
      </c>
      <c r="BQ39" s="230">
        <v>2942100</v>
      </c>
      <c r="BR39" s="230">
        <v>14679000</v>
      </c>
      <c r="BS39" s="229">
        <v>4.9893000000000001</v>
      </c>
      <c r="BT39" s="230">
        <v>743313</v>
      </c>
      <c r="BU39" s="230">
        <v>173075</v>
      </c>
      <c r="BV39" s="230">
        <v>570238</v>
      </c>
      <c r="BW39" s="229">
        <v>3.2947000000000002</v>
      </c>
      <c r="BX39" s="230">
        <v>1779600</v>
      </c>
      <c r="BY39" s="230">
        <v>1854300</v>
      </c>
      <c r="BZ39" s="230">
        <v>-74700</v>
      </c>
      <c r="CA39" s="229">
        <v>-4.0300000000000002E-2</v>
      </c>
      <c r="CB39" s="230">
        <v>1106100</v>
      </c>
      <c r="CC39" s="230">
        <v>1519950</v>
      </c>
      <c r="CD39" s="230">
        <v>-413850</v>
      </c>
      <c r="CE39" s="229">
        <v>-0.27229999999999999</v>
      </c>
      <c r="CF39" s="230">
        <v>650100</v>
      </c>
      <c r="CG39" s="230">
        <v>313500</v>
      </c>
      <c r="CH39" s="230">
        <v>336600</v>
      </c>
      <c r="CI39" s="229">
        <v>1.0737000000000001</v>
      </c>
      <c r="CJ39" s="230">
        <v>23400</v>
      </c>
      <c r="CK39" s="230">
        <v>20850</v>
      </c>
      <c r="CL39" s="230">
        <v>2550</v>
      </c>
      <c r="CM39" s="229">
        <v>0.12230000000000001</v>
      </c>
      <c r="CN39" s="230">
        <v>1719600</v>
      </c>
      <c r="CO39" s="230">
        <v>1924350</v>
      </c>
      <c r="CP39" s="230">
        <v>-204750</v>
      </c>
      <c r="CQ39" s="229">
        <v>-0.10639999999999999</v>
      </c>
      <c r="CR39" s="230">
        <v>1171350</v>
      </c>
      <c r="CS39" s="230">
        <v>1079400</v>
      </c>
      <c r="CT39" s="230">
        <v>91950</v>
      </c>
      <c r="CU39" s="229">
        <v>8.5199999999999998E-2</v>
      </c>
      <c r="CV39" s="230">
        <v>4670550</v>
      </c>
      <c r="CW39" s="230">
        <v>4858050</v>
      </c>
      <c r="CX39" s="230">
        <v>-187500</v>
      </c>
      <c r="CY39" s="229">
        <v>-3.8600000000000002E-2</v>
      </c>
      <c r="CZ39" s="228">
        <v>28.85</v>
      </c>
      <c r="DA39" s="228">
        <v>31.03</v>
      </c>
      <c r="DB39" s="228">
        <v>-2.1800000000000002</v>
      </c>
      <c r="DC39" s="228">
        <v>-2.1800000000000002</v>
      </c>
      <c r="DD39" s="228">
        <v>41.42</v>
      </c>
      <c r="DE39" s="228">
        <v>41.42</v>
      </c>
      <c r="DF39" s="228">
        <v>-12.57</v>
      </c>
      <c r="DG39" s="228">
        <v>0</v>
      </c>
      <c r="DH39" s="228">
        <v>28.88</v>
      </c>
      <c r="DI39" s="228">
        <v>31.37</v>
      </c>
      <c r="DJ39" s="228">
        <v>-2.4900000000000002</v>
      </c>
      <c r="DK39" s="228">
        <v>-2.4900000000000002</v>
      </c>
      <c r="DL39" s="228">
        <v>28.72</v>
      </c>
      <c r="DM39" s="228">
        <v>29.68</v>
      </c>
      <c r="DN39" s="228">
        <v>-0.96</v>
      </c>
      <c r="DO39" s="228">
        <v>-0.96</v>
      </c>
      <c r="DP39" s="228">
        <v>0.68</v>
      </c>
      <c r="DQ39" s="228">
        <v>0.56000000000000005</v>
      </c>
      <c r="DR39" s="228">
        <v>0.12</v>
      </c>
      <c r="DS39" s="229">
        <v>0.21429999999999999</v>
      </c>
      <c r="DT39" s="231">
        <v>4000</v>
      </c>
      <c r="DU39" s="231">
        <v>3900</v>
      </c>
      <c r="DV39" s="228">
        <v>0.32</v>
      </c>
      <c r="DW39" s="228">
        <v>0.25</v>
      </c>
      <c r="DX39" s="228">
        <v>7.0000000000000007E-2</v>
      </c>
      <c r="DY39" s="229">
        <v>0.28000000000000003</v>
      </c>
      <c r="DZ39" s="229">
        <v>0.3785</v>
      </c>
      <c r="EA39" s="230">
        <v>334350</v>
      </c>
      <c r="EB39" s="229">
        <v>6.7000000000000002E-3</v>
      </c>
      <c r="EC39" s="229">
        <v>0.3785</v>
      </c>
      <c r="ED39" s="228">
        <v>29.89</v>
      </c>
      <c r="EE39" s="229">
        <v>7.4000000000000003E-3</v>
      </c>
      <c r="EF39" s="230">
        <v>278387</v>
      </c>
      <c r="EG39" s="230">
        <v>69195</v>
      </c>
      <c r="EH39" s="229">
        <v>3.0232000000000001</v>
      </c>
      <c r="EI39" s="229">
        <v>0.3745</v>
      </c>
      <c r="EJ39" s="231">
        <v>489545</v>
      </c>
      <c r="EK39" s="231">
        <v>148667.41</v>
      </c>
      <c r="EL39" s="231">
        <v>80682.52</v>
      </c>
      <c r="EM39" s="231">
        <v>2567</v>
      </c>
      <c r="EN39" s="231">
        <v>718894.93</v>
      </c>
      <c r="EO39" s="231">
        <v>118633.01</v>
      </c>
      <c r="EP39" s="231">
        <v>600261.92000000004</v>
      </c>
      <c r="EQ39" s="229">
        <v>5.0598000000000001</v>
      </c>
      <c r="ER39" s="231">
        <v>70389</v>
      </c>
      <c r="ES39" s="231">
        <v>45266</v>
      </c>
      <c r="ET39" s="231">
        <v>71591</v>
      </c>
      <c r="EU39" s="231">
        <v>7421215</v>
      </c>
      <c r="EV39" s="231">
        <v>187246</v>
      </c>
      <c r="EW39" s="231">
        <v>192338</v>
      </c>
      <c r="EX39" s="231">
        <v>-5092</v>
      </c>
      <c r="EY39" s="229">
        <v>-2.6499999999999999E-2</v>
      </c>
      <c r="EZ39" s="229">
        <v>0.62939999999999996</v>
      </c>
      <c r="FA39" s="227" t="s">
        <v>556</v>
      </c>
      <c r="FB39" s="161">
        <f t="shared" si="0"/>
        <v>673500</v>
      </c>
    </row>
    <row r="40" spans="1:158" ht="17.25" hidden="1" thickBot="1" x14ac:dyDescent="0.3">
      <c r="A40" s="226">
        <v>45981</v>
      </c>
      <c r="B40" s="227" t="s">
        <v>172</v>
      </c>
      <c r="C40" s="227" t="s">
        <v>196</v>
      </c>
      <c r="D40" s="228">
        <v>6750</v>
      </c>
      <c r="E40" s="228">
        <v>147.97999999999999</v>
      </c>
      <c r="F40" s="228">
        <v>150.33000000000001</v>
      </c>
      <c r="G40" s="228">
        <v>-2.35</v>
      </c>
      <c r="H40" s="229">
        <v>-1.5599999999999999E-2</v>
      </c>
      <c r="I40" s="228">
        <v>147.94</v>
      </c>
      <c r="J40" s="228">
        <v>150.38</v>
      </c>
      <c r="K40" s="228">
        <v>-2.44</v>
      </c>
      <c r="L40" s="229">
        <v>-1.6199999999999999E-2</v>
      </c>
      <c r="M40" s="228">
        <v>147.97999999999999</v>
      </c>
      <c r="N40" s="228">
        <v>150.33000000000001</v>
      </c>
      <c r="O40" s="228">
        <v>-2.35</v>
      </c>
      <c r="P40" s="229">
        <v>-1.5599999999999999E-2</v>
      </c>
      <c r="Q40" s="228">
        <v>148.96</v>
      </c>
      <c r="R40" s="228">
        <v>151.34</v>
      </c>
      <c r="S40" s="228">
        <v>-2.38</v>
      </c>
      <c r="T40" s="229">
        <v>-1.5699999999999999E-2</v>
      </c>
      <c r="U40" s="228">
        <v>149.88</v>
      </c>
      <c r="V40" s="228">
        <v>152.28</v>
      </c>
      <c r="W40" s="228">
        <v>-2.4</v>
      </c>
      <c r="X40" s="229">
        <v>-1.5800000000000002E-2</v>
      </c>
      <c r="Y40" s="228">
        <v>0.04</v>
      </c>
      <c r="Z40" s="228">
        <v>-0.05</v>
      </c>
      <c r="AA40" s="228">
        <v>0.09</v>
      </c>
      <c r="AB40" s="229">
        <v>2.9999999999999997E-4</v>
      </c>
      <c r="AC40" s="228">
        <v>0.04</v>
      </c>
      <c r="AD40" s="228">
        <v>-0.05</v>
      </c>
      <c r="AE40" s="228">
        <v>0.09</v>
      </c>
      <c r="AF40" s="229">
        <v>2.9999999999999997E-4</v>
      </c>
      <c r="AG40" s="228">
        <v>1.02</v>
      </c>
      <c r="AH40" s="228">
        <v>0.96</v>
      </c>
      <c r="AI40" s="228">
        <v>0.06</v>
      </c>
      <c r="AJ40" s="229">
        <v>6.8999999999999999E-3</v>
      </c>
      <c r="AK40" s="228">
        <v>1.94</v>
      </c>
      <c r="AL40" s="228">
        <v>1.9</v>
      </c>
      <c r="AM40" s="228">
        <v>0.04</v>
      </c>
      <c r="AN40" s="229">
        <v>1.3100000000000001E-2</v>
      </c>
      <c r="AO40" s="228">
        <v>149.41999999999999</v>
      </c>
      <c r="AP40" s="228">
        <v>150.38999999999999</v>
      </c>
      <c r="AQ40" s="228">
        <v>0</v>
      </c>
      <c r="AR40" s="230">
        <v>88242750</v>
      </c>
      <c r="AS40" s="230">
        <v>55140750</v>
      </c>
      <c r="AT40" s="230">
        <v>33102000</v>
      </c>
      <c r="AU40" s="229">
        <v>0.60029999999999994</v>
      </c>
      <c r="AV40" s="230">
        <v>50105250</v>
      </c>
      <c r="AW40" s="230">
        <v>38812500</v>
      </c>
      <c r="AX40" s="230">
        <v>11292750</v>
      </c>
      <c r="AY40" s="229">
        <v>0.29099999999999998</v>
      </c>
      <c r="AZ40" s="230">
        <v>37395000</v>
      </c>
      <c r="BA40" s="230">
        <v>15444000</v>
      </c>
      <c r="BB40" s="230">
        <v>21951000</v>
      </c>
      <c r="BC40" s="229">
        <v>1.4213</v>
      </c>
      <c r="BD40" s="230">
        <v>742500</v>
      </c>
      <c r="BE40" s="230">
        <v>884250</v>
      </c>
      <c r="BF40" s="230">
        <v>-141750</v>
      </c>
      <c r="BG40" s="229">
        <v>-0.1603</v>
      </c>
      <c r="BH40" s="230">
        <v>200225250</v>
      </c>
      <c r="BI40" s="230">
        <v>214812000</v>
      </c>
      <c r="BJ40" s="230">
        <v>-14586750</v>
      </c>
      <c r="BK40" s="229">
        <v>-6.7900000000000002E-2</v>
      </c>
      <c r="BL40" s="230">
        <v>123565500</v>
      </c>
      <c r="BM40" s="230">
        <v>142438500</v>
      </c>
      <c r="BN40" s="230">
        <v>-18873000</v>
      </c>
      <c r="BO40" s="229">
        <v>-0.13250000000000001</v>
      </c>
      <c r="BP40" s="230">
        <v>412033500</v>
      </c>
      <c r="BQ40" s="230">
        <v>412391250</v>
      </c>
      <c r="BR40" s="230">
        <v>-357750</v>
      </c>
      <c r="BS40" s="229">
        <v>-8.9999999999999998E-4</v>
      </c>
      <c r="BT40" s="230">
        <v>20586065</v>
      </c>
      <c r="BU40" s="230">
        <v>27794146</v>
      </c>
      <c r="BV40" s="230">
        <v>-7208081</v>
      </c>
      <c r="BW40" s="229">
        <v>-0.25929999999999997</v>
      </c>
      <c r="BX40" s="230">
        <v>161466750</v>
      </c>
      <c r="BY40" s="230">
        <v>167123250</v>
      </c>
      <c r="BZ40" s="230">
        <v>-5656500</v>
      </c>
      <c r="CA40" s="229">
        <v>-3.3799999999999997E-2</v>
      </c>
      <c r="CB40" s="230">
        <v>110450250</v>
      </c>
      <c r="CC40" s="230">
        <v>138969000</v>
      </c>
      <c r="CD40" s="230">
        <v>-28518750</v>
      </c>
      <c r="CE40" s="229">
        <v>-0.20519999999999999</v>
      </c>
      <c r="CF40" s="230">
        <v>48465000</v>
      </c>
      <c r="CG40" s="230">
        <v>25602750</v>
      </c>
      <c r="CH40" s="230">
        <v>22862250</v>
      </c>
      <c r="CI40" s="229">
        <v>0.89300000000000002</v>
      </c>
      <c r="CJ40" s="230">
        <v>2551500</v>
      </c>
      <c r="CK40" s="230">
        <v>2551500</v>
      </c>
      <c r="CL40" s="228">
        <v>0</v>
      </c>
      <c r="CM40" s="229">
        <v>0</v>
      </c>
      <c r="CN40" s="230">
        <v>123113250</v>
      </c>
      <c r="CO40" s="230">
        <v>127102500</v>
      </c>
      <c r="CP40" s="230">
        <v>-3989250</v>
      </c>
      <c r="CQ40" s="229">
        <v>-3.1399999999999997E-2</v>
      </c>
      <c r="CR40" s="230">
        <v>140913000</v>
      </c>
      <c r="CS40" s="230">
        <v>148884750</v>
      </c>
      <c r="CT40" s="230">
        <v>-7971750</v>
      </c>
      <c r="CU40" s="229">
        <v>-5.3499999999999999E-2</v>
      </c>
      <c r="CV40" s="230">
        <v>425493000</v>
      </c>
      <c r="CW40" s="230">
        <v>443110500</v>
      </c>
      <c r="CX40" s="230">
        <v>-17617500</v>
      </c>
      <c r="CY40" s="229">
        <v>-3.9800000000000002E-2</v>
      </c>
      <c r="CZ40" s="228">
        <v>24.65</v>
      </c>
      <c r="DA40" s="228">
        <v>28.63</v>
      </c>
      <c r="DB40" s="228">
        <v>-3.98</v>
      </c>
      <c r="DC40" s="228">
        <v>-3.98</v>
      </c>
      <c r="DD40" s="228">
        <v>36.68</v>
      </c>
      <c r="DE40" s="228">
        <v>36.71</v>
      </c>
      <c r="DF40" s="228">
        <v>-12.03</v>
      </c>
      <c r="DG40" s="228">
        <v>-0.03</v>
      </c>
      <c r="DH40" s="228">
        <v>24.66</v>
      </c>
      <c r="DI40" s="228">
        <v>26.93</v>
      </c>
      <c r="DJ40" s="228">
        <v>-2.27</v>
      </c>
      <c r="DK40" s="228">
        <v>-2.27</v>
      </c>
      <c r="DL40" s="228">
        <v>24.64</v>
      </c>
      <c r="DM40" s="228">
        <v>31.19</v>
      </c>
      <c r="DN40" s="228">
        <v>-6.55</v>
      </c>
      <c r="DO40" s="228">
        <v>-6.55</v>
      </c>
      <c r="DP40" s="228">
        <v>1.1399999999999999</v>
      </c>
      <c r="DQ40" s="228">
        <v>1.17</v>
      </c>
      <c r="DR40" s="228">
        <v>-0.03</v>
      </c>
      <c r="DS40" s="229">
        <v>-2.5600000000000001E-2</v>
      </c>
      <c r="DT40" s="228">
        <v>150</v>
      </c>
      <c r="DU40" s="228">
        <v>140</v>
      </c>
      <c r="DV40" s="228">
        <v>0.62</v>
      </c>
      <c r="DW40" s="228">
        <v>0.66</v>
      </c>
      <c r="DX40" s="228">
        <v>-0.04</v>
      </c>
      <c r="DY40" s="229">
        <v>-6.0600000000000001E-2</v>
      </c>
      <c r="DZ40" s="229">
        <v>0.316</v>
      </c>
      <c r="EA40" s="230">
        <v>28154250</v>
      </c>
      <c r="EB40" s="229">
        <v>6.6E-3</v>
      </c>
      <c r="EC40" s="229">
        <v>0.316</v>
      </c>
      <c r="ED40" s="228">
        <v>0.97</v>
      </c>
      <c r="EE40" s="229">
        <v>6.4999999999999997E-3</v>
      </c>
      <c r="EF40" s="230">
        <v>10792474</v>
      </c>
      <c r="EG40" s="230">
        <v>13243279</v>
      </c>
      <c r="EH40" s="229">
        <v>-0.18509999999999999</v>
      </c>
      <c r="EI40" s="229">
        <v>0.52429999999999999</v>
      </c>
      <c r="EJ40" s="231">
        <v>309185.86</v>
      </c>
      <c r="EK40" s="231">
        <v>179391.89</v>
      </c>
      <c r="EL40" s="231">
        <v>132228.04</v>
      </c>
      <c r="EM40" s="231">
        <v>7797</v>
      </c>
      <c r="EN40" s="231">
        <v>620805.79</v>
      </c>
      <c r="EO40" s="231">
        <v>619223.77</v>
      </c>
      <c r="EP40" s="231">
        <v>1582.02</v>
      </c>
      <c r="EQ40" s="229">
        <v>2.5999999999999999E-3</v>
      </c>
      <c r="ER40" s="231">
        <v>179940</v>
      </c>
      <c r="ES40" s="231">
        <v>193759</v>
      </c>
      <c r="ET40" s="231">
        <v>239462</v>
      </c>
      <c r="EU40" s="231">
        <v>504315430</v>
      </c>
      <c r="EV40" s="231">
        <v>613161</v>
      </c>
      <c r="EW40" s="231">
        <v>641252</v>
      </c>
      <c r="EX40" s="231">
        <v>-28091</v>
      </c>
      <c r="EY40" s="229">
        <v>-4.3799999999999999E-2</v>
      </c>
      <c r="EZ40" s="229">
        <v>0.84370000000000001</v>
      </c>
      <c r="FA40" s="227" t="s">
        <v>568</v>
      </c>
      <c r="FB40" s="161">
        <f t="shared" si="0"/>
        <v>51016500</v>
      </c>
    </row>
    <row r="41" spans="1:158" ht="17.25" hidden="1" thickBot="1" x14ac:dyDescent="0.3">
      <c r="A41" s="226">
        <v>45981</v>
      </c>
      <c r="B41" s="227" t="s">
        <v>175</v>
      </c>
      <c r="C41" s="227" t="s">
        <v>597</v>
      </c>
      <c r="D41" s="228">
        <v>475</v>
      </c>
      <c r="E41" s="231">
        <v>1643.4</v>
      </c>
      <c r="F41" s="231">
        <v>1627.1</v>
      </c>
      <c r="G41" s="228">
        <v>16.3</v>
      </c>
      <c r="H41" s="229">
        <v>0.01</v>
      </c>
      <c r="I41" s="231">
        <v>1640.1</v>
      </c>
      <c r="J41" s="231">
        <v>1622.8</v>
      </c>
      <c r="K41" s="228">
        <v>17.3</v>
      </c>
      <c r="L41" s="229">
        <v>1.0699999999999999E-2</v>
      </c>
      <c r="M41" s="231">
        <v>1643.4</v>
      </c>
      <c r="N41" s="231">
        <v>1627.1</v>
      </c>
      <c r="O41" s="228">
        <v>16.3</v>
      </c>
      <c r="P41" s="229">
        <v>0.01</v>
      </c>
      <c r="Q41" s="231">
        <v>1650.1</v>
      </c>
      <c r="R41" s="231">
        <v>1635.8</v>
      </c>
      <c r="S41" s="228">
        <v>14.3</v>
      </c>
      <c r="T41" s="229">
        <v>8.6999999999999994E-3</v>
      </c>
      <c r="U41" s="231">
        <v>1659.3</v>
      </c>
      <c r="V41" s="231">
        <v>1644.4</v>
      </c>
      <c r="W41" s="228">
        <v>14.9</v>
      </c>
      <c r="X41" s="229">
        <v>9.1000000000000004E-3</v>
      </c>
      <c r="Y41" s="228">
        <v>3.3</v>
      </c>
      <c r="Z41" s="228">
        <v>4.3</v>
      </c>
      <c r="AA41" s="228">
        <v>-1</v>
      </c>
      <c r="AB41" s="229">
        <v>2E-3</v>
      </c>
      <c r="AC41" s="228">
        <v>3.3</v>
      </c>
      <c r="AD41" s="228">
        <v>4.3</v>
      </c>
      <c r="AE41" s="228">
        <v>-1</v>
      </c>
      <c r="AF41" s="229">
        <v>2E-3</v>
      </c>
      <c r="AG41" s="228">
        <v>10</v>
      </c>
      <c r="AH41" s="228">
        <v>13</v>
      </c>
      <c r="AI41" s="228">
        <v>-3</v>
      </c>
      <c r="AJ41" s="229">
        <v>6.1000000000000004E-3</v>
      </c>
      <c r="AK41" s="228">
        <v>19.2</v>
      </c>
      <c r="AL41" s="228">
        <v>21.6</v>
      </c>
      <c r="AM41" s="228">
        <v>-2.4</v>
      </c>
      <c r="AN41" s="229">
        <v>1.17E-2</v>
      </c>
      <c r="AO41" s="231">
        <v>1656.51</v>
      </c>
      <c r="AP41" s="231">
        <v>1664.76</v>
      </c>
      <c r="AQ41" s="228">
        <v>0</v>
      </c>
      <c r="AR41" s="230">
        <v>10946375</v>
      </c>
      <c r="AS41" s="230">
        <v>3394825</v>
      </c>
      <c r="AT41" s="230">
        <v>7551550</v>
      </c>
      <c r="AU41" s="229">
        <v>2.2244000000000002</v>
      </c>
      <c r="AV41" s="230">
        <v>5870050</v>
      </c>
      <c r="AW41" s="230">
        <v>2003075</v>
      </c>
      <c r="AX41" s="230">
        <v>3866975</v>
      </c>
      <c r="AY41" s="229">
        <v>1.9305000000000001</v>
      </c>
      <c r="AZ41" s="230">
        <v>4917675</v>
      </c>
      <c r="BA41" s="230">
        <v>1325250</v>
      </c>
      <c r="BB41" s="230">
        <v>3592425</v>
      </c>
      <c r="BC41" s="229">
        <v>2.7107999999999999</v>
      </c>
      <c r="BD41" s="230">
        <v>158650</v>
      </c>
      <c r="BE41" s="230">
        <v>66500</v>
      </c>
      <c r="BF41" s="230">
        <v>92150</v>
      </c>
      <c r="BG41" s="229">
        <v>1.3856999999999999</v>
      </c>
      <c r="BH41" s="230">
        <v>65489675</v>
      </c>
      <c r="BI41" s="230">
        <v>19026125</v>
      </c>
      <c r="BJ41" s="230">
        <v>46463550</v>
      </c>
      <c r="BK41" s="229">
        <v>2.4420999999999999</v>
      </c>
      <c r="BL41" s="230">
        <v>20119575</v>
      </c>
      <c r="BM41" s="230">
        <v>8646900</v>
      </c>
      <c r="BN41" s="230">
        <v>11472675</v>
      </c>
      <c r="BO41" s="229">
        <v>1.3268</v>
      </c>
      <c r="BP41" s="230">
        <v>96555625</v>
      </c>
      <c r="BQ41" s="230">
        <v>31067850</v>
      </c>
      <c r="BR41" s="230">
        <v>65487775</v>
      </c>
      <c r="BS41" s="229">
        <v>2.1078999999999999</v>
      </c>
      <c r="BT41" s="230">
        <v>4399462</v>
      </c>
      <c r="BU41" s="230">
        <v>1551858</v>
      </c>
      <c r="BV41" s="230">
        <v>2847604</v>
      </c>
      <c r="BW41" s="229">
        <v>1.835</v>
      </c>
      <c r="BX41" s="230">
        <v>9557475</v>
      </c>
      <c r="BY41" s="230">
        <v>10585375</v>
      </c>
      <c r="BZ41" s="230">
        <v>-1027900</v>
      </c>
      <c r="CA41" s="229">
        <v>-9.7100000000000006E-2</v>
      </c>
      <c r="CB41" s="230">
        <v>5829675</v>
      </c>
      <c r="CC41" s="230">
        <v>8417000</v>
      </c>
      <c r="CD41" s="230">
        <v>-2587325</v>
      </c>
      <c r="CE41" s="229">
        <v>-0.30740000000000001</v>
      </c>
      <c r="CF41" s="230">
        <v>3532575</v>
      </c>
      <c r="CG41" s="230">
        <v>2016375</v>
      </c>
      <c r="CH41" s="230">
        <v>1516200</v>
      </c>
      <c r="CI41" s="229">
        <v>0.75190000000000001</v>
      </c>
      <c r="CJ41" s="230">
        <v>195225</v>
      </c>
      <c r="CK41" s="230">
        <v>152000</v>
      </c>
      <c r="CL41" s="230">
        <v>43225</v>
      </c>
      <c r="CM41" s="229">
        <v>0.28439999999999999</v>
      </c>
      <c r="CN41" s="230">
        <v>8856375</v>
      </c>
      <c r="CO41" s="230">
        <v>8549525</v>
      </c>
      <c r="CP41" s="230">
        <v>306850</v>
      </c>
      <c r="CQ41" s="229">
        <v>3.5900000000000001E-2</v>
      </c>
      <c r="CR41" s="230">
        <v>5263950</v>
      </c>
      <c r="CS41" s="230">
        <v>5246375</v>
      </c>
      <c r="CT41" s="230">
        <v>17575</v>
      </c>
      <c r="CU41" s="229">
        <v>3.3E-3</v>
      </c>
      <c r="CV41" s="230">
        <v>23677800</v>
      </c>
      <c r="CW41" s="230">
        <v>24381275</v>
      </c>
      <c r="CX41" s="230">
        <v>-703475</v>
      </c>
      <c r="CY41" s="229">
        <v>-2.8899999999999999E-2</v>
      </c>
      <c r="CZ41" s="228">
        <v>28.94</v>
      </c>
      <c r="DA41" s="228">
        <v>30.58</v>
      </c>
      <c r="DB41" s="228">
        <v>-1.64</v>
      </c>
      <c r="DC41" s="228">
        <v>-1.64</v>
      </c>
      <c r="DD41" s="228">
        <v>46.14</v>
      </c>
      <c r="DE41" s="228">
        <v>46.23</v>
      </c>
      <c r="DF41" s="228">
        <v>-17.2</v>
      </c>
      <c r="DG41" s="228">
        <v>-0.09</v>
      </c>
      <c r="DH41" s="228">
        <v>28.99</v>
      </c>
      <c r="DI41" s="228">
        <v>30.43</v>
      </c>
      <c r="DJ41" s="228">
        <v>-1.44</v>
      </c>
      <c r="DK41" s="228">
        <v>-1.44</v>
      </c>
      <c r="DL41" s="228">
        <v>28.79</v>
      </c>
      <c r="DM41" s="228">
        <v>30.94</v>
      </c>
      <c r="DN41" s="228">
        <v>-2.15</v>
      </c>
      <c r="DO41" s="228">
        <v>-2.15</v>
      </c>
      <c r="DP41" s="228">
        <v>0.59</v>
      </c>
      <c r="DQ41" s="228">
        <v>0.61</v>
      </c>
      <c r="DR41" s="228">
        <v>-0.02</v>
      </c>
      <c r="DS41" s="229">
        <v>-3.2800000000000003E-2</v>
      </c>
      <c r="DT41" s="231">
        <v>1700</v>
      </c>
      <c r="DU41" s="231">
        <v>1600</v>
      </c>
      <c r="DV41" s="228">
        <v>0.31</v>
      </c>
      <c r="DW41" s="228">
        <v>0.45</v>
      </c>
      <c r="DX41" s="228">
        <v>-0.14000000000000001</v>
      </c>
      <c r="DY41" s="229">
        <v>-0.31109999999999999</v>
      </c>
      <c r="DZ41" s="229">
        <v>0.39</v>
      </c>
      <c r="EA41" s="230">
        <v>2168375</v>
      </c>
      <c r="EB41" s="229">
        <v>4.1000000000000003E-3</v>
      </c>
      <c r="EC41" s="229">
        <v>0.39</v>
      </c>
      <c r="ED41" s="228">
        <v>8.25</v>
      </c>
      <c r="EE41" s="229">
        <v>5.0000000000000001E-3</v>
      </c>
      <c r="EF41" s="230">
        <v>1264478</v>
      </c>
      <c r="EG41" s="230">
        <v>388097</v>
      </c>
      <c r="EH41" s="229">
        <v>2.2581000000000002</v>
      </c>
      <c r="EI41" s="229">
        <v>0.28739999999999999</v>
      </c>
      <c r="EJ41" s="231">
        <v>1119870.1000000001</v>
      </c>
      <c r="EK41" s="231">
        <v>326267.15999999997</v>
      </c>
      <c r="EL41" s="231">
        <v>181765.68</v>
      </c>
      <c r="EM41" s="231">
        <v>5314</v>
      </c>
      <c r="EN41" s="231">
        <v>1627902.94</v>
      </c>
      <c r="EO41" s="231">
        <v>511920.58</v>
      </c>
      <c r="EP41" s="231">
        <v>1115982.3600000001</v>
      </c>
      <c r="EQ41" s="229">
        <v>2.1800000000000002</v>
      </c>
      <c r="ER41" s="231">
        <v>149764</v>
      </c>
      <c r="ES41" s="231">
        <v>82834</v>
      </c>
      <c r="ET41" s="231">
        <v>157335</v>
      </c>
      <c r="EU41" s="231">
        <v>26647500</v>
      </c>
      <c r="EV41" s="231">
        <v>389933</v>
      </c>
      <c r="EW41" s="231">
        <v>397558</v>
      </c>
      <c r="EX41" s="231">
        <v>-7625</v>
      </c>
      <c r="EY41" s="229">
        <v>-1.9199999999999998E-2</v>
      </c>
      <c r="EZ41" s="229">
        <v>0.88859999999999995</v>
      </c>
      <c r="FA41" s="227" t="s">
        <v>556</v>
      </c>
      <c r="FB41" s="161">
        <f t="shared" si="0"/>
        <v>3727800</v>
      </c>
    </row>
    <row r="42" spans="1:158" ht="17.25" hidden="1" thickBot="1" x14ac:dyDescent="0.3">
      <c r="A42" s="226">
        <v>45981</v>
      </c>
      <c r="B42" s="227" t="s">
        <v>161</v>
      </c>
      <c r="C42" s="227" t="s">
        <v>612</v>
      </c>
      <c r="D42" s="228">
        <v>850</v>
      </c>
      <c r="E42" s="228">
        <v>722.8</v>
      </c>
      <c r="F42" s="228">
        <v>724.3</v>
      </c>
      <c r="G42" s="228">
        <v>-1.5</v>
      </c>
      <c r="H42" s="229">
        <v>-2.0999999999999999E-3</v>
      </c>
      <c r="I42" s="228">
        <v>721.25</v>
      </c>
      <c r="J42" s="228">
        <v>724.1</v>
      </c>
      <c r="K42" s="228">
        <v>-2.85</v>
      </c>
      <c r="L42" s="229">
        <v>-3.8999999999999998E-3</v>
      </c>
      <c r="M42" s="228">
        <v>722.8</v>
      </c>
      <c r="N42" s="228">
        <v>724.3</v>
      </c>
      <c r="O42" s="228">
        <v>-1.5</v>
      </c>
      <c r="P42" s="229">
        <v>-2.0999999999999999E-3</v>
      </c>
      <c r="Q42" s="228">
        <v>727.15</v>
      </c>
      <c r="R42" s="228">
        <v>729.3</v>
      </c>
      <c r="S42" s="228">
        <v>-2.15</v>
      </c>
      <c r="T42" s="229">
        <v>-2.8999999999999998E-3</v>
      </c>
      <c r="U42" s="228">
        <v>732.65</v>
      </c>
      <c r="V42" s="228">
        <v>734.25</v>
      </c>
      <c r="W42" s="228">
        <v>-1.6</v>
      </c>
      <c r="X42" s="229">
        <v>-2.2000000000000001E-3</v>
      </c>
      <c r="Y42" s="228">
        <v>1.55</v>
      </c>
      <c r="Z42" s="228">
        <v>0.2</v>
      </c>
      <c r="AA42" s="228">
        <v>1.35</v>
      </c>
      <c r="AB42" s="229">
        <v>2.0999999999999999E-3</v>
      </c>
      <c r="AC42" s="228">
        <v>1.55</v>
      </c>
      <c r="AD42" s="228">
        <v>0.2</v>
      </c>
      <c r="AE42" s="228">
        <v>1.35</v>
      </c>
      <c r="AF42" s="229">
        <v>2.0999999999999999E-3</v>
      </c>
      <c r="AG42" s="228">
        <v>5.9</v>
      </c>
      <c r="AH42" s="228">
        <v>5.2</v>
      </c>
      <c r="AI42" s="228">
        <v>0.7</v>
      </c>
      <c r="AJ42" s="229">
        <v>8.2000000000000007E-3</v>
      </c>
      <c r="AK42" s="228">
        <v>11.4</v>
      </c>
      <c r="AL42" s="228">
        <v>10.15</v>
      </c>
      <c r="AM42" s="228">
        <v>1.25</v>
      </c>
      <c r="AN42" s="229">
        <v>1.5800000000000002E-2</v>
      </c>
      <c r="AO42" s="228">
        <v>722.72</v>
      </c>
      <c r="AP42" s="228">
        <v>727.32</v>
      </c>
      <c r="AQ42" s="228">
        <v>0</v>
      </c>
      <c r="AR42" s="230">
        <v>9668750</v>
      </c>
      <c r="AS42" s="230">
        <v>2850050</v>
      </c>
      <c r="AT42" s="230">
        <v>6818700</v>
      </c>
      <c r="AU42" s="229">
        <v>2.3925000000000001</v>
      </c>
      <c r="AV42" s="230">
        <v>4912150</v>
      </c>
      <c r="AW42" s="230">
        <v>1619250</v>
      </c>
      <c r="AX42" s="230">
        <v>3292900</v>
      </c>
      <c r="AY42" s="229">
        <v>2.0335999999999999</v>
      </c>
      <c r="AZ42" s="230">
        <v>4716650</v>
      </c>
      <c r="BA42" s="230">
        <v>1171300</v>
      </c>
      <c r="BB42" s="230">
        <v>3545350</v>
      </c>
      <c r="BC42" s="229">
        <v>3.0268999999999999</v>
      </c>
      <c r="BD42" s="230">
        <v>39950</v>
      </c>
      <c r="BE42" s="230">
        <v>59500</v>
      </c>
      <c r="BF42" s="230">
        <v>-19550</v>
      </c>
      <c r="BG42" s="229">
        <v>-0.3286</v>
      </c>
      <c r="BH42" s="230">
        <v>7717150</v>
      </c>
      <c r="BI42" s="230">
        <v>8269650</v>
      </c>
      <c r="BJ42" s="230">
        <v>-552500</v>
      </c>
      <c r="BK42" s="229">
        <v>-6.6799999999999998E-2</v>
      </c>
      <c r="BL42" s="230">
        <v>3395750</v>
      </c>
      <c r="BM42" s="230">
        <v>2982650</v>
      </c>
      <c r="BN42" s="230">
        <v>413100</v>
      </c>
      <c r="BO42" s="229">
        <v>0.13850000000000001</v>
      </c>
      <c r="BP42" s="230">
        <v>20781650</v>
      </c>
      <c r="BQ42" s="230">
        <v>14102350</v>
      </c>
      <c r="BR42" s="230">
        <v>6679300</v>
      </c>
      <c r="BS42" s="229">
        <v>0.47360000000000002</v>
      </c>
      <c r="BT42" s="230">
        <v>2688644</v>
      </c>
      <c r="BU42" s="230">
        <v>2191339</v>
      </c>
      <c r="BV42" s="230">
        <v>497305</v>
      </c>
      <c r="BW42" s="229">
        <v>0.22689999999999999</v>
      </c>
      <c r="BX42" s="230">
        <v>16331050</v>
      </c>
      <c r="BY42" s="230">
        <v>16218850</v>
      </c>
      <c r="BZ42" s="230">
        <v>112200</v>
      </c>
      <c r="CA42" s="229">
        <v>6.8999999999999999E-3</v>
      </c>
      <c r="CB42" s="230">
        <v>10870650</v>
      </c>
      <c r="CC42" s="230">
        <v>14438100</v>
      </c>
      <c r="CD42" s="230">
        <v>-3567450</v>
      </c>
      <c r="CE42" s="229">
        <v>-0.24709999999999999</v>
      </c>
      <c r="CF42" s="230">
        <v>5321000</v>
      </c>
      <c r="CG42" s="230">
        <v>1660050</v>
      </c>
      <c r="CH42" s="230">
        <v>3660950</v>
      </c>
      <c r="CI42" s="229">
        <v>2.2052999999999998</v>
      </c>
      <c r="CJ42" s="230">
        <v>139400</v>
      </c>
      <c r="CK42" s="230">
        <v>120700</v>
      </c>
      <c r="CL42" s="230">
        <v>18700</v>
      </c>
      <c r="CM42" s="229">
        <v>0.15490000000000001</v>
      </c>
      <c r="CN42" s="230">
        <v>7426450</v>
      </c>
      <c r="CO42" s="230">
        <v>7661050</v>
      </c>
      <c r="CP42" s="230">
        <v>-234600</v>
      </c>
      <c r="CQ42" s="229">
        <v>-3.0599999999999999E-2</v>
      </c>
      <c r="CR42" s="230">
        <v>4140350</v>
      </c>
      <c r="CS42" s="230">
        <v>4297600</v>
      </c>
      <c r="CT42" s="230">
        <v>-157250</v>
      </c>
      <c r="CU42" s="229">
        <v>-3.6600000000000001E-2</v>
      </c>
      <c r="CV42" s="230">
        <v>27897850</v>
      </c>
      <c r="CW42" s="230">
        <v>28177500</v>
      </c>
      <c r="CX42" s="230">
        <v>-279650</v>
      </c>
      <c r="CY42" s="229">
        <v>-9.9000000000000008E-3</v>
      </c>
      <c r="CZ42" s="228">
        <v>26.2</v>
      </c>
      <c r="DA42" s="228">
        <v>28.66</v>
      </c>
      <c r="DB42" s="228">
        <v>-2.46</v>
      </c>
      <c r="DC42" s="228">
        <v>-2.46</v>
      </c>
      <c r="DD42" s="228">
        <v>40.24</v>
      </c>
      <c r="DE42" s="228">
        <v>40.340000000000003</v>
      </c>
      <c r="DF42" s="228">
        <v>-14.04</v>
      </c>
      <c r="DG42" s="228">
        <v>-0.1</v>
      </c>
      <c r="DH42" s="228">
        <v>26.39</v>
      </c>
      <c r="DI42" s="228">
        <v>28.97</v>
      </c>
      <c r="DJ42" s="228">
        <v>-2.58</v>
      </c>
      <c r="DK42" s="228">
        <v>-2.58</v>
      </c>
      <c r="DL42" s="228">
        <v>25.79</v>
      </c>
      <c r="DM42" s="228">
        <v>27.8</v>
      </c>
      <c r="DN42" s="228">
        <v>-2.0099999999999998</v>
      </c>
      <c r="DO42" s="228">
        <v>-2.0099999999999998</v>
      </c>
      <c r="DP42" s="228">
        <v>0.56000000000000005</v>
      </c>
      <c r="DQ42" s="228">
        <v>0.56000000000000005</v>
      </c>
      <c r="DR42" s="228">
        <v>0</v>
      </c>
      <c r="DS42" s="229">
        <v>0</v>
      </c>
      <c r="DT42" s="228">
        <v>740</v>
      </c>
      <c r="DU42" s="228">
        <v>740</v>
      </c>
      <c r="DV42" s="228">
        <v>0.44</v>
      </c>
      <c r="DW42" s="228">
        <v>0.36</v>
      </c>
      <c r="DX42" s="228">
        <v>0.08</v>
      </c>
      <c r="DY42" s="229">
        <v>0.22220000000000001</v>
      </c>
      <c r="DZ42" s="229">
        <v>0.33439999999999998</v>
      </c>
      <c r="EA42" s="230">
        <v>1780750</v>
      </c>
      <c r="EB42" s="229">
        <v>6.0000000000000001E-3</v>
      </c>
      <c r="EC42" s="229">
        <v>0.33439999999999998</v>
      </c>
      <c r="ED42" s="228">
        <v>4.5999999999999996</v>
      </c>
      <c r="EE42" s="229">
        <v>6.4000000000000003E-3</v>
      </c>
      <c r="EF42" s="230">
        <v>1676558</v>
      </c>
      <c r="EG42" s="230">
        <v>1428582</v>
      </c>
      <c r="EH42" s="229">
        <v>0.1736</v>
      </c>
      <c r="EI42" s="229">
        <v>0.62360000000000004</v>
      </c>
      <c r="EJ42" s="231">
        <v>58113.45</v>
      </c>
      <c r="EK42" s="231">
        <v>24375.18</v>
      </c>
      <c r="EL42" s="231">
        <v>70098.41</v>
      </c>
      <c r="EM42" s="231">
        <v>3053</v>
      </c>
      <c r="EN42" s="231">
        <v>152587.04</v>
      </c>
      <c r="EO42" s="231">
        <v>104771.18</v>
      </c>
      <c r="EP42" s="231">
        <v>47815.86</v>
      </c>
      <c r="EQ42" s="229">
        <v>0.45639999999999997</v>
      </c>
      <c r="ER42" s="231">
        <v>56698</v>
      </c>
      <c r="ES42" s="231">
        <v>29766</v>
      </c>
      <c r="ET42" s="231">
        <v>118286</v>
      </c>
      <c r="EU42" s="231">
        <v>100245792</v>
      </c>
      <c r="EV42" s="231">
        <v>204750</v>
      </c>
      <c r="EW42" s="231">
        <v>206963</v>
      </c>
      <c r="EX42" s="231">
        <v>-2213</v>
      </c>
      <c r="EY42" s="229">
        <v>-1.0699999999999999E-2</v>
      </c>
      <c r="EZ42" s="229">
        <v>0.27829999999999999</v>
      </c>
      <c r="FA42" s="227" t="s">
        <v>567</v>
      </c>
      <c r="FB42" s="161">
        <f t="shared" si="0"/>
        <v>5460400</v>
      </c>
    </row>
    <row r="43" spans="1:158" ht="17.25" hidden="1" thickBot="1" x14ac:dyDescent="0.3">
      <c r="A43" s="226">
        <v>45981</v>
      </c>
      <c r="B43" s="227" t="s">
        <v>175</v>
      </c>
      <c r="C43" s="227" t="s">
        <v>198</v>
      </c>
      <c r="D43" s="228">
        <v>625</v>
      </c>
      <c r="E43" s="231">
        <v>1707.2</v>
      </c>
      <c r="F43" s="231">
        <v>1680.4</v>
      </c>
      <c r="G43" s="228">
        <v>26.8</v>
      </c>
      <c r="H43" s="229">
        <v>1.5900000000000001E-2</v>
      </c>
      <c r="I43" s="231">
        <v>1703.2</v>
      </c>
      <c r="J43" s="231">
        <v>1678.1</v>
      </c>
      <c r="K43" s="228">
        <v>25.1</v>
      </c>
      <c r="L43" s="229">
        <v>1.4999999999999999E-2</v>
      </c>
      <c r="M43" s="231">
        <v>1707.2</v>
      </c>
      <c r="N43" s="231">
        <v>1680.4</v>
      </c>
      <c r="O43" s="228">
        <v>26.8</v>
      </c>
      <c r="P43" s="229">
        <v>1.5900000000000001E-2</v>
      </c>
      <c r="Q43" s="231">
        <v>1686.9</v>
      </c>
      <c r="R43" s="231">
        <v>1654.5</v>
      </c>
      <c r="S43" s="228">
        <v>32.4</v>
      </c>
      <c r="T43" s="229">
        <v>1.9599999999999999E-2</v>
      </c>
      <c r="U43" s="231">
        <v>1674.1</v>
      </c>
      <c r="V43" s="231">
        <v>1643.8</v>
      </c>
      <c r="W43" s="228">
        <v>30.3</v>
      </c>
      <c r="X43" s="229">
        <v>1.84E-2</v>
      </c>
      <c r="Y43" s="228">
        <v>4</v>
      </c>
      <c r="Z43" s="228">
        <v>2.2999999999999998</v>
      </c>
      <c r="AA43" s="228">
        <v>1.7</v>
      </c>
      <c r="AB43" s="229">
        <v>2.3E-3</v>
      </c>
      <c r="AC43" s="228">
        <v>4</v>
      </c>
      <c r="AD43" s="228">
        <v>2.2999999999999998</v>
      </c>
      <c r="AE43" s="228">
        <v>1.7</v>
      </c>
      <c r="AF43" s="229">
        <v>2.3E-3</v>
      </c>
      <c r="AG43" s="228">
        <v>-16.3</v>
      </c>
      <c r="AH43" s="228">
        <v>-23.6</v>
      </c>
      <c r="AI43" s="228">
        <v>7.3</v>
      </c>
      <c r="AJ43" s="229">
        <v>-9.5999999999999992E-3</v>
      </c>
      <c r="AK43" s="228">
        <v>-29.1</v>
      </c>
      <c r="AL43" s="228">
        <v>-34.299999999999997</v>
      </c>
      <c r="AM43" s="228">
        <v>5.2</v>
      </c>
      <c r="AN43" s="229">
        <v>-1.7100000000000001E-2</v>
      </c>
      <c r="AO43" s="231">
        <v>1694.98</v>
      </c>
      <c r="AP43" s="231">
        <v>1669.64</v>
      </c>
      <c r="AQ43" s="228">
        <v>0</v>
      </c>
      <c r="AR43" s="230">
        <v>11313125</v>
      </c>
      <c r="AS43" s="230">
        <v>4352500</v>
      </c>
      <c r="AT43" s="230">
        <v>6960625</v>
      </c>
      <c r="AU43" s="229">
        <v>1.5992</v>
      </c>
      <c r="AV43" s="230">
        <v>5929375</v>
      </c>
      <c r="AW43" s="230">
        <v>2685625</v>
      </c>
      <c r="AX43" s="230">
        <v>3243750</v>
      </c>
      <c r="AY43" s="229">
        <v>1.2078</v>
      </c>
      <c r="AZ43" s="230">
        <v>5363750</v>
      </c>
      <c r="BA43" s="230">
        <v>1617500</v>
      </c>
      <c r="BB43" s="230">
        <v>3746250</v>
      </c>
      <c r="BC43" s="229">
        <v>2.3161</v>
      </c>
      <c r="BD43" s="230">
        <v>20000</v>
      </c>
      <c r="BE43" s="230">
        <v>49375</v>
      </c>
      <c r="BF43" s="230">
        <v>-29375</v>
      </c>
      <c r="BG43" s="229">
        <v>-0.59489999999999998</v>
      </c>
      <c r="BH43" s="230">
        <v>7929375</v>
      </c>
      <c r="BI43" s="230">
        <v>6786875</v>
      </c>
      <c r="BJ43" s="230">
        <v>1142500</v>
      </c>
      <c r="BK43" s="229">
        <v>0.16830000000000001</v>
      </c>
      <c r="BL43" s="230">
        <v>4038750</v>
      </c>
      <c r="BM43" s="230">
        <v>4321875</v>
      </c>
      <c r="BN43" s="230">
        <v>-283125</v>
      </c>
      <c r="BO43" s="229">
        <v>-6.5500000000000003E-2</v>
      </c>
      <c r="BP43" s="230">
        <v>23281250</v>
      </c>
      <c r="BQ43" s="230">
        <v>15461250</v>
      </c>
      <c r="BR43" s="230">
        <v>7820000</v>
      </c>
      <c r="BS43" s="229">
        <v>0.50580000000000003</v>
      </c>
      <c r="BT43" s="230">
        <v>1021095</v>
      </c>
      <c r="BU43" s="230">
        <v>1117019</v>
      </c>
      <c r="BV43" s="230">
        <v>-95924</v>
      </c>
      <c r="BW43" s="229">
        <v>-8.5900000000000004E-2</v>
      </c>
      <c r="BX43" s="230">
        <v>15103750</v>
      </c>
      <c r="BY43" s="230">
        <v>17553750</v>
      </c>
      <c r="BZ43" s="230">
        <v>-2450000</v>
      </c>
      <c r="CA43" s="229">
        <v>-0.1396</v>
      </c>
      <c r="CB43" s="230">
        <v>9039375</v>
      </c>
      <c r="CC43" s="230">
        <v>13485625</v>
      </c>
      <c r="CD43" s="230">
        <v>-4446250</v>
      </c>
      <c r="CE43" s="229">
        <v>-0.32969999999999999</v>
      </c>
      <c r="CF43" s="230">
        <v>5962500</v>
      </c>
      <c r="CG43" s="230">
        <v>3961250</v>
      </c>
      <c r="CH43" s="230">
        <v>2001250</v>
      </c>
      <c r="CI43" s="229">
        <v>0.50519999999999998</v>
      </c>
      <c r="CJ43" s="230">
        <v>101875</v>
      </c>
      <c r="CK43" s="230">
        <v>106875</v>
      </c>
      <c r="CL43" s="230">
        <v>-5000</v>
      </c>
      <c r="CM43" s="229">
        <v>-4.6800000000000001E-2</v>
      </c>
      <c r="CN43" s="230">
        <v>3355000</v>
      </c>
      <c r="CO43" s="230">
        <v>3685625</v>
      </c>
      <c r="CP43" s="230">
        <v>-330625</v>
      </c>
      <c r="CQ43" s="229">
        <v>-8.9700000000000002E-2</v>
      </c>
      <c r="CR43" s="230">
        <v>3223750</v>
      </c>
      <c r="CS43" s="230">
        <v>3325000</v>
      </c>
      <c r="CT43" s="230">
        <v>-101250</v>
      </c>
      <c r="CU43" s="229">
        <v>-3.0499999999999999E-2</v>
      </c>
      <c r="CV43" s="230">
        <v>21682500</v>
      </c>
      <c r="CW43" s="230">
        <v>24564375</v>
      </c>
      <c r="CX43" s="230">
        <v>-2881875</v>
      </c>
      <c r="CY43" s="229">
        <v>-0.1173</v>
      </c>
      <c r="CZ43" s="228">
        <v>23.73</v>
      </c>
      <c r="DA43" s="228">
        <v>25.96</v>
      </c>
      <c r="DB43" s="228">
        <v>-2.23</v>
      </c>
      <c r="DC43" s="228">
        <v>-2.23</v>
      </c>
      <c r="DD43" s="228">
        <v>37.71</v>
      </c>
      <c r="DE43" s="228">
        <v>37.75</v>
      </c>
      <c r="DF43" s="228">
        <v>-13.98</v>
      </c>
      <c r="DG43" s="228">
        <v>-0.04</v>
      </c>
      <c r="DH43" s="228">
        <v>23.95</v>
      </c>
      <c r="DI43" s="228">
        <v>27.05</v>
      </c>
      <c r="DJ43" s="228">
        <v>-3.1</v>
      </c>
      <c r="DK43" s="228">
        <v>-3.1</v>
      </c>
      <c r="DL43" s="228">
        <v>23.24</v>
      </c>
      <c r="DM43" s="228">
        <v>24.23</v>
      </c>
      <c r="DN43" s="228">
        <v>-0.99</v>
      </c>
      <c r="DO43" s="228">
        <v>-0.99</v>
      </c>
      <c r="DP43" s="228">
        <v>0.96</v>
      </c>
      <c r="DQ43" s="228">
        <v>0.9</v>
      </c>
      <c r="DR43" s="228">
        <v>0.06</v>
      </c>
      <c r="DS43" s="229">
        <v>6.6699999999999995E-2</v>
      </c>
      <c r="DT43" s="231">
        <v>1720</v>
      </c>
      <c r="DU43" s="231">
        <v>1700</v>
      </c>
      <c r="DV43" s="228">
        <v>0.51</v>
      </c>
      <c r="DW43" s="228">
        <v>0.64</v>
      </c>
      <c r="DX43" s="228">
        <v>-0.13</v>
      </c>
      <c r="DY43" s="229">
        <v>-0.2031</v>
      </c>
      <c r="DZ43" s="229">
        <v>0.40150000000000002</v>
      </c>
      <c r="EA43" s="230">
        <v>4068125</v>
      </c>
      <c r="EB43" s="229">
        <v>-1.1900000000000001E-2</v>
      </c>
      <c r="EC43" s="229">
        <v>0.40150000000000002</v>
      </c>
      <c r="ED43" s="228">
        <v>-25.34</v>
      </c>
      <c r="EE43" s="229">
        <v>-1.4999999999999999E-2</v>
      </c>
      <c r="EF43" s="230">
        <v>611870</v>
      </c>
      <c r="EG43" s="230">
        <v>643015</v>
      </c>
      <c r="EH43" s="229">
        <v>-4.8399999999999999E-2</v>
      </c>
      <c r="EI43" s="229">
        <v>0.59919999999999995</v>
      </c>
      <c r="EJ43" s="231">
        <v>138401.47</v>
      </c>
      <c r="EK43" s="231">
        <v>67414.7</v>
      </c>
      <c r="EL43" s="231">
        <v>190390.42</v>
      </c>
      <c r="EM43" s="231">
        <v>4072</v>
      </c>
      <c r="EN43" s="231">
        <v>396206.59</v>
      </c>
      <c r="EO43" s="231">
        <v>264179.24</v>
      </c>
      <c r="EP43" s="231">
        <v>132027.35</v>
      </c>
      <c r="EQ43" s="229">
        <v>0.49980000000000002</v>
      </c>
      <c r="ER43" s="231">
        <v>59350</v>
      </c>
      <c r="ES43" s="231">
        <v>53097</v>
      </c>
      <c r="ET43" s="231">
        <v>256607</v>
      </c>
      <c r="EU43" s="231">
        <v>63212268</v>
      </c>
      <c r="EV43" s="231">
        <v>369053</v>
      </c>
      <c r="EW43" s="231">
        <v>413831</v>
      </c>
      <c r="EX43" s="231">
        <v>-44778</v>
      </c>
      <c r="EY43" s="229">
        <v>-0.1082</v>
      </c>
      <c r="EZ43" s="229">
        <v>0.34300000000000003</v>
      </c>
      <c r="FA43" s="227" t="s">
        <v>556</v>
      </c>
      <c r="FB43" s="161">
        <f t="shared" si="0"/>
        <v>6064375</v>
      </c>
    </row>
    <row r="44" spans="1:158" ht="17.25" hidden="1" thickBot="1" x14ac:dyDescent="0.3">
      <c r="A44" s="226">
        <v>45981</v>
      </c>
      <c r="B44" s="227" t="s">
        <v>170</v>
      </c>
      <c r="C44" s="227" t="s">
        <v>199</v>
      </c>
      <c r="D44" s="228">
        <v>375</v>
      </c>
      <c r="E44" s="231">
        <v>1530.1</v>
      </c>
      <c r="F44" s="231">
        <v>1528.8</v>
      </c>
      <c r="G44" s="228">
        <v>1.3</v>
      </c>
      <c r="H44" s="229">
        <v>8.9999999999999998E-4</v>
      </c>
      <c r="I44" s="231">
        <v>1529.2</v>
      </c>
      <c r="J44" s="231">
        <v>1526.8</v>
      </c>
      <c r="K44" s="228">
        <v>2.4</v>
      </c>
      <c r="L44" s="229">
        <v>1.6000000000000001E-3</v>
      </c>
      <c r="M44" s="231">
        <v>1530.1</v>
      </c>
      <c r="N44" s="231">
        <v>1528.8</v>
      </c>
      <c r="O44" s="228">
        <v>1.3</v>
      </c>
      <c r="P44" s="229">
        <v>8.9999999999999998E-4</v>
      </c>
      <c r="Q44" s="231">
        <v>1540.3</v>
      </c>
      <c r="R44" s="231">
        <v>1539.7</v>
      </c>
      <c r="S44" s="228">
        <v>0.6</v>
      </c>
      <c r="T44" s="229">
        <v>4.0000000000000002E-4</v>
      </c>
      <c r="U44" s="231">
        <v>1549.4</v>
      </c>
      <c r="V44" s="231">
        <v>1547.9</v>
      </c>
      <c r="W44" s="228">
        <v>1.5</v>
      </c>
      <c r="X44" s="229">
        <v>1E-3</v>
      </c>
      <c r="Y44" s="228">
        <v>0.9</v>
      </c>
      <c r="Z44" s="228">
        <v>2</v>
      </c>
      <c r="AA44" s="228">
        <v>-1.1000000000000001</v>
      </c>
      <c r="AB44" s="229">
        <v>5.9999999999999995E-4</v>
      </c>
      <c r="AC44" s="228">
        <v>0.9</v>
      </c>
      <c r="AD44" s="228">
        <v>2</v>
      </c>
      <c r="AE44" s="228">
        <v>-1.1000000000000001</v>
      </c>
      <c r="AF44" s="229">
        <v>5.9999999999999995E-4</v>
      </c>
      <c r="AG44" s="228">
        <v>11.1</v>
      </c>
      <c r="AH44" s="228">
        <v>12.9</v>
      </c>
      <c r="AI44" s="228">
        <v>-1.8</v>
      </c>
      <c r="AJ44" s="229">
        <v>7.3000000000000001E-3</v>
      </c>
      <c r="AK44" s="228">
        <v>20.2</v>
      </c>
      <c r="AL44" s="228">
        <v>21.1</v>
      </c>
      <c r="AM44" s="228">
        <v>-0.9</v>
      </c>
      <c r="AN44" s="229">
        <v>1.32E-2</v>
      </c>
      <c r="AO44" s="231">
        <v>1530.25</v>
      </c>
      <c r="AP44" s="231">
        <v>1540.17</v>
      </c>
      <c r="AQ44" s="228">
        <v>0</v>
      </c>
      <c r="AR44" s="230">
        <v>7790250</v>
      </c>
      <c r="AS44" s="230">
        <v>2201250</v>
      </c>
      <c r="AT44" s="230">
        <v>5589000</v>
      </c>
      <c r="AU44" s="229">
        <v>2.5390000000000001</v>
      </c>
      <c r="AV44" s="230">
        <v>4186125</v>
      </c>
      <c r="AW44" s="230">
        <v>1510125</v>
      </c>
      <c r="AX44" s="230">
        <v>2676000</v>
      </c>
      <c r="AY44" s="229">
        <v>1.772</v>
      </c>
      <c r="AZ44" s="230">
        <v>3588750</v>
      </c>
      <c r="BA44" s="230">
        <v>663375</v>
      </c>
      <c r="BB44" s="230">
        <v>2925375</v>
      </c>
      <c r="BC44" s="229">
        <v>4.4097999999999997</v>
      </c>
      <c r="BD44" s="230">
        <v>15375</v>
      </c>
      <c r="BE44" s="230">
        <v>27750</v>
      </c>
      <c r="BF44" s="230">
        <v>-12375</v>
      </c>
      <c r="BG44" s="229">
        <v>-0.44590000000000002</v>
      </c>
      <c r="BH44" s="230">
        <v>7145625</v>
      </c>
      <c r="BI44" s="230">
        <v>9465750</v>
      </c>
      <c r="BJ44" s="230">
        <v>-2320125</v>
      </c>
      <c r="BK44" s="229">
        <v>-0.24510000000000001</v>
      </c>
      <c r="BL44" s="230">
        <v>2854125</v>
      </c>
      <c r="BM44" s="230">
        <v>3682875</v>
      </c>
      <c r="BN44" s="230">
        <v>-828750</v>
      </c>
      <c r="BO44" s="229">
        <v>-0.22500000000000001</v>
      </c>
      <c r="BP44" s="230">
        <v>17790000</v>
      </c>
      <c r="BQ44" s="230">
        <v>15349875</v>
      </c>
      <c r="BR44" s="230">
        <v>2440125</v>
      </c>
      <c r="BS44" s="229">
        <v>0.159</v>
      </c>
      <c r="BT44" s="230">
        <v>1057908</v>
      </c>
      <c r="BU44" s="230">
        <v>1194438</v>
      </c>
      <c r="BV44" s="230">
        <v>-136530</v>
      </c>
      <c r="BW44" s="229">
        <v>-0.1143</v>
      </c>
      <c r="BX44" s="230">
        <v>14716500</v>
      </c>
      <c r="BY44" s="230">
        <v>15126000</v>
      </c>
      <c r="BZ44" s="230">
        <v>-409500</v>
      </c>
      <c r="CA44" s="229">
        <v>-2.7099999999999999E-2</v>
      </c>
      <c r="CB44" s="230">
        <v>10101000</v>
      </c>
      <c r="CC44" s="230">
        <v>13525125</v>
      </c>
      <c r="CD44" s="230">
        <v>-3424125</v>
      </c>
      <c r="CE44" s="229">
        <v>-0.25319999999999998</v>
      </c>
      <c r="CF44" s="230">
        <v>4515375</v>
      </c>
      <c r="CG44" s="230">
        <v>1504125</v>
      </c>
      <c r="CH44" s="230">
        <v>3011250</v>
      </c>
      <c r="CI44" s="229">
        <v>2.0019999999999998</v>
      </c>
      <c r="CJ44" s="230">
        <v>100125</v>
      </c>
      <c r="CK44" s="230">
        <v>96750</v>
      </c>
      <c r="CL44" s="230">
        <v>3375</v>
      </c>
      <c r="CM44" s="229">
        <v>3.49E-2</v>
      </c>
      <c r="CN44" s="230">
        <v>9038625</v>
      </c>
      <c r="CO44" s="230">
        <v>9744750</v>
      </c>
      <c r="CP44" s="230">
        <v>-706125</v>
      </c>
      <c r="CQ44" s="229">
        <v>-7.2499999999999995E-2</v>
      </c>
      <c r="CR44" s="230">
        <v>4566375</v>
      </c>
      <c r="CS44" s="230">
        <v>4826625</v>
      </c>
      <c r="CT44" s="230">
        <v>-260250</v>
      </c>
      <c r="CU44" s="229">
        <v>-5.3900000000000003E-2</v>
      </c>
      <c r="CV44" s="230">
        <v>28321500</v>
      </c>
      <c r="CW44" s="230">
        <v>29697375</v>
      </c>
      <c r="CX44" s="230">
        <v>-1375875</v>
      </c>
      <c r="CY44" s="229">
        <v>-4.6300000000000001E-2</v>
      </c>
      <c r="CZ44" s="228">
        <v>19.18</v>
      </c>
      <c r="DA44" s="228">
        <v>19.920000000000002</v>
      </c>
      <c r="DB44" s="228">
        <v>-0.74</v>
      </c>
      <c r="DC44" s="228">
        <v>-0.74</v>
      </c>
      <c r="DD44" s="228">
        <v>26.5</v>
      </c>
      <c r="DE44" s="228">
        <v>26.57</v>
      </c>
      <c r="DF44" s="228">
        <v>-7.32</v>
      </c>
      <c r="DG44" s="228">
        <v>-7.0000000000000007E-2</v>
      </c>
      <c r="DH44" s="228">
        <v>19.27</v>
      </c>
      <c r="DI44" s="228">
        <v>19.72</v>
      </c>
      <c r="DJ44" s="228">
        <v>-0.45</v>
      </c>
      <c r="DK44" s="228">
        <v>-0.45</v>
      </c>
      <c r="DL44" s="228">
        <v>19.04</v>
      </c>
      <c r="DM44" s="228">
        <v>20.440000000000001</v>
      </c>
      <c r="DN44" s="228">
        <v>-1.4</v>
      </c>
      <c r="DO44" s="228">
        <v>-1.4</v>
      </c>
      <c r="DP44" s="228">
        <v>0.51</v>
      </c>
      <c r="DQ44" s="228">
        <v>0.5</v>
      </c>
      <c r="DR44" s="228">
        <v>0.01</v>
      </c>
      <c r="DS44" s="229">
        <v>0.02</v>
      </c>
      <c r="DT44" s="231">
        <v>1600</v>
      </c>
      <c r="DU44" s="231">
        <v>1500</v>
      </c>
      <c r="DV44" s="228">
        <v>0.4</v>
      </c>
      <c r="DW44" s="228">
        <v>0.39</v>
      </c>
      <c r="DX44" s="228">
        <v>0.01</v>
      </c>
      <c r="DY44" s="229">
        <v>2.5600000000000001E-2</v>
      </c>
      <c r="DZ44" s="229">
        <v>0.31359999999999999</v>
      </c>
      <c r="EA44" s="230">
        <v>1600875</v>
      </c>
      <c r="EB44" s="229">
        <v>6.7000000000000002E-3</v>
      </c>
      <c r="EC44" s="229">
        <v>0.31359999999999999</v>
      </c>
      <c r="ED44" s="228">
        <v>9.92</v>
      </c>
      <c r="EE44" s="229">
        <v>6.4999999999999997E-3</v>
      </c>
      <c r="EF44" s="230">
        <v>668421</v>
      </c>
      <c r="EG44" s="230">
        <v>806164</v>
      </c>
      <c r="EH44" s="229">
        <v>-0.1709</v>
      </c>
      <c r="EI44" s="229">
        <v>0.63180000000000003</v>
      </c>
      <c r="EJ44" s="231">
        <v>112715.2</v>
      </c>
      <c r="EK44" s="231">
        <v>43319.87</v>
      </c>
      <c r="EL44" s="231">
        <v>119569.63</v>
      </c>
      <c r="EM44" s="231">
        <v>4388</v>
      </c>
      <c r="EN44" s="231">
        <v>275604.7</v>
      </c>
      <c r="EO44" s="231">
        <v>237450.95</v>
      </c>
      <c r="EP44" s="231">
        <v>38153.75</v>
      </c>
      <c r="EQ44" s="229">
        <v>0.16070000000000001</v>
      </c>
      <c r="ER44" s="231">
        <v>146626</v>
      </c>
      <c r="ES44" s="231">
        <v>68516</v>
      </c>
      <c r="ET44" s="231">
        <v>225657</v>
      </c>
      <c r="EU44" s="231">
        <v>57073940</v>
      </c>
      <c r="EV44" s="231">
        <v>440799</v>
      </c>
      <c r="EW44" s="231">
        <v>461911</v>
      </c>
      <c r="EX44" s="231">
        <v>-21112</v>
      </c>
      <c r="EY44" s="229">
        <v>-4.5699999999999998E-2</v>
      </c>
      <c r="EZ44" s="229">
        <v>0.49619999999999997</v>
      </c>
      <c r="FA44" s="227" t="s">
        <v>556</v>
      </c>
      <c r="FB44" s="161">
        <f t="shared" si="0"/>
        <v>4615500</v>
      </c>
    </row>
    <row r="45" spans="1:158" ht="17.25" hidden="1" thickBot="1" x14ac:dyDescent="0.3">
      <c r="A45" s="226">
        <v>45981</v>
      </c>
      <c r="B45" s="227" t="s">
        <v>227</v>
      </c>
      <c r="C45" s="227" t="s">
        <v>200</v>
      </c>
      <c r="D45" s="228">
        <v>1350</v>
      </c>
      <c r="E45" s="228">
        <v>380.5</v>
      </c>
      <c r="F45" s="228">
        <v>379.95</v>
      </c>
      <c r="G45" s="228">
        <v>0.55000000000000004</v>
      </c>
      <c r="H45" s="229">
        <v>1.4E-3</v>
      </c>
      <c r="I45" s="228">
        <v>379.65</v>
      </c>
      <c r="J45" s="228">
        <v>379.05</v>
      </c>
      <c r="K45" s="228">
        <v>0.6</v>
      </c>
      <c r="L45" s="229">
        <v>1.6000000000000001E-3</v>
      </c>
      <c r="M45" s="228">
        <v>380.5</v>
      </c>
      <c r="N45" s="228">
        <v>379.95</v>
      </c>
      <c r="O45" s="228">
        <v>0.55000000000000004</v>
      </c>
      <c r="P45" s="229">
        <v>1.4E-3</v>
      </c>
      <c r="Q45" s="228">
        <v>382.9</v>
      </c>
      <c r="R45" s="228">
        <v>382.3</v>
      </c>
      <c r="S45" s="228">
        <v>0.6</v>
      </c>
      <c r="T45" s="229">
        <v>1.6000000000000001E-3</v>
      </c>
      <c r="U45" s="228">
        <v>384.9</v>
      </c>
      <c r="V45" s="228">
        <v>384.6</v>
      </c>
      <c r="W45" s="228">
        <v>0.3</v>
      </c>
      <c r="X45" s="229">
        <v>8.0000000000000004E-4</v>
      </c>
      <c r="Y45" s="228">
        <v>0.85</v>
      </c>
      <c r="Z45" s="228">
        <v>0.9</v>
      </c>
      <c r="AA45" s="228">
        <v>-0.05</v>
      </c>
      <c r="AB45" s="229">
        <v>2.2000000000000001E-3</v>
      </c>
      <c r="AC45" s="228">
        <v>0.85</v>
      </c>
      <c r="AD45" s="228">
        <v>0.9</v>
      </c>
      <c r="AE45" s="228">
        <v>-0.05</v>
      </c>
      <c r="AF45" s="229">
        <v>2.2000000000000001E-3</v>
      </c>
      <c r="AG45" s="228">
        <v>3.25</v>
      </c>
      <c r="AH45" s="228">
        <v>3.25</v>
      </c>
      <c r="AI45" s="228">
        <v>0</v>
      </c>
      <c r="AJ45" s="229">
        <v>8.6E-3</v>
      </c>
      <c r="AK45" s="228">
        <v>5.25</v>
      </c>
      <c r="AL45" s="228">
        <v>5.55</v>
      </c>
      <c r="AM45" s="228">
        <v>-0.3</v>
      </c>
      <c r="AN45" s="229">
        <v>1.38E-2</v>
      </c>
      <c r="AO45" s="228">
        <v>380.09</v>
      </c>
      <c r="AP45" s="228">
        <v>382.54</v>
      </c>
      <c r="AQ45" s="228">
        <v>0</v>
      </c>
      <c r="AR45" s="230">
        <v>30894750</v>
      </c>
      <c r="AS45" s="230">
        <v>8171550</v>
      </c>
      <c r="AT45" s="230">
        <v>22723200</v>
      </c>
      <c r="AU45" s="229">
        <v>2.7808000000000002</v>
      </c>
      <c r="AV45" s="230">
        <v>15526350</v>
      </c>
      <c r="AW45" s="230">
        <v>5146200</v>
      </c>
      <c r="AX45" s="230">
        <v>10380150</v>
      </c>
      <c r="AY45" s="229">
        <v>2.0171000000000001</v>
      </c>
      <c r="AZ45" s="230">
        <v>15192900</v>
      </c>
      <c r="BA45" s="230">
        <v>2789100</v>
      </c>
      <c r="BB45" s="230">
        <v>12403800</v>
      </c>
      <c r="BC45" s="229">
        <v>4.4471999999999996</v>
      </c>
      <c r="BD45" s="230">
        <v>175500</v>
      </c>
      <c r="BE45" s="230">
        <v>236250</v>
      </c>
      <c r="BF45" s="230">
        <v>-60750</v>
      </c>
      <c r="BG45" s="229">
        <v>-0.2571</v>
      </c>
      <c r="BH45" s="230">
        <v>14210100</v>
      </c>
      <c r="BI45" s="230">
        <v>21478500</v>
      </c>
      <c r="BJ45" s="230">
        <v>-7268400</v>
      </c>
      <c r="BK45" s="229">
        <v>-0.33839999999999998</v>
      </c>
      <c r="BL45" s="230">
        <v>8272800</v>
      </c>
      <c r="BM45" s="230">
        <v>11427750</v>
      </c>
      <c r="BN45" s="230">
        <v>-3154950</v>
      </c>
      <c r="BO45" s="229">
        <v>-0.27610000000000001</v>
      </c>
      <c r="BP45" s="230">
        <v>53377650</v>
      </c>
      <c r="BQ45" s="230">
        <v>41077800</v>
      </c>
      <c r="BR45" s="230">
        <v>12299850</v>
      </c>
      <c r="BS45" s="229">
        <v>0.2994</v>
      </c>
      <c r="BT45" s="230">
        <v>4182025</v>
      </c>
      <c r="BU45" s="230">
        <v>5729573</v>
      </c>
      <c r="BV45" s="230">
        <v>-1547548</v>
      </c>
      <c r="BW45" s="229">
        <v>-0.27010000000000001</v>
      </c>
      <c r="BX45" s="230">
        <v>60399000</v>
      </c>
      <c r="BY45" s="230">
        <v>60277500</v>
      </c>
      <c r="BZ45" s="230">
        <v>121500</v>
      </c>
      <c r="CA45" s="229">
        <v>2E-3</v>
      </c>
      <c r="CB45" s="230">
        <v>40873950</v>
      </c>
      <c r="CC45" s="230">
        <v>53897400</v>
      </c>
      <c r="CD45" s="230">
        <v>-13023450</v>
      </c>
      <c r="CE45" s="229">
        <v>-0.24160000000000001</v>
      </c>
      <c r="CF45" s="230">
        <v>18939150</v>
      </c>
      <c r="CG45" s="230">
        <v>5860350</v>
      </c>
      <c r="CH45" s="230">
        <v>13078800</v>
      </c>
      <c r="CI45" s="229">
        <v>2.2317</v>
      </c>
      <c r="CJ45" s="230">
        <v>585900</v>
      </c>
      <c r="CK45" s="230">
        <v>519750</v>
      </c>
      <c r="CL45" s="230">
        <v>66150</v>
      </c>
      <c r="CM45" s="229">
        <v>0.1273</v>
      </c>
      <c r="CN45" s="230">
        <v>27718200</v>
      </c>
      <c r="CO45" s="230">
        <v>28530900</v>
      </c>
      <c r="CP45" s="230">
        <v>-812700</v>
      </c>
      <c r="CQ45" s="229">
        <v>-2.8500000000000001E-2</v>
      </c>
      <c r="CR45" s="230">
        <v>22119750</v>
      </c>
      <c r="CS45" s="230">
        <v>22148100</v>
      </c>
      <c r="CT45" s="230">
        <v>-28350</v>
      </c>
      <c r="CU45" s="229">
        <v>-1.2999999999999999E-3</v>
      </c>
      <c r="CV45" s="230">
        <v>110236950</v>
      </c>
      <c r="CW45" s="230">
        <v>110956500</v>
      </c>
      <c r="CX45" s="230">
        <v>-719550</v>
      </c>
      <c r="CY45" s="229">
        <v>-6.4999999999999997E-3</v>
      </c>
      <c r="CZ45" s="228">
        <v>16.22</v>
      </c>
      <c r="DA45" s="228">
        <v>18.059999999999999</v>
      </c>
      <c r="DB45" s="228">
        <v>-1.84</v>
      </c>
      <c r="DC45" s="228">
        <v>-1.84</v>
      </c>
      <c r="DD45" s="228">
        <v>27.72</v>
      </c>
      <c r="DE45" s="228">
        <v>27.79</v>
      </c>
      <c r="DF45" s="228">
        <v>-11.5</v>
      </c>
      <c r="DG45" s="228">
        <v>-7.0000000000000007E-2</v>
      </c>
      <c r="DH45" s="228">
        <v>15.88</v>
      </c>
      <c r="DI45" s="228">
        <v>18.440000000000001</v>
      </c>
      <c r="DJ45" s="228">
        <v>-2.56</v>
      </c>
      <c r="DK45" s="228">
        <v>-2.56</v>
      </c>
      <c r="DL45" s="228">
        <v>16.66</v>
      </c>
      <c r="DM45" s="228">
        <v>17.34</v>
      </c>
      <c r="DN45" s="228">
        <v>-0.68</v>
      </c>
      <c r="DO45" s="228">
        <v>-0.68</v>
      </c>
      <c r="DP45" s="228">
        <v>0.8</v>
      </c>
      <c r="DQ45" s="228">
        <v>0.78</v>
      </c>
      <c r="DR45" s="228">
        <v>0.02</v>
      </c>
      <c r="DS45" s="229">
        <v>2.5600000000000001E-2</v>
      </c>
      <c r="DT45" s="228">
        <v>389.75</v>
      </c>
      <c r="DU45" s="228">
        <v>439.75</v>
      </c>
      <c r="DV45" s="228">
        <v>0.57999999999999996</v>
      </c>
      <c r="DW45" s="228">
        <v>0.53</v>
      </c>
      <c r="DX45" s="228">
        <v>0.05</v>
      </c>
      <c r="DY45" s="229">
        <v>9.4299999999999995E-2</v>
      </c>
      <c r="DZ45" s="229">
        <v>0.32329999999999998</v>
      </c>
      <c r="EA45" s="230">
        <v>6380100</v>
      </c>
      <c r="EB45" s="229">
        <v>6.3E-3</v>
      </c>
      <c r="EC45" s="229">
        <v>0.32329999999999998</v>
      </c>
      <c r="ED45" s="228">
        <v>2.4500000000000002</v>
      </c>
      <c r="EE45" s="229">
        <v>6.4000000000000003E-3</v>
      </c>
      <c r="EF45" s="230">
        <v>2328161</v>
      </c>
      <c r="EG45" s="230">
        <v>3817003</v>
      </c>
      <c r="EH45" s="229">
        <v>-0.3901</v>
      </c>
      <c r="EI45" s="229">
        <v>0.55669999999999997</v>
      </c>
      <c r="EJ45" s="231">
        <v>55370.92</v>
      </c>
      <c r="EK45" s="231">
        <v>31835.5</v>
      </c>
      <c r="EL45" s="231">
        <v>117808.82</v>
      </c>
      <c r="EM45" s="231">
        <v>4045</v>
      </c>
      <c r="EN45" s="231">
        <v>205015.24</v>
      </c>
      <c r="EO45" s="231">
        <v>158841.88</v>
      </c>
      <c r="EP45" s="231">
        <v>46173.36</v>
      </c>
      <c r="EQ45" s="229">
        <v>0.29070000000000001</v>
      </c>
      <c r="ER45" s="231">
        <v>109827</v>
      </c>
      <c r="ES45" s="231">
        <v>83905</v>
      </c>
      <c r="ET45" s="231">
        <v>230299</v>
      </c>
      <c r="EU45" s="231">
        <v>227199238</v>
      </c>
      <c r="EV45" s="231">
        <v>424031</v>
      </c>
      <c r="EW45" s="231">
        <v>426236</v>
      </c>
      <c r="EX45" s="231">
        <v>-2205</v>
      </c>
      <c r="EY45" s="229">
        <v>-5.1999999999999998E-3</v>
      </c>
      <c r="EZ45" s="229">
        <v>0.48520000000000002</v>
      </c>
      <c r="FA45" s="227" t="s">
        <v>555</v>
      </c>
      <c r="FB45" s="161">
        <f t="shared" si="0"/>
        <v>19525050</v>
      </c>
    </row>
    <row r="46" spans="1:158" ht="17.25" hidden="1" thickBot="1" x14ac:dyDescent="0.3">
      <c r="A46" s="226">
        <v>45981</v>
      </c>
      <c r="B46" s="227" t="s">
        <v>221</v>
      </c>
      <c r="C46" s="227" t="s">
        <v>470</v>
      </c>
      <c r="D46" s="228">
        <v>375</v>
      </c>
      <c r="E46" s="231">
        <v>1849.6</v>
      </c>
      <c r="F46" s="231">
        <v>1861.1</v>
      </c>
      <c r="G46" s="228">
        <v>-11.5</v>
      </c>
      <c r="H46" s="229">
        <v>-6.1999999999999998E-3</v>
      </c>
      <c r="I46" s="231">
        <v>1846.1</v>
      </c>
      <c r="J46" s="231">
        <v>1858.2</v>
      </c>
      <c r="K46" s="228">
        <v>-12.1</v>
      </c>
      <c r="L46" s="229">
        <v>-6.4999999999999997E-3</v>
      </c>
      <c r="M46" s="231">
        <v>1849.6</v>
      </c>
      <c r="N46" s="231">
        <v>1861.1</v>
      </c>
      <c r="O46" s="228">
        <v>-11.5</v>
      </c>
      <c r="P46" s="229">
        <v>-6.1999999999999998E-3</v>
      </c>
      <c r="Q46" s="231">
        <v>1860.8</v>
      </c>
      <c r="R46" s="231">
        <v>1865.1</v>
      </c>
      <c r="S46" s="228">
        <v>-4.3</v>
      </c>
      <c r="T46" s="229">
        <v>-2.3E-3</v>
      </c>
      <c r="U46" s="231">
        <v>1864.7</v>
      </c>
      <c r="V46" s="231">
        <v>1871.2</v>
      </c>
      <c r="W46" s="228">
        <v>-6.5</v>
      </c>
      <c r="X46" s="229">
        <v>-3.5000000000000001E-3</v>
      </c>
      <c r="Y46" s="228">
        <v>3.5</v>
      </c>
      <c r="Z46" s="228">
        <v>2.9</v>
      </c>
      <c r="AA46" s="228">
        <v>0.6</v>
      </c>
      <c r="AB46" s="229">
        <v>1.9E-3</v>
      </c>
      <c r="AC46" s="228">
        <v>3.5</v>
      </c>
      <c r="AD46" s="228">
        <v>2.9</v>
      </c>
      <c r="AE46" s="228">
        <v>0.6</v>
      </c>
      <c r="AF46" s="229">
        <v>1.9E-3</v>
      </c>
      <c r="AG46" s="228">
        <v>14.7</v>
      </c>
      <c r="AH46" s="228">
        <v>6.9</v>
      </c>
      <c r="AI46" s="228">
        <v>7.8</v>
      </c>
      <c r="AJ46" s="229">
        <v>8.0000000000000002E-3</v>
      </c>
      <c r="AK46" s="228">
        <v>18.600000000000001</v>
      </c>
      <c r="AL46" s="228">
        <v>13</v>
      </c>
      <c r="AM46" s="228">
        <v>5.6</v>
      </c>
      <c r="AN46" s="229">
        <v>1.01E-2</v>
      </c>
      <c r="AO46" s="231">
        <v>1860.18</v>
      </c>
      <c r="AP46" s="231">
        <v>1870.26</v>
      </c>
      <c r="AQ46" s="228">
        <v>0</v>
      </c>
      <c r="AR46" s="230">
        <v>8948625</v>
      </c>
      <c r="AS46" s="230">
        <v>4627875</v>
      </c>
      <c r="AT46" s="230">
        <v>4320750</v>
      </c>
      <c r="AU46" s="229">
        <v>0.93359999999999999</v>
      </c>
      <c r="AV46" s="230">
        <v>4855500</v>
      </c>
      <c r="AW46" s="230">
        <v>3461625</v>
      </c>
      <c r="AX46" s="230">
        <v>1393875</v>
      </c>
      <c r="AY46" s="229">
        <v>0.4027</v>
      </c>
      <c r="AZ46" s="230">
        <v>4062375</v>
      </c>
      <c r="BA46" s="230">
        <v>1087500</v>
      </c>
      <c r="BB46" s="230">
        <v>2974875</v>
      </c>
      <c r="BC46" s="229">
        <v>2.7355</v>
      </c>
      <c r="BD46" s="230">
        <v>30750</v>
      </c>
      <c r="BE46" s="230">
        <v>78750</v>
      </c>
      <c r="BF46" s="230">
        <v>-48000</v>
      </c>
      <c r="BG46" s="229">
        <v>-0.60950000000000004</v>
      </c>
      <c r="BH46" s="230">
        <v>21709125</v>
      </c>
      <c r="BI46" s="230">
        <v>30714375</v>
      </c>
      <c r="BJ46" s="230">
        <v>-9005250</v>
      </c>
      <c r="BK46" s="229">
        <v>-0.29320000000000002</v>
      </c>
      <c r="BL46" s="230">
        <v>8068875</v>
      </c>
      <c r="BM46" s="230">
        <v>9627375</v>
      </c>
      <c r="BN46" s="230">
        <v>-1558500</v>
      </c>
      <c r="BO46" s="229">
        <v>-0.16189999999999999</v>
      </c>
      <c r="BP46" s="230">
        <v>38726625</v>
      </c>
      <c r="BQ46" s="230">
        <v>44969625</v>
      </c>
      <c r="BR46" s="230">
        <v>-6243000</v>
      </c>
      <c r="BS46" s="229">
        <v>-0.13880000000000001</v>
      </c>
      <c r="BT46" s="230">
        <v>1800585</v>
      </c>
      <c r="BU46" s="230">
        <v>2378669</v>
      </c>
      <c r="BV46" s="230">
        <v>-578084</v>
      </c>
      <c r="BW46" s="229">
        <v>-0.24299999999999999</v>
      </c>
      <c r="BX46" s="230">
        <v>13020375</v>
      </c>
      <c r="BY46" s="230">
        <v>13354125</v>
      </c>
      <c r="BZ46" s="230">
        <v>-333750</v>
      </c>
      <c r="CA46" s="229">
        <v>-2.5000000000000001E-2</v>
      </c>
      <c r="CB46" s="230">
        <v>9346500</v>
      </c>
      <c r="CC46" s="230">
        <v>12401625</v>
      </c>
      <c r="CD46" s="230">
        <v>-3055125</v>
      </c>
      <c r="CE46" s="229">
        <v>-0.24629999999999999</v>
      </c>
      <c r="CF46" s="230">
        <v>3606750</v>
      </c>
      <c r="CG46" s="230">
        <v>889500</v>
      </c>
      <c r="CH46" s="230">
        <v>2717250</v>
      </c>
      <c r="CI46" s="229">
        <v>3.0548000000000002</v>
      </c>
      <c r="CJ46" s="230">
        <v>67125</v>
      </c>
      <c r="CK46" s="230">
        <v>63000</v>
      </c>
      <c r="CL46" s="230">
        <v>4125</v>
      </c>
      <c r="CM46" s="229">
        <v>6.5500000000000003E-2</v>
      </c>
      <c r="CN46" s="230">
        <v>5773500</v>
      </c>
      <c r="CO46" s="230">
        <v>5690250</v>
      </c>
      <c r="CP46" s="230">
        <v>83250</v>
      </c>
      <c r="CQ46" s="229">
        <v>1.46E-2</v>
      </c>
      <c r="CR46" s="230">
        <v>2863125</v>
      </c>
      <c r="CS46" s="230">
        <v>3157125</v>
      </c>
      <c r="CT46" s="230">
        <v>-294000</v>
      </c>
      <c r="CU46" s="229">
        <v>-9.3100000000000002E-2</v>
      </c>
      <c r="CV46" s="230">
        <v>21657000</v>
      </c>
      <c r="CW46" s="230">
        <v>22201500</v>
      </c>
      <c r="CX46" s="230">
        <v>-544500</v>
      </c>
      <c r="CY46" s="229">
        <v>-2.4500000000000001E-2</v>
      </c>
      <c r="CZ46" s="228">
        <v>27.61</v>
      </c>
      <c r="DA46" s="228">
        <v>27.9</v>
      </c>
      <c r="DB46" s="228">
        <v>-0.28999999999999998</v>
      </c>
      <c r="DC46" s="228">
        <v>-0.28999999999999998</v>
      </c>
      <c r="DD46" s="228">
        <v>41.83</v>
      </c>
      <c r="DE46" s="228">
        <v>41.92</v>
      </c>
      <c r="DF46" s="228">
        <v>-14.22</v>
      </c>
      <c r="DG46" s="228">
        <v>-0.09</v>
      </c>
      <c r="DH46" s="228">
        <v>27.45</v>
      </c>
      <c r="DI46" s="228">
        <v>27.16</v>
      </c>
      <c r="DJ46" s="228">
        <v>0.28999999999999998</v>
      </c>
      <c r="DK46" s="228">
        <v>0.28999999999999998</v>
      </c>
      <c r="DL46" s="228">
        <v>28.05</v>
      </c>
      <c r="DM46" s="228">
        <v>30.26</v>
      </c>
      <c r="DN46" s="228">
        <v>-2.21</v>
      </c>
      <c r="DO46" s="228">
        <v>-2.21</v>
      </c>
      <c r="DP46" s="228">
        <v>0.5</v>
      </c>
      <c r="DQ46" s="228">
        <v>0.55000000000000004</v>
      </c>
      <c r="DR46" s="228">
        <v>-0.05</v>
      </c>
      <c r="DS46" s="229">
        <v>-9.0899999999999995E-2</v>
      </c>
      <c r="DT46" s="231">
        <v>1900</v>
      </c>
      <c r="DU46" s="231">
        <v>1800</v>
      </c>
      <c r="DV46" s="228">
        <v>0.37</v>
      </c>
      <c r="DW46" s="228">
        <v>0.31</v>
      </c>
      <c r="DX46" s="228">
        <v>0.06</v>
      </c>
      <c r="DY46" s="229">
        <v>0.19350000000000001</v>
      </c>
      <c r="DZ46" s="229">
        <v>0.28220000000000001</v>
      </c>
      <c r="EA46" s="230">
        <v>952500</v>
      </c>
      <c r="EB46" s="229">
        <v>6.1000000000000004E-3</v>
      </c>
      <c r="EC46" s="229">
        <v>0.28220000000000001</v>
      </c>
      <c r="ED46" s="228">
        <v>10.08</v>
      </c>
      <c r="EE46" s="229">
        <v>5.4000000000000003E-3</v>
      </c>
      <c r="EF46" s="230">
        <v>770925</v>
      </c>
      <c r="EG46" s="230">
        <v>1085490</v>
      </c>
      <c r="EH46" s="229">
        <v>-0.2898</v>
      </c>
      <c r="EI46" s="229">
        <v>0.42820000000000003</v>
      </c>
      <c r="EJ46" s="231">
        <v>415388.61</v>
      </c>
      <c r="EK46" s="231">
        <v>148848.18</v>
      </c>
      <c r="EL46" s="231">
        <v>166875.29999999999</v>
      </c>
      <c r="EM46" s="231">
        <v>5994</v>
      </c>
      <c r="EN46" s="231">
        <v>731112.09</v>
      </c>
      <c r="EO46" s="231">
        <v>837218.3</v>
      </c>
      <c r="EP46" s="231">
        <v>-106106.21</v>
      </c>
      <c r="EQ46" s="229">
        <v>-0.12670000000000001</v>
      </c>
      <c r="ER46" s="231">
        <v>109426</v>
      </c>
      <c r="ES46" s="231">
        <v>50219</v>
      </c>
      <c r="ET46" s="231">
        <v>241239</v>
      </c>
      <c r="EU46" s="231">
        <v>50163899</v>
      </c>
      <c r="EV46" s="231">
        <v>400885</v>
      </c>
      <c r="EW46" s="231">
        <v>410921</v>
      </c>
      <c r="EX46" s="231">
        <v>-10036</v>
      </c>
      <c r="EY46" s="229">
        <v>-2.4400000000000002E-2</v>
      </c>
      <c r="EZ46" s="229">
        <v>0.43169999999999997</v>
      </c>
      <c r="FA46" s="227" t="s">
        <v>568</v>
      </c>
      <c r="FB46" s="161">
        <f t="shared" si="0"/>
        <v>3673875</v>
      </c>
    </row>
    <row r="47" spans="1:158" ht="17.25" hidden="1" thickBot="1" x14ac:dyDescent="0.3">
      <c r="A47" s="226">
        <v>45981</v>
      </c>
      <c r="B47" s="227" t="s">
        <v>168</v>
      </c>
      <c r="C47" s="227" t="s">
        <v>201</v>
      </c>
      <c r="D47" s="228">
        <v>225</v>
      </c>
      <c r="E47" s="231">
        <v>2185.1</v>
      </c>
      <c r="F47" s="231">
        <v>2182.6999999999998</v>
      </c>
      <c r="G47" s="228">
        <v>2.4</v>
      </c>
      <c r="H47" s="229">
        <v>1.1000000000000001E-3</v>
      </c>
      <c r="I47" s="231">
        <v>2179.6999999999998</v>
      </c>
      <c r="J47" s="231">
        <v>2183.4</v>
      </c>
      <c r="K47" s="228">
        <v>-3.7</v>
      </c>
      <c r="L47" s="229">
        <v>-1.6999999999999999E-3</v>
      </c>
      <c r="M47" s="231">
        <v>2185.1</v>
      </c>
      <c r="N47" s="231">
        <v>2182.6999999999998</v>
      </c>
      <c r="O47" s="228">
        <v>2.4</v>
      </c>
      <c r="P47" s="229">
        <v>1.1000000000000001E-3</v>
      </c>
      <c r="Q47" s="231">
        <v>2188.6</v>
      </c>
      <c r="R47" s="231">
        <v>2192.6999999999998</v>
      </c>
      <c r="S47" s="228">
        <v>-4.0999999999999996</v>
      </c>
      <c r="T47" s="229">
        <v>-1.9E-3</v>
      </c>
      <c r="U47" s="231">
        <v>2202.8000000000002</v>
      </c>
      <c r="V47" s="231">
        <v>2208</v>
      </c>
      <c r="W47" s="228">
        <v>-5.2</v>
      </c>
      <c r="X47" s="229">
        <v>-2.3999999999999998E-3</v>
      </c>
      <c r="Y47" s="228">
        <v>5.4</v>
      </c>
      <c r="Z47" s="228">
        <v>-0.7</v>
      </c>
      <c r="AA47" s="228">
        <v>6.1</v>
      </c>
      <c r="AB47" s="229">
        <v>2.5000000000000001E-3</v>
      </c>
      <c r="AC47" s="228">
        <v>5.4</v>
      </c>
      <c r="AD47" s="228">
        <v>-0.7</v>
      </c>
      <c r="AE47" s="228">
        <v>6.1</v>
      </c>
      <c r="AF47" s="229">
        <v>2.5000000000000001E-3</v>
      </c>
      <c r="AG47" s="228">
        <v>8.9</v>
      </c>
      <c r="AH47" s="228">
        <v>9.3000000000000007</v>
      </c>
      <c r="AI47" s="228">
        <v>-0.4</v>
      </c>
      <c r="AJ47" s="229">
        <v>4.1000000000000003E-3</v>
      </c>
      <c r="AK47" s="228">
        <v>23.1</v>
      </c>
      <c r="AL47" s="228">
        <v>24.6</v>
      </c>
      <c r="AM47" s="228">
        <v>-1.5</v>
      </c>
      <c r="AN47" s="229">
        <v>1.06E-2</v>
      </c>
      <c r="AO47" s="231">
        <v>2199.5500000000002</v>
      </c>
      <c r="AP47" s="231">
        <v>2205.4499999999998</v>
      </c>
      <c r="AQ47" s="228">
        <v>0</v>
      </c>
      <c r="AR47" s="230">
        <v>6608025</v>
      </c>
      <c r="AS47" s="230">
        <v>744975</v>
      </c>
      <c r="AT47" s="230">
        <v>5863050</v>
      </c>
      <c r="AU47" s="229">
        <v>7.8700999999999999</v>
      </c>
      <c r="AV47" s="230">
        <v>3359475</v>
      </c>
      <c r="AW47" s="230">
        <v>492075</v>
      </c>
      <c r="AX47" s="230">
        <v>2867400</v>
      </c>
      <c r="AY47" s="229">
        <v>5.8272000000000004</v>
      </c>
      <c r="AZ47" s="230">
        <v>3210750</v>
      </c>
      <c r="BA47" s="230">
        <v>243675</v>
      </c>
      <c r="BB47" s="230">
        <v>2967075</v>
      </c>
      <c r="BC47" s="229">
        <v>12.176399999999999</v>
      </c>
      <c r="BD47" s="230">
        <v>37800</v>
      </c>
      <c r="BE47" s="230">
        <v>9225</v>
      </c>
      <c r="BF47" s="230">
        <v>28575</v>
      </c>
      <c r="BG47" s="229">
        <v>3.0975999999999999</v>
      </c>
      <c r="BH47" s="230">
        <v>5558850</v>
      </c>
      <c r="BI47" s="230">
        <v>1577925</v>
      </c>
      <c r="BJ47" s="230">
        <v>3980925</v>
      </c>
      <c r="BK47" s="229">
        <v>2.5228999999999999</v>
      </c>
      <c r="BL47" s="230">
        <v>1495350</v>
      </c>
      <c r="BM47" s="230">
        <v>567675</v>
      </c>
      <c r="BN47" s="230">
        <v>927675</v>
      </c>
      <c r="BO47" s="229">
        <v>1.6342000000000001</v>
      </c>
      <c r="BP47" s="230">
        <v>13662225</v>
      </c>
      <c r="BQ47" s="230">
        <v>2890575</v>
      </c>
      <c r="BR47" s="230">
        <v>10771650</v>
      </c>
      <c r="BS47" s="229">
        <v>3.7265000000000001</v>
      </c>
      <c r="BT47" s="230">
        <v>393928</v>
      </c>
      <c r="BU47" s="230">
        <v>303383</v>
      </c>
      <c r="BV47" s="230">
        <v>90545</v>
      </c>
      <c r="BW47" s="229">
        <v>0.29849999999999999</v>
      </c>
      <c r="BX47" s="230">
        <v>6583050</v>
      </c>
      <c r="BY47" s="230">
        <v>7275825</v>
      </c>
      <c r="BZ47" s="230">
        <v>-692775</v>
      </c>
      <c r="CA47" s="229">
        <v>-9.5200000000000007E-2</v>
      </c>
      <c r="CB47" s="230">
        <v>3691125</v>
      </c>
      <c r="CC47" s="230">
        <v>6333300</v>
      </c>
      <c r="CD47" s="230">
        <v>-2642175</v>
      </c>
      <c r="CE47" s="229">
        <v>-0.41720000000000002</v>
      </c>
      <c r="CF47" s="230">
        <v>2805975</v>
      </c>
      <c r="CG47" s="230">
        <v>867600</v>
      </c>
      <c r="CH47" s="230">
        <v>1938375</v>
      </c>
      <c r="CI47" s="229">
        <v>2.2342</v>
      </c>
      <c r="CJ47" s="230">
        <v>85950</v>
      </c>
      <c r="CK47" s="230">
        <v>74925</v>
      </c>
      <c r="CL47" s="230">
        <v>11025</v>
      </c>
      <c r="CM47" s="229">
        <v>0.14710000000000001</v>
      </c>
      <c r="CN47" s="230">
        <v>2777625</v>
      </c>
      <c r="CO47" s="230">
        <v>2666700</v>
      </c>
      <c r="CP47" s="230">
        <v>110925</v>
      </c>
      <c r="CQ47" s="229">
        <v>4.1599999999999998E-2</v>
      </c>
      <c r="CR47" s="230">
        <v>1769850</v>
      </c>
      <c r="CS47" s="230">
        <v>1720350</v>
      </c>
      <c r="CT47" s="230">
        <v>49500</v>
      </c>
      <c r="CU47" s="229">
        <v>2.8799999999999999E-2</v>
      </c>
      <c r="CV47" s="230">
        <v>11130525</v>
      </c>
      <c r="CW47" s="230">
        <v>11662875</v>
      </c>
      <c r="CX47" s="230">
        <v>-532350</v>
      </c>
      <c r="CY47" s="229">
        <v>-4.5600000000000002E-2</v>
      </c>
      <c r="CZ47" s="228">
        <v>18.84</v>
      </c>
      <c r="DA47" s="228">
        <v>22.19</v>
      </c>
      <c r="DB47" s="228">
        <v>-3.35</v>
      </c>
      <c r="DC47" s="228">
        <v>-3.35</v>
      </c>
      <c r="DD47" s="228">
        <v>27.35</v>
      </c>
      <c r="DE47" s="228">
        <v>27.42</v>
      </c>
      <c r="DF47" s="228">
        <v>-8.51</v>
      </c>
      <c r="DG47" s="228">
        <v>-7.0000000000000007E-2</v>
      </c>
      <c r="DH47" s="228">
        <v>19.07</v>
      </c>
      <c r="DI47" s="228">
        <v>22.38</v>
      </c>
      <c r="DJ47" s="228">
        <v>-3.31</v>
      </c>
      <c r="DK47" s="228">
        <v>-3.31</v>
      </c>
      <c r="DL47" s="228">
        <v>17.97</v>
      </c>
      <c r="DM47" s="228">
        <v>21.65</v>
      </c>
      <c r="DN47" s="228">
        <v>-3.68</v>
      </c>
      <c r="DO47" s="228">
        <v>-3.68</v>
      </c>
      <c r="DP47" s="228">
        <v>0.64</v>
      </c>
      <c r="DQ47" s="228">
        <v>0.65</v>
      </c>
      <c r="DR47" s="228">
        <v>-0.01</v>
      </c>
      <c r="DS47" s="229">
        <v>-1.54E-2</v>
      </c>
      <c r="DT47" s="231">
        <v>2300</v>
      </c>
      <c r="DU47" s="231">
        <v>2200</v>
      </c>
      <c r="DV47" s="228">
        <v>0.27</v>
      </c>
      <c r="DW47" s="228">
        <v>0.36</v>
      </c>
      <c r="DX47" s="228">
        <v>-0.09</v>
      </c>
      <c r="DY47" s="229">
        <v>-0.25</v>
      </c>
      <c r="DZ47" s="229">
        <v>0.43930000000000002</v>
      </c>
      <c r="EA47" s="230">
        <v>942525</v>
      </c>
      <c r="EB47" s="229">
        <v>1.6000000000000001E-3</v>
      </c>
      <c r="EC47" s="229">
        <v>0.43930000000000002</v>
      </c>
      <c r="ED47" s="228">
        <v>5.9</v>
      </c>
      <c r="EE47" s="229">
        <v>2.7000000000000001E-3</v>
      </c>
      <c r="EF47" s="230">
        <v>204385</v>
      </c>
      <c r="EG47" s="230">
        <v>198698</v>
      </c>
      <c r="EH47" s="229">
        <v>2.86E-2</v>
      </c>
      <c r="EI47" s="229">
        <v>0.51880000000000004</v>
      </c>
      <c r="EJ47" s="231">
        <v>126123.11</v>
      </c>
      <c r="EK47" s="231">
        <v>32637.53</v>
      </c>
      <c r="EL47" s="231">
        <v>145543.85</v>
      </c>
      <c r="EM47" s="231">
        <v>3024</v>
      </c>
      <c r="EN47" s="231">
        <v>304304.49</v>
      </c>
      <c r="EO47" s="231">
        <v>64120</v>
      </c>
      <c r="EP47" s="231">
        <v>240184.49</v>
      </c>
      <c r="EQ47" s="229">
        <v>3.7458999999999998</v>
      </c>
      <c r="ER47" s="231">
        <v>63447</v>
      </c>
      <c r="ES47" s="231">
        <v>38737</v>
      </c>
      <c r="ET47" s="231">
        <v>143960</v>
      </c>
      <c r="EU47" s="231">
        <v>19990944</v>
      </c>
      <c r="EV47" s="231">
        <v>246143</v>
      </c>
      <c r="EW47" s="231">
        <v>257318</v>
      </c>
      <c r="EX47" s="231">
        <v>-11175</v>
      </c>
      <c r="EY47" s="229">
        <v>-4.3400000000000001E-2</v>
      </c>
      <c r="EZ47" s="229">
        <v>0.55679999999999996</v>
      </c>
      <c r="FA47" s="227" t="s">
        <v>556</v>
      </c>
      <c r="FB47" s="161">
        <f t="shared" si="0"/>
        <v>2891925</v>
      </c>
    </row>
    <row r="48" spans="1:158" ht="17.25" hidden="1" thickBot="1" x14ac:dyDescent="0.3">
      <c r="A48" s="226">
        <v>45981</v>
      </c>
      <c r="B48" s="227" t="s">
        <v>215</v>
      </c>
      <c r="C48" s="227" t="s">
        <v>202</v>
      </c>
      <c r="D48" s="228">
        <v>1250</v>
      </c>
      <c r="E48" s="228">
        <v>516</v>
      </c>
      <c r="F48" s="228">
        <v>515.9</v>
      </c>
      <c r="G48" s="228">
        <v>0.1</v>
      </c>
      <c r="H48" s="229">
        <v>2.0000000000000001E-4</v>
      </c>
      <c r="I48" s="228">
        <v>515.4</v>
      </c>
      <c r="J48" s="228">
        <v>517.54999999999995</v>
      </c>
      <c r="K48" s="228">
        <v>-2.15</v>
      </c>
      <c r="L48" s="229">
        <v>-4.1999999999999997E-3</v>
      </c>
      <c r="M48" s="228">
        <v>516</v>
      </c>
      <c r="N48" s="228">
        <v>515.9</v>
      </c>
      <c r="O48" s="228">
        <v>0.1</v>
      </c>
      <c r="P48" s="229">
        <v>2.0000000000000001E-4</v>
      </c>
      <c r="Q48" s="228">
        <v>519.35</v>
      </c>
      <c r="R48" s="228">
        <v>519.29999999999995</v>
      </c>
      <c r="S48" s="228">
        <v>0.05</v>
      </c>
      <c r="T48" s="229">
        <v>1E-4</v>
      </c>
      <c r="U48" s="228">
        <v>523.29999999999995</v>
      </c>
      <c r="V48" s="228">
        <v>522.45000000000005</v>
      </c>
      <c r="W48" s="228">
        <v>0.85</v>
      </c>
      <c r="X48" s="229">
        <v>1.6000000000000001E-3</v>
      </c>
      <c r="Y48" s="228">
        <v>0.6</v>
      </c>
      <c r="Z48" s="228">
        <v>-1.65</v>
      </c>
      <c r="AA48" s="228">
        <v>2.25</v>
      </c>
      <c r="AB48" s="229">
        <v>1.1999999999999999E-3</v>
      </c>
      <c r="AC48" s="228">
        <v>0.6</v>
      </c>
      <c r="AD48" s="228">
        <v>-1.65</v>
      </c>
      <c r="AE48" s="228">
        <v>2.25</v>
      </c>
      <c r="AF48" s="229">
        <v>1.1999999999999999E-3</v>
      </c>
      <c r="AG48" s="228">
        <v>3.95</v>
      </c>
      <c r="AH48" s="228">
        <v>1.75</v>
      </c>
      <c r="AI48" s="228">
        <v>2.2000000000000002</v>
      </c>
      <c r="AJ48" s="229">
        <v>7.7000000000000002E-3</v>
      </c>
      <c r="AK48" s="228">
        <v>7.9</v>
      </c>
      <c r="AL48" s="228">
        <v>4.9000000000000004</v>
      </c>
      <c r="AM48" s="228">
        <v>3</v>
      </c>
      <c r="AN48" s="229">
        <v>1.5299999999999999E-2</v>
      </c>
      <c r="AO48" s="228">
        <v>517.77</v>
      </c>
      <c r="AP48" s="228">
        <v>520.96</v>
      </c>
      <c r="AQ48" s="228">
        <v>0</v>
      </c>
      <c r="AR48" s="230">
        <v>20180000</v>
      </c>
      <c r="AS48" s="230">
        <v>7047500</v>
      </c>
      <c r="AT48" s="230">
        <v>13132500</v>
      </c>
      <c r="AU48" s="229">
        <v>1.8633999999999999</v>
      </c>
      <c r="AV48" s="230">
        <v>9556250</v>
      </c>
      <c r="AW48" s="230">
        <v>4023750</v>
      </c>
      <c r="AX48" s="230">
        <v>5532500</v>
      </c>
      <c r="AY48" s="229">
        <v>1.375</v>
      </c>
      <c r="AZ48" s="230">
        <v>10527500</v>
      </c>
      <c r="BA48" s="230">
        <v>2882500</v>
      </c>
      <c r="BB48" s="230">
        <v>7645000</v>
      </c>
      <c r="BC48" s="229">
        <v>2.6522000000000001</v>
      </c>
      <c r="BD48" s="230">
        <v>96250</v>
      </c>
      <c r="BE48" s="230">
        <v>141250</v>
      </c>
      <c r="BF48" s="230">
        <v>-45000</v>
      </c>
      <c r="BG48" s="229">
        <v>-0.31859999999999999</v>
      </c>
      <c r="BH48" s="230">
        <v>18167500</v>
      </c>
      <c r="BI48" s="230">
        <v>23957500</v>
      </c>
      <c r="BJ48" s="230">
        <v>-5790000</v>
      </c>
      <c r="BK48" s="229">
        <v>-0.2417</v>
      </c>
      <c r="BL48" s="230">
        <v>6835000</v>
      </c>
      <c r="BM48" s="230">
        <v>7688750</v>
      </c>
      <c r="BN48" s="230">
        <v>-853750</v>
      </c>
      <c r="BO48" s="229">
        <v>-0.111</v>
      </c>
      <c r="BP48" s="230">
        <v>45182500</v>
      </c>
      <c r="BQ48" s="230">
        <v>38693750</v>
      </c>
      <c r="BR48" s="230">
        <v>6488750</v>
      </c>
      <c r="BS48" s="229">
        <v>0.16769999999999999</v>
      </c>
      <c r="BT48" s="230">
        <v>3193578</v>
      </c>
      <c r="BU48" s="230">
        <v>1680598</v>
      </c>
      <c r="BV48" s="230">
        <v>1512980</v>
      </c>
      <c r="BW48" s="229">
        <v>0.90029999999999999</v>
      </c>
      <c r="BX48" s="230">
        <v>40592500</v>
      </c>
      <c r="BY48" s="230">
        <v>40558750</v>
      </c>
      <c r="BZ48" s="230">
        <v>33750</v>
      </c>
      <c r="CA48" s="229">
        <v>8.0000000000000004E-4</v>
      </c>
      <c r="CB48" s="230">
        <v>26681250</v>
      </c>
      <c r="CC48" s="230">
        <v>33030000</v>
      </c>
      <c r="CD48" s="230">
        <v>-6348750</v>
      </c>
      <c r="CE48" s="229">
        <v>-0.19220000000000001</v>
      </c>
      <c r="CF48" s="230">
        <v>13350000</v>
      </c>
      <c r="CG48" s="230">
        <v>6991250</v>
      </c>
      <c r="CH48" s="230">
        <v>6358750</v>
      </c>
      <c r="CI48" s="229">
        <v>0.90949999999999998</v>
      </c>
      <c r="CJ48" s="230">
        <v>561250</v>
      </c>
      <c r="CK48" s="230">
        <v>537500</v>
      </c>
      <c r="CL48" s="230">
        <v>23750</v>
      </c>
      <c r="CM48" s="229">
        <v>4.4200000000000003E-2</v>
      </c>
      <c r="CN48" s="230">
        <v>16496250</v>
      </c>
      <c r="CO48" s="230">
        <v>17936250</v>
      </c>
      <c r="CP48" s="230">
        <v>-1440000</v>
      </c>
      <c r="CQ48" s="229">
        <v>-8.0299999999999996E-2</v>
      </c>
      <c r="CR48" s="230">
        <v>10996250</v>
      </c>
      <c r="CS48" s="230">
        <v>10797500</v>
      </c>
      <c r="CT48" s="230">
        <v>198750</v>
      </c>
      <c r="CU48" s="229">
        <v>1.84E-2</v>
      </c>
      <c r="CV48" s="230">
        <v>68085000</v>
      </c>
      <c r="CW48" s="230">
        <v>69292500</v>
      </c>
      <c r="CX48" s="230">
        <v>-1207500</v>
      </c>
      <c r="CY48" s="229">
        <v>-1.7399999999999999E-2</v>
      </c>
      <c r="CZ48" s="228">
        <v>22.12</v>
      </c>
      <c r="DA48" s="228">
        <v>23.82</v>
      </c>
      <c r="DB48" s="228">
        <v>-1.7</v>
      </c>
      <c r="DC48" s="228">
        <v>-1.7</v>
      </c>
      <c r="DD48" s="228">
        <v>35.299999999999997</v>
      </c>
      <c r="DE48" s="228">
        <v>35.380000000000003</v>
      </c>
      <c r="DF48" s="228">
        <v>-13.18</v>
      </c>
      <c r="DG48" s="228">
        <v>-0.08</v>
      </c>
      <c r="DH48" s="228">
        <v>22.42</v>
      </c>
      <c r="DI48" s="228">
        <v>24.41</v>
      </c>
      <c r="DJ48" s="228">
        <v>-1.99</v>
      </c>
      <c r="DK48" s="228">
        <v>-1.99</v>
      </c>
      <c r="DL48" s="228">
        <v>21.74</v>
      </c>
      <c r="DM48" s="228">
        <v>21.97</v>
      </c>
      <c r="DN48" s="228">
        <v>-0.23</v>
      </c>
      <c r="DO48" s="228">
        <v>-0.23</v>
      </c>
      <c r="DP48" s="228">
        <v>0.67</v>
      </c>
      <c r="DQ48" s="228">
        <v>0.6</v>
      </c>
      <c r="DR48" s="228">
        <v>7.0000000000000007E-2</v>
      </c>
      <c r="DS48" s="229">
        <v>0.1167</v>
      </c>
      <c r="DT48" s="228">
        <v>550</v>
      </c>
      <c r="DU48" s="228">
        <v>520</v>
      </c>
      <c r="DV48" s="228">
        <v>0.38</v>
      </c>
      <c r="DW48" s="228">
        <v>0.32</v>
      </c>
      <c r="DX48" s="228">
        <v>0.06</v>
      </c>
      <c r="DY48" s="229">
        <v>0.1875</v>
      </c>
      <c r="DZ48" s="229">
        <v>0.3427</v>
      </c>
      <c r="EA48" s="230">
        <v>7528750</v>
      </c>
      <c r="EB48" s="229">
        <v>6.4999999999999997E-3</v>
      </c>
      <c r="EC48" s="229">
        <v>0.3427</v>
      </c>
      <c r="ED48" s="228">
        <v>3.19</v>
      </c>
      <c r="EE48" s="229">
        <v>6.1999999999999998E-3</v>
      </c>
      <c r="EF48" s="230">
        <v>2410680</v>
      </c>
      <c r="EG48" s="230">
        <v>871964</v>
      </c>
      <c r="EH48" s="229">
        <v>1.7646999999999999</v>
      </c>
      <c r="EI48" s="229">
        <v>0.75490000000000002</v>
      </c>
      <c r="EJ48" s="231">
        <v>97846.98</v>
      </c>
      <c r="EK48" s="231">
        <v>36693.370000000003</v>
      </c>
      <c r="EL48" s="231">
        <v>104828.14</v>
      </c>
      <c r="EM48" s="231">
        <v>4867</v>
      </c>
      <c r="EN48" s="231">
        <v>239368.49</v>
      </c>
      <c r="EO48" s="231">
        <v>206319.62</v>
      </c>
      <c r="EP48" s="231">
        <v>33048.870000000003</v>
      </c>
      <c r="EQ48" s="229">
        <v>0.16020000000000001</v>
      </c>
      <c r="ER48" s="231">
        <v>90407</v>
      </c>
      <c r="ES48" s="231">
        <v>58086</v>
      </c>
      <c r="ET48" s="231">
        <v>209945</v>
      </c>
      <c r="EU48" s="231">
        <v>48077012</v>
      </c>
      <c r="EV48" s="231">
        <v>358438</v>
      </c>
      <c r="EW48" s="231">
        <v>364965</v>
      </c>
      <c r="EX48" s="231">
        <v>-6527</v>
      </c>
      <c r="EY48" s="229">
        <v>-1.7899999999999999E-2</v>
      </c>
      <c r="EZ48" s="229">
        <v>1.4161999999999999</v>
      </c>
      <c r="FA48" s="227" t="s">
        <v>555</v>
      </c>
      <c r="FB48" s="161">
        <f t="shared" si="0"/>
        <v>13911250</v>
      </c>
    </row>
    <row r="49" spans="1:158" ht="17.25" hidden="1" thickBot="1" x14ac:dyDescent="0.3">
      <c r="A49" s="226">
        <v>45981</v>
      </c>
      <c r="B49" s="227" t="s">
        <v>184</v>
      </c>
      <c r="C49" s="227" t="s">
        <v>523</v>
      </c>
      <c r="D49" s="228">
        <v>1800</v>
      </c>
      <c r="E49" s="228">
        <v>269.95</v>
      </c>
      <c r="F49" s="228">
        <v>274.2</v>
      </c>
      <c r="G49" s="228">
        <v>-4.25</v>
      </c>
      <c r="H49" s="229">
        <v>-1.55E-2</v>
      </c>
      <c r="I49" s="228">
        <v>270</v>
      </c>
      <c r="J49" s="228">
        <v>274.3</v>
      </c>
      <c r="K49" s="228">
        <v>-4.3</v>
      </c>
      <c r="L49" s="229">
        <v>-1.5699999999999999E-2</v>
      </c>
      <c r="M49" s="228">
        <v>269.95</v>
      </c>
      <c r="N49" s="228">
        <v>274.2</v>
      </c>
      <c r="O49" s="228">
        <v>-4.25</v>
      </c>
      <c r="P49" s="229">
        <v>-1.55E-2</v>
      </c>
      <c r="Q49" s="228">
        <v>271.8</v>
      </c>
      <c r="R49" s="228">
        <v>276.10000000000002</v>
      </c>
      <c r="S49" s="228">
        <v>-4.3</v>
      </c>
      <c r="T49" s="229">
        <v>-1.5599999999999999E-2</v>
      </c>
      <c r="U49" s="228">
        <v>273.5</v>
      </c>
      <c r="V49" s="228">
        <v>277.45</v>
      </c>
      <c r="W49" s="228">
        <v>-3.95</v>
      </c>
      <c r="X49" s="229">
        <v>-1.4200000000000001E-2</v>
      </c>
      <c r="Y49" s="228">
        <v>-0.05</v>
      </c>
      <c r="Z49" s="228">
        <v>-0.1</v>
      </c>
      <c r="AA49" s="228">
        <v>0.05</v>
      </c>
      <c r="AB49" s="229">
        <v>-2.0000000000000001E-4</v>
      </c>
      <c r="AC49" s="228">
        <v>-0.05</v>
      </c>
      <c r="AD49" s="228">
        <v>-0.1</v>
      </c>
      <c r="AE49" s="228">
        <v>0.05</v>
      </c>
      <c r="AF49" s="229">
        <v>-2.0000000000000001E-4</v>
      </c>
      <c r="AG49" s="228">
        <v>1.8</v>
      </c>
      <c r="AH49" s="228">
        <v>1.8</v>
      </c>
      <c r="AI49" s="228">
        <v>0</v>
      </c>
      <c r="AJ49" s="229">
        <v>6.7000000000000002E-3</v>
      </c>
      <c r="AK49" s="228">
        <v>3.5</v>
      </c>
      <c r="AL49" s="228">
        <v>3.15</v>
      </c>
      <c r="AM49" s="228">
        <v>0.35</v>
      </c>
      <c r="AN49" s="229">
        <v>1.2999999999999999E-2</v>
      </c>
      <c r="AO49" s="228">
        <v>272.11</v>
      </c>
      <c r="AP49" s="228">
        <v>273.95999999999998</v>
      </c>
      <c r="AQ49" s="228">
        <v>0</v>
      </c>
      <c r="AR49" s="230">
        <v>21420000</v>
      </c>
      <c r="AS49" s="230">
        <v>5344200</v>
      </c>
      <c r="AT49" s="230">
        <v>16075800</v>
      </c>
      <c r="AU49" s="229">
        <v>3.0081000000000002</v>
      </c>
      <c r="AV49" s="230">
        <v>11050200</v>
      </c>
      <c r="AW49" s="230">
        <v>3193200</v>
      </c>
      <c r="AX49" s="230">
        <v>7857000</v>
      </c>
      <c r="AY49" s="229">
        <v>2.4605000000000001</v>
      </c>
      <c r="AZ49" s="230">
        <v>10171800</v>
      </c>
      <c r="BA49" s="230">
        <v>2012400</v>
      </c>
      <c r="BB49" s="230">
        <v>8159400</v>
      </c>
      <c r="BC49" s="229">
        <v>4.0545999999999998</v>
      </c>
      <c r="BD49" s="230">
        <v>198000</v>
      </c>
      <c r="BE49" s="230">
        <v>138600</v>
      </c>
      <c r="BF49" s="230">
        <v>59400</v>
      </c>
      <c r="BG49" s="229">
        <v>0.42859999999999998</v>
      </c>
      <c r="BH49" s="230">
        <v>18991800</v>
      </c>
      <c r="BI49" s="230">
        <v>15039000</v>
      </c>
      <c r="BJ49" s="230">
        <v>3952800</v>
      </c>
      <c r="BK49" s="229">
        <v>0.26279999999999998</v>
      </c>
      <c r="BL49" s="230">
        <v>5722200</v>
      </c>
      <c r="BM49" s="230">
        <v>3106800</v>
      </c>
      <c r="BN49" s="230">
        <v>2615400</v>
      </c>
      <c r="BO49" s="229">
        <v>0.84179999999999999</v>
      </c>
      <c r="BP49" s="230">
        <v>46134000</v>
      </c>
      <c r="BQ49" s="230">
        <v>23490000</v>
      </c>
      <c r="BR49" s="230">
        <v>22644000</v>
      </c>
      <c r="BS49" s="229">
        <v>0.96399999999999997</v>
      </c>
      <c r="BT49" s="230">
        <v>2431319</v>
      </c>
      <c r="BU49" s="230">
        <v>2803385</v>
      </c>
      <c r="BV49" s="230">
        <v>-372066</v>
      </c>
      <c r="BW49" s="229">
        <v>-0.13270000000000001</v>
      </c>
      <c r="BX49" s="230">
        <v>55544400</v>
      </c>
      <c r="BY49" s="230">
        <v>55870200</v>
      </c>
      <c r="BZ49" s="230">
        <v>-325800</v>
      </c>
      <c r="CA49" s="229">
        <v>-5.7999999999999996E-3</v>
      </c>
      <c r="CB49" s="230">
        <v>39785400</v>
      </c>
      <c r="CC49" s="230">
        <v>48574800</v>
      </c>
      <c r="CD49" s="230">
        <v>-8789400</v>
      </c>
      <c r="CE49" s="229">
        <v>-0.18090000000000001</v>
      </c>
      <c r="CF49" s="230">
        <v>14837400</v>
      </c>
      <c r="CG49" s="230">
        <v>6481800</v>
      </c>
      <c r="CH49" s="230">
        <v>8355600</v>
      </c>
      <c r="CI49" s="229">
        <v>1.2890999999999999</v>
      </c>
      <c r="CJ49" s="230">
        <v>921600</v>
      </c>
      <c r="CK49" s="230">
        <v>813600</v>
      </c>
      <c r="CL49" s="230">
        <v>108000</v>
      </c>
      <c r="CM49" s="229">
        <v>0.13270000000000001</v>
      </c>
      <c r="CN49" s="230">
        <v>27723600</v>
      </c>
      <c r="CO49" s="230">
        <v>28053000</v>
      </c>
      <c r="CP49" s="230">
        <v>-329400</v>
      </c>
      <c r="CQ49" s="229">
        <v>-1.17E-2</v>
      </c>
      <c r="CR49" s="230">
        <v>14088600</v>
      </c>
      <c r="CS49" s="230">
        <v>13651200</v>
      </c>
      <c r="CT49" s="230">
        <v>437400</v>
      </c>
      <c r="CU49" s="229">
        <v>3.2000000000000001E-2</v>
      </c>
      <c r="CV49" s="230">
        <v>97356600</v>
      </c>
      <c r="CW49" s="230">
        <v>97574400</v>
      </c>
      <c r="CX49" s="230">
        <v>-217800</v>
      </c>
      <c r="CY49" s="229">
        <v>-2.2000000000000001E-3</v>
      </c>
      <c r="CZ49" s="228">
        <v>25.8</v>
      </c>
      <c r="DA49" s="228">
        <v>29.43</v>
      </c>
      <c r="DB49" s="228">
        <v>-3.63</v>
      </c>
      <c r="DC49" s="228">
        <v>-3.63</v>
      </c>
      <c r="DD49" s="228">
        <v>31.47</v>
      </c>
      <c r="DE49" s="228">
        <v>31.48</v>
      </c>
      <c r="DF49" s="228">
        <v>-5.67</v>
      </c>
      <c r="DG49" s="228">
        <v>-0.01</v>
      </c>
      <c r="DH49" s="228">
        <v>26.13</v>
      </c>
      <c r="DI49" s="228">
        <v>30</v>
      </c>
      <c r="DJ49" s="228">
        <v>-3.87</v>
      </c>
      <c r="DK49" s="228">
        <v>-3.87</v>
      </c>
      <c r="DL49" s="228">
        <v>25.32</v>
      </c>
      <c r="DM49" s="228">
        <v>26.63</v>
      </c>
      <c r="DN49" s="228">
        <v>-1.31</v>
      </c>
      <c r="DO49" s="228">
        <v>-1.31</v>
      </c>
      <c r="DP49" s="228">
        <v>0.51</v>
      </c>
      <c r="DQ49" s="228">
        <v>0.49</v>
      </c>
      <c r="DR49" s="228">
        <v>0.02</v>
      </c>
      <c r="DS49" s="229">
        <v>4.0800000000000003E-2</v>
      </c>
      <c r="DT49" s="228">
        <v>300</v>
      </c>
      <c r="DU49" s="228">
        <v>300</v>
      </c>
      <c r="DV49" s="228">
        <v>0.3</v>
      </c>
      <c r="DW49" s="228">
        <v>0.21</v>
      </c>
      <c r="DX49" s="228">
        <v>0.09</v>
      </c>
      <c r="DY49" s="229">
        <v>0.42859999999999998</v>
      </c>
      <c r="DZ49" s="229">
        <v>0.28370000000000001</v>
      </c>
      <c r="EA49" s="230">
        <v>7295400</v>
      </c>
      <c r="EB49" s="229">
        <v>6.8999999999999999E-3</v>
      </c>
      <c r="EC49" s="229">
        <v>0.28370000000000001</v>
      </c>
      <c r="ED49" s="228">
        <v>1.85</v>
      </c>
      <c r="EE49" s="229">
        <v>6.7999999999999996E-3</v>
      </c>
      <c r="EF49" s="230">
        <v>1341035</v>
      </c>
      <c r="EG49" s="230">
        <v>1761167</v>
      </c>
      <c r="EH49" s="229">
        <v>-0.23860000000000001</v>
      </c>
      <c r="EI49" s="229">
        <v>0.55159999999999998</v>
      </c>
      <c r="EJ49" s="231">
        <v>54723.83</v>
      </c>
      <c r="EK49" s="231">
        <v>16274.52</v>
      </c>
      <c r="EL49" s="231">
        <v>58479.22</v>
      </c>
      <c r="EM49" s="231">
        <v>2973</v>
      </c>
      <c r="EN49" s="231">
        <v>129477.57</v>
      </c>
      <c r="EO49" s="231">
        <v>66998.62</v>
      </c>
      <c r="EP49" s="231">
        <v>62478.95</v>
      </c>
      <c r="EQ49" s="229">
        <v>0.9325</v>
      </c>
      <c r="ER49" s="231">
        <v>81599</v>
      </c>
      <c r="ES49" s="231">
        <v>39455</v>
      </c>
      <c r="ET49" s="231">
        <v>150249</v>
      </c>
      <c r="EU49" s="231">
        <v>81400589</v>
      </c>
      <c r="EV49" s="231">
        <v>271303</v>
      </c>
      <c r="EW49" s="231">
        <v>274606</v>
      </c>
      <c r="EX49" s="231">
        <v>-3303</v>
      </c>
      <c r="EY49" s="229">
        <v>-1.2E-2</v>
      </c>
      <c r="EZ49" s="229">
        <v>1.196</v>
      </c>
      <c r="FA49" s="227" t="s">
        <v>568</v>
      </c>
      <c r="FB49" s="161">
        <f t="shared" si="0"/>
        <v>15759000</v>
      </c>
    </row>
    <row r="50" spans="1:158" ht="17.25" hidden="1" thickBot="1" x14ac:dyDescent="0.3">
      <c r="A50" s="226">
        <v>45981</v>
      </c>
      <c r="B50" s="227" t="s">
        <v>184</v>
      </c>
      <c r="C50" s="227" t="s">
        <v>203</v>
      </c>
      <c r="D50" s="228">
        <v>200</v>
      </c>
      <c r="E50" s="231">
        <v>4380.6000000000004</v>
      </c>
      <c r="F50" s="231">
        <v>4264.8</v>
      </c>
      <c r="G50" s="228">
        <v>115.8</v>
      </c>
      <c r="H50" s="229">
        <v>2.7199999999999998E-2</v>
      </c>
      <c r="I50" s="231">
        <v>4375.7</v>
      </c>
      <c r="J50" s="231">
        <v>4261.3</v>
      </c>
      <c r="K50" s="228">
        <v>114.4</v>
      </c>
      <c r="L50" s="229">
        <v>2.6800000000000001E-2</v>
      </c>
      <c r="M50" s="231">
        <v>4380.6000000000004</v>
      </c>
      <c r="N50" s="231">
        <v>4264.8</v>
      </c>
      <c r="O50" s="228">
        <v>115.8</v>
      </c>
      <c r="P50" s="229">
        <v>2.7199999999999998E-2</v>
      </c>
      <c r="Q50" s="231">
        <v>4406.8</v>
      </c>
      <c r="R50" s="231">
        <v>4289.5</v>
      </c>
      <c r="S50" s="228">
        <v>117.3</v>
      </c>
      <c r="T50" s="229">
        <v>2.7300000000000001E-2</v>
      </c>
      <c r="U50" s="231">
        <v>4435.8999999999996</v>
      </c>
      <c r="V50" s="231">
        <v>4315.1000000000004</v>
      </c>
      <c r="W50" s="228">
        <v>120.8</v>
      </c>
      <c r="X50" s="229">
        <v>2.8000000000000001E-2</v>
      </c>
      <c r="Y50" s="228">
        <v>4.9000000000000004</v>
      </c>
      <c r="Z50" s="228">
        <v>3.5</v>
      </c>
      <c r="AA50" s="228">
        <v>1.4</v>
      </c>
      <c r="AB50" s="229">
        <v>1.1000000000000001E-3</v>
      </c>
      <c r="AC50" s="228">
        <v>4.9000000000000004</v>
      </c>
      <c r="AD50" s="228">
        <v>3.5</v>
      </c>
      <c r="AE50" s="228">
        <v>1.4</v>
      </c>
      <c r="AF50" s="229">
        <v>1.1000000000000001E-3</v>
      </c>
      <c r="AG50" s="228">
        <v>31.1</v>
      </c>
      <c r="AH50" s="228">
        <v>28.2</v>
      </c>
      <c r="AI50" s="228">
        <v>2.9</v>
      </c>
      <c r="AJ50" s="229">
        <v>7.1000000000000004E-3</v>
      </c>
      <c r="AK50" s="228">
        <v>60.2</v>
      </c>
      <c r="AL50" s="228">
        <v>53.8</v>
      </c>
      <c r="AM50" s="228">
        <v>6.4</v>
      </c>
      <c r="AN50" s="229">
        <v>1.38E-2</v>
      </c>
      <c r="AO50" s="231">
        <v>4360.6899999999996</v>
      </c>
      <c r="AP50" s="231">
        <v>4388.1899999999996</v>
      </c>
      <c r="AQ50" s="228">
        <v>0</v>
      </c>
      <c r="AR50" s="230">
        <v>2718000</v>
      </c>
      <c r="AS50" s="230">
        <v>950000</v>
      </c>
      <c r="AT50" s="230">
        <v>1768000</v>
      </c>
      <c r="AU50" s="229">
        <v>1.8611</v>
      </c>
      <c r="AV50" s="230">
        <v>1599200</v>
      </c>
      <c r="AW50" s="230">
        <v>607400</v>
      </c>
      <c r="AX50" s="230">
        <v>991800</v>
      </c>
      <c r="AY50" s="229">
        <v>1.6329</v>
      </c>
      <c r="AZ50" s="230">
        <v>1105000</v>
      </c>
      <c r="BA50" s="230">
        <v>334400</v>
      </c>
      <c r="BB50" s="230">
        <v>770600</v>
      </c>
      <c r="BC50" s="229">
        <v>2.3043999999999998</v>
      </c>
      <c r="BD50" s="230">
        <v>13800</v>
      </c>
      <c r="BE50" s="230">
        <v>8200</v>
      </c>
      <c r="BF50" s="230">
        <v>5600</v>
      </c>
      <c r="BG50" s="229">
        <v>0.68289999999999995</v>
      </c>
      <c r="BH50" s="230">
        <v>15071800</v>
      </c>
      <c r="BI50" s="230">
        <v>4465200</v>
      </c>
      <c r="BJ50" s="230">
        <v>10606600</v>
      </c>
      <c r="BK50" s="229">
        <v>2.3754</v>
      </c>
      <c r="BL50" s="230">
        <v>3743600</v>
      </c>
      <c r="BM50" s="230">
        <v>2235000</v>
      </c>
      <c r="BN50" s="230">
        <v>1508600</v>
      </c>
      <c r="BO50" s="229">
        <v>0.67500000000000004</v>
      </c>
      <c r="BP50" s="230">
        <v>21533400</v>
      </c>
      <c r="BQ50" s="230">
        <v>7650200</v>
      </c>
      <c r="BR50" s="230">
        <v>13883200</v>
      </c>
      <c r="BS50" s="229">
        <v>1.8147</v>
      </c>
      <c r="BT50" s="230">
        <v>952231</v>
      </c>
      <c r="BU50" s="230">
        <v>455086</v>
      </c>
      <c r="BV50" s="230">
        <v>497145</v>
      </c>
      <c r="BW50" s="229">
        <v>1.0924</v>
      </c>
      <c r="BX50" s="230">
        <v>3562400</v>
      </c>
      <c r="BY50" s="230">
        <v>3658400</v>
      </c>
      <c r="BZ50" s="230">
        <v>-96000</v>
      </c>
      <c r="CA50" s="229">
        <v>-2.6200000000000001E-2</v>
      </c>
      <c r="CB50" s="230">
        <v>2423200</v>
      </c>
      <c r="CC50" s="230">
        <v>3287400</v>
      </c>
      <c r="CD50" s="230">
        <v>-864200</v>
      </c>
      <c r="CE50" s="229">
        <v>-0.26290000000000002</v>
      </c>
      <c r="CF50" s="230">
        <v>1124000</v>
      </c>
      <c r="CG50" s="230">
        <v>360400</v>
      </c>
      <c r="CH50" s="230">
        <v>763600</v>
      </c>
      <c r="CI50" s="229">
        <v>2.1187999999999998</v>
      </c>
      <c r="CJ50" s="230">
        <v>15200</v>
      </c>
      <c r="CK50" s="230">
        <v>10600</v>
      </c>
      <c r="CL50" s="230">
        <v>4600</v>
      </c>
      <c r="CM50" s="229">
        <v>0.434</v>
      </c>
      <c r="CN50" s="230">
        <v>1485600</v>
      </c>
      <c r="CO50" s="230">
        <v>1337800</v>
      </c>
      <c r="CP50" s="230">
        <v>147800</v>
      </c>
      <c r="CQ50" s="229">
        <v>0.1105</v>
      </c>
      <c r="CR50" s="230">
        <v>908000</v>
      </c>
      <c r="CS50" s="230">
        <v>854400</v>
      </c>
      <c r="CT50" s="230">
        <v>53600</v>
      </c>
      <c r="CU50" s="229">
        <v>6.2700000000000006E-2</v>
      </c>
      <c r="CV50" s="230">
        <v>5956000</v>
      </c>
      <c r="CW50" s="230">
        <v>5850600</v>
      </c>
      <c r="CX50" s="230">
        <v>105400</v>
      </c>
      <c r="CY50" s="229">
        <v>1.7999999999999999E-2</v>
      </c>
      <c r="CZ50" s="228">
        <v>25.56</v>
      </c>
      <c r="DA50" s="228">
        <v>27.5</v>
      </c>
      <c r="DB50" s="228">
        <v>-1.94</v>
      </c>
      <c r="DC50" s="228">
        <v>-1.94</v>
      </c>
      <c r="DD50" s="228">
        <v>34.590000000000003</v>
      </c>
      <c r="DE50" s="228">
        <v>34.49</v>
      </c>
      <c r="DF50" s="228">
        <v>-9.0299999999999994</v>
      </c>
      <c r="DG50" s="228">
        <v>0.1</v>
      </c>
      <c r="DH50" s="228">
        <v>25.51</v>
      </c>
      <c r="DI50" s="228">
        <v>27.81</v>
      </c>
      <c r="DJ50" s="228">
        <v>-2.2999999999999998</v>
      </c>
      <c r="DK50" s="228">
        <v>-2.2999999999999998</v>
      </c>
      <c r="DL50" s="228">
        <v>25.78</v>
      </c>
      <c r="DM50" s="228">
        <v>26.87</v>
      </c>
      <c r="DN50" s="228">
        <v>-1.0900000000000001</v>
      </c>
      <c r="DO50" s="228">
        <v>-1.0900000000000001</v>
      </c>
      <c r="DP50" s="228">
        <v>0.61</v>
      </c>
      <c r="DQ50" s="228">
        <v>0.64</v>
      </c>
      <c r="DR50" s="228">
        <v>-0.03</v>
      </c>
      <c r="DS50" s="229">
        <v>-4.6899999999999997E-2</v>
      </c>
      <c r="DT50" s="231">
        <v>4400</v>
      </c>
      <c r="DU50" s="231">
        <v>4200</v>
      </c>
      <c r="DV50" s="228">
        <v>0.25</v>
      </c>
      <c r="DW50" s="228">
        <v>0.5</v>
      </c>
      <c r="DX50" s="228">
        <v>-0.25</v>
      </c>
      <c r="DY50" s="229">
        <v>-0.5</v>
      </c>
      <c r="DZ50" s="229">
        <v>0.31979999999999997</v>
      </c>
      <c r="EA50" s="230">
        <v>371000</v>
      </c>
      <c r="EB50" s="229">
        <v>6.0000000000000001E-3</v>
      </c>
      <c r="EC50" s="229">
        <v>0.31979999999999997</v>
      </c>
      <c r="ED50" s="228">
        <v>27.5</v>
      </c>
      <c r="EE50" s="229">
        <v>6.3E-3</v>
      </c>
      <c r="EF50" s="230">
        <v>484204</v>
      </c>
      <c r="EG50" s="230">
        <v>194975</v>
      </c>
      <c r="EH50" s="229">
        <v>1.4834000000000001</v>
      </c>
      <c r="EI50" s="229">
        <v>0.50849999999999995</v>
      </c>
      <c r="EJ50" s="231">
        <v>674895.57</v>
      </c>
      <c r="EK50" s="231">
        <v>160371.29</v>
      </c>
      <c r="EL50" s="231">
        <v>118835.61</v>
      </c>
      <c r="EM50" s="231">
        <v>3380</v>
      </c>
      <c r="EN50" s="231">
        <v>954102.47</v>
      </c>
      <c r="EO50" s="231">
        <v>331196.09000000003</v>
      </c>
      <c r="EP50" s="231">
        <v>622906.38</v>
      </c>
      <c r="EQ50" s="229">
        <v>1.8808</v>
      </c>
      <c r="ER50" s="231">
        <v>66657</v>
      </c>
      <c r="ES50" s="231">
        <v>37865</v>
      </c>
      <c r="ET50" s="231">
        <v>156357</v>
      </c>
      <c r="EU50" s="231">
        <v>20374200</v>
      </c>
      <c r="EV50" s="231">
        <v>260879</v>
      </c>
      <c r="EW50" s="231">
        <v>250977</v>
      </c>
      <c r="EX50" s="231">
        <v>9902</v>
      </c>
      <c r="EY50" s="229">
        <v>3.95E-2</v>
      </c>
      <c r="EZ50" s="229">
        <v>0.2923</v>
      </c>
      <c r="FA50" s="227" t="s">
        <v>556</v>
      </c>
      <c r="FB50" s="161">
        <f t="shared" si="0"/>
        <v>1139200</v>
      </c>
    </row>
    <row r="51" spans="1:158" ht="17.25" hidden="1" thickBot="1" x14ac:dyDescent="0.3">
      <c r="A51" s="226">
        <v>45981</v>
      </c>
      <c r="B51" s="227" t="s">
        <v>221</v>
      </c>
      <c r="C51" s="227" t="s">
        <v>572</v>
      </c>
      <c r="D51" s="228">
        <v>425</v>
      </c>
      <c r="E51" s="231">
        <v>1148</v>
      </c>
      <c r="F51" s="231">
        <v>1155</v>
      </c>
      <c r="G51" s="228">
        <v>-7</v>
      </c>
      <c r="H51" s="229">
        <v>-6.1000000000000004E-3</v>
      </c>
      <c r="I51" s="231">
        <v>1148.9000000000001</v>
      </c>
      <c r="J51" s="231">
        <v>1152.5999999999999</v>
      </c>
      <c r="K51" s="228">
        <v>-3.7</v>
      </c>
      <c r="L51" s="229">
        <v>-3.2000000000000002E-3</v>
      </c>
      <c r="M51" s="231">
        <v>1148</v>
      </c>
      <c r="N51" s="231">
        <v>1155</v>
      </c>
      <c r="O51" s="228">
        <v>-7</v>
      </c>
      <c r="P51" s="229">
        <v>-6.1000000000000004E-3</v>
      </c>
      <c r="Q51" s="231">
        <v>1155.8</v>
      </c>
      <c r="R51" s="231">
        <v>1162.9000000000001</v>
      </c>
      <c r="S51" s="228">
        <v>-7.1</v>
      </c>
      <c r="T51" s="229">
        <v>-6.1000000000000004E-3</v>
      </c>
      <c r="U51" s="228">
        <v>0</v>
      </c>
      <c r="V51" s="228">
        <v>0</v>
      </c>
      <c r="W51" s="228">
        <v>0</v>
      </c>
      <c r="X51" s="229">
        <v>0</v>
      </c>
      <c r="Y51" s="228">
        <v>-0.9</v>
      </c>
      <c r="Z51" s="228">
        <v>2.4</v>
      </c>
      <c r="AA51" s="228">
        <v>-3.3</v>
      </c>
      <c r="AB51" s="229">
        <v>-8.0000000000000004E-4</v>
      </c>
      <c r="AC51" s="228">
        <v>-0.9</v>
      </c>
      <c r="AD51" s="228">
        <v>2.4</v>
      </c>
      <c r="AE51" s="228">
        <v>-3.3</v>
      </c>
      <c r="AF51" s="229">
        <v>-8.0000000000000004E-4</v>
      </c>
      <c r="AG51" s="228">
        <v>6.9</v>
      </c>
      <c r="AH51" s="228">
        <v>10.3</v>
      </c>
      <c r="AI51" s="228">
        <v>-3.4</v>
      </c>
      <c r="AJ51" s="229">
        <v>6.0000000000000001E-3</v>
      </c>
      <c r="AK51" s="228">
        <v>0</v>
      </c>
      <c r="AL51" s="228">
        <v>0</v>
      </c>
      <c r="AM51" s="228">
        <v>0</v>
      </c>
      <c r="AN51" s="229">
        <v>0</v>
      </c>
      <c r="AO51" s="231">
        <v>1154.3900000000001</v>
      </c>
      <c r="AP51" s="231">
        <v>1162.3399999999999</v>
      </c>
      <c r="AQ51" s="228">
        <v>0</v>
      </c>
      <c r="AR51" s="230">
        <v>2434400</v>
      </c>
      <c r="AS51" s="230">
        <v>1182775</v>
      </c>
      <c r="AT51" s="230">
        <v>1251625</v>
      </c>
      <c r="AU51" s="229">
        <v>1.0582</v>
      </c>
      <c r="AV51" s="230">
        <v>1277550</v>
      </c>
      <c r="AW51" s="230">
        <v>829175</v>
      </c>
      <c r="AX51" s="230">
        <v>448375</v>
      </c>
      <c r="AY51" s="229">
        <v>0.54069999999999996</v>
      </c>
      <c r="AZ51" s="230">
        <v>1156850</v>
      </c>
      <c r="BA51" s="230">
        <v>353600</v>
      </c>
      <c r="BB51" s="230">
        <v>803250</v>
      </c>
      <c r="BC51" s="229">
        <v>2.2715999999999998</v>
      </c>
      <c r="BD51" s="228">
        <v>0</v>
      </c>
      <c r="BE51" s="228">
        <v>0</v>
      </c>
      <c r="BF51" s="228">
        <v>0</v>
      </c>
      <c r="BG51" s="229">
        <v>0</v>
      </c>
      <c r="BH51" s="230">
        <v>1450525</v>
      </c>
      <c r="BI51" s="230">
        <v>5960625</v>
      </c>
      <c r="BJ51" s="230">
        <v>-4510100</v>
      </c>
      <c r="BK51" s="229">
        <v>-0.75660000000000005</v>
      </c>
      <c r="BL51" s="230">
        <v>585225</v>
      </c>
      <c r="BM51" s="230">
        <v>1690650</v>
      </c>
      <c r="BN51" s="230">
        <v>-1105425</v>
      </c>
      <c r="BO51" s="229">
        <v>-0.65380000000000005</v>
      </c>
      <c r="BP51" s="230">
        <v>4470150</v>
      </c>
      <c r="BQ51" s="230">
        <v>8834050</v>
      </c>
      <c r="BR51" s="230">
        <v>-4363900</v>
      </c>
      <c r="BS51" s="229">
        <v>-0.49399999999999999</v>
      </c>
      <c r="BT51" s="230">
        <v>239009</v>
      </c>
      <c r="BU51" s="230">
        <v>373561</v>
      </c>
      <c r="BV51" s="230">
        <v>-134552</v>
      </c>
      <c r="BW51" s="229">
        <v>-0.36020000000000002</v>
      </c>
      <c r="BX51" s="230">
        <v>4508825</v>
      </c>
      <c r="BY51" s="230">
        <v>4587450</v>
      </c>
      <c r="BZ51" s="230">
        <v>-78625</v>
      </c>
      <c r="CA51" s="229">
        <v>-1.7100000000000001E-2</v>
      </c>
      <c r="CB51" s="230">
        <v>3048525</v>
      </c>
      <c r="CC51" s="230">
        <v>4039200</v>
      </c>
      <c r="CD51" s="230">
        <v>-990675</v>
      </c>
      <c r="CE51" s="229">
        <v>-0.24529999999999999</v>
      </c>
      <c r="CF51" s="230">
        <v>1460300</v>
      </c>
      <c r="CG51" s="230">
        <v>548250</v>
      </c>
      <c r="CH51" s="230">
        <v>912050</v>
      </c>
      <c r="CI51" s="229">
        <v>1.6636</v>
      </c>
      <c r="CJ51" s="228">
        <v>0</v>
      </c>
      <c r="CK51" s="228">
        <v>0</v>
      </c>
      <c r="CL51" s="228">
        <v>0</v>
      </c>
      <c r="CM51" s="229">
        <v>0</v>
      </c>
      <c r="CN51" s="230">
        <v>2456925</v>
      </c>
      <c r="CO51" s="230">
        <v>2538100</v>
      </c>
      <c r="CP51" s="230">
        <v>-81175</v>
      </c>
      <c r="CQ51" s="229">
        <v>-3.2000000000000001E-2</v>
      </c>
      <c r="CR51" s="230">
        <v>1418650</v>
      </c>
      <c r="CS51" s="230">
        <v>1518100</v>
      </c>
      <c r="CT51" s="230">
        <v>-99450</v>
      </c>
      <c r="CU51" s="229">
        <v>-6.5500000000000003E-2</v>
      </c>
      <c r="CV51" s="230">
        <v>8384400</v>
      </c>
      <c r="CW51" s="230">
        <v>8643650</v>
      </c>
      <c r="CX51" s="230">
        <v>-259250</v>
      </c>
      <c r="CY51" s="229">
        <v>-0.03</v>
      </c>
      <c r="CZ51" s="228">
        <v>28.49</v>
      </c>
      <c r="DA51" s="228">
        <v>30.08</v>
      </c>
      <c r="DB51" s="228">
        <v>-1.59</v>
      </c>
      <c r="DC51" s="228">
        <v>-1.59</v>
      </c>
      <c r="DD51" s="228">
        <v>43.07</v>
      </c>
      <c r="DE51" s="228">
        <v>43.17</v>
      </c>
      <c r="DF51" s="228">
        <v>-14.58</v>
      </c>
      <c r="DG51" s="228">
        <v>-0.1</v>
      </c>
      <c r="DH51" s="228">
        <v>28.53</v>
      </c>
      <c r="DI51" s="228">
        <v>30.16</v>
      </c>
      <c r="DJ51" s="228">
        <v>-1.63</v>
      </c>
      <c r="DK51" s="228">
        <v>-1.63</v>
      </c>
      <c r="DL51" s="228">
        <v>28.41</v>
      </c>
      <c r="DM51" s="228">
        <v>29.79</v>
      </c>
      <c r="DN51" s="228">
        <v>-1.38</v>
      </c>
      <c r="DO51" s="228">
        <v>-1.38</v>
      </c>
      <c r="DP51" s="228">
        <v>0.57999999999999996</v>
      </c>
      <c r="DQ51" s="228">
        <v>0.6</v>
      </c>
      <c r="DR51" s="228">
        <v>-0.02</v>
      </c>
      <c r="DS51" s="229">
        <v>-3.3300000000000003E-2</v>
      </c>
      <c r="DT51" s="231">
        <v>1200</v>
      </c>
      <c r="DU51" s="231">
        <v>1080</v>
      </c>
      <c r="DV51" s="228">
        <v>0.4</v>
      </c>
      <c r="DW51" s="228">
        <v>0.28000000000000003</v>
      </c>
      <c r="DX51" s="228">
        <v>0.12</v>
      </c>
      <c r="DY51" s="229">
        <v>0.42859999999999998</v>
      </c>
      <c r="DZ51" s="229">
        <v>0.32390000000000002</v>
      </c>
      <c r="EA51" s="230">
        <v>548250</v>
      </c>
      <c r="EB51" s="229">
        <v>6.7999999999999996E-3</v>
      </c>
      <c r="EC51" s="229">
        <v>0.32390000000000002</v>
      </c>
      <c r="ED51" s="228">
        <v>7.95</v>
      </c>
      <c r="EE51" s="229">
        <v>6.8999999999999999E-3</v>
      </c>
      <c r="EF51" s="230">
        <v>108458</v>
      </c>
      <c r="EG51" s="230">
        <v>135755</v>
      </c>
      <c r="EH51" s="229">
        <v>-0.2011</v>
      </c>
      <c r="EI51" s="229">
        <v>0.45379999999999998</v>
      </c>
      <c r="EJ51" s="231">
        <v>17404.53</v>
      </c>
      <c r="EK51" s="231">
        <v>6625.74</v>
      </c>
      <c r="EL51" s="231">
        <v>28194.54</v>
      </c>
      <c r="EM51" s="231">
        <v>1621</v>
      </c>
      <c r="EN51" s="231">
        <v>52224.81</v>
      </c>
      <c r="EO51" s="231">
        <v>103489.3</v>
      </c>
      <c r="EP51" s="231">
        <v>-51264.49</v>
      </c>
      <c r="EQ51" s="229">
        <v>-0.49540000000000001</v>
      </c>
      <c r="ER51" s="231">
        <v>29598</v>
      </c>
      <c r="ES51" s="231">
        <v>15888</v>
      </c>
      <c r="ET51" s="231">
        <v>51875</v>
      </c>
      <c r="EU51" s="231">
        <v>12039544</v>
      </c>
      <c r="EV51" s="231">
        <v>97361</v>
      </c>
      <c r="EW51" s="231">
        <v>100576</v>
      </c>
      <c r="EX51" s="231">
        <v>-3215</v>
      </c>
      <c r="EY51" s="229">
        <v>-3.2000000000000001E-2</v>
      </c>
      <c r="EZ51" s="229">
        <v>0.69640000000000002</v>
      </c>
      <c r="FA51" s="227" t="s">
        <v>568</v>
      </c>
      <c r="FB51" s="161">
        <f t="shared" si="0"/>
        <v>1460300</v>
      </c>
    </row>
    <row r="52" spans="1:158" ht="17.25" hidden="1" thickBot="1" x14ac:dyDescent="0.3">
      <c r="A52" s="226">
        <v>45981</v>
      </c>
      <c r="B52" s="227" t="s">
        <v>168</v>
      </c>
      <c r="C52" s="227" t="s">
        <v>204</v>
      </c>
      <c r="D52" s="228">
        <v>1250</v>
      </c>
      <c r="E52" s="228">
        <v>524.6</v>
      </c>
      <c r="F52" s="228">
        <v>518.25</v>
      </c>
      <c r="G52" s="228">
        <v>6.35</v>
      </c>
      <c r="H52" s="229">
        <v>1.23E-2</v>
      </c>
      <c r="I52" s="228">
        <v>525.04999999999995</v>
      </c>
      <c r="J52" s="228">
        <v>517.54999999999995</v>
      </c>
      <c r="K52" s="228">
        <v>7.5</v>
      </c>
      <c r="L52" s="229">
        <v>1.4500000000000001E-2</v>
      </c>
      <c r="M52" s="228">
        <v>524.6</v>
      </c>
      <c r="N52" s="228">
        <v>518.25</v>
      </c>
      <c r="O52" s="228">
        <v>6.35</v>
      </c>
      <c r="P52" s="229">
        <v>1.23E-2</v>
      </c>
      <c r="Q52" s="228">
        <v>526.79999999999995</v>
      </c>
      <c r="R52" s="228">
        <v>521.29999999999995</v>
      </c>
      <c r="S52" s="228">
        <v>5.5</v>
      </c>
      <c r="T52" s="229">
        <v>1.06E-2</v>
      </c>
      <c r="U52" s="228">
        <v>528.54999999999995</v>
      </c>
      <c r="V52" s="228">
        <v>524.79999999999995</v>
      </c>
      <c r="W52" s="228">
        <v>3.75</v>
      </c>
      <c r="X52" s="229">
        <v>7.1000000000000004E-3</v>
      </c>
      <c r="Y52" s="228">
        <v>-0.45</v>
      </c>
      <c r="Z52" s="228">
        <v>0.7</v>
      </c>
      <c r="AA52" s="228">
        <v>-1.1499999999999999</v>
      </c>
      <c r="AB52" s="229">
        <v>-8.9999999999999998E-4</v>
      </c>
      <c r="AC52" s="228">
        <v>-0.45</v>
      </c>
      <c r="AD52" s="228">
        <v>0.7</v>
      </c>
      <c r="AE52" s="228">
        <v>-1.1499999999999999</v>
      </c>
      <c r="AF52" s="229">
        <v>-8.9999999999999998E-4</v>
      </c>
      <c r="AG52" s="228">
        <v>1.75</v>
      </c>
      <c r="AH52" s="228">
        <v>3.75</v>
      </c>
      <c r="AI52" s="228">
        <v>-2</v>
      </c>
      <c r="AJ52" s="229">
        <v>3.3E-3</v>
      </c>
      <c r="AK52" s="228">
        <v>3.5</v>
      </c>
      <c r="AL52" s="228">
        <v>7.25</v>
      </c>
      <c r="AM52" s="228">
        <v>-3.75</v>
      </c>
      <c r="AN52" s="229">
        <v>6.7000000000000002E-3</v>
      </c>
      <c r="AO52" s="228">
        <v>522.64</v>
      </c>
      <c r="AP52" s="228">
        <v>525.15</v>
      </c>
      <c r="AQ52" s="228">
        <v>0</v>
      </c>
      <c r="AR52" s="230">
        <v>17682500</v>
      </c>
      <c r="AS52" s="230">
        <v>4307500</v>
      </c>
      <c r="AT52" s="230">
        <v>13375000</v>
      </c>
      <c r="AU52" s="229">
        <v>3.105</v>
      </c>
      <c r="AV52" s="230">
        <v>9785000</v>
      </c>
      <c r="AW52" s="230">
        <v>3640000</v>
      </c>
      <c r="AX52" s="230">
        <v>6145000</v>
      </c>
      <c r="AY52" s="229">
        <v>1.6881999999999999</v>
      </c>
      <c r="AZ52" s="230">
        <v>7818750</v>
      </c>
      <c r="BA52" s="230">
        <v>640000</v>
      </c>
      <c r="BB52" s="230">
        <v>7178750</v>
      </c>
      <c r="BC52" s="229">
        <v>11.216799999999999</v>
      </c>
      <c r="BD52" s="230">
        <v>78750</v>
      </c>
      <c r="BE52" s="230">
        <v>27500</v>
      </c>
      <c r="BF52" s="230">
        <v>51250</v>
      </c>
      <c r="BG52" s="229">
        <v>1.8635999999999999</v>
      </c>
      <c r="BH52" s="230">
        <v>17453750</v>
      </c>
      <c r="BI52" s="230">
        <v>16672500</v>
      </c>
      <c r="BJ52" s="230">
        <v>781250</v>
      </c>
      <c r="BK52" s="229">
        <v>4.6899999999999997E-2</v>
      </c>
      <c r="BL52" s="230">
        <v>9257500</v>
      </c>
      <c r="BM52" s="230">
        <v>8013750</v>
      </c>
      <c r="BN52" s="230">
        <v>1243750</v>
      </c>
      <c r="BO52" s="229">
        <v>0.1552</v>
      </c>
      <c r="BP52" s="230">
        <v>44393750</v>
      </c>
      <c r="BQ52" s="230">
        <v>28993750</v>
      </c>
      <c r="BR52" s="230">
        <v>15400000</v>
      </c>
      <c r="BS52" s="229">
        <v>0.53110000000000002</v>
      </c>
      <c r="BT52" s="230">
        <v>3167749</v>
      </c>
      <c r="BU52" s="230">
        <v>2535271</v>
      </c>
      <c r="BV52" s="230">
        <v>632478</v>
      </c>
      <c r="BW52" s="229">
        <v>0.2495</v>
      </c>
      <c r="BX52" s="230">
        <v>23118750</v>
      </c>
      <c r="BY52" s="230">
        <v>24441250</v>
      </c>
      <c r="BZ52" s="230">
        <v>-1322500</v>
      </c>
      <c r="CA52" s="229">
        <v>-5.4100000000000002E-2</v>
      </c>
      <c r="CB52" s="230">
        <v>15785000</v>
      </c>
      <c r="CC52" s="230">
        <v>23081250</v>
      </c>
      <c r="CD52" s="230">
        <v>-7296250</v>
      </c>
      <c r="CE52" s="229">
        <v>-0.31609999999999999</v>
      </c>
      <c r="CF52" s="230">
        <v>7197500</v>
      </c>
      <c r="CG52" s="230">
        <v>1228750</v>
      </c>
      <c r="CH52" s="230">
        <v>5968750</v>
      </c>
      <c r="CI52" s="229">
        <v>4.8575999999999997</v>
      </c>
      <c r="CJ52" s="230">
        <v>136250</v>
      </c>
      <c r="CK52" s="230">
        <v>131250</v>
      </c>
      <c r="CL52" s="230">
        <v>5000</v>
      </c>
      <c r="CM52" s="229">
        <v>3.8100000000000002E-2</v>
      </c>
      <c r="CN52" s="230">
        <v>17871250</v>
      </c>
      <c r="CO52" s="230">
        <v>19321250</v>
      </c>
      <c r="CP52" s="230">
        <v>-1450000</v>
      </c>
      <c r="CQ52" s="229">
        <v>-7.4999999999999997E-2</v>
      </c>
      <c r="CR52" s="230">
        <v>10581250</v>
      </c>
      <c r="CS52" s="230">
        <v>10685000</v>
      </c>
      <c r="CT52" s="230">
        <v>-103750</v>
      </c>
      <c r="CU52" s="229">
        <v>-9.7000000000000003E-3</v>
      </c>
      <c r="CV52" s="230">
        <v>51571250</v>
      </c>
      <c r="CW52" s="230">
        <v>54447500</v>
      </c>
      <c r="CX52" s="230">
        <v>-2876250</v>
      </c>
      <c r="CY52" s="229">
        <v>-5.28E-2</v>
      </c>
      <c r="CZ52" s="228">
        <v>20.89</v>
      </c>
      <c r="DA52" s="228">
        <v>23.74</v>
      </c>
      <c r="DB52" s="228">
        <v>-2.85</v>
      </c>
      <c r="DC52" s="228">
        <v>-2.85</v>
      </c>
      <c r="DD52" s="228">
        <v>25.44</v>
      </c>
      <c r="DE52" s="228">
        <v>25.43</v>
      </c>
      <c r="DF52" s="228">
        <v>-4.55</v>
      </c>
      <c r="DG52" s="228">
        <v>0.01</v>
      </c>
      <c r="DH52" s="228">
        <v>20.73</v>
      </c>
      <c r="DI52" s="228">
        <v>24.26</v>
      </c>
      <c r="DJ52" s="228">
        <v>-3.53</v>
      </c>
      <c r="DK52" s="228">
        <v>-3.53</v>
      </c>
      <c r="DL52" s="228">
        <v>21.19</v>
      </c>
      <c r="DM52" s="228">
        <v>22.68</v>
      </c>
      <c r="DN52" s="228">
        <v>-1.49</v>
      </c>
      <c r="DO52" s="228">
        <v>-1.49</v>
      </c>
      <c r="DP52" s="228">
        <v>0.59</v>
      </c>
      <c r="DQ52" s="228">
        <v>0.55000000000000004</v>
      </c>
      <c r="DR52" s="228">
        <v>0.04</v>
      </c>
      <c r="DS52" s="229">
        <v>7.2700000000000001E-2</v>
      </c>
      <c r="DT52" s="228">
        <v>550</v>
      </c>
      <c r="DU52" s="228">
        <v>500</v>
      </c>
      <c r="DV52" s="228">
        <v>0.53</v>
      </c>
      <c r="DW52" s="228">
        <v>0.48</v>
      </c>
      <c r="DX52" s="228">
        <v>0.05</v>
      </c>
      <c r="DY52" s="229">
        <v>0.1042</v>
      </c>
      <c r="DZ52" s="229">
        <v>0.31719999999999998</v>
      </c>
      <c r="EA52" s="230">
        <v>1360000</v>
      </c>
      <c r="EB52" s="229">
        <v>4.1999999999999997E-3</v>
      </c>
      <c r="EC52" s="229">
        <v>0.31719999999999998</v>
      </c>
      <c r="ED52" s="228">
        <v>2.5099999999999998</v>
      </c>
      <c r="EE52" s="229">
        <v>4.7999999999999996E-3</v>
      </c>
      <c r="EF52" s="230">
        <v>2134432</v>
      </c>
      <c r="EG52" s="230">
        <v>1698202</v>
      </c>
      <c r="EH52" s="229">
        <v>0.25690000000000002</v>
      </c>
      <c r="EI52" s="229">
        <v>0.67379999999999995</v>
      </c>
      <c r="EJ52" s="231">
        <v>93876.08</v>
      </c>
      <c r="EK52" s="231">
        <v>47244.800000000003</v>
      </c>
      <c r="EL52" s="231">
        <v>92617.07</v>
      </c>
      <c r="EM52" s="231">
        <v>3709</v>
      </c>
      <c r="EN52" s="231">
        <v>233737.95</v>
      </c>
      <c r="EO52" s="231">
        <v>153356.29</v>
      </c>
      <c r="EP52" s="231">
        <v>80381.66</v>
      </c>
      <c r="EQ52" s="229">
        <v>0.52410000000000001</v>
      </c>
      <c r="ER52" s="231">
        <v>96348</v>
      </c>
      <c r="ES52" s="231">
        <v>52505</v>
      </c>
      <c r="ET52" s="231">
        <v>121445</v>
      </c>
      <c r="EU52" s="231">
        <v>89873278</v>
      </c>
      <c r="EV52" s="231">
        <v>270298</v>
      </c>
      <c r="EW52" s="231">
        <v>283599</v>
      </c>
      <c r="EX52" s="231">
        <v>-13301</v>
      </c>
      <c r="EY52" s="229">
        <v>-4.6899999999999997E-2</v>
      </c>
      <c r="EZ52" s="229">
        <v>0.57379999999999998</v>
      </c>
      <c r="FA52" s="227" t="s">
        <v>556</v>
      </c>
      <c r="FB52" s="161">
        <f t="shared" si="0"/>
        <v>7333750</v>
      </c>
    </row>
    <row r="53" spans="1:158" ht="17.25" hidden="1" thickBot="1" x14ac:dyDescent="0.3">
      <c r="A53" s="226">
        <v>45981</v>
      </c>
      <c r="B53" s="227" t="s">
        <v>157</v>
      </c>
      <c r="C53" s="227" t="s">
        <v>524</v>
      </c>
      <c r="D53" s="228">
        <v>325</v>
      </c>
      <c r="E53" s="231">
        <v>2016.3</v>
      </c>
      <c r="F53" s="231">
        <v>2022.6</v>
      </c>
      <c r="G53" s="228">
        <v>-6.3</v>
      </c>
      <c r="H53" s="229">
        <v>-3.0999999999999999E-3</v>
      </c>
      <c r="I53" s="231">
        <v>2012.1</v>
      </c>
      <c r="J53" s="231">
        <v>2021.3</v>
      </c>
      <c r="K53" s="228">
        <v>-9.1999999999999993</v>
      </c>
      <c r="L53" s="229">
        <v>-4.5999999999999999E-3</v>
      </c>
      <c r="M53" s="231">
        <v>2016.3</v>
      </c>
      <c r="N53" s="231">
        <v>2022.6</v>
      </c>
      <c r="O53" s="228">
        <v>-6.3</v>
      </c>
      <c r="P53" s="229">
        <v>-3.0999999999999999E-3</v>
      </c>
      <c r="Q53" s="231">
        <v>2028.8</v>
      </c>
      <c r="R53" s="231">
        <v>2034.6</v>
      </c>
      <c r="S53" s="228">
        <v>-5.8</v>
      </c>
      <c r="T53" s="229">
        <v>-2.8999999999999998E-3</v>
      </c>
      <c r="U53" s="231">
        <v>2040</v>
      </c>
      <c r="V53" s="231">
        <v>2046.1</v>
      </c>
      <c r="W53" s="228">
        <v>-6.1</v>
      </c>
      <c r="X53" s="229">
        <v>-3.0000000000000001E-3</v>
      </c>
      <c r="Y53" s="228">
        <v>4.2</v>
      </c>
      <c r="Z53" s="228">
        <v>1.3</v>
      </c>
      <c r="AA53" s="228">
        <v>2.9</v>
      </c>
      <c r="AB53" s="229">
        <v>2.0999999999999999E-3</v>
      </c>
      <c r="AC53" s="228">
        <v>4.2</v>
      </c>
      <c r="AD53" s="228">
        <v>1.3</v>
      </c>
      <c r="AE53" s="228">
        <v>2.9</v>
      </c>
      <c r="AF53" s="229">
        <v>2.0999999999999999E-3</v>
      </c>
      <c r="AG53" s="228">
        <v>16.7</v>
      </c>
      <c r="AH53" s="228">
        <v>13.3</v>
      </c>
      <c r="AI53" s="228">
        <v>3.4</v>
      </c>
      <c r="AJ53" s="229">
        <v>8.3000000000000001E-3</v>
      </c>
      <c r="AK53" s="228">
        <v>27.9</v>
      </c>
      <c r="AL53" s="228">
        <v>24.8</v>
      </c>
      <c r="AM53" s="228">
        <v>3.1</v>
      </c>
      <c r="AN53" s="229">
        <v>1.3899999999999999E-2</v>
      </c>
      <c r="AO53" s="231">
        <v>2012.46</v>
      </c>
      <c r="AP53" s="231">
        <v>2024.66</v>
      </c>
      <c r="AQ53" s="228">
        <v>0</v>
      </c>
      <c r="AR53" s="230">
        <v>1082250</v>
      </c>
      <c r="AS53" s="230">
        <v>955175</v>
      </c>
      <c r="AT53" s="230">
        <v>127075</v>
      </c>
      <c r="AU53" s="229">
        <v>0.13300000000000001</v>
      </c>
      <c r="AV53" s="230">
        <v>572325</v>
      </c>
      <c r="AW53" s="230">
        <v>622050</v>
      </c>
      <c r="AX53" s="230">
        <v>-49725</v>
      </c>
      <c r="AY53" s="229">
        <v>-7.9899999999999999E-2</v>
      </c>
      <c r="AZ53" s="230">
        <v>507650</v>
      </c>
      <c r="BA53" s="230">
        <v>326300</v>
      </c>
      <c r="BB53" s="230">
        <v>181350</v>
      </c>
      <c r="BC53" s="229">
        <v>0.55579999999999996</v>
      </c>
      <c r="BD53" s="230">
        <v>2275</v>
      </c>
      <c r="BE53" s="230">
        <v>6825</v>
      </c>
      <c r="BF53" s="230">
        <v>-4550</v>
      </c>
      <c r="BG53" s="229">
        <v>-0.66669999999999996</v>
      </c>
      <c r="BH53" s="230">
        <v>715325</v>
      </c>
      <c r="BI53" s="230">
        <v>2406300</v>
      </c>
      <c r="BJ53" s="230">
        <v>-1690975</v>
      </c>
      <c r="BK53" s="229">
        <v>-0.70269999999999999</v>
      </c>
      <c r="BL53" s="230">
        <v>264550</v>
      </c>
      <c r="BM53" s="230">
        <v>1104675</v>
      </c>
      <c r="BN53" s="230">
        <v>-840125</v>
      </c>
      <c r="BO53" s="229">
        <v>-0.76049999999999995</v>
      </c>
      <c r="BP53" s="230">
        <v>2062125</v>
      </c>
      <c r="BQ53" s="230">
        <v>4466150</v>
      </c>
      <c r="BR53" s="230">
        <v>-2404025</v>
      </c>
      <c r="BS53" s="229">
        <v>-0.5383</v>
      </c>
      <c r="BT53" s="230">
        <v>215585</v>
      </c>
      <c r="BU53" s="230">
        <v>209997</v>
      </c>
      <c r="BV53" s="230">
        <v>5588</v>
      </c>
      <c r="BW53" s="229">
        <v>2.6599999999999999E-2</v>
      </c>
      <c r="BX53" s="230">
        <v>2775500</v>
      </c>
      <c r="BY53" s="230">
        <v>2757300</v>
      </c>
      <c r="BZ53" s="230">
        <v>18200</v>
      </c>
      <c r="CA53" s="229">
        <v>6.6E-3</v>
      </c>
      <c r="CB53" s="230">
        <v>1943825</v>
      </c>
      <c r="CC53" s="230">
        <v>2284100</v>
      </c>
      <c r="CD53" s="230">
        <v>-340275</v>
      </c>
      <c r="CE53" s="229">
        <v>-0.14899999999999999</v>
      </c>
      <c r="CF53" s="230">
        <v>818675</v>
      </c>
      <c r="CG53" s="230">
        <v>461500</v>
      </c>
      <c r="CH53" s="230">
        <v>357175</v>
      </c>
      <c r="CI53" s="229">
        <v>0.77390000000000003</v>
      </c>
      <c r="CJ53" s="230">
        <v>13000</v>
      </c>
      <c r="CK53" s="230">
        <v>11700</v>
      </c>
      <c r="CL53" s="230">
        <v>1300</v>
      </c>
      <c r="CM53" s="229">
        <v>0.1111</v>
      </c>
      <c r="CN53" s="230">
        <v>1287325</v>
      </c>
      <c r="CO53" s="230">
        <v>1417325</v>
      </c>
      <c r="CP53" s="230">
        <v>-130000</v>
      </c>
      <c r="CQ53" s="229">
        <v>-9.1700000000000004E-2</v>
      </c>
      <c r="CR53" s="230">
        <v>857675</v>
      </c>
      <c r="CS53" s="230">
        <v>918450</v>
      </c>
      <c r="CT53" s="230">
        <v>-60775</v>
      </c>
      <c r="CU53" s="229">
        <v>-6.6199999999999995E-2</v>
      </c>
      <c r="CV53" s="230">
        <v>4920500</v>
      </c>
      <c r="CW53" s="230">
        <v>5093075</v>
      </c>
      <c r="CX53" s="230">
        <v>-172575</v>
      </c>
      <c r="CY53" s="229">
        <v>-3.39E-2</v>
      </c>
      <c r="CZ53" s="228">
        <v>22.07</v>
      </c>
      <c r="DA53" s="228">
        <v>27.45</v>
      </c>
      <c r="DB53" s="228">
        <v>-5.38</v>
      </c>
      <c r="DC53" s="228">
        <v>-5.38</v>
      </c>
      <c r="DD53" s="228">
        <v>29.33</v>
      </c>
      <c r="DE53" s="228">
        <v>29.4</v>
      </c>
      <c r="DF53" s="228">
        <v>-7.26</v>
      </c>
      <c r="DG53" s="228">
        <v>-7.0000000000000007E-2</v>
      </c>
      <c r="DH53" s="228">
        <v>22.25</v>
      </c>
      <c r="DI53" s="228">
        <v>25.63</v>
      </c>
      <c r="DJ53" s="228">
        <v>-3.38</v>
      </c>
      <c r="DK53" s="228">
        <v>-3.38</v>
      </c>
      <c r="DL53" s="228">
        <v>21.8</v>
      </c>
      <c r="DM53" s="228">
        <v>31.42</v>
      </c>
      <c r="DN53" s="228">
        <v>-9.6199999999999992</v>
      </c>
      <c r="DO53" s="228">
        <v>-9.6199999999999992</v>
      </c>
      <c r="DP53" s="228">
        <v>0.67</v>
      </c>
      <c r="DQ53" s="228">
        <v>0.65</v>
      </c>
      <c r="DR53" s="228">
        <v>0.02</v>
      </c>
      <c r="DS53" s="229">
        <v>3.0800000000000001E-2</v>
      </c>
      <c r="DT53" s="231">
        <v>2300</v>
      </c>
      <c r="DU53" s="231">
        <v>2000</v>
      </c>
      <c r="DV53" s="228">
        <v>0.37</v>
      </c>
      <c r="DW53" s="228">
        <v>0.46</v>
      </c>
      <c r="DX53" s="228">
        <v>-0.09</v>
      </c>
      <c r="DY53" s="229">
        <v>-0.19570000000000001</v>
      </c>
      <c r="DZ53" s="229">
        <v>0.29959999999999998</v>
      </c>
      <c r="EA53" s="230">
        <v>473200</v>
      </c>
      <c r="EB53" s="229">
        <v>6.1999999999999998E-3</v>
      </c>
      <c r="EC53" s="229">
        <v>0.29959999999999998</v>
      </c>
      <c r="ED53" s="228">
        <v>12.2</v>
      </c>
      <c r="EE53" s="229">
        <v>6.1000000000000004E-3</v>
      </c>
      <c r="EF53" s="230">
        <v>164187</v>
      </c>
      <c r="EG53" s="230">
        <v>117499</v>
      </c>
      <c r="EH53" s="229">
        <v>0.39729999999999999</v>
      </c>
      <c r="EI53" s="229">
        <v>0.76160000000000005</v>
      </c>
      <c r="EJ53" s="231">
        <v>15113.63</v>
      </c>
      <c r="EK53" s="231">
        <v>5271.75</v>
      </c>
      <c r="EL53" s="231">
        <v>21842.29</v>
      </c>
      <c r="EM53" s="231">
        <v>1648</v>
      </c>
      <c r="EN53" s="231">
        <v>42227.67</v>
      </c>
      <c r="EO53" s="231">
        <v>91082.67</v>
      </c>
      <c r="EP53" s="231">
        <v>-48855</v>
      </c>
      <c r="EQ53" s="229">
        <v>-0.53639999999999999</v>
      </c>
      <c r="ER53" s="231">
        <v>27819</v>
      </c>
      <c r="ES53" s="231">
        <v>17016</v>
      </c>
      <c r="ET53" s="231">
        <v>56068</v>
      </c>
      <c r="EU53" s="231">
        <v>12425041</v>
      </c>
      <c r="EV53" s="231">
        <v>100902</v>
      </c>
      <c r="EW53" s="231">
        <v>104719</v>
      </c>
      <c r="EX53" s="231">
        <v>-3817</v>
      </c>
      <c r="EY53" s="229">
        <v>-3.6400000000000002E-2</v>
      </c>
      <c r="EZ53" s="229">
        <v>0.39600000000000002</v>
      </c>
      <c r="FA53" s="227" t="s">
        <v>567</v>
      </c>
      <c r="FB53" s="161">
        <f t="shared" si="0"/>
        <v>831675</v>
      </c>
    </row>
    <row r="54" spans="1:158" ht="17.25" hidden="1" thickBot="1" x14ac:dyDescent="0.3">
      <c r="A54" s="226">
        <v>45981</v>
      </c>
      <c r="B54" s="227" t="s">
        <v>615</v>
      </c>
      <c r="C54" s="227" t="s">
        <v>600</v>
      </c>
      <c r="D54" s="228">
        <v>2075</v>
      </c>
      <c r="E54" s="228">
        <v>426.7</v>
      </c>
      <c r="F54" s="228">
        <v>435.85</v>
      </c>
      <c r="G54" s="228">
        <v>-9.15</v>
      </c>
      <c r="H54" s="229">
        <v>-2.1000000000000001E-2</v>
      </c>
      <c r="I54" s="228">
        <v>426</v>
      </c>
      <c r="J54" s="228">
        <v>436</v>
      </c>
      <c r="K54" s="228">
        <v>-10</v>
      </c>
      <c r="L54" s="229">
        <v>-2.29E-2</v>
      </c>
      <c r="M54" s="228">
        <v>426.7</v>
      </c>
      <c r="N54" s="228">
        <v>435.85</v>
      </c>
      <c r="O54" s="228">
        <v>-9.15</v>
      </c>
      <c r="P54" s="229">
        <v>-2.1000000000000001E-2</v>
      </c>
      <c r="Q54" s="228">
        <v>429.35</v>
      </c>
      <c r="R54" s="228">
        <v>438.45</v>
      </c>
      <c r="S54" s="228">
        <v>-9.1</v>
      </c>
      <c r="T54" s="229">
        <v>-2.0799999999999999E-2</v>
      </c>
      <c r="U54" s="228">
        <v>432.1</v>
      </c>
      <c r="V54" s="228">
        <v>441.7</v>
      </c>
      <c r="W54" s="228">
        <v>-9.6</v>
      </c>
      <c r="X54" s="229">
        <v>-2.1700000000000001E-2</v>
      </c>
      <c r="Y54" s="228">
        <v>0.7</v>
      </c>
      <c r="Z54" s="228">
        <v>-0.15</v>
      </c>
      <c r="AA54" s="228">
        <v>0.85</v>
      </c>
      <c r="AB54" s="229">
        <v>1.6000000000000001E-3</v>
      </c>
      <c r="AC54" s="228">
        <v>0.7</v>
      </c>
      <c r="AD54" s="228">
        <v>-0.15</v>
      </c>
      <c r="AE54" s="228">
        <v>0.85</v>
      </c>
      <c r="AF54" s="229">
        <v>1.6000000000000001E-3</v>
      </c>
      <c r="AG54" s="228">
        <v>3.35</v>
      </c>
      <c r="AH54" s="228">
        <v>2.4500000000000002</v>
      </c>
      <c r="AI54" s="228">
        <v>0.9</v>
      </c>
      <c r="AJ54" s="229">
        <v>7.9000000000000008E-3</v>
      </c>
      <c r="AK54" s="228">
        <v>6.1</v>
      </c>
      <c r="AL54" s="228">
        <v>5.7</v>
      </c>
      <c r="AM54" s="228">
        <v>0.4</v>
      </c>
      <c r="AN54" s="229">
        <v>1.43E-2</v>
      </c>
      <c r="AO54" s="228">
        <v>430.31</v>
      </c>
      <c r="AP54" s="228">
        <v>433.04</v>
      </c>
      <c r="AQ54" s="228">
        <v>0</v>
      </c>
      <c r="AR54" s="230">
        <v>10482900</v>
      </c>
      <c r="AS54" s="230">
        <v>5044325</v>
      </c>
      <c r="AT54" s="230">
        <v>5438575</v>
      </c>
      <c r="AU54" s="229">
        <v>1.0782</v>
      </c>
      <c r="AV54" s="230">
        <v>5637775</v>
      </c>
      <c r="AW54" s="230">
        <v>4052475</v>
      </c>
      <c r="AX54" s="230">
        <v>1585300</v>
      </c>
      <c r="AY54" s="229">
        <v>0.39119999999999999</v>
      </c>
      <c r="AZ54" s="230">
        <v>4782875</v>
      </c>
      <c r="BA54" s="230">
        <v>987700</v>
      </c>
      <c r="BB54" s="230">
        <v>3795175</v>
      </c>
      <c r="BC54" s="229">
        <v>3.8424</v>
      </c>
      <c r="BD54" s="230">
        <v>62250</v>
      </c>
      <c r="BE54" s="230">
        <v>4150</v>
      </c>
      <c r="BF54" s="230">
        <v>58100</v>
      </c>
      <c r="BG54" s="229">
        <v>14</v>
      </c>
      <c r="BH54" s="230">
        <v>29933950</v>
      </c>
      <c r="BI54" s="230">
        <v>33675175</v>
      </c>
      <c r="BJ54" s="230">
        <v>-3741225</v>
      </c>
      <c r="BK54" s="229">
        <v>-0.1111</v>
      </c>
      <c r="BL54" s="230">
        <v>11074275</v>
      </c>
      <c r="BM54" s="230">
        <v>13834025</v>
      </c>
      <c r="BN54" s="230">
        <v>-2759750</v>
      </c>
      <c r="BO54" s="229">
        <v>-0.19950000000000001</v>
      </c>
      <c r="BP54" s="230">
        <v>51491125</v>
      </c>
      <c r="BQ54" s="230">
        <v>52553525</v>
      </c>
      <c r="BR54" s="230">
        <v>-1062400</v>
      </c>
      <c r="BS54" s="229">
        <v>-2.0199999999999999E-2</v>
      </c>
      <c r="BT54" s="230">
        <v>1335899</v>
      </c>
      <c r="BU54" s="230">
        <v>1864336</v>
      </c>
      <c r="BV54" s="230">
        <v>-528437</v>
      </c>
      <c r="BW54" s="229">
        <v>-0.28339999999999999</v>
      </c>
      <c r="BX54" s="230">
        <v>19961500</v>
      </c>
      <c r="BY54" s="230">
        <v>20183525</v>
      </c>
      <c r="BZ54" s="230">
        <v>-222025</v>
      </c>
      <c r="CA54" s="229">
        <v>-1.0999999999999999E-2</v>
      </c>
      <c r="CB54" s="230">
        <v>15564575</v>
      </c>
      <c r="CC54" s="230">
        <v>18571250</v>
      </c>
      <c r="CD54" s="230">
        <v>-3006675</v>
      </c>
      <c r="CE54" s="229">
        <v>-0.16189999999999999</v>
      </c>
      <c r="CF54" s="230">
        <v>4224700</v>
      </c>
      <c r="CG54" s="230">
        <v>1473250</v>
      </c>
      <c r="CH54" s="230">
        <v>2751450</v>
      </c>
      <c r="CI54" s="229">
        <v>1.8675999999999999</v>
      </c>
      <c r="CJ54" s="230">
        <v>172225</v>
      </c>
      <c r="CK54" s="230">
        <v>139025</v>
      </c>
      <c r="CL54" s="230">
        <v>33200</v>
      </c>
      <c r="CM54" s="229">
        <v>0.23880000000000001</v>
      </c>
      <c r="CN54" s="230">
        <v>22976475</v>
      </c>
      <c r="CO54" s="230">
        <v>26686575</v>
      </c>
      <c r="CP54" s="230">
        <v>-3710100</v>
      </c>
      <c r="CQ54" s="229">
        <v>-0.13900000000000001</v>
      </c>
      <c r="CR54" s="230">
        <v>10929025</v>
      </c>
      <c r="CS54" s="230">
        <v>11717525</v>
      </c>
      <c r="CT54" s="230">
        <v>-788500</v>
      </c>
      <c r="CU54" s="229">
        <v>-6.7299999999999999E-2</v>
      </c>
      <c r="CV54" s="230">
        <v>53867000</v>
      </c>
      <c r="CW54" s="230">
        <v>58587625</v>
      </c>
      <c r="CX54" s="230">
        <v>-4720625</v>
      </c>
      <c r="CY54" s="229">
        <v>-8.0600000000000005E-2</v>
      </c>
      <c r="CZ54" s="228">
        <v>28.8</v>
      </c>
      <c r="DA54" s="228">
        <v>35.03</v>
      </c>
      <c r="DB54" s="228">
        <v>-6.23</v>
      </c>
      <c r="DC54" s="228">
        <v>-6.23</v>
      </c>
      <c r="DD54" s="228">
        <v>41.5</v>
      </c>
      <c r="DE54" s="228">
        <v>41.51</v>
      </c>
      <c r="DF54" s="228">
        <v>-12.7</v>
      </c>
      <c r="DG54" s="228">
        <v>-0.01</v>
      </c>
      <c r="DH54" s="228">
        <v>28.96</v>
      </c>
      <c r="DI54" s="228">
        <v>35.659999999999997</v>
      </c>
      <c r="DJ54" s="228">
        <v>-6.7</v>
      </c>
      <c r="DK54" s="228">
        <v>-6.7</v>
      </c>
      <c r="DL54" s="228">
        <v>28.54</v>
      </c>
      <c r="DM54" s="228">
        <v>33.49</v>
      </c>
      <c r="DN54" s="228">
        <v>-4.95</v>
      </c>
      <c r="DO54" s="228">
        <v>-4.95</v>
      </c>
      <c r="DP54" s="228">
        <v>0.48</v>
      </c>
      <c r="DQ54" s="228">
        <v>0.44</v>
      </c>
      <c r="DR54" s="228">
        <v>0.04</v>
      </c>
      <c r="DS54" s="229">
        <v>9.0899999999999995E-2</v>
      </c>
      <c r="DT54" s="228">
        <v>440</v>
      </c>
      <c r="DU54" s="228">
        <v>430</v>
      </c>
      <c r="DV54" s="228">
        <v>0.37</v>
      </c>
      <c r="DW54" s="228">
        <v>0.41</v>
      </c>
      <c r="DX54" s="228">
        <v>-0.04</v>
      </c>
      <c r="DY54" s="229">
        <v>-9.7600000000000006E-2</v>
      </c>
      <c r="DZ54" s="229">
        <v>0.2203</v>
      </c>
      <c r="EA54" s="230">
        <v>1612275</v>
      </c>
      <c r="EB54" s="229">
        <v>6.1999999999999998E-3</v>
      </c>
      <c r="EC54" s="229">
        <v>0.2203</v>
      </c>
      <c r="ED54" s="228">
        <v>2.73</v>
      </c>
      <c r="EE54" s="229">
        <v>6.3E-3</v>
      </c>
      <c r="EF54" s="230">
        <v>718712</v>
      </c>
      <c r="EG54" s="230">
        <v>964394</v>
      </c>
      <c r="EH54" s="229">
        <v>-0.25480000000000003</v>
      </c>
      <c r="EI54" s="229">
        <v>0.53800000000000003</v>
      </c>
      <c r="EJ54" s="231">
        <v>136327.89000000001</v>
      </c>
      <c r="EK54" s="231">
        <v>47546.14</v>
      </c>
      <c r="EL54" s="231">
        <v>45242.13</v>
      </c>
      <c r="EM54" s="231">
        <v>2639</v>
      </c>
      <c r="EN54" s="231">
        <v>229116.16</v>
      </c>
      <c r="EO54" s="231">
        <v>237686.52</v>
      </c>
      <c r="EP54" s="231">
        <v>-8570.36</v>
      </c>
      <c r="EQ54" s="229">
        <v>-3.61E-2</v>
      </c>
      <c r="ER54" s="231">
        <v>108101</v>
      </c>
      <c r="ES54" s="231">
        <v>47306</v>
      </c>
      <c r="ET54" s="231">
        <v>85297</v>
      </c>
      <c r="EU54" s="231">
        <v>94196226</v>
      </c>
      <c r="EV54" s="231">
        <v>240704</v>
      </c>
      <c r="EW54" s="231">
        <v>264290</v>
      </c>
      <c r="EX54" s="231">
        <v>-23586</v>
      </c>
      <c r="EY54" s="229">
        <v>-8.9200000000000002E-2</v>
      </c>
      <c r="EZ54" s="229">
        <v>0.57189999999999996</v>
      </c>
      <c r="FA54" s="227" t="s">
        <v>568</v>
      </c>
      <c r="FB54" s="161">
        <f t="shared" si="0"/>
        <v>4396925</v>
      </c>
    </row>
    <row r="55" spans="1:158" ht="17.25" hidden="1" thickBot="1" x14ac:dyDescent="0.3">
      <c r="A55" s="226">
        <v>45981</v>
      </c>
      <c r="B55" s="227" t="s">
        <v>170</v>
      </c>
      <c r="C55" s="227" t="s">
        <v>205</v>
      </c>
      <c r="D55" s="228">
        <v>100</v>
      </c>
      <c r="E55" s="231">
        <v>6458.5</v>
      </c>
      <c r="F55" s="231">
        <v>6462</v>
      </c>
      <c r="G55" s="228">
        <v>-3.5</v>
      </c>
      <c r="H55" s="229">
        <v>-5.0000000000000001E-4</v>
      </c>
      <c r="I55" s="231">
        <v>6462.5</v>
      </c>
      <c r="J55" s="231">
        <v>6454</v>
      </c>
      <c r="K55" s="228">
        <v>8.5</v>
      </c>
      <c r="L55" s="229">
        <v>1.2999999999999999E-3</v>
      </c>
      <c r="M55" s="231">
        <v>6458.5</v>
      </c>
      <c r="N55" s="231">
        <v>6462</v>
      </c>
      <c r="O55" s="228">
        <v>-3.5</v>
      </c>
      <c r="P55" s="229">
        <v>-5.0000000000000001E-4</v>
      </c>
      <c r="Q55" s="231">
        <v>6500.5</v>
      </c>
      <c r="R55" s="231">
        <v>6503</v>
      </c>
      <c r="S55" s="228">
        <v>-2.5</v>
      </c>
      <c r="T55" s="229">
        <v>-4.0000000000000002E-4</v>
      </c>
      <c r="U55" s="231">
        <v>6538</v>
      </c>
      <c r="V55" s="231">
        <v>6546.5</v>
      </c>
      <c r="W55" s="228">
        <v>-8.5</v>
      </c>
      <c r="X55" s="229">
        <v>-1.2999999999999999E-3</v>
      </c>
      <c r="Y55" s="228">
        <v>-4</v>
      </c>
      <c r="Z55" s="228">
        <v>8</v>
      </c>
      <c r="AA55" s="228">
        <v>-12</v>
      </c>
      <c r="AB55" s="229">
        <v>-5.9999999999999995E-4</v>
      </c>
      <c r="AC55" s="228">
        <v>-4</v>
      </c>
      <c r="AD55" s="228">
        <v>8</v>
      </c>
      <c r="AE55" s="228">
        <v>-12</v>
      </c>
      <c r="AF55" s="229">
        <v>-5.9999999999999995E-4</v>
      </c>
      <c r="AG55" s="228">
        <v>38</v>
      </c>
      <c r="AH55" s="228">
        <v>49</v>
      </c>
      <c r="AI55" s="228">
        <v>-11</v>
      </c>
      <c r="AJ55" s="229">
        <v>5.8999999999999999E-3</v>
      </c>
      <c r="AK55" s="228">
        <v>75.5</v>
      </c>
      <c r="AL55" s="228">
        <v>92.5</v>
      </c>
      <c r="AM55" s="228">
        <v>-17</v>
      </c>
      <c r="AN55" s="229">
        <v>1.17E-2</v>
      </c>
      <c r="AO55" s="231">
        <v>6465.06</v>
      </c>
      <c r="AP55" s="231">
        <v>6506.59</v>
      </c>
      <c r="AQ55" s="228">
        <v>0</v>
      </c>
      <c r="AR55" s="230">
        <v>1182000</v>
      </c>
      <c r="AS55" s="230">
        <v>494600</v>
      </c>
      <c r="AT55" s="230">
        <v>687400</v>
      </c>
      <c r="AU55" s="229">
        <v>1.3897999999999999</v>
      </c>
      <c r="AV55" s="230">
        <v>642600</v>
      </c>
      <c r="AW55" s="230">
        <v>302600</v>
      </c>
      <c r="AX55" s="230">
        <v>340000</v>
      </c>
      <c r="AY55" s="229">
        <v>1.1235999999999999</v>
      </c>
      <c r="AZ55" s="230">
        <v>537500</v>
      </c>
      <c r="BA55" s="230">
        <v>188300</v>
      </c>
      <c r="BB55" s="230">
        <v>349200</v>
      </c>
      <c r="BC55" s="229">
        <v>1.8545</v>
      </c>
      <c r="BD55" s="230">
        <v>1900</v>
      </c>
      <c r="BE55" s="230">
        <v>3700</v>
      </c>
      <c r="BF55" s="230">
        <v>-1800</v>
      </c>
      <c r="BG55" s="229">
        <v>-0.48649999999999999</v>
      </c>
      <c r="BH55" s="230">
        <v>1717600</v>
      </c>
      <c r="BI55" s="230">
        <v>2028600</v>
      </c>
      <c r="BJ55" s="230">
        <v>-311000</v>
      </c>
      <c r="BK55" s="229">
        <v>-0.15329999999999999</v>
      </c>
      <c r="BL55" s="230">
        <v>659300</v>
      </c>
      <c r="BM55" s="230">
        <v>917000</v>
      </c>
      <c r="BN55" s="230">
        <v>-257700</v>
      </c>
      <c r="BO55" s="229">
        <v>-0.28100000000000003</v>
      </c>
      <c r="BP55" s="230">
        <v>3558900</v>
      </c>
      <c r="BQ55" s="230">
        <v>3440200</v>
      </c>
      <c r="BR55" s="230">
        <v>118700</v>
      </c>
      <c r="BS55" s="229">
        <v>3.4500000000000003E-2</v>
      </c>
      <c r="BT55" s="230">
        <v>117055</v>
      </c>
      <c r="BU55" s="230">
        <v>132179</v>
      </c>
      <c r="BV55" s="230">
        <v>-15124</v>
      </c>
      <c r="BW55" s="229">
        <v>-0.1144</v>
      </c>
      <c r="BX55" s="230">
        <v>3390600</v>
      </c>
      <c r="BY55" s="230">
        <v>3405700</v>
      </c>
      <c r="BZ55" s="230">
        <v>-15100</v>
      </c>
      <c r="CA55" s="229">
        <v>-4.4000000000000003E-3</v>
      </c>
      <c r="CB55" s="230">
        <v>2582900</v>
      </c>
      <c r="CC55" s="230">
        <v>3076400</v>
      </c>
      <c r="CD55" s="230">
        <v>-493500</v>
      </c>
      <c r="CE55" s="229">
        <v>-0.16039999999999999</v>
      </c>
      <c r="CF55" s="230">
        <v>787000</v>
      </c>
      <c r="CG55" s="230">
        <v>309700</v>
      </c>
      <c r="CH55" s="230">
        <v>477300</v>
      </c>
      <c r="CI55" s="229">
        <v>1.5411999999999999</v>
      </c>
      <c r="CJ55" s="230">
        <v>20700</v>
      </c>
      <c r="CK55" s="230">
        <v>19600</v>
      </c>
      <c r="CL55" s="230">
        <v>1100</v>
      </c>
      <c r="CM55" s="229">
        <v>5.6099999999999997E-2</v>
      </c>
      <c r="CN55" s="230">
        <v>2133600</v>
      </c>
      <c r="CO55" s="230">
        <v>2351700</v>
      </c>
      <c r="CP55" s="230">
        <v>-218100</v>
      </c>
      <c r="CQ55" s="229">
        <v>-9.2700000000000005E-2</v>
      </c>
      <c r="CR55" s="230">
        <v>1498800</v>
      </c>
      <c r="CS55" s="230">
        <v>1585400</v>
      </c>
      <c r="CT55" s="230">
        <v>-86600</v>
      </c>
      <c r="CU55" s="229">
        <v>-5.4600000000000003E-2</v>
      </c>
      <c r="CV55" s="230">
        <v>7023000</v>
      </c>
      <c r="CW55" s="230">
        <v>7342800</v>
      </c>
      <c r="CX55" s="230">
        <v>-319800</v>
      </c>
      <c r="CY55" s="229">
        <v>-4.36E-2</v>
      </c>
      <c r="CZ55" s="228">
        <v>22.69</v>
      </c>
      <c r="DA55" s="228">
        <v>25.72</v>
      </c>
      <c r="DB55" s="228">
        <v>-3.03</v>
      </c>
      <c r="DC55" s="228">
        <v>-3.03</v>
      </c>
      <c r="DD55" s="228">
        <v>31.32</v>
      </c>
      <c r="DE55" s="228">
        <v>31.4</v>
      </c>
      <c r="DF55" s="228">
        <v>-8.6300000000000008</v>
      </c>
      <c r="DG55" s="228">
        <v>-0.08</v>
      </c>
      <c r="DH55" s="228">
        <v>22.81</v>
      </c>
      <c r="DI55" s="228">
        <v>26.25</v>
      </c>
      <c r="DJ55" s="228">
        <v>-3.44</v>
      </c>
      <c r="DK55" s="228">
        <v>-3.44</v>
      </c>
      <c r="DL55" s="228">
        <v>22.45</v>
      </c>
      <c r="DM55" s="228">
        <v>24.55</v>
      </c>
      <c r="DN55" s="228">
        <v>-2.1</v>
      </c>
      <c r="DO55" s="228">
        <v>-2.1</v>
      </c>
      <c r="DP55" s="228">
        <v>0.7</v>
      </c>
      <c r="DQ55" s="228">
        <v>0.67</v>
      </c>
      <c r="DR55" s="228">
        <v>0.03</v>
      </c>
      <c r="DS55" s="229">
        <v>4.48E-2</v>
      </c>
      <c r="DT55" s="231">
        <v>7000</v>
      </c>
      <c r="DU55" s="231">
        <v>6200</v>
      </c>
      <c r="DV55" s="228">
        <v>0.38</v>
      </c>
      <c r="DW55" s="228">
        <v>0.45</v>
      </c>
      <c r="DX55" s="228">
        <v>-7.0000000000000007E-2</v>
      </c>
      <c r="DY55" s="229">
        <v>-0.15559999999999999</v>
      </c>
      <c r="DZ55" s="229">
        <v>0.2382</v>
      </c>
      <c r="EA55" s="230">
        <v>329300</v>
      </c>
      <c r="EB55" s="229">
        <v>6.4999999999999997E-3</v>
      </c>
      <c r="EC55" s="229">
        <v>0.2382</v>
      </c>
      <c r="ED55" s="228">
        <v>41.53</v>
      </c>
      <c r="EE55" s="229">
        <v>6.4000000000000003E-3</v>
      </c>
      <c r="EF55" s="230">
        <v>50227</v>
      </c>
      <c r="EG55" s="230">
        <v>53773</v>
      </c>
      <c r="EH55" s="229">
        <v>-6.59E-2</v>
      </c>
      <c r="EI55" s="229">
        <v>0.42909999999999998</v>
      </c>
      <c r="EJ55" s="231">
        <v>115582.94</v>
      </c>
      <c r="EK55" s="231">
        <v>42294.73</v>
      </c>
      <c r="EL55" s="231">
        <v>76641.86</v>
      </c>
      <c r="EM55" s="231">
        <v>4609</v>
      </c>
      <c r="EN55" s="231">
        <v>234519.53</v>
      </c>
      <c r="EO55" s="231">
        <v>226863.38</v>
      </c>
      <c r="EP55" s="231">
        <v>7656.15</v>
      </c>
      <c r="EQ55" s="229">
        <v>3.3700000000000001E-2</v>
      </c>
      <c r="ER55" s="231">
        <v>146412</v>
      </c>
      <c r="ES55" s="231">
        <v>95320</v>
      </c>
      <c r="ET55" s="231">
        <v>219329</v>
      </c>
      <c r="EU55" s="231">
        <v>16353614</v>
      </c>
      <c r="EV55" s="231">
        <v>461060</v>
      </c>
      <c r="EW55" s="231">
        <v>482488</v>
      </c>
      <c r="EX55" s="231">
        <v>-21428</v>
      </c>
      <c r="EY55" s="229">
        <v>-4.4400000000000002E-2</v>
      </c>
      <c r="EZ55" s="229">
        <v>0.4294</v>
      </c>
      <c r="FA55" s="227" t="s">
        <v>568</v>
      </c>
      <c r="FB55" s="161">
        <f t="shared" si="0"/>
        <v>807700</v>
      </c>
    </row>
    <row r="56" spans="1:158" ht="17.25" hidden="1" thickBot="1" x14ac:dyDescent="0.3">
      <c r="A56" s="226">
        <v>45981</v>
      </c>
      <c r="B56" s="227" t="s">
        <v>184</v>
      </c>
      <c r="C56" s="227" t="s">
        <v>512</v>
      </c>
      <c r="D56" s="228">
        <v>50</v>
      </c>
      <c r="E56" s="231">
        <v>15307</v>
      </c>
      <c r="F56" s="231">
        <v>15495</v>
      </c>
      <c r="G56" s="228">
        <v>-188</v>
      </c>
      <c r="H56" s="229">
        <v>-1.21E-2</v>
      </c>
      <c r="I56" s="231">
        <v>15313</v>
      </c>
      <c r="J56" s="231">
        <v>15540</v>
      </c>
      <c r="K56" s="228">
        <v>-227</v>
      </c>
      <c r="L56" s="229">
        <v>-1.46E-2</v>
      </c>
      <c r="M56" s="231">
        <v>15307</v>
      </c>
      <c r="N56" s="231">
        <v>15495</v>
      </c>
      <c r="O56" s="228">
        <v>-188</v>
      </c>
      <c r="P56" s="229">
        <v>-1.21E-2</v>
      </c>
      <c r="Q56" s="231">
        <v>15414</v>
      </c>
      <c r="R56" s="231">
        <v>15600</v>
      </c>
      <c r="S56" s="228">
        <v>-186</v>
      </c>
      <c r="T56" s="229">
        <v>-1.1900000000000001E-2</v>
      </c>
      <c r="U56" s="231">
        <v>15506</v>
      </c>
      <c r="V56" s="231">
        <v>15731</v>
      </c>
      <c r="W56" s="228">
        <v>-225</v>
      </c>
      <c r="X56" s="229">
        <v>-1.43E-2</v>
      </c>
      <c r="Y56" s="228">
        <v>-6</v>
      </c>
      <c r="Z56" s="228">
        <v>-45</v>
      </c>
      <c r="AA56" s="228">
        <v>39</v>
      </c>
      <c r="AB56" s="229">
        <v>-4.0000000000000002E-4</v>
      </c>
      <c r="AC56" s="228">
        <v>-6</v>
      </c>
      <c r="AD56" s="228">
        <v>-45</v>
      </c>
      <c r="AE56" s="228">
        <v>39</v>
      </c>
      <c r="AF56" s="229">
        <v>-4.0000000000000002E-4</v>
      </c>
      <c r="AG56" s="228">
        <v>101</v>
      </c>
      <c r="AH56" s="228">
        <v>60</v>
      </c>
      <c r="AI56" s="228">
        <v>41</v>
      </c>
      <c r="AJ56" s="229">
        <v>6.6E-3</v>
      </c>
      <c r="AK56" s="228">
        <v>193</v>
      </c>
      <c r="AL56" s="228">
        <v>191</v>
      </c>
      <c r="AM56" s="228">
        <v>2</v>
      </c>
      <c r="AN56" s="229">
        <v>1.26E-2</v>
      </c>
      <c r="AO56" s="231">
        <v>15396.42</v>
      </c>
      <c r="AP56" s="231">
        <v>15506.92</v>
      </c>
      <c r="AQ56" s="228">
        <v>0</v>
      </c>
      <c r="AR56" s="230">
        <v>895300</v>
      </c>
      <c r="AS56" s="230">
        <v>453550</v>
      </c>
      <c r="AT56" s="230">
        <v>441750</v>
      </c>
      <c r="AU56" s="229">
        <v>0.97399999999999998</v>
      </c>
      <c r="AV56" s="230">
        <v>519300</v>
      </c>
      <c r="AW56" s="230">
        <v>314550</v>
      </c>
      <c r="AX56" s="230">
        <v>204750</v>
      </c>
      <c r="AY56" s="229">
        <v>0.65090000000000003</v>
      </c>
      <c r="AZ56" s="230">
        <v>368500</v>
      </c>
      <c r="BA56" s="230">
        <v>134150</v>
      </c>
      <c r="BB56" s="230">
        <v>234350</v>
      </c>
      <c r="BC56" s="229">
        <v>1.7468999999999999</v>
      </c>
      <c r="BD56" s="230">
        <v>7500</v>
      </c>
      <c r="BE56" s="230">
        <v>4850</v>
      </c>
      <c r="BF56" s="230">
        <v>2650</v>
      </c>
      <c r="BG56" s="229">
        <v>0.5464</v>
      </c>
      <c r="BH56" s="230">
        <v>3835400</v>
      </c>
      <c r="BI56" s="230">
        <v>2819100</v>
      </c>
      <c r="BJ56" s="230">
        <v>1016300</v>
      </c>
      <c r="BK56" s="229">
        <v>0.36049999999999999</v>
      </c>
      <c r="BL56" s="230">
        <v>1747300</v>
      </c>
      <c r="BM56" s="230">
        <v>1299450</v>
      </c>
      <c r="BN56" s="230">
        <v>447850</v>
      </c>
      <c r="BO56" s="229">
        <v>0.34460000000000002</v>
      </c>
      <c r="BP56" s="230">
        <v>6478000</v>
      </c>
      <c r="BQ56" s="230">
        <v>4572100</v>
      </c>
      <c r="BR56" s="230">
        <v>1905900</v>
      </c>
      <c r="BS56" s="229">
        <v>0.41689999999999999</v>
      </c>
      <c r="BT56" s="230">
        <v>214677</v>
      </c>
      <c r="BU56" s="230">
        <v>186407</v>
      </c>
      <c r="BV56" s="230">
        <v>28270</v>
      </c>
      <c r="BW56" s="229">
        <v>0.1517</v>
      </c>
      <c r="BX56" s="230">
        <v>2135950</v>
      </c>
      <c r="BY56" s="230">
        <v>2199250</v>
      </c>
      <c r="BZ56" s="230">
        <v>-63300</v>
      </c>
      <c r="CA56" s="229">
        <v>-2.8799999999999999E-2</v>
      </c>
      <c r="CB56" s="230">
        <v>1547650</v>
      </c>
      <c r="CC56" s="230">
        <v>1862950</v>
      </c>
      <c r="CD56" s="230">
        <v>-315300</v>
      </c>
      <c r="CE56" s="229">
        <v>-0.16919999999999999</v>
      </c>
      <c r="CF56" s="230">
        <v>562050</v>
      </c>
      <c r="CG56" s="230">
        <v>314150</v>
      </c>
      <c r="CH56" s="230">
        <v>247900</v>
      </c>
      <c r="CI56" s="229">
        <v>0.78910000000000002</v>
      </c>
      <c r="CJ56" s="230">
        <v>26250</v>
      </c>
      <c r="CK56" s="230">
        <v>22150</v>
      </c>
      <c r="CL56" s="230">
        <v>4100</v>
      </c>
      <c r="CM56" s="229">
        <v>0.18509999999999999</v>
      </c>
      <c r="CN56" s="230">
        <v>1852800</v>
      </c>
      <c r="CO56" s="230">
        <v>1994450</v>
      </c>
      <c r="CP56" s="230">
        <v>-141650</v>
      </c>
      <c r="CQ56" s="229">
        <v>-7.0999999999999994E-2</v>
      </c>
      <c r="CR56" s="230">
        <v>929500</v>
      </c>
      <c r="CS56" s="230">
        <v>934100</v>
      </c>
      <c r="CT56" s="230">
        <v>-4600</v>
      </c>
      <c r="CU56" s="229">
        <v>-4.8999999999999998E-3</v>
      </c>
      <c r="CV56" s="230">
        <v>4918250</v>
      </c>
      <c r="CW56" s="230">
        <v>5127800</v>
      </c>
      <c r="CX56" s="230">
        <v>-209550</v>
      </c>
      <c r="CY56" s="229">
        <v>-4.0899999999999999E-2</v>
      </c>
      <c r="CZ56" s="228">
        <v>28.95</v>
      </c>
      <c r="DA56" s="228">
        <v>35.25</v>
      </c>
      <c r="DB56" s="228">
        <v>-6.3</v>
      </c>
      <c r="DC56" s="228">
        <v>-6.3</v>
      </c>
      <c r="DD56" s="228">
        <v>43.47</v>
      </c>
      <c r="DE56" s="228">
        <v>43.54</v>
      </c>
      <c r="DF56" s="228">
        <v>-14.52</v>
      </c>
      <c r="DG56" s="228">
        <v>-7.0000000000000007E-2</v>
      </c>
      <c r="DH56" s="228">
        <v>29.13</v>
      </c>
      <c r="DI56" s="228">
        <v>36.340000000000003</v>
      </c>
      <c r="DJ56" s="228">
        <v>-7.21</v>
      </c>
      <c r="DK56" s="228">
        <v>-7.21</v>
      </c>
      <c r="DL56" s="228">
        <v>28.58</v>
      </c>
      <c r="DM56" s="228">
        <v>32.880000000000003</v>
      </c>
      <c r="DN56" s="228">
        <v>-4.3</v>
      </c>
      <c r="DO56" s="228">
        <v>-4.3</v>
      </c>
      <c r="DP56" s="228">
        <v>0.5</v>
      </c>
      <c r="DQ56" s="228">
        <v>0.47</v>
      </c>
      <c r="DR56" s="228">
        <v>0.03</v>
      </c>
      <c r="DS56" s="229">
        <v>6.3799999999999996E-2</v>
      </c>
      <c r="DT56" s="231">
        <v>16000</v>
      </c>
      <c r="DU56" s="231">
        <v>15000</v>
      </c>
      <c r="DV56" s="228">
        <v>0.46</v>
      </c>
      <c r="DW56" s="228">
        <v>0.46</v>
      </c>
      <c r="DX56" s="228">
        <v>0</v>
      </c>
      <c r="DY56" s="229">
        <v>0</v>
      </c>
      <c r="DZ56" s="229">
        <v>0.27539999999999998</v>
      </c>
      <c r="EA56" s="230">
        <v>336300</v>
      </c>
      <c r="EB56" s="229">
        <v>7.0000000000000001E-3</v>
      </c>
      <c r="EC56" s="229">
        <v>0.27539999999999998</v>
      </c>
      <c r="ED56" s="228">
        <v>110.5</v>
      </c>
      <c r="EE56" s="229">
        <v>7.1999999999999998E-3</v>
      </c>
      <c r="EF56" s="230">
        <v>107229</v>
      </c>
      <c r="EG56" s="230">
        <v>97389</v>
      </c>
      <c r="EH56" s="229">
        <v>0.10100000000000001</v>
      </c>
      <c r="EI56" s="229">
        <v>0.4995</v>
      </c>
      <c r="EJ56" s="231">
        <v>625652.79</v>
      </c>
      <c r="EK56" s="231">
        <v>262290.84999999998</v>
      </c>
      <c r="EL56" s="231">
        <v>138266.6</v>
      </c>
      <c r="EM56" s="231">
        <v>10195</v>
      </c>
      <c r="EN56" s="231">
        <v>1026210.24</v>
      </c>
      <c r="EO56" s="231">
        <v>733271.09</v>
      </c>
      <c r="EP56" s="231">
        <v>292939.15000000002</v>
      </c>
      <c r="EQ56" s="229">
        <v>0.39950000000000002</v>
      </c>
      <c r="ER56" s="231">
        <v>306260</v>
      </c>
      <c r="ES56" s="231">
        <v>139973</v>
      </c>
      <c r="ET56" s="231">
        <v>327603</v>
      </c>
      <c r="EU56" s="231">
        <v>6445442</v>
      </c>
      <c r="EV56" s="231">
        <v>773836</v>
      </c>
      <c r="EW56" s="231">
        <v>812393</v>
      </c>
      <c r="EX56" s="231">
        <v>-38557</v>
      </c>
      <c r="EY56" s="229">
        <v>-4.7500000000000001E-2</v>
      </c>
      <c r="EZ56" s="229">
        <v>0.7631</v>
      </c>
      <c r="FA56" s="227" t="s">
        <v>568</v>
      </c>
      <c r="FB56" s="161">
        <f t="shared" si="0"/>
        <v>588300</v>
      </c>
    </row>
    <row r="57" spans="1:158" ht="17.25" hidden="1" thickBot="1" x14ac:dyDescent="0.3">
      <c r="A57" s="226">
        <v>45981</v>
      </c>
      <c r="B57" s="227" t="s">
        <v>206</v>
      </c>
      <c r="C57" s="227" t="s">
        <v>207</v>
      </c>
      <c r="D57" s="228">
        <v>825</v>
      </c>
      <c r="E57" s="228">
        <v>742.65</v>
      </c>
      <c r="F57" s="228">
        <v>745.25</v>
      </c>
      <c r="G57" s="228">
        <v>-2.6</v>
      </c>
      <c r="H57" s="229">
        <v>-3.5000000000000001E-3</v>
      </c>
      <c r="I57" s="228">
        <v>741.1</v>
      </c>
      <c r="J57" s="228">
        <v>743.65</v>
      </c>
      <c r="K57" s="228">
        <v>-2.5499999999999998</v>
      </c>
      <c r="L57" s="229">
        <v>-3.3999999999999998E-3</v>
      </c>
      <c r="M57" s="228">
        <v>742.65</v>
      </c>
      <c r="N57" s="228">
        <v>745.25</v>
      </c>
      <c r="O57" s="228">
        <v>-2.6</v>
      </c>
      <c r="P57" s="229">
        <v>-3.5000000000000001E-3</v>
      </c>
      <c r="Q57" s="228">
        <v>747.3</v>
      </c>
      <c r="R57" s="228">
        <v>750.1</v>
      </c>
      <c r="S57" s="228">
        <v>-2.8</v>
      </c>
      <c r="T57" s="229">
        <v>-3.7000000000000002E-3</v>
      </c>
      <c r="U57" s="228">
        <v>751.9</v>
      </c>
      <c r="V57" s="228">
        <v>755</v>
      </c>
      <c r="W57" s="228">
        <v>-3.1</v>
      </c>
      <c r="X57" s="229">
        <v>-4.1000000000000003E-3</v>
      </c>
      <c r="Y57" s="228">
        <v>1.55</v>
      </c>
      <c r="Z57" s="228">
        <v>1.6</v>
      </c>
      <c r="AA57" s="228">
        <v>-0.05</v>
      </c>
      <c r="AB57" s="229">
        <v>2.0999999999999999E-3</v>
      </c>
      <c r="AC57" s="228">
        <v>1.55</v>
      </c>
      <c r="AD57" s="228">
        <v>1.6</v>
      </c>
      <c r="AE57" s="228">
        <v>-0.05</v>
      </c>
      <c r="AF57" s="229">
        <v>2.0999999999999999E-3</v>
      </c>
      <c r="AG57" s="228">
        <v>6.2</v>
      </c>
      <c r="AH57" s="228">
        <v>6.45</v>
      </c>
      <c r="AI57" s="228">
        <v>-0.25</v>
      </c>
      <c r="AJ57" s="229">
        <v>8.3999999999999995E-3</v>
      </c>
      <c r="AK57" s="228">
        <v>10.8</v>
      </c>
      <c r="AL57" s="228">
        <v>11.35</v>
      </c>
      <c r="AM57" s="228">
        <v>-0.55000000000000004</v>
      </c>
      <c r="AN57" s="229">
        <v>1.46E-2</v>
      </c>
      <c r="AO57" s="228">
        <v>744.03</v>
      </c>
      <c r="AP57" s="228">
        <v>748.95</v>
      </c>
      <c r="AQ57" s="228">
        <v>0</v>
      </c>
      <c r="AR57" s="230">
        <v>19847025</v>
      </c>
      <c r="AS57" s="230">
        <v>9331575</v>
      </c>
      <c r="AT57" s="230">
        <v>10515450</v>
      </c>
      <c r="AU57" s="229">
        <v>1.1269</v>
      </c>
      <c r="AV57" s="230">
        <v>10114500</v>
      </c>
      <c r="AW57" s="230">
        <v>5631450</v>
      </c>
      <c r="AX57" s="230">
        <v>4483050</v>
      </c>
      <c r="AY57" s="229">
        <v>0.79610000000000003</v>
      </c>
      <c r="AZ57" s="230">
        <v>9626925</v>
      </c>
      <c r="BA57" s="230">
        <v>3580500</v>
      </c>
      <c r="BB57" s="230">
        <v>6046425</v>
      </c>
      <c r="BC57" s="229">
        <v>1.6887000000000001</v>
      </c>
      <c r="BD57" s="230">
        <v>105600</v>
      </c>
      <c r="BE57" s="230">
        <v>119625</v>
      </c>
      <c r="BF57" s="230">
        <v>-14025</v>
      </c>
      <c r="BG57" s="229">
        <v>-0.1172</v>
      </c>
      <c r="BH57" s="230">
        <v>17318400</v>
      </c>
      <c r="BI57" s="230">
        <v>21332850</v>
      </c>
      <c r="BJ57" s="230">
        <v>-4014450</v>
      </c>
      <c r="BK57" s="229">
        <v>-0.18820000000000001</v>
      </c>
      <c r="BL57" s="230">
        <v>6552150</v>
      </c>
      <c r="BM57" s="230">
        <v>12568875</v>
      </c>
      <c r="BN57" s="230">
        <v>-6016725</v>
      </c>
      <c r="BO57" s="229">
        <v>-0.47870000000000001</v>
      </c>
      <c r="BP57" s="230">
        <v>43717575</v>
      </c>
      <c r="BQ57" s="230">
        <v>43233300</v>
      </c>
      <c r="BR57" s="230">
        <v>484275</v>
      </c>
      <c r="BS57" s="229">
        <v>1.12E-2</v>
      </c>
      <c r="BT57" s="230">
        <v>1555942</v>
      </c>
      <c r="BU57" s="230">
        <v>2666552</v>
      </c>
      <c r="BV57" s="230">
        <v>-1110610</v>
      </c>
      <c r="BW57" s="229">
        <v>-0.41649999999999998</v>
      </c>
      <c r="BX57" s="230">
        <v>41148525</v>
      </c>
      <c r="BY57" s="230">
        <v>40288050</v>
      </c>
      <c r="BZ57" s="230">
        <v>860475</v>
      </c>
      <c r="CA57" s="229">
        <v>2.1399999999999999E-2</v>
      </c>
      <c r="CB57" s="230">
        <v>25829925</v>
      </c>
      <c r="CC57" s="230">
        <v>33664125</v>
      </c>
      <c r="CD57" s="230">
        <v>-7834200</v>
      </c>
      <c r="CE57" s="229">
        <v>-0.23269999999999999</v>
      </c>
      <c r="CF57" s="230">
        <v>14956425</v>
      </c>
      <c r="CG57" s="230">
        <v>6311250</v>
      </c>
      <c r="CH57" s="230">
        <v>8645175</v>
      </c>
      <c r="CI57" s="229">
        <v>1.3697999999999999</v>
      </c>
      <c r="CJ57" s="230">
        <v>362175</v>
      </c>
      <c r="CK57" s="230">
        <v>312675</v>
      </c>
      <c r="CL57" s="230">
        <v>49500</v>
      </c>
      <c r="CM57" s="229">
        <v>0.1583</v>
      </c>
      <c r="CN57" s="230">
        <v>15835050</v>
      </c>
      <c r="CO57" s="230">
        <v>16358100</v>
      </c>
      <c r="CP57" s="230">
        <v>-523050</v>
      </c>
      <c r="CQ57" s="229">
        <v>-3.2000000000000001E-2</v>
      </c>
      <c r="CR57" s="230">
        <v>11417175</v>
      </c>
      <c r="CS57" s="230">
        <v>11524425</v>
      </c>
      <c r="CT57" s="230">
        <v>-107250</v>
      </c>
      <c r="CU57" s="229">
        <v>-9.2999999999999992E-3</v>
      </c>
      <c r="CV57" s="230">
        <v>68400750</v>
      </c>
      <c r="CW57" s="230">
        <v>68170575</v>
      </c>
      <c r="CX57" s="230">
        <v>230175</v>
      </c>
      <c r="CY57" s="229">
        <v>3.3999999999999998E-3</v>
      </c>
      <c r="CZ57" s="228">
        <v>24.09</v>
      </c>
      <c r="DA57" s="228">
        <v>25.67</v>
      </c>
      <c r="DB57" s="228">
        <v>-1.58</v>
      </c>
      <c r="DC57" s="228">
        <v>-1.58</v>
      </c>
      <c r="DD57" s="228">
        <v>35.65</v>
      </c>
      <c r="DE57" s="228">
        <v>35.729999999999997</v>
      </c>
      <c r="DF57" s="228">
        <v>-11.56</v>
      </c>
      <c r="DG57" s="228">
        <v>-0.08</v>
      </c>
      <c r="DH57" s="228">
        <v>24.05</v>
      </c>
      <c r="DI57" s="228">
        <v>26.14</v>
      </c>
      <c r="DJ57" s="228">
        <v>-2.09</v>
      </c>
      <c r="DK57" s="228">
        <v>-2.09</v>
      </c>
      <c r="DL57" s="228">
        <v>24.16</v>
      </c>
      <c r="DM57" s="228">
        <v>24.87</v>
      </c>
      <c r="DN57" s="228">
        <v>-0.71</v>
      </c>
      <c r="DO57" s="228">
        <v>-0.71</v>
      </c>
      <c r="DP57" s="228">
        <v>0.72</v>
      </c>
      <c r="DQ57" s="228">
        <v>0.7</v>
      </c>
      <c r="DR57" s="228">
        <v>0.02</v>
      </c>
      <c r="DS57" s="229">
        <v>2.86E-2</v>
      </c>
      <c r="DT57" s="228">
        <v>780</v>
      </c>
      <c r="DU57" s="228">
        <v>720</v>
      </c>
      <c r="DV57" s="228">
        <v>0.38</v>
      </c>
      <c r="DW57" s="228">
        <v>0.59</v>
      </c>
      <c r="DX57" s="228">
        <v>-0.21</v>
      </c>
      <c r="DY57" s="229">
        <v>-0.35589999999999999</v>
      </c>
      <c r="DZ57" s="229">
        <v>0.37230000000000002</v>
      </c>
      <c r="EA57" s="230">
        <v>6623925</v>
      </c>
      <c r="EB57" s="229">
        <v>6.3E-3</v>
      </c>
      <c r="EC57" s="229">
        <v>0.37230000000000002</v>
      </c>
      <c r="ED57" s="228">
        <v>4.92</v>
      </c>
      <c r="EE57" s="229">
        <v>6.6E-3</v>
      </c>
      <c r="EF57" s="230">
        <v>919360</v>
      </c>
      <c r="EG57" s="230">
        <v>1352202</v>
      </c>
      <c r="EH57" s="229">
        <v>-0.3201</v>
      </c>
      <c r="EI57" s="229">
        <v>0.59089999999999998</v>
      </c>
      <c r="EJ57" s="231">
        <v>134088.47</v>
      </c>
      <c r="EK57" s="231">
        <v>48911.07</v>
      </c>
      <c r="EL57" s="231">
        <v>148151.35999999999</v>
      </c>
      <c r="EM57" s="231">
        <v>7843</v>
      </c>
      <c r="EN57" s="231">
        <v>331150.90000000002</v>
      </c>
      <c r="EO57" s="231">
        <v>329693.42</v>
      </c>
      <c r="EP57" s="231">
        <v>1457.48</v>
      </c>
      <c r="EQ57" s="229">
        <v>4.4000000000000003E-3</v>
      </c>
      <c r="ER57" s="231">
        <v>124597</v>
      </c>
      <c r="ES57" s="231">
        <v>85640</v>
      </c>
      <c r="ET57" s="231">
        <v>306318</v>
      </c>
      <c r="EU57" s="231">
        <v>83667734</v>
      </c>
      <c r="EV57" s="231">
        <v>516556</v>
      </c>
      <c r="EW57" s="231">
        <v>516110</v>
      </c>
      <c r="EX57" s="228">
        <v>446</v>
      </c>
      <c r="EY57" s="229">
        <v>8.9999999999999998E-4</v>
      </c>
      <c r="EZ57" s="229">
        <v>0.8175</v>
      </c>
      <c r="FA57" s="227" t="s">
        <v>567</v>
      </c>
      <c r="FB57" s="161">
        <f t="shared" si="0"/>
        <v>15318600</v>
      </c>
    </row>
    <row r="58" spans="1:158" ht="17.25" hidden="1" thickBot="1" x14ac:dyDescent="0.3">
      <c r="A58" s="226">
        <v>45981</v>
      </c>
      <c r="B58" s="227" t="s">
        <v>615</v>
      </c>
      <c r="C58" s="227" t="s">
        <v>583</v>
      </c>
      <c r="D58" s="228">
        <v>150</v>
      </c>
      <c r="E58" s="231">
        <v>4097.7</v>
      </c>
      <c r="F58" s="231">
        <v>4042.2</v>
      </c>
      <c r="G58" s="228">
        <v>55.5</v>
      </c>
      <c r="H58" s="229">
        <v>1.37E-2</v>
      </c>
      <c r="I58" s="231">
        <v>4085</v>
      </c>
      <c r="J58" s="231">
        <v>4026.5</v>
      </c>
      <c r="K58" s="228">
        <v>58.5</v>
      </c>
      <c r="L58" s="229">
        <v>1.4500000000000001E-2</v>
      </c>
      <c r="M58" s="231">
        <v>4097.7</v>
      </c>
      <c r="N58" s="231">
        <v>4042.2</v>
      </c>
      <c r="O58" s="228">
        <v>55.5</v>
      </c>
      <c r="P58" s="229">
        <v>1.37E-2</v>
      </c>
      <c r="Q58" s="231">
        <v>4095.8</v>
      </c>
      <c r="R58" s="231">
        <v>4037.1</v>
      </c>
      <c r="S58" s="228">
        <v>58.7</v>
      </c>
      <c r="T58" s="229">
        <v>1.4500000000000001E-2</v>
      </c>
      <c r="U58" s="231">
        <v>4107.2</v>
      </c>
      <c r="V58" s="231">
        <v>4044.7</v>
      </c>
      <c r="W58" s="228">
        <v>62.5</v>
      </c>
      <c r="X58" s="229">
        <v>1.55E-2</v>
      </c>
      <c r="Y58" s="228">
        <v>12.7</v>
      </c>
      <c r="Z58" s="228">
        <v>15.7</v>
      </c>
      <c r="AA58" s="228">
        <v>-3</v>
      </c>
      <c r="AB58" s="229">
        <v>3.0999999999999999E-3</v>
      </c>
      <c r="AC58" s="228">
        <v>12.7</v>
      </c>
      <c r="AD58" s="228">
        <v>15.7</v>
      </c>
      <c r="AE58" s="228">
        <v>-3</v>
      </c>
      <c r="AF58" s="229">
        <v>3.0999999999999999E-3</v>
      </c>
      <c r="AG58" s="228">
        <v>10.8</v>
      </c>
      <c r="AH58" s="228">
        <v>10.6</v>
      </c>
      <c r="AI58" s="228">
        <v>0.2</v>
      </c>
      <c r="AJ58" s="229">
        <v>2.5999999999999999E-3</v>
      </c>
      <c r="AK58" s="228">
        <v>22.2</v>
      </c>
      <c r="AL58" s="228">
        <v>18.2</v>
      </c>
      <c r="AM58" s="228">
        <v>4</v>
      </c>
      <c r="AN58" s="229">
        <v>5.4000000000000003E-3</v>
      </c>
      <c r="AO58" s="231">
        <v>4088.84</v>
      </c>
      <c r="AP58" s="231">
        <v>4079.36</v>
      </c>
      <c r="AQ58" s="228">
        <v>0</v>
      </c>
      <c r="AR58" s="230">
        <v>5091300</v>
      </c>
      <c r="AS58" s="230">
        <v>883350</v>
      </c>
      <c r="AT58" s="230">
        <v>4207950</v>
      </c>
      <c r="AU58" s="229">
        <v>4.7636000000000003</v>
      </c>
      <c r="AV58" s="230">
        <v>2488950</v>
      </c>
      <c r="AW58" s="230">
        <v>511500</v>
      </c>
      <c r="AX58" s="230">
        <v>1977450</v>
      </c>
      <c r="AY58" s="229">
        <v>3.8660000000000001</v>
      </c>
      <c r="AZ58" s="230">
        <v>2585850</v>
      </c>
      <c r="BA58" s="230">
        <v>360900</v>
      </c>
      <c r="BB58" s="230">
        <v>2224950</v>
      </c>
      <c r="BC58" s="229">
        <v>6.165</v>
      </c>
      <c r="BD58" s="230">
        <v>16500</v>
      </c>
      <c r="BE58" s="230">
        <v>10950</v>
      </c>
      <c r="BF58" s="230">
        <v>5550</v>
      </c>
      <c r="BG58" s="229">
        <v>0.50680000000000003</v>
      </c>
      <c r="BH58" s="230">
        <v>6401550</v>
      </c>
      <c r="BI58" s="230">
        <v>3149250</v>
      </c>
      <c r="BJ58" s="230">
        <v>3252300</v>
      </c>
      <c r="BK58" s="229">
        <v>1.0327</v>
      </c>
      <c r="BL58" s="230">
        <v>1621500</v>
      </c>
      <c r="BM58" s="230">
        <v>814500</v>
      </c>
      <c r="BN58" s="230">
        <v>807000</v>
      </c>
      <c r="BO58" s="229">
        <v>0.99080000000000001</v>
      </c>
      <c r="BP58" s="230">
        <v>13114350</v>
      </c>
      <c r="BQ58" s="230">
        <v>4847100</v>
      </c>
      <c r="BR58" s="230">
        <v>8267250</v>
      </c>
      <c r="BS58" s="229">
        <v>1.7056</v>
      </c>
      <c r="BT58" s="230">
        <v>406342</v>
      </c>
      <c r="BU58" s="230">
        <v>381644</v>
      </c>
      <c r="BV58" s="230">
        <v>24698</v>
      </c>
      <c r="BW58" s="229">
        <v>6.4699999999999994E-2</v>
      </c>
      <c r="BX58" s="230">
        <v>6167550</v>
      </c>
      <c r="BY58" s="230">
        <v>6790650</v>
      </c>
      <c r="BZ58" s="230">
        <v>-623100</v>
      </c>
      <c r="CA58" s="229">
        <v>-9.1800000000000007E-2</v>
      </c>
      <c r="CB58" s="230">
        <v>3999000</v>
      </c>
      <c r="CC58" s="230">
        <v>5737500</v>
      </c>
      <c r="CD58" s="230">
        <v>-1738500</v>
      </c>
      <c r="CE58" s="229">
        <v>-0.30299999999999999</v>
      </c>
      <c r="CF58" s="230">
        <v>2118750</v>
      </c>
      <c r="CG58" s="230">
        <v>1002900</v>
      </c>
      <c r="CH58" s="230">
        <v>1115850</v>
      </c>
      <c r="CI58" s="229">
        <v>1.1126</v>
      </c>
      <c r="CJ58" s="230">
        <v>49800</v>
      </c>
      <c r="CK58" s="230">
        <v>50250</v>
      </c>
      <c r="CL58" s="228">
        <v>-450</v>
      </c>
      <c r="CM58" s="229">
        <v>-8.9999999999999993E-3</v>
      </c>
      <c r="CN58" s="230">
        <v>2206650</v>
      </c>
      <c r="CO58" s="230">
        <v>2532900</v>
      </c>
      <c r="CP58" s="230">
        <v>-326250</v>
      </c>
      <c r="CQ58" s="229">
        <v>-0.1288</v>
      </c>
      <c r="CR58" s="230">
        <v>1013700</v>
      </c>
      <c r="CS58" s="230">
        <v>1066050</v>
      </c>
      <c r="CT58" s="230">
        <v>-52350</v>
      </c>
      <c r="CU58" s="229">
        <v>-4.9099999999999998E-2</v>
      </c>
      <c r="CV58" s="230">
        <v>9387900</v>
      </c>
      <c r="CW58" s="230">
        <v>10389600</v>
      </c>
      <c r="CX58" s="230">
        <v>-1001700</v>
      </c>
      <c r="CY58" s="229">
        <v>-9.64E-2</v>
      </c>
      <c r="CZ58" s="228">
        <v>23.31</v>
      </c>
      <c r="DA58" s="228">
        <v>23.49</v>
      </c>
      <c r="DB58" s="228">
        <v>-0.18</v>
      </c>
      <c r="DC58" s="228">
        <v>-0.18</v>
      </c>
      <c r="DD58" s="228">
        <v>31.61</v>
      </c>
      <c r="DE58" s="228">
        <v>31.63</v>
      </c>
      <c r="DF58" s="228">
        <v>-8.3000000000000007</v>
      </c>
      <c r="DG58" s="228">
        <v>-0.02</v>
      </c>
      <c r="DH58" s="228">
        <v>23.41</v>
      </c>
      <c r="DI58" s="228">
        <v>23.9</v>
      </c>
      <c r="DJ58" s="228">
        <v>-0.49</v>
      </c>
      <c r="DK58" s="228">
        <v>-0.49</v>
      </c>
      <c r="DL58" s="228">
        <v>23.01</v>
      </c>
      <c r="DM58" s="228">
        <v>21.9</v>
      </c>
      <c r="DN58" s="228">
        <v>1.1100000000000001</v>
      </c>
      <c r="DO58" s="228">
        <v>1.1100000000000001</v>
      </c>
      <c r="DP58" s="228">
        <v>0.46</v>
      </c>
      <c r="DQ58" s="228">
        <v>0.42</v>
      </c>
      <c r="DR58" s="228">
        <v>0.04</v>
      </c>
      <c r="DS58" s="229">
        <v>9.5200000000000007E-2</v>
      </c>
      <c r="DT58" s="231">
        <v>4200</v>
      </c>
      <c r="DU58" s="231">
        <v>4000</v>
      </c>
      <c r="DV58" s="228">
        <v>0.25</v>
      </c>
      <c r="DW58" s="228">
        <v>0.26</v>
      </c>
      <c r="DX58" s="228">
        <v>-0.01</v>
      </c>
      <c r="DY58" s="229">
        <v>-3.85E-2</v>
      </c>
      <c r="DZ58" s="229">
        <v>0.35160000000000002</v>
      </c>
      <c r="EA58" s="230">
        <v>1053150</v>
      </c>
      <c r="EB58" s="229">
        <v>-5.0000000000000001E-4</v>
      </c>
      <c r="EC58" s="229">
        <v>0.35160000000000002</v>
      </c>
      <c r="ED58" s="228">
        <v>-9.48</v>
      </c>
      <c r="EE58" s="229">
        <v>-2.3E-3</v>
      </c>
      <c r="EF58" s="230">
        <v>194297</v>
      </c>
      <c r="EG58" s="230">
        <v>266877</v>
      </c>
      <c r="EH58" s="229">
        <v>-0.27200000000000002</v>
      </c>
      <c r="EI58" s="229">
        <v>0.47820000000000001</v>
      </c>
      <c r="EJ58" s="231">
        <v>268242.71000000002</v>
      </c>
      <c r="EK58" s="231">
        <v>65568.92</v>
      </c>
      <c r="EL58" s="231">
        <v>207930.83</v>
      </c>
      <c r="EM58" s="231">
        <v>3907</v>
      </c>
      <c r="EN58" s="231">
        <v>541742.46</v>
      </c>
      <c r="EO58" s="231">
        <v>200286.6</v>
      </c>
      <c r="EP58" s="231">
        <v>341455.86</v>
      </c>
      <c r="EQ58" s="229">
        <v>1.7048000000000001</v>
      </c>
      <c r="ER58" s="231">
        <v>94701</v>
      </c>
      <c r="ES58" s="231">
        <v>40919</v>
      </c>
      <c r="ET58" s="231">
        <v>252692</v>
      </c>
      <c r="EU58" s="231">
        <v>22136392</v>
      </c>
      <c r="EV58" s="231">
        <v>388312</v>
      </c>
      <c r="EW58" s="231">
        <v>425897</v>
      </c>
      <c r="EX58" s="231">
        <v>-37585</v>
      </c>
      <c r="EY58" s="229">
        <v>-8.8200000000000001E-2</v>
      </c>
      <c r="EZ58" s="229">
        <v>0.42409999999999998</v>
      </c>
      <c r="FA58" s="227" t="s">
        <v>556</v>
      </c>
      <c r="FB58" s="161">
        <f t="shared" si="0"/>
        <v>2168550</v>
      </c>
    </row>
    <row r="59" spans="1:158" ht="17.25" hidden="1" thickBot="1" x14ac:dyDescent="0.3">
      <c r="A59" s="226">
        <v>45981</v>
      </c>
      <c r="B59" s="227" t="s">
        <v>170</v>
      </c>
      <c r="C59" s="227" t="s">
        <v>208</v>
      </c>
      <c r="D59" s="228">
        <v>625</v>
      </c>
      <c r="E59" s="231">
        <v>1247.5999999999999</v>
      </c>
      <c r="F59" s="231">
        <v>1247</v>
      </c>
      <c r="G59" s="228">
        <v>0.6</v>
      </c>
      <c r="H59" s="229">
        <v>5.0000000000000001E-4</v>
      </c>
      <c r="I59" s="231">
        <v>1248.5999999999999</v>
      </c>
      <c r="J59" s="231">
        <v>1250.2</v>
      </c>
      <c r="K59" s="228">
        <v>-1.6</v>
      </c>
      <c r="L59" s="229">
        <v>-1.2999999999999999E-3</v>
      </c>
      <c r="M59" s="231">
        <v>1247.5999999999999</v>
      </c>
      <c r="N59" s="231">
        <v>1247</v>
      </c>
      <c r="O59" s="228">
        <v>0.6</v>
      </c>
      <c r="P59" s="229">
        <v>5.0000000000000001E-4</v>
      </c>
      <c r="Q59" s="231">
        <v>1249.8</v>
      </c>
      <c r="R59" s="231">
        <v>1249.8</v>
      </c>
      <c r="S59" s="228">
        <v>0</v>
      </c>
      <c r="T59" s="229">
        <v>0</v>
      </c>
      <c r="U59" s="231">
        <v>1251.8</v>
      </c>
      <c r="V59" s="231">
        <v>1251.7</v>
      </c>
      <c r="W59" s="228">
        <v>0.1</v>
      </c>
      <c r="X59" s="229">
        <v>1E-4</v>
      </c>
      <c r="Y59" s="228">
        <v>-1</v>
      </c>
      <c r="Z59" s="228">
        <v>-3.2</v>
      </c>
      <c r="AA59" s="228">
        <v>2.2000000000000002</v>
      </c>
      <c r="AB59" s="229">
        <v>-8.0000000000000004E-4</v>
      </c>
      <c r="AC59" s="228">
        <v>-1</v>
      </c>
      <c r="AD59" s="228">
        <v>-3.2</v>
      </c>
      <c r="AE59" s="228">
        <v>2.2000000000000002</v>
      </c>
      <c r="AF59" s="229">
        <v>-8.0000000000000004E-4</v>
      </c>
      <c r="AG59" s="228">
        <v>1.2</v>
      </c>
      <c r="AH59" s="228">
        <v>-0.4</v>
      </c>
      <c r="AI59" s="228">
        <v>1.6</v>
      </c>
      <c r="AJ59" s="229">
        <v>1E-3</v>
      </c>
      <c r="AK59" s="228">
        <v>3.2</v>
      </c>
      <c r="AL59" s="228">
        <v>1.5</v>
      </c>
      <c r="AM59" s="228">
        <v>1.7</v>
      </c>
      <c r="AN59" s="229">
        <v>2.5999999999999999E-3</v>
      </c>
      <c r="AO59" s="231">
        <v>1244.94</v>
      </c>
      <c r="AP59" s="231">
        <v>1246.1099999999999</v>
      </c>
      <c r="AQ59" s="228">
        <v>0</v>
      </c>
      <c r="AR59" s="230">
        <v>11478125</v>
      </c>
      <c r="AS59" s="230">
        <v>1878750</v>
      </c>
      <c r="AT59" s="230">
        <v>9599375</v>
      </c>
      <c r="AU59" s="229">
        <v>5.1093999999999999</v>
      </c>
      <c r="AV59" s="230">
        <v>5888125</v>
      </c>
      <c r="AW59" s="230">
        <v>1388125</v>
      </c>
      <c r="AX59" s="230">
        <v>4500000</v>
      </c>
      <c r="AY59" s="229">
        <v>3.2418</v>
      </c>
      <c r="AZ59" s="230">
        <v>5576875</v>
      </c>
      <c r="BA59" s="230">
        <v>479375</v>
      </c>
      <c r="BB59" s="230">
        <v>5097500</v>
      </c>
      <c r="BC59" s="229">
        <v>10.633599999999999</v>
      </c>
      <c r="BD59" s="230">
        <v>13125</v>
      </c>
      <c r="BE59" s="230">
        <v>11250</v>
      </c>
      <c r="BF59" s="230">
        <v>1875</v>
      </c>
      <c r="BG59" s="229">
        <v>0.16669999999999999</v>
      </c>
      <c r="BH59" s="230">
        <v>7407500</v>
      </c>
      <c r="BI59" s="230">
        <v>7811250</v>
      </c>
      <c r="BJ59" s="230">
        <v>-403750</v>
      </c>
      <c r="BK59" s="229">
        <v>-5.1700000000000003E-2</v>
      </c>
      <c r="BL59" s="230">
        <v>3888125</v>
      </c>
      <c r="BM59" s="230">
        <v>3371875</v>
      </c>
      <c r="BN59" s="230">
        <v>516250</v>
      </c>
      <c r="BO59" s="229">
        <v>0.15310000000000001</v>
      </c>
      <c r="BP59" s="230">
        <v>22773750</v>
      </c>
      <c r="BQ59" s="230">
        <v>13061875</v>
      </c>
      <c r="BR59" s="230">
        <v>9711875</v>
      </c>
      <c r="BS59" s="229">
        <v>0.74350000000000005</v>
      </c>
      <c r="BT59" s="230">
        <v>878639</v>
      </c>
      <c r="BU59" s="230">
        <v>895302</v>
      </c>
      <c r="BV59" s="230">
        <v>-16663</v>
      </c>
      <c r="BW59" s="229">
        <v>-1.8599999999999998E-2</v>
      </c>
      <c r="BX59" s="230">
        <v>15177500</v>
      </c>
      <c r="BY59" s="230">
        <v>16066250</v>
      </c>
      <c r="BZ59" s="230">
        <v>-888750</v>
      </c>
      <c r="CA59" s="229">
        <v>-5.5300000000000002E-2</v>
      </c>
      <c r="CB59" s="230">
        <v>9873125</v>
      </c>
      <c r="CC59" s="230">
        <v>14231875</v>
      </c>
      <c r="CD59" s="230">
        <v>-4358750</v>
      </c>
      <c r="CE59" s="229">
        <v>-0.30630000000000002</v>
      </c>
      <c r="CF59" s="230">
        <v>5195000</v>
      </c>
      <c r="CG59" s="230">
        <v>1723125</v>
      </c>
      <c r="CH59" s="230">
        <v>3471875</v>
      </c>
      <c r="CI59" s="229">
        <v>2.0148999999999999</v>
      </c>
      <c r="CJ59" s="230">
        <v>109375</v>
      </c>
      <c r="CK59" s="230">
        <v>111250</v>
      </c>
      <c r="CL59" s="230">
        <v>-1875</v>
      </c>
      <c r="CM59" s="229">
        <v>-1.6899999999999998E-2</v>
      </c>
      <c r="CN59" s="230">
        <v>10650000</v>
      </c>
      <c r="CO59" s="230">
        <v>11710625</v>
      </c>
      <c r="CP59" s="230">
        <v>-1060625</v>
      </c>
      <c r="CQ59" s="229">
        <v>-9.06E-2</v>
      </c>
      <c r="CR59" s="230">
        <v>5197500</v>
      </c>
      <c r="CS59" s="230">
        <v>5294375</v>
      </c>
      <c r="CT59" s="230">
        <v>-96875</v>
      </c>
      <c r="CU59" s="229">
        <v>-1.83E-2</v>
      </c>
      <c r="CV59" s="230">
        <v>31025000</v>
      </c>
      <c r="CW59" s="230">
        <v>33071250</v>
      </c>
      <c r="CX59" s="230">
        <v>-2046250</v>
      </c>
      <c r="CY59" s="229">
        <v>-6.1899999999999997E-2</v>
      </c>
      <c r="CZ59" s="228">
        <v>19.84</v>
      </c>
      <c r="DA59" s="228">
        <v>19.53</v>
      </c>
      <c r="DB59" s="228">
        <v>0.31</v>
      </c>
      <c r="DC59" s="228">
        <v>0.31</v>
      </c>
      <c r="DD59" s="228">
        <v>24.72</v>
      </c>
      <c r="DE59" s="228">
        <v>24.78</v>
      </c>
      <c r="DF59" s="228">
        <v>-4.88</v>
      </c>
      <c r="DG59" s="228">
        <v>-0.06</v>
      </c>
      <c r="DH59" s="228">
        <v>19.73</v>
      </c>
      <c r="DI59" s="228">
        <v>18.8</v>
      </c>
      <c r="DJ59" s="228">
        <v>0.93</v>
      </c>
      <c r="DK59" s="228">
        <v>0.93</v>
      </c>
      <c r="DL59" s="228">
        <v>20.02</v>
      </c>
      <c r="DM59" s="228">
        <v>21.2</v>
      </c>
      <c r="DN59" s="228">
        <v>-1.18</v>
      </c>
      <c r="DO59" s="228">
        <v>-1.18</v>
      </c>
      <c r="DP59" s="228">
        <v>0.49</v>
      </c>
      <c r="DQ59" s="228">
        <v>0.45</v>
      </c>
      <c r="DR59" s="228">
        <v>0.04</v>
      </c>
      <c r="DS59" s="229">
        <v>8.8900000000000007E-2</v>
      </c>
      <c r="DT59" s="231">
        <v>1300</v>
      </c>
      <c r="DU59" s="231">
        <v>1200</v>
      </c>
      <c r="DV59" s="228">
        <v>0.52</v>
      </c>
      <c r="DW59" s="228">
        <v>0.43</v>
      </c>
      <c r="DX59" s="228">
        <v>0.09</v>
      </c>
      <c r="DY59" s="229">
        <v>0.20930000000000001</v>
      </c>
      <c r="DZ59" s="229">
        <v>0.34949999999999998</v>
      </c>
      <c r="EA59" s="230">
        <v>1834375</v>
      </c>
      <c r="EB59" s="229">
        <v>1.8E-3</v>
      </c>
      <c r="EC59" s="229">
        <v>0.34949999999999998</v>
      </c>
      <c r="ED59" s="228">
        <v>1.17</v>
      </c>
      <c r="EE59" s="229">
        <v>8.9999999999999998E-4</v>
      </c>
      <c r="EF59" s="230">
        <v>417192</v>
      </c>
      <c r="EG59" s="230">
        <v>534314</v>
      </c>
      <c r="EH59" s="229">
        <v>-0.21920000000000001</v>
      </c>
      <c r="EI59" s="229">
        <v>0.4748</v>
      </c>
      <c r="EJ59" s="231">
        <v>94801.14</v>
      </c>
      <c r="EK59" s="231">
        <v>47885.86</v>
      </c>
      <c r="EL59" s="231">
        <v>142961.74</v>
      </c>
      <c r="EM59" s="231">
        <v>3456</v>
      </c>
      <c r="EN59" s="231">
        <v>285648.74</v>
      </c>
      <c r="EO59" s="231">
        <v>164254.63</v>
      </c>
      <c r="EP59" s="231">
        <v>121394.11</v>
      </c>
      <c r="EQ59" s="229">
        <v>0.73909999999999998</v>
      </c>
      <c r="ER59" s="231">
        <v>136470</v>
      </c>
      <c r="ES59" s="231">
        <v>62708</v>
      </c>
      <c r="ET59" s="231">
        <v>189473</v>
      </c>
      <c r="EU59" s="231">
        <v>61006521</v>
      </c>
      <c r="EV59" s="231">
        <v>388651</v>
      </c>
      <c r="EW59" s="231">
        <v>414568</v>
      </c>
      <c r="EX59" s="231">
        <v>-25917</v>
      </c>
      <c r="EY59" s="229">
        <v>-6.25E-2</v>
      </c>
      <c r="EZ59" s="229">
        <v>0.50860000000000005</v>
      </c>
      <c r="FA59" s="227" t="s">
        <v>556</v>
      </c>
      <c r="FB59" s="161">
        <f t="shared" si="0"/>
        <v>5304375</v>
      </c>
    </row>
    <row r="60" spans="1:158" ht="17.25" hidden="1" thickBot="1" x14ac:dyDescent="0.3">
      <c r="A60" s="226">
        <v>45981</v>
      </c>
      <c r="B60" s="227" t="s">
        <v>162</v>
      </c>
      <c r="C60" s="227" t="s">
        <v>209</v>
      </c>
      <c r="D60" s="228">
        <v>175</v>
      </c>
      <c r="E60" s="231">
        <v>7113.5</v>
      </c>
      <c r="F60" s="231">
        <v>6889</v>
      </c>
      <c r="G60" s="228">
        <v>224.5</v>
      </c>
      <c r="H60" s="229">
        <v>3.2599999999999997E-2</v>
      </c>
      <c r="I60" s="231">
        <v>7125.5</v>
      </c>
      <c r="J60" s="231">
        <v>6896.5</v>
      </c>
      <c r="K60" s="228">
        <v>229</v>
      </c>
      <c r="L60" s="229">
        <v>3.32E-2</v>
      </c>
      <c r="M60" s="231">
        <v>7113.5</v>
      </c>
      <c r="N60" s="231">
        <v>6889</v>
      </c>
      <c r="O60" s="228">
        <v>224.5</v>
      </c>
      <c r="P60" s="229">
        <v>3.2599999999999997E-2</v>
      </c>
      <c r="Q60" s="231">
        <v>7164.5</v>
      </c>
      <c r="R60" s="231">
        <v>6934</v>
      </c>
      <c r="S60" s="228">
        <v>230.5</v>
      </c>
      <c r="T60" s="229">
        <v>3.32E-2</v>
      </c>
      <c r="U60" s="231">
        <v>7200.5</v>
      </c>
      <c r="V60" s="231">
        <v>6974.5</v>
      </c>
      <c r="W60" s="228">
        <v>226</v>
      </c>
      <c r="X60" s="229">
        <v>3.2399999999999998E-2</v>
      </c>
      <c r="Y60" s="228">
        <v>-12</v>
      </c>
      <c r="Z60" s="228">
        <v>-7.5</v>
      </c>
      <c r="AA60" s="228">
        <v>-4.5</v>
      </c>
      <c r="AB60" s="229">
        <v>-1.6999999999999999E-3</v>
      </c>
      <c r="AC60" s="228">
        <v>-12</v>
      </c>
      <c r="AD60" s="228">
        <v>-7.5</v>
      </c>
      <c r="AE60" s="228">
        <v>-4.5</v>
      </c>
      <c r="AF60" s="229">
        <v>-1.6999999999999999E-3</v>
      </c>
      <c r="AG60" s="228">
        <v>39</v>
      </c>
      <c r="AH60" s="228">
        <v>37.5</v>
      </c>
      <c r="AI60" s="228">
        <v>1.5</v>
      </c>
      <c r="AJ60" s="229">
        <v>5.4999999999999997E-3</v>
      </c>
      <c r="AK60" s="228">
        <v>75</v>
      </c>
      <c r="AL60" s="228">
        <v>78</v>
      </c>
      <c r="AM60" s="228">
        <v>-3</v>
      </c>
      <c r="AN60" s="229">
        <v>1.0500000000000001E-2</v>
      </c>
      <c r="AO60" s="231">
        <v>7051.74</v>
      </c>
      <c r="AP60" s="231">
        <v>7102.01</v>
      </c>
      <c r="AQ60" s="228">
        <v>0</v>
      </c>
      <c r="AR60" s="230">
        <v>2646175</v>
      </c>
      <c r="AS60" s="230">
        <v>721175</v>
      </c>
      <c r="AT60" s="230">
        <v>1925000</v>
      </c>
      <c r="AU60" s="229">
        <v>2.6692999999999998</v>
      </c>
      <c r="AV60" s="230">
        <v>1471225</v>
      </c>
      <c r="AW60" s="230">
        <v>524475</v>
      </c>
      <c r="AX60" s="230">
        <v>946750</v>
      </c>
      <c r="AY60" s="229">
        <v>1.8050999999999999</v>
      </c>
      <c r="AZ60" s="230">
        <v>1143275</v>
      </c>
      <c r="BA60" s="230">
        <v>192675</v>
      </c>
      <c r="BB60" s="230">
        <v>950600</v>
      </c>
      <c r="BC60" s="229">
        <v>4.9337</v>
      </c>
      <c r="BD60" s="230">
        <v>31675</v>
      </c>
      <c r="BE60" s="230">
        <v>4025</v>
      </c>
      <c r="BF60" s="230">
        <v>27650</v>
      </c>
      <c r="BG60" s="229">
        <v>6.8696000000000002</v>
      </c>
      <c r="BH60" s="230">
        <v>30734200</v>
      </c>
      <c r="BI60" s="230">
        <v>5511275</v>
      </c>
      <c r="BJ60" s="230">
        <v>25222925</v>
      </c>
      <c r="BK60" s="229">
        <v>4.5766</v>
      </c>
      <c r="BL60" s="230">
        <v>9063950</v>
      </c>
      <c r="BM60" s="230">
        <v>2252075</v>
      </c>
      <c r="BN60" s="230">
        <v>6811875</v>
      </c>
      <c r="BO60" s="229">
        <v>3.0247000000000002</v>
      </c>
      <c r="BP60" s="230">
        <v>42444325</v>
      </c>
      <c r="BQ60" s="230">
        <v>8484525</v>
      </c>
      <c r="BR60" s="230">
        <v>33959800</v>
      </c>
      <c r="BS60" s="229">
        <v>4.0026000000000002</v>
      </c>
      <c r="BT60" s="230">
        <v>876233</v>
      </c>
      <c r="BU60" s="230">
        <v>420102</v>
      </c>
      <c r="BV60" s="230">
        <v>456131</v>
      </c>
      <c r="BW60" s="229">
        <v>1.0858000000000001</v>
      </c>
      <c r="BX60" s="230">
        <v>3118550</v>
      </c>
      <c r="BY60" s="230">
        <v>3108450</v>
      </c>
      <c r="BZ60" s="230">
        <v>10100</v>
      </c>
      <c r="CA60" s="229">
        <v>3.2000000000000002E-3</v>
      </c>
      <c r="CB60" s="230">
        <v>2156525</v>
      </c>
      <c r="CC60" s="230">
        <v>2782675</v>
      </c>
      <c r="CD60" s="230">
        <v>-626150</v>
      </c>
      <c r="CE60" s="229">
        <v>-0.22500000000000001</v>
      </c>
      <c r="CF60" s="230">
        <v>939225</v>
      </c>
      <c r="CG60" s="230">
        <v>310975</v>
      </c>
      <c r="CH60" s="230">
        <v>628250</v>
      </c>
      <c r="CI60" s="229">
        <v>2.0203000000000002</v>
      </c>
      <c r="CJ60" s="230">
        <v>22800</v>
      </c>
      <c r="CK60" s="230">
        <v>14800</v>
      </c>
      <c r="CL60" s="230">
        <v>8000</v>
      </c>
      <c r="CM60" s="229">
        <v>0.54049999999999998</v>
      </c>
      <c r="CN60" s="230">
        <v>2741500</v>
      </c>
      <c r="CO60" s="230">
        <v>2403400</v>
      </c>
      <c r="CP60" s="230">
        <v>338100</v>
      </c>
      <c r="CQ60" s="229">
        <v>0.14069999999999999</v>
      </c>
      <c r="CR60" s="230">
        <v>2438175</v>
      </c>
      <c r="CS60" s="230">
        <v>1758125</v>
      </c>
      <c r="CT60" s="230">
        <v>680050</v>
      </c>
      <c r="CU60" s="229">
        <v>0.38679999999999998</v>
      </c>
      <c r="CV60" s="230">
        <v>8298225</v>
      </c>
      <c r="CW60" s="230">
        <v>7269975</v>
      </c>
      <c r="CX60" s="230">
        <v>1028250</v>
      </c>
      <c r="CY60" s="229">
        <v>0.1414</v>
      </c>
      <c r="CZ60" s="228">
        <v>20.57</v>
      </c>
      <c r="DA60" s="228">
        <v>20.22</v>
      </c>
      <c r="DB60" s="228">
        <v>0.35</v>
      </c>
      <c r="DC60" s="228">
        <v>0.35</v>
      </c>
      <c r="DD60" s="228">
        <v>27.7</v>
      </c>
      <c r="DE60" s="228">
        <v>27.42</v>
      </c>
      <c r="DF60" s="228">
        <v>-7.13</v>
      </c>
      <c r="DG60" s="228">
        <v>0.28000000000000003</v>
      </c>
      <c r="DH60" s="228">
        <v>20.190000000000001</v>
      </c>
      <c r="DI60" s="228">
        <v>19.940000000000001</v>
      </c>
      <c r="DJ60" s="228">
        <v>0.25</v>
      </c>
      <c r="DK60" s="228">
        <v>0.25</v>
      </c>
      <c r="DL60" s="228">
        <v>21.38</v>
      </c>
      <c r="DM60" s="228">
        <v>20.89</v>
      </c>
      <c r="DN60" s="228">
        <v>0.49</v>
      </c>
      <c r="DO60" s="228">
        <v>0.49</v>
      </c>
      <c r="DP60" s="228">
        <v>0.89</v>
      </c>
      <c r="DQ60" s="228">
        <v>0.73</v>
      </c>
      <c r="DR60" s="228">
        <v>0.16</v>
      </c>
      <c r="DS60" s="229">
        <v>0.21920000000000001</v>
      </c>
      <c r="DT60" s="231">
        <v>7500</v>
      </c>
      <c r="DU60" s="231">
        <v>7000</v>
      </c>
      <c r="DV60" s="228">
        <v>0.28999999999999998</v>
      </c>
      <c r="DW60" s="228">
        <v>0.41</v>
      </c>
      <c r="DX60" s="228">
        <v>-0.12</v>
      </c>
      <c r="DY60" s="229">
        <v>-0.29270000000000002</v>
      </c>
      <c r="DZ60" s="229">
        <v>0.3085</v>
      </c>
      <c r="EA60" s="230">
        <v>325775</v>
      </c>
      <c r="EB60" s="229">
        <v>7.1999999999999998E-3</v>
      </c>
      <c r="EC60" s="229">
        <v>0.3085</v>
      </c>
      <c r="ED60" s="228">
        <v>50.27</v>
      </c>
      <c r="EE60" s="229">
        <v>7.1000000000000004E-3</v>
      </c>
      <c r="EF60" s="230">
        <v>405930</v>
      </c>
      <c r="EG60" s="230">
        <v>287095</v>
      </c>
      <c r="EH60" s="229">
        <v>0.41389999999999999</v>
      </c>
      <c r="EI60" s="229">
        <v>0.46329999999999999</v>
      </c>
      <c r="EJ60" s="231">
        <v>2219926.48</v>
      </c>
      <c r="EK60" s="231">
        <v>629408.6</v>
      </c>
      <c r="EL60" s="231">
        <v>186235.48</v>
      </c>
      <c r="EM60" s="231">
        <v>6638</v>
      </c>
      <c r="EN60" s="231">
        <v>3035570.56</v>
      </c>
      <c r="EO60" s="231">
        <v>588995.49</v>
      </c>
      <c r="EP60" s="231">
        <v>2446575.0699999998</v>
      </c>
      <c r="EQ60" s="229">
        <v>4.1538000000000004</v>
      </c>
      <c r="ER60" s="231">
        <v>200144</v>
      </c>
      <c r="ES60" s="231">
        <v>163660</v>
      </c>
      <c r="ET60" s="231">
        <v>222337</v>
      </c>
      <c r="EU60" s="231">
        <v>20353850</v>
      </c>
      <c r="EV60" s="231">
        <v>586141</v>
      </c>
      <c r="EW60" s="231">
        <v>502306</v>
      </c>
      <c r="EX60" s="231">
        <v>83835</v>
      </c>
      <c r="EY60" s="229">
        <v>0.16689999999999999</v>
      </c>
      <c r="EZ60" s="229">
        <v>0.40770000000000001</v>
      </c>
      <c r="FA60" s="227" t="s">
        <v>555</v>
      </c>
      <c r="FB60" s="161">
        <f t="shared" si="0"/>
        <v>962025</v>
      </c>
    </row>
    <row r="61" spans="1:158" ht="17.25" hidden="1" thickBot="1" x14ac:dyDescent="0.3">
      <c r="A61" s="226">
        <v>45981</v>
      </c>
      <c r="B61" s="227" t="s">
        <v>615</v>
      </c>
      <c r="C61" s="227" t="s">
        <v>668</v>
      </c>
      <c r="D61" s="228">
        <v>2425</v>
      </c>
      <c r="E61" s="228">
        <v>306.75</v>
      </c>
      <c r="F61" s="228">
        <v>306.8</v>
      </c>
      <c r="G61" s="228">
        <v>-0.05</v>
      </c>
      <c r="H61" s="229">
        <v>-2.0000000000000001E-4</v>
      </c>
      <c r="I61" s="228">
        <v>306.89999999999998</v>
      </c>
      <c r="J61" s="228">
        <v>306.60000000000002</v>
      </c>
      <c r="K61" s="228">
        <v>0.3</v>
      </c>
      <c r="L61" s="229">
        <v>1E-3</v>
      </c>
      <c r="M61" s="228">
        <v>306.75</v>
      </c>
      <c r="N61" s="228">
        <v>306.8</v>
      </c>
      <c r="O61" s="228">
        <v>-0.05</v>
      </c>
      <c r="P61" s="229">
        <v>-2.0000000000000001E-4</v>
      </c>
      <c r="Q61" s="228">
        <v>308.85000000000002</v>
      </c>
      <c r="R61" s="228">
        <v>308.85000000000002</v>
      </c>
      <c r="S61" s="228">
        <v>0</v>
      </c>
      <c r="T61" s="229">
        <v>0</v>
      </c>
      <c r="U61" s="228">
        <v>310.7</v>
      </c>
      <c r="V61" s="228">
        <v>310.64999999999998</v>
      </c>
      <c r="W61" s="228">
        <v>0.05</v>
      </c>
      <c r="X61" s="229">
        <v>2.0000000000000001E-4</v>
      </c>
      <c r="Y61" s="228">
        <v>-0.15</v>
      </c>
      <c r="Z61" s="228">
        <v>0.2</v>
      </c>
      <c r="AA61" s="228">
        <v>-0.35</v>
      </c>
      <c r="AB61" s="229">
        <v>-5.0000000000000001E-4</v>
      </c>
      <c r="AC61" s="228">
        <v>-0.15</v>
      </c>
      <c r="AD61" s="228">
        <v>0.2</v>
      </c>
      <c r="AE61" s="228">
        <v>-0.35</v>
      </c>
      <c r="AF61" s="229">
        <v>-5.0000000000000001E-4</v>
      </c>
      <c r="AG61" s="228">
        <v>1.95</v>
      </c>
      <c r="AH61" s="228">
        <v>2.25</v>
      </c>
      <c r="AI61" s="228">
        <v>-0.3</v>
      </c>
      <c r="AJ61" s="229">
        <v>6.4000000000000003E-3</v>
      </c>
      <c r="AK61" s="228">
        <v>3.8</v>
      </c>
      <c r="AL61" s="228">
        <v>4.05</v>
      </c>
      <c r="AM61" s="228">
        <v>-0.25</v>
      </c>
      <c r="AN61" s="229">
        <v>1.24E-2</v>
      </c>
      <c r="AO61" s="228">
        <v>307.04000000000002</v>
      </c>
      <c r="AP61" s="228">
        <v>309.13</v>
      </c>
      <c r="AQ61" s="228">
        <v>0</v>
      </c>
      <c r="AR61" s="230">
        <v>180104750</v>
      </c>
      <c r="AS61" s="230">
        <v>24279100</v>
      </c>
      <c r="AT61" s="230">
        <v>155825650</v>
      </c>
      <c r="AU61" s="229">
        <v>6.4180999999999999</v>
      </c>
      <c r="AV61" s="230">
        <v>91012675</v>
      </c>
      <c r="AW61" s="230">
        <v>16999250</v>
      </c>
      <c r="AX61" s="230">
        <v>74013425</v>
      </c>
      <c r="AY61" s="229">
        <v>4.3539000000000003</v>
      </c>
      <c r="AZ61" s="230">
        <v>88708925</v>
      </c>
      <c r="BA61" s="230">
        <v>7037350</v>
      </c>
      <c r="BB61" s="230">
        <v>81671575</v>
      </c>
      <c r="BC61" s="229">
        <v>11.605399999999999</v>
      </c>
      <c r="BD61" s="230">
        <v>383150</v>
      </c>
      <c r="BE61" s="230">
        <v>242500</v>
      </c>
      <c r="BF61" s="230">
        <v>140650</v>
      </c>
      <c r="BG61" s="229">
        <v>0.57999999999999996</v>
      </c>
      <c r="BH61" s="230">
        <v>90612550</v>
      </c>
      <c r="BI61" s="230">
        <v>91240625</v>
      </c>
      <c r="BJ61" s="230">
        <v>-628075</v>
      </c>
      <c r="BK61" s="229">
        <v>-6.8999999999999999E-3</v>
      </c>
      <c r="BL61" s="230">
        <v>29221250</v>
      </c>
      <c r="BM61" s="230">
        <v>33304950</v>
      </c>
      <c r="BN61" s="230">
        <v>-4083700</v>
      </c>
      <c r="BO61" s="229">
        <v>-0.1226</v>
      </c>
      <c r="BP61" s="230">
        <v>299938550</v>
      </c>
      <c r="BQ61" s="230">
        <v>148824675</v>
      </c>
      <c r="BR61" s="230">
        <v>151113875</v>
      </c>
      <c r="BS61" s="229">
        <v>1.0154000000000001</v>
      </c>
      <c r="BT61" s="230">
        <v>16800466</v>
      </c>
      <c r="BU61" s="230">
        <v>16134803</v>
      </c>
      <c r="BV61" s="230">
        <v>665663</v>
      </c>
      <c r="BW61" s="229">
        <v>4.1300000000000003E-2</v>
      </c>
      <c r="BX61" s="230">
        <v>304221100</v>
      </c>
      <c r="BY61" s="230">
        <v>303430550</v>
      </c>
      <c r="BZ61" s="230">
        <v>790550</v>
      </c>
      <c r="CA61" s="229">
        <v>2.5999999999999999E-3</v>
      </c>
      <c r="CB61" s="230">
        <v>190968750</v>
      </c>
      <c r="CC61" s="230">
        <v>274609425</v>
      </c>
      <c r="CD61" s="230">
        <v>-83640675</v>
      </c>
      <c r="CE61" s="229">
        <v>-0.30459999999999998</v>
      </c>
      <c r="CF61" s="230">
        <v>111501500</v>
      </c>
      <c r="CG61" s="230">
        <v>27138175</v>
      </c>
      <c r="CH61" s="230">
        <v>84363325</v>
      </c>
      <c r="CI61" s="229">
        <v>3.1086999999999998</v>
      </c>
      <c r="CJ61" s="230">
        <v>1750850</v>
      </c>
      <c r="CK61" s="230">
        <v>1682950</v>
      </c>
      <c r="CL61" s="230">
        <v>67900</v>
      </c>
      <c r="CM61" s="229">
        <v>4.0300000000000002E-2</v>
      </c>
      <c r="CN61" s="230">
        <v>106479325</v>
      </c>
      <c r="CO61" s="230">
        <v>114993500</v>
      </c>
      <c r="CP61" s="230">
        <v>-8514175</v>
      </c>
      <c r="CQ61" s="229">
        <v>-7.3999999999999996E-2</v>
      </c>
      <c r="CR61" s="230">
        <v>53563400</v>
      </c>
      <c r="CS61" s="230">
        <v>54290900</v>
      </c>
      <c r="CT61" s="230">
        <v>-727500</v>
      </c>
      <c r="CU61" s="229">
        <v>-1.34E-2</v>
      </c>
      <c r="CV61" s="230">
        <v>464263825</v>
      </c>
      <c r="CW61" s="230">
        <v>472714950</v>
      </c>
      <c r="CX61" s="230">
        <v>-8451125</v>
      </c>
      <c r="CY61" s="229">
        <v>-1.7899999999999999E-2</v>
      </c>
      <c r="CZ61" s="228">
        <v>28.17</v>
      </c>
      <c r="DA61" s="228">
        <v>29.93</v>
      </c>
      <c r="DB61" s="228">
        <v>-1.76</v>
      </c>
      <c r="DC61" s="228">
        <v>-1.76</v>
      </c>
      <c r="DD61" s="228">
        <v>44.65</v>
      </c>
      <c r="DE61" s="228">
        <v>44.76</v>
      </c>
      <c r="DF61" s="228">
        <v>-16.48</v>
      </c>
      <c r="DG61" s="228">
        <v>-0.11</v>
      </c>
      <c r="DH61" s="228">
        <v>27.99</v>
      </c>
      <c r="DI61" s="228">
        <v>30.5</v>
      </c>
      <c r="DJ61" s="228">
        <v>-2.5099999999999998</v>
      </c>
      <c r="DK61" s="228">
        <v>-2.5099999999999998</v>
      </c>
      <c r="DL61" s="228">
        <v>28.63</v>
      </c>
      <c r="DM61" s="228">
        <v>28.37</v>
      </c>
      <c r="DN61" s="228">
        <v>0.26</v>
      </c>
      <c r="DO61" s="228">
        <v>0.26</v>
      </c>
      <c r="DP61" s="228">
        <v>0.5</v>
      </c>
      <c r="DQ61" s="228">
        <v>0.47</v>
      </c>
      <c r="DR61" s="228">
        <v>0.03</v>
      </c>
      <c r="DS61" s="229">
        <v>6.3799999999999996E-2</v>
      </c>
      <c r="DT61" s="228">
        <v>330</v>
      </c>
      <c r="DU61" s="228">
        <v>300</v>
      </c>
      <c r="DV61" s="228">
        <v>0.32</v>
      </c>
      <c r="DW61" s="228">
        <v>0.37</v>
      </c>
      <c r="DX61" s="228">
        <v>-0.05</v>
      </c>
      <c r="DY61" s="229">
        <v>-0.1351</v>
      </c>
      <c r="DZ61" s="229">
        <v>0.37230000000000002</v>
      </c>
      <c r="EA61" s="230">
        <v>28821125</v>
      </c>
      <c r="EB61" s="229">
        <v>6.7999999999999996E-3</v>
      </c>
      <c r="EC61" s="229">
        <v>0.37230000000000002</v>
      </c>
      <c r="ED61" s="228">
        <v>2.09</v>
      </c>
      <c r="EE61" s="229">
        <v>6.7999999999999996E-3</v>
      </c>
      <c r="EF61" s="230">
        <v>11147738</v>
      </c>
      <c r="EG61" s="230">
        <v>9262738</v>
      </c>
      <c r="EH61" s="229">
        <v>0.20349999999999999</v>
      </c>
      <c r="EI61" s="229">
        <v>0.66349999999999998</v>
      </c>
      <c r="EJ61" s="231">
        <v>293963.59999999998</v>
      </c>
      <c r="EK61" s="231">
        <v>89403.79</v>
      </c>
      <c r="EL61" s="231">
        <v>554861.91</v>
      </c>
      <c r="EM61" s="231">
        <v>15539</v>
      </c>
      <c r="EN61" s="231">
        <v>938229.3</v>
      </c>
      <c r="EO61" s="231">
        <v>471749.49</v>
      </c>
      <c r="EP61" s="231">
        <v>466479.81</v>
      </c>
      <c r="EQ61" s="229">
        <v>0.98880000000000001</v>
      </c>
      <c r="ER61" s="231">
        <v>351666</v>
      </c>
      <c r="ES61" s="231">
        <v>165288</v>
      </c>
      <c r="ET61" s="231">
        <v>935609</v>
      </c>
      <c r="EU61" s="231">
        <v>1361988292</v>
      </c>
      <c r="EV61" s="231">
        <v>1452563</v>
      </c>
      <c r="EW61" s="231">
        <v>1479783</v>
      </c>
      <c r="EX61" s="231">
        <v>-27220</v>
      </c>
      <c r="EY61" s="229">
        <v>-1.84E-2</v>
      </c>
      <c r="EZ61" s="229">
        <v>0.34089999999999998</v>
      </c>
      <c r="FA61" s="227" t="s">
        <v>567</v>
      </c>
      <c r="FB61" s="161">
        <f t="shared" si="0"/>
        <v>113252350</v>
      </c>
    </row>
    <row r="62" spans="1:158" ht="17.25" hidden="1" thickBot="1" x14ac:dyDescent="0.3">
      <c r="A62" s="226">
        <v>45981</v>
      </c>
      <c r="B62" s="227" t="s">
        <v>162</v>
      </c>
      <c r="C62" s="227" t="s">
        <v>211</v>
      </c>
      <c r="D62" s="228">
        <v>1800</v>
      </c>
      <c r="E62" s="228">
        <v>381.4</v>
      </c>
      <c r="F62" s="228">
        <v>380.75</v>
      </c>
      <c r="G62" s="228">
        <v>0.65</v>
      </c>
      <c r="H62" s="229">
        <v>1.6999999999999999E-3</v>
      </c>
      <c r="I62" s="228">
        <v>380.8</v>
      </c>
      <c r="J62" s="228">
        <v>380.9</v>
      </c>
      <c r="K62" s="228">
        <v>-0.1</v>
      </c>
      <c r="L62" s="229">
        <v>-2.9999999999999997E-4</v>
      </c>
      <c r="M62" s="228">
        <v>381.4</v>
      </c>
      <c r="N62" s="228">
        <v>380.75</v>
      </c>
      <c r="O62" s="228">
        <v>0.65</v>
      </c>
      <c r="P62" s="229">
        <v>1.6999999999999999E-3</v>
      </c>
      <c r="Q62" s="228">
        <v>383.9</v>
      </c>
      <c r="R62" s="228">
        <v>383.4</v>
      </c>
      <c r="S62" s="228">
        <v>0.5</v>
      </c>
      <c r="T62" s="229">
        <v>1.2999999999999999E-3</v>
      </c>
      <c r="U62" s="228">
        <v>386.35</v>
      </c>
      <c r="V62" s="228">
        <v>387.65</v>
      </c>
      <c r="W62" s="228">
        <v>-1.3</v>
      </c>
      <c r="X62" s="229">
        <v>-3.3999999999999998E-3</v>
      </c>
      <c r="Y62" s="228">
        <v>0.6</v>
      </c>
      <c r="Z62" s="228">
        <v>-0.15</v>
      </c>
      <c r="AA62" s="228">
        <v>0.75</v>
      </c>
      <c r="AB62" s="229">
        <v>1.6000000000000001E-3</v>
      </c>
      <c r="AC62" s="228">
        <v>0.6</v>
      </c>
      <c r="AD62" s="228">
        <v>-0.15</v>
      </c>
      <c r="AE62" s="228">
        <v>0.75</v>
      </c>
      <c r="AF62" s="229">
        <v>1.6000000000000001E-3</v>
      </c>
      <c r="AG62" s="228">
        <v>3.1</v>
      </c>
      <c r="AH62" s="228">
        <v>2.5</v>
      </c>
      <c r="AI62" s="228">
        <v>0.6</v>
      </c>
      <c r="AJ62" s="229">
        <v>8.0999999999999996E-3</v>
      </c>
      <c r="AK62" s="228">
        <v>5.55</v>
      </c>
      <c r="AL62" s="228">
        <v>6.75</v>
      </c>
      <c r="AM62" s="228">
        <v>-1.2</v>
      </c>
      <c r="AN62" s="229">
        <v>1.46E-2</v>
      </c>
      <c r="AO62" s="228">
        <v>382.11</v>
      </c>
      <c r="AP62" s="228">
        <v>384.55</v>
      </c>
      <c r="AQ62" s="228">
        <v>0</v>
      </c>
      <c r="AR62" s="230">
        <v>11584800</v>
      </c>
      <c r="AS62" s="230">
        <v>8654400</v>
      </c>
      <c r="AT62" s="230">
        <v>2930400</v>
      </c>
      <c r="AU62" s="229">
        <v>0.33860000000000001</v>
      </c>
      <c r="AV62" s="230">
        <v>6157800</v>
      </c>
      <c r="AW62" s="230">
        <v>5621400</v>
      </c>
      <c r="AX62" s="230">
        <v>536400</v>
      </c>
      <c r="AY62" s="229">
        <v>9.5399999999999999E-2</v>
      </c>
      <c r="AZ62" s="230">
        <v>5355000</v>
      </c>
      <c r="BA62" s="230">
        <v>2962800</v>
      </c>
      <c r="BB62" s="230">
        <v>2392200</v>
      </c>
      <c r="BC62" s="229">
        <v>0.80740000000000001</v>
      </c>
      <c r="BD62" s="230">
        <v>72000</v>
      </c>
      <c r="BE62" s="230">
        <v>70200</v>
      </c>
      <c r="BF62" s="230">
        <v>1800</v>
      </c>
      <c r="BG62" s="229">
        <v>2.5600000000000001E-2</v>
      </c>
      <c r="BH62" s="230">
        <v>14351400</v>
      </c>
      <c r="BI62" s="230">
        <v>21907800</v>
      </c>
      <c r="BJ62" s="230">
        <v>-7556400</v>
      </c>
      <c r="BK62" s="229">
        <v>-0.34489999999999998</v>
      </c>
      <c r="BL62" s="230">
        <v>5533200</v>
      </c>
      <c r="BM62" s="230">
        <v>9176400</v>
      </c>
      <c r="BN62" s="230">
        <v>-3643200</v>
      </c>
      <c r="BO62" s="229">
        <v>-0.39700000000000002</v>
      </c>
      <c r="BP62" s="230">
        <v>31469400</v>
      </c>
      <c r="BQ62" s="230">
        <v>39738600</v>
      </c>
      <c r="BR62" s="230">
        <v>-8269200</v>
      </c>
      <c r="BS62" s="229">
        <v>-0.20810000000000001</v>
      </c>
      <c r="BT62" s="230">
        <v>1303172</v>
      </c>
      <c r="BU62" s="230">
        <v>1480793</v>
      </c>
      <c r="BV62" s="230">
        <v>-177621</v>
      </c>
      <c r="BW62" s="229">
        <v>-0.11990000000000001</v>
      </c>
      <c r="BX62" s="230">
        <v>36063000</v>
      </c>
      <c r="BY62" s="230">
        <v>36428400</v>
      </c>
      <c r="BZ62" s="230">
        <v>-365400</v>
      </c>
      <c r="CA62" s="229">
        <v>-0.01</v>
      </c>
      <c r="CB62" s="230">
        <v>24222600</v>
      </c>
      <c r="CC62" s="230">
        <v>28445400</v>
      </c>
      <c r="CD62" s="230">
        <v>-4222800</v>
      </c>
      <c r="CE62" s="229">
        <v>-0.14849999999999999</v>
      </c>
      <c r="CF62" s="230">
        <v>11543400</v>
      </c>
      <c r="CG62" s="230">
        <v>7722000</v>
      </c>
      <c r="CH62" s="230">
        <v>3821400</v>
      </c>
      <c r="CI62" s="229">
        <v>0.49490000000000001</v>
      </c>
      <c r="CJ62" s="230">
        <v>297000</v>
      </c>
      <c r="CK62" s="230">
        <v>261000</v>
      </c>
      <c r="CL62" s="230">
        <v>36000</v>
      </c>
      <c r="CM62" s="229">
        <v>0.13789999999999999</v>
      </c>
      <c r="CN62" s="230">
        <v>17897400</v>
      </c>
      <c r="CO62" s="230">
        <v>18282600</v>
      </c>
      <c r="CP62" s="230">
        <v>-385200</v>
      </c>
      <c r="CQ62" s="229">
        <v>-2.1100000000000001E-2</v>
      </c>
      <c r="CR62" s="230">
        <v>11662200</v>
      </c>
      <c r="CS62" s="230">
        <v>12182400</v>
      </c>
      <c r="CT62" s="230">
        <v>-520200</v>
      </c>
      <c r="CU62" s="229">
        <v>-4.2700000000000002E-2</v>
      </c>
      <c r="CV62" s="230">
        <v>65622600</v>
      </c>
      <c r="CW62" s="230">
        <v>66893400</v>
      </c>
      <c r="CX62" s="230">
        <v>-1270800</v>
      </c>
      <c r="CY62" s="229">
        <v>-1.9E-2</v>
      </c>
      <c r="CZ62" s="228">
        <v>22.55</v>
      </c>
      <c r="DA62" s="228">
        <v>23.71</v>
      </c>
      <c r="DB62" s="228">
        <v>-1.1599999999999999</v>
      </c>
      <c r="DC62" s="228">
        <v>-1.1599999999999999</v>
      </c>
      <c r="DD62" s="228">
        <v>34.08</v>
      </c>
      <c r="DE62" s="228">
        <v>34.17</v>
      </c>
      <c r="DF62" s="228">
        <v>-11.53</v>
      </c>
      <c r="DG62" s="228">
        <v>-0.09</v>
      </c>
      <c r="DH62" s="228">
        <v>22.48</v>
      </c>
      <c r="DI62" s="228">
        <v>23.69</v>
      </c>
      <c r="DJ62" s="228">
        <v>-1.21</v>
      </c>
      <c r="DK62" s="228">
        <v>-1.21</v>
      </c>
      <c r="DL62" s="228">
        <v>22.66</v>
      </c>
      <c r="DM62" s="228">
        <v>23.78</v>
      </c>
      <c r="DN62" s="228">
        <v>-1.1200000000000001</v>
      </c>
      <c r="DO62" s="228">
        <v>-1.1200000000000001</v>
      </c>
      <c r="DP62" s="228">
        <v>0.65</v>
      </c>
      <c r="DQ62" s="228">
        <v>0.67</v>
      </c>
      <c r="DR62" s="228">
        <v>-0.02</v>
      </c>
      <c r="DS62" s="229">
        <v>-2.9899999999999999E-2</v>
      </c>
      <c r="DT62" s="228">
        <v>400</v>
      </c>
      <c r="DU62" s="228">
        <v>380</v>
      </c>
      <c r="DV62" s="228">
        <v>0.39</v>
      </c>
      <c r="DW62" s="228">
        <v>0.42</v>
      </c>
      <c r="DX62" s="228">
        <v>-0.03</v>
      </c>
      <c r="DY62" s="229">
        <v>-7.1400000000000005E-2</v>
      </c>
      <c r="DZ62" s="229">
        <v>0.32829999999999998</v>
      </c>
      <c r="EA62" s="230">
        <v>7983000</v>
      </c>
      <c r="EB62" s="229">
        <v>6.6E-3</v>
      </c>
      <c r="EC62" s="229">
        <v>0.32829999999999998</v>
      </c>
      <c r="ED62" s="228">
        <v>2.44</v>
      </c>
      <c r="EE62" s="229">
        <v>6.4000000000000003E-3</v>
      </c>
      <c r="EF62" s="230">
        <v>692047</v>
      </c>
      <c r="EG62" s="230">
        <v>614519</v>
      </c>
      <c r="EH62" s="229">
        <v>0.12620000000000001</v>
      </c>
      <c r="EI62" s="229">
        <v>0.53100000000000003</v>
      </c>
      <c r="EJ62" s="231">
        <v>56326.33</v>
      </c>
      <c r="EK62" s="231">
        <v>21006.27</v>
      </c>
      <c r="EL62" s="231">
        <v>44400.79</v>
      </c>
      <c r="EM62" s="231">
        <v>4530</v>
      </c>
      <c r="EN62" s="231">
        <v>121733.39</v>
      </c>
      <c r="EO62" s="231">
        <v>153996.42000000001</v>
      </c>
      <c r="EP62" s="231">
        <v>-32263.03</v>
      </c>
      <c r="EQ62" s="229">
        <v>-0.20949999999999999</v>
      </c>
      <c r="ER62" s="231">
        <v>71060</v>
      </c>
      <c r="ES62" s="231">
        <v>44456</v>
      </c>
      <c r="ET62" s="231">
        <v>137848</v>
      </c>
      <c r="EU62" s="231">
        <v>68856800</v>
      </c>
      <c r="EV62" s="231">
        <v>253364</v>
      </c>
      <c r="EW62" s="231">
        <v>257956</v>
      </c>
      <c r="EX62" s="231">
        <v>-4592</v>
      </c>
      <c r="EY62" s="229">
        <v>-1.78E-2</v>
      </c>
      <c r="EZ62" s="229">
        <v>0.95299999999999996</v>
      </c>
      <c r="FA62" s="227" t="s">
        <v>556</v>
      </c>
      <c r="FB62" s="161">
        <f t="shared" si="0"/>
        <v>11840400</v>
      </c>
    </row>
    <row r="63" spans="1:158" ht="17.25" hidden="1" thickBot="1" x14ac:dyDescent="0.3">
      <c r="A63" s="226">
        <v>45981</v>
      </c>
      <c r="B63" s="227" t="s">
        <v>172</v>
      </c>
      <c r="C63" s="227" t="s">
        <v>212</v>
      </c>
      <c r="D63" s="228">
        <v>5000</v>
      </c>
      <c r="E63" s="228">
        <v>244.79</v>
      </c>
      <c r="F63" s="228">
        <v>245.39</v>
      </c>
      <c r="G63" s="228">
        <v>-0.6</v>
      </c>
      <c r="H63" s="229">
        <v>-2.3999999999999998E-3</v>
      </c>
      <c r="I63" s="228">
        <v>244.93</v>
      </c>
      <c r="J63" s="228">
        <v>246.02</v>
      </c>
      <c r="K63" s="228">
        <v>-1.0900000000000001</v>
      </c>
      <c r="L63" s="229">
        <v>-4.4000000000000003E-3</v>
      </c>
      <c r="M63" s="228">
        <v>244.79</v>
      </c>
      <c r="N63" s="228">
        <v>245.39</v>
      </c>
      <c r="O63" s="228">
        <v>-0.6</v>
      </c>
      <c r="P63" s="229">
        <v>-2.3999999999999998E-3</v>
      </c>
      <c r="Q63" s="228">
        <v>245.93</v>
      </c>
      <c r="R63" s="228">
        <v>246.54</v>
      </c>
      <c r="S63" s="228">
        <v>-0.61</v>
      </c>
      <c r="T63" s="229">
        <v>-2.5000000000000001E-3</v>
      </c>
      <c r="U63" s="228">
        <v>246.95</v>
      </c>
      <c r="V63" s="228">
        <v>247.49</v>
      </c>
      <c r="W63" s="228">
        <v>-0.54</v>
      </c>
      <c r="X63" s="229">
        <v>-2.2000000000000001E-3</v>
      </c>
      <c r="Y63" s="228">
        <v>-0.14000000000000001</v>
      </c>
      <c r="Z63" s="228">
        <v>-0.63</v>
      </c>
      <c r="AA63" s="228">
        <v>0.49</v>
      </c>
      <c r="AB63" s="229">
        <v>-5.9999999999999995E-4</v>
      </c>
      <c r="AC63" s="228">
        <v>-0.14000000000000001</v>
      </c>
      <c r="AD63" s="228">
        <v>-0.63</v>
      </c>
      <c r="AE63" s="228">
        <v>0.49</v>
      </c>
      <c r="AF63" s="229">
        <v>-5.9999999999999995E-4</v>
      </c>
      <c r="AG63" s="228">
        <v>1</v>
      </c>
      <c r="AH63" s="228">
        <v>0.52</v>
      </c>
      <c r="AI63" s="228">
        <v>0.48</v>
      </c>
      <c r="AJ63" s="229">
        <v>4.1000000000000003E-3</v>
      </c>
      <c r="AK63" s="228">
        <v>2.02</v>
      </c>
      <c r="AL63" s="228">
        <v>1.47</v>
      </c>
      <c r="AM63" s="228">
        <v>0.55000000000000004</v>
      </c>
      <c r="AN63" s="229">
        <v>8.2000000000000007E-3</v>
      </c>
      <c r="AO63" s="228">
        <v>244.83</v>
      </c>
      <c r="AP63" s="228">
        <v>245.96</v>
      </c>
      <c r="AQ63" s="228">
        <v>0</v>
      </c>
      <c r="AR63" s="230">
        <v>34515000</v>
      </c>
      <c r="AS63" s="230">
        <v>30770000</v>
      </c>
      <c r="AT63" s="230">
        <v>3745000</v>
      </c>
      <c r="AU63" s="229">
        <v>0.1217</v>
      </c>
      <c r="AV63" s="230">
        <v>19030000</v>
      </c>
      <c r="AW63" s="230">
        <v>21795000</v>
      </c>
      <c r="AX63" s="230">
        <v>-2765000</v>
      </c>
      <c r="AY63" s="229">
        <v>-0.12690000000000001</v>
      </c>
      <c r="AZ63" s="230">
        <v>15185000</v>
      </c>
      <c r="BA63" s="230">
        <v>8560000</v>
      </c>
      <c r="BB63" s="230">
        <v>6625000</v>
      </c>
      <c r="BC63" s="229">
        <v>0.77390000000000003</v>
      </c>
      <c r="BD63" s="230">
        <v>300000</v>
      </c>
      <c r="BE63" s="230">
        <v>415000</v>
      </c>
      <c r="BF63" s="230">
        <v>-115000</v>
      </c>
      <c r="BG63" s="229">
        <v>-0.27710000000000001</v>
      </c>
      <c r="BH63" s="230">
        <v>57085000</v>
      </c>
      <c r="BI63" s="230">
        <v>129175000</v>
      </c>
      <c r="BJ63" s="230">
        <v>-72090000</v>
      </c>
      <c r="BK63" s="229">
        <v>-0.55810000000000004</v>
      </c>
      <c r="BL63" s="230">
        <v>38080000</v>
      </c>
      <c r="BM63" s="230">
        <v>61625000</v>
      </c>
      <c r="BN63" s="230">
        <v>-23545000</v>
      </c>
      <c r="BO63" s="229">
        <v>-0.3821</v>
      </c>
      <c r="BP63" s="230">
        <v>129680000</v>
      </c>
      <c r="BQ63" s="230">
        <v>221570000</v>
      </c>
      <c r="BR63" s="230">
        <v>-91890000</v>
      </c>
      <c r="BS63" s="229">
        <v>-0.41470000000000001</v>
      </c>
      <c r="BT63" s="230">
        <v>4907863</v>
      </c>
      <c r="BU63" s="230">
        <v>15856815</v>
      </c>
      <c r="BV63" s="230">
        <v>-10948952</v>
      </c>
      <c r="BW63" s="229">
        <v>-0.6905</v>
      </c>
      <c r="BX63" s="230">
        <v>59995000</v>
      </c>
      <c r="BY63" s="230">
        <v>60540000</v>
      </c>
      <c r="BZ63" s="230">
        <v>-545000</v>
      </c>
      <c r="CA63" s="229">
        <v>-8.9999999999999993E-3</v>
      </c>
      <c r="CB63" s="230">
        <v>42565000</v>
      </c>
      <c r="CC63" s="230">
        <v>51590000</v>
      </c>
      <c r="CD63" s="230">
        <v>-9025000</v>
      </c>
      <c r="CE63" s="229">
        <v>-0.1749</v>
      </c>
      <c r="CF63" s="230">
        <v>16685000</v>
      </c>
      <c r="CG63" s="230">
        <v>8295000</v>
      </c>
      <c r="CH63" s="230">
        <v>8390000</v>
      </c>
      <c r="CI63" s="229">
        <v>1.0115000000000001</v>
      </c>
      <c r="CJ63" s="230">
        <v>745000</v>
      </c>
      <c r="CK63" s="230">
        <v>655000</v>
      </c>
      <c r="CL63" s="230">
        <v>90000</v>
      </c>
      <c r="CM63" s="229">
        <v>0.13739999999999999</v>
      </c>
      <c r="CN63" s="230">
        <v>47085000</v>
      </c>
      <c r="CO63" s="230">
        <v>52220000</v>
      </c>
      <c r="CP63" s="230">
        <v>-5135000</v>
      </c>
      <c r="CQ63" s="229">
        <v>-9.8299999999999998E-2</v>
      </c>
      <c r="CR63" s="230">
        <v>40785000</v>
      </c>
      <c r="CS63" s="230">
        <v>48710000</v>
      </c>
      <c r="CT63" s="230">
        <v>-7925000</v>
      </c>
      <c r="CU63" s="229">
        <v>-0.16270000000000001</v>
      </c>
      <c r="CV63" s="230">
        <v>147865000</v>
      </c>
      <c r="CW63" s="230">
        <v>161470000</v>
      </c>
      <c r="CX63" s="230">
        <v>-13605000</v>
      </c>
      <c r="CY63" s="229">
        <v>-8.43E-2</v>
      </c>
      <c r="CZ63" s="228">
        <v>19.05</v>
      </c>
      <c r="DA63" s="228">
        <v>23.05</v>
      </c>
      <c r="DB63" s="228">
        <v>-4</v>
      </c>
      <c r="DC63" s="228">
        <v>-4</v>
      </c>
      <c r="DD63" s="228">
        <v>29.09</v>
      </c>
      <c r="DE63" s="228">
        <v>29.16</v>
      </c>
      <c r="DF63" s="228">
        <v>-10.039999999999999</v>
      </c>
      <c r="DG63" s="228">
        <v>-7.0000000000000007E-2</v>
      </c>
      <c r="DH63" s="228">
        <v>18.79</v>
      </c>
      <c r="DI63" s="228">
        <v>22.61</v>
      </c>
      <c r="DJ63" s="228">
        <v>-3.82</v>
      </c>
      <c r="DK63" s="228">
        <v>-3.82</v>
      </c>
      <c r="DL63" s="228">
        <v>19.41</v>
      </c>
      <c r="DM63" s="228">
        <v>23.97</v>
      </c>
      <c r="DN63" s="228">
        <v>-4.5599999999999996</v>
      </c>
      <c r="DO63" s="228">
        <v>-4.5599999999999996</v>
      </c>
      <c r="DP63" s="228">
        <v>0.87</v>
      </c>
      <c r="DQ63" s="228">
        <v>0.93</v>
      </c>
      <c r="DR63" s="228">
        <v>-0.06</v>
      </c>
      <c r="DS63" s="229">
        <v>-6.4500000000000002E-2</v>
      </c>
      <c r="DT63" s="228">
        <v>250</v>
      </c>
      <c r="DU63" s="228">
        <v>240</v>
      </c>
      <c r="DV63" s="228">
        <v>0.67</v>
      </c>
      <c r="DW63" s="228">
        <v>0.48</v>
      </c>
      <c r="DX63" s="228">
        <v>0.19</v>
      </c>
      <c r="DY63" s="229">
        <v>0.39579999999999999</v>
      </c>
      <c r="DZ63" s="229">
        <v>0.29049999999999998</v>
      </c>
      <c r="EA63" s="230">
        <v>8950000</v>
      </c>
      <c r="EB63" s="229">
        <v>4.7000000000000002E-3</v>
      </c>
      <c r="EC63" s="229">
        <v>0.29049999999999998</v>
      </c>
      <c r="ED63" s="228">
        <v>1.1299999999999999</v>
      </c>
      <c r="EE63" s="229">
        <v>4.5999999999999999E-3</v>
      </c>
      <c r="EF63" s="230">
        <v>2823907</v>
      </c>
      <c r="EG63" s="230">
        <v>9106072</v>
      </c>
      <c r="EH63" s="229">
        <v>-0.68989999999999996</v>
      </c>
      <c r="EI63" s="229">
        <v>0.57540000000000002</v>
      </c>
      <c r="EJ63" s="231">
        <v>144441.87</v>
      </c>
      <c r="EK63" s="231">
        <v>90678.99</v>
      </c>
      <c r="EL63" s="231">
        <v>84682.82</v>
      </c>
      <c r="EM63" s="231">
        <v>4771</v>
      </c>
      <c r="EN63" s="231">
        <v>319803.68</v>
      </c>
      <c r="EO63" s="231">
        <v>551078.02</v>
      </c>
      <c r="EP63" s="231">
        <v>-231274.34</v>
      </c>
      <c r="EQ63" s="229">
        <v>-0.41970000000000002</v>
      </c>
      <c r="ER63" s="231">
        <v>115730</v>
      </c>
      <c r="ES63" s="231">
        <v>93705</v>
      </c>
      <c r="ET63" s="231">
        <v>147068</v>
      </c>
      <c r="EU63" s="231">
        <v>338654719</v>
      </c>
      <c r="EV63" s="231">
        <v>356503</v>
      </c>
      <c r="EW63" s="231">
        <v>389260</v>
      </c>
      <c r="EX63" s="231">
        <v>-32757</v>
      </c>
      <c r="EY63" s="229">
        <v>-8.4199999999999997E-2</v>
      </c>
      <c r="EZ63" s="229">
        <v>0.43659999999999999</v>
      </c>
      <c r="FA63" s="227" t="s">
        <v>568</v>
      </c>
      <c r="FB63" s="161">
        <f t="shared" si="0"/>
        <v>17430000</v>
      </c>
    </row>
    <row r="64" spans="1:158" ht="17.25" hidden="1" thickBot="1" x14ac:dyDescent="0.3">
      <c r="A64" s="226">
        <v>45981</v>
      </c>
      <c r="B64" s="227" t="s">
        <v>181</v>
      </c>
      <c r="C64" s="227" t="s">
        <v>480</v>
      </c>
      <c r="D64" s="228">
        <v>65</v>
      </c>
      <c r="E64" s="231">
        <v>27885.599999999999</v>
      </c>
      <c r="F64" s="231">
        <v>27662.400000000001</v>
      </c>
      <c r="G64" s="228">
        <v>223.2</v>
      </c>
      <c r="H64" s="229">
        <v>8.0999999999999996E-3</v>
      </c>
      <c r="I64" s="231">
        <v>27861.35</v>
      </c>
      <c r="J64" s="231">
        <v>27643.7</v>
      </c>
      <c r="K64" s="228">
        <v>217.65</v>
      </c>
      <c r="L64" s="229">
        <v>7.9000000000000008E-3</v>
      </c>
      <c r="M64" s="231">
        <v>27885.599999999999</v>
      </c>
      <c r="N64" s="231">
        <v>27662.400000000001</v>
      </c>
      <c r="O64" s="228">
        <v>223.2</v>
      </c>
      <c r="P64" s="229">
        <v>8.0999999999999996E-3</v>
      </c>
      <c r="Q64" s="231">
        <v>28039.8</v>
      </c>
      <c r="R64" s="231">
        <v>27818.6</v>
      </c>
      <c r="S64" s="228">
        <v>221.2</v>
      </c>
      <c r="T64" s="229">
        <v>8.0000000000000002E-3</v>
      </c>
      <c r="U64" s="228">
        <v>0</v>
      </c>
      <c r="V64" s="228">
        <v>0</v>
      </c>
      <c r="W64" s="228">
        <v>0</v>
      </c>
      <c r="X64" s="229">
        <v>0</v>
      </c>
      <c r="Y64" s="228">
        <v>24.25</v>
      </c>
      <c r="Z64" s="228">
        <v>18.7</v>
      </c>
      <c r="AA64" s="228">
        <v>5.55</v>
      </c>
      <c r="AB64" s="229">
        <v>8.9999999999999998E-4</v>
      </c>
      <c r="AC64" s="228">
        <v>24.25</v>
      </c>
      <c r="AD64" s="228">
        <v>18.7</v>
      </c>
      <c r="AE64" s="228">
        <v>5.55</v>
      </c>
      <c r="AF64" s="229">
        <v>8.9999999999999998E-4</v>
      </c>
      <c r="AG64" s="228">
        <v>178.45</v>
      </c>
      <c r="AH64" s="228">
        <v>174.9</v>
      </c>
      <c r="AI64" s="228">
        <v>3.55</v>
      </c>
      <c r="AJ64" s="229">
        <v>6.4000000000000003E-3</v>
      </c>
      <c r="AK64" s="228">
        <v>0</v>
      </c>
      <c r="AL64" s="228">
        <v>0</v>
      </c>
      <c r="AM64" s="228">
        <v>0</v>
      </c>
      <c r="AN64" s="229">
        <v>0</v>
      </c>
      <c r="AO64" s="231">
        <v>27829.67</v>
      </c>
      <c r="AP64" s="231">
        <v>27980.16</v>
      </c>
      <c r="AQ64" s="228">
        <v>0</v>
      </c>
      <c r="AR64" s="230">
        <v>31330</v>
      </c>
      <c r="AS64" s="230">
        <v>15860</v>
      </c>
      <c r="AT64" s="230">
        <v>15470</v>
      </c>
      <c r="AU64" s="229">
        <v>0.97540000000000004</v>
      </c>
      <c r="AV64" s="230">
        <v>21905</v>
      </c>
      <c r="AW64" s="230">
        <v>12805</v>
      </c>
      <c r="AX64" s="230">
        <v>9100</v>
      </c>
      <c r="AY64" s="229">
        <v>0.7107</v>
      </c>
      <c r="AZ64" s="230">
        <v>9425</v>
      </c>
      <c r="BA64" s="230">
        <v>3055</v>
      </c>
      <c r="BB64" s="230">
        <v>6370</v>
      </c>
      <c r="BC64" s="229">
        <v>2.0851000000000002</v>
      </c>
      <c r="BD64" s="228">
        <v>0</v>
      </c>
      <c r="BE64" s="228">
        <v>0</v>
      </c>
      <c r="BF64" s="228">
        <v>0</v>
      </c>
      <c r="BG64" s="229">
        <v>0</v>
      </c>
      <c r="BH64" s="230">
        <v>8277425</v>
      </c>
      <c r="BI64" s="230">
        <v>6635655</v>
      </c>
      <c r="BJ64" s="230">
        <v>1641770</v>
      </c>
      <c r="BK64" s="229">
        <v>0.24740000000000001</v>
      </c>
      <c r="BL64" s="230">
        <v>6786325</v>
      </c>
      <c r="BM64" s="230">
        <v>6234345</v>
      </c>
      <c r="BN64" s="230">
        <v>551980</v>
      </c>
      <c r="BO64" s="229">
        <v>8.8499999999999995E-2</v>
      </c>
      <c r="BP64" s="230">
        <v>15095080</v>
      </c>
      <c r="BQ64" s="230">
        <v>12885860</v>
      </c>
      <c r="BR64" s="230">
        <v>2209220</v>
      </c>
      <c r="BS64" s="229">
        <v>0.1714</v>
      </c>
      <c r="BT64" s="228">
        <v>0</v>
      </c>
      <c r="BU64" s="228">
        <v>0</v>
      </c>
      <c r="BV64" s="228">
        <v>0</v>
      </c>
      <c r="BW64" s="229">
        <v>0</v>
      </c>
      <c r="BX64" s="230">
        <v>41145</v>
      </c>
      <c r="BY64" s="230">
        <v>40495</v>
      </c>
      <c r="BZ64" s="228">
        <v>650</v>
      </c>
      <c r="CA64" s="229">
        <v>1.61E-2</v>
      </c>
      <c r="CB64" s="230">
        <v>33735</v>
      </c>
      <c r="CC64" s="230">
        <v>37180</v>
      </c>
      <c r="CD64" s="230">
        <v>-3445</v>
      </c>
      <c r="CE64" s="229">
        <v>-9.2700000000000005E-2</v>
      </c>
      <c r="CF64" s="230">
        <v>7410</v>
      </c>
      <c r="CG64" s="230">
        <v>3315</v>
      </c>
      <c r="CH64" s="230">
        <v>4095</v>
      </c>
      <c r="CI64" s="229">
        <v>1.2353000000000001</v>
      </c>
      <c r="CJ64" s="228">
        <v>0</v>
      </c>
      <c r="CK64" s="228">
        <v>0</v>
      </c>
      <c r="CL64" s="228">
        <v>0</v>
      </c>
      <c r="CM64" s="229">
        <v>0</v>
      </c>
      <c r="CN64" s="230">
        <v>1107860</v>
      </c>
      <c r="CO64" s="230">
        <v>1321970</v>
      </c>
      <c r="CP64" s="230">
        <v>-214110</v>
      </c>
      <c r="CQ64" s="229">
        <v>-0.16200000000000001</v>
      </c>
      <c r="CR64" s="230">
        <v>1471005</v>
      </c>
      <c r="CS64" s="230">
        <v>1416925</v>
      </c>
      <c r="CT64" s="230">
        <v>54080</v>
      </c>
      <c r="CU64" s="229">
        <v>3.8199999999999998E-2</v>
      </c>
      <c r="CV64" s="230">
        <v>2620010</v>
      </c>
      <c r="CW64" s="230">
        <v>2779390</v>
      </c>
      <c r="CX64" s="230">
        <v>-159380</v>
      </c>
      <c r="CY64" s="229">
        <v>-5.7299999999999997E-2</v>
      </c>
      <c r="CZ64" s="228">
        <v>11.25</v>
      </c>
      <c r="DA64" s="228">
        <v>13.62</v>
      </c>
      <c r="DB64" s="228">
        <v>-2.37</v>
      </c>
      <c r="DC64" s="228">
        <v>-2.37</v>
      </c>
      <c r="DD64" s="228">
        <v>17</v>
      </c>
      <c r="DE64" s="228">
        <v>17.010000000000002</v>
      </c>
      <c r="DF64" s="228">
        <v>-5.75</v>
      </c>
      <c r="DG64" s="228">
        <v>-0.01</v>
      </c>
      <c r="DH64" s="228">
        <v>10.050000000000001</v>
      </c>
      <c r="DI64" s="228">
        <v>12.46</v>
      </c>
      <c r="DJ64" s="228">
        <v>-2.41</v>
      </c>
      <c r="DK64" s="228">
        <v>-2.41</v>
      </c>
      <c r="DL64" s="228">
        <v>11.57</v>
      </c>
      <c r="DM64" s="228">
        <v>14.85</v>
      </c>
      <c r="DN64" s="228">
        <v>-3.28</v>
      </c>
      <c r="DO64" s="228">
        <v>-3.28</v>
      </c>
      <c r="DP64" s="228">
        <v>1.33</v>
      </c>
      <c r="DQ64" s="228">
        <v>1.07</v>
      </c>
      <c r="DR64" s="228">
        <v>0.26</v>
      </c>
      <c r="DS64" s="229">
        <v>0.24299999999999999</v>
      </c>
      <c r="DT64" s="231">
        <v>27900</v>
      </c>
      <c r="DU64" s="231">
        <v>27500</v>
      </c>
      <c r="DV64" s="228">
        <v>0.82</v>
      </c>
      <c r="DW64" s="228">
        <v>0.94</v>
      </c>
      <c r="DX64" s="228">
        <v>-0.12</v>
      </c>
      <c r="DY64" s="229">
        <v>-0.12770000000000001</v>
      </c>
      <c r="DZ64" s="229">
        <v>0.18010000000000001</v>
      </c>
      <c r="EA64" s="230">
        <v>3315</v>
      </c>
      <c r="EB64" s="229">
        <v>5.4999999999999997E-3</v>
      </c>
      <c r="EC64" s="229">
        <v>0.18010000000000001</v>
      </c>
      <c r="ED64" s="228">
        <v>150.49</v>
      </c>
      <c r="EE64" s="229">
        <v>5.4000000000000003E-3</v>
      </c>
      <c r="EF64" s="228">
        <v>0</v>
      </c>
      <c r="EG64" s="228">
        <v>0</v>
      </c>
      <c r="EH64" s="229">
        <v>0</v>
      </c>
      <c r="EI64" s="229">
        <v>0</v>
      </c>
      <c r="EJ64" s="231">
        <v>2328150.6</v>
      </c>
      <c r="EK64" s="231">
        <v>1850868.24</v>
      </c>
      <c r="EL64" s="231">
        <v>8733.2199999999993</v>
      </c>
      <c r="EM64" s="228">
        <v>0</v>
      </c>
      <c r="EN64" s="231">
        <v>4187752.06</v>
      </c>
      <c r="EO64" s="231">
        <v>3552959.03</v>
      </c>
      <c r="EP64" s="231">
        <v>634793.03</v>
      </c>
      <c r="EQ64" s="229">
        <v>0.1787</v>
      </c>
      <c r="ER64" s="231">
        <v>312121</v>
      </c>
      <c r="ES64" s="231">
        <v>397466</v>
      </c>
      <c r="ET64" s="231">
        <v>11485</v>
      </c>
      <c r="EU64" s="228">
        <v>0</v>
      </c>
      <c r="EV64" s="231">
        <v>721071</v>
      </c>
      <c r="EW64" s="231">
        <v>763082</v>
      </c>
      <c r="EX64" s="231">
        <v>-42011</v>
      </c>
      <c r="EY64" s="229">
        <v>-5.5100000000000003E-2</v>
      </c>
      <c r="EZ64" s="229">
        <v>0</v>
      </c>
      <c r="FA64" s="227" t="s">
        <v>555</v>
      </c>
      <c r="FB64" s="161">
        <f t="shared" si="0"/>
        <v>7410</v>
      </c>
    </row>
    <row r="65" spans="1:158" ht="17.25" hidden="1" thickBot="1" x14ac:dyDescent="0.3">
      <c r="A65" s="226">
        <v>45981</v>
      </c>
      <c r="B65" s="227" t="s">
        <v>170</v>
      </c>
      <c r="C65" s="227" t="s">
        <v>678</v>
      </c>
      <c r="D65" s="228">
        <v>775</v>
      </c>
      <c r="E65" s="228">
        <v>932.4</v>
      </c>
      <c r="F65" s="228">
        <v>923.1</v>
      </c>
      <c r="G65" s="228">
        <v>9.3000000000000007</v>
      </c>
      <c r="H65" s="229">
        <v>1.01E-2</v>
      </c>
      <c r="I65" s="228">
        <v>935.4</v>
      </c>
      <c r="J65" s="228">
        <v>922.9</v>
      </c>
      <c r="K65" s="228">
        <v>12.5</v>
      </c>
      <c r="L65" s="229">
        <v>1.35E-2</v>
      </c>
      <c r="M65" s="228">
        <v>932.4</v>
      </c>
      <c r="N65" s="228">
        <v>923.1</v>
      </c>
      <c r="O65" s="228">
        <v>9.3000000000000007</v>
      </c>
      <c r="P65" s="229">
        <v>1.01E-2</v>
      </c>
      <c r="Q65" s="228">
        <v>936.2</v>
      </c>
      <c r="R65" s="228">
        <v>926.5</v>
      </c>
      <c r="S65" s="228">
        <v>9.6999999999999993</v>
      </c>
      <c r="T65" s="229">
        <v>1.0500000000000001E-2</v>
      </c>
      <c r="U65" s="228">
        <v>942.4</v>
      </c>
      <c r="V65" s="228">
        <v>930.2</v>
      </c>
      <c r="W65" s="228">
        <v>12.2</v>
      </c>
      <c r="X65" s="229">
        <v>1.3100000000000001E-2</v>
      </c>
      <c r="Y65" s="228">
        <v>-3</v>
      </c>
      <c r="Z65" s="228">
        <v>0.2</v>
      </c>
      <c r="AA65" s="228">
        <v>-3.2</v>
      </c>
      <c r="AB65" s="229">
        <v>-3.2000000000000002E-3</v>
      </c>
      <c r="AC65" s="228">
        <v>-3</v>
      </c>
      <c r="AD65" s="228">
        <v>0.2</v>
      </c>
      <c r="AE65" s="228">
        <v>-3.2</v>
      </c>
      <c r="AF65" s="229">
        <v>-3.2000000000000002E-3</v>
      </c>
      <c r="AG65" s="228">
        <v>0.8</v>
      </c>
      <c r="AH65" s="228">
        <v>3.6</v>
      </c>
      <c r="AI65" s="228">
        <v>-2.8</v>
      </c>
      <c r="AJ65" s="229">
        <v>8.9999999999999998E-4</v>
      </c>
      <c r="AK65" s="228">
        <v>7</v>
      </c>
      <c r="AL65" s="228">
        <v>7.3</v>
      </c>
      <c r="AM65" s="228">
        <v>-0.3</v>
      </c>
      <c r="AN65" s="229">
        <v>7.4999999999999997E-3</v>
      </c>
      <c r="AO65" s="228">
        <v>933.09</v>
      </c>
      <c r="AP65" s="228">
        <v>937.24</v>
      </c>
      <c r="AQ65" s="228">
        <v>0</v>
      </c>
      <c r="AR65" s="230">
        <v>7609725</v>
      </c>
      <c r="AS65" s="230">
        <v>3155800</v>
      </c>
      <c r="AT65" s="230">
        <v>4453925</v>
      </c>
      <c r="AU65" s="229">
        <v>1.4113</v>
      </c>
      <c r="AV65" s="230">
        <v>4302800</v>
      </c>
      <c r="AW65" s="230">
        <v>2125825</v>
      </c>
      <c r="AX65" s="230">
        <v>2176975</v>
      </c>
      <c r="AY65" s="229">
        <v>1.0241</v>
      </c>
      <c r="AZ65" s="230">
        <v>3273600</v>
      </c>
      <c r="BA65" s="230">
        <v>1003625</v>
      </c>
      <c r="BB65" s="230">
        <v>2269975</v>
      </c>
      <c r="BC65" s="229">
        <v>2.2618</v>
      </c>
      <c r="BD65" s="230">
        <v>33325</v>
      </c>
      <c r="BE65" s="230">
        <v>26350</v>
      </c>
      <c r="BF65" s="230">
        <v>6975</v>
      </c>
      <c r="BG65" s="229">
        <v>0.26469999999999999</v>
      </c>
      <c r="BH65" s="230">
        <v>14157700</v>
      </c>
      <c r="BI65" s="230">
        <v>16710550</v>
      </c>
      <c r="BJ65" s="230">
        <v>-2552850</v>
      </c>
      <c r="BK65" s="229">
        <v>-0.15279999999999999</v>
      </c>
      <c r="BL65" s="230">
        <v>4278000</v>
      </c>
      <c r="BM65" s="230">
        <v>4284200</v>
      </c>
      <c r="BN65" s="230">
        <v>-6200</v>
      </c>
      <c r="BO65" s="229">
        <v>-1.4E-3</v>
      </c>
      <c r="BP65" s="230">
        <v>26045425</v>
      </c>
      <c r="BQ65" s="230">
        <v>24150550</v>
      </c>
      <c r="BR65" s="230">
        <v>1894875</v>
      </c>
      <c r="BS65" s="229">
        <v>7.85E-2</v>
      </c>
      <c r="BT65" s="230">
        <v>2760325</v>
      </c>
      <c r="BU65" s="230">
        <v>3068377</v>
      </c>
      <c r="BV65" s="230">
        <v>-308052</v>
      </c>
      <c r="BW65" s="229">
        <v>-0.1004</v>
      </c>
      <c r="BX65" s="230">
        <v>13099825</v>
      </c>
      <c r="BY65" s="230">
        <v>13529175</v>
      </c>
      <c r="BZ65" s="230">
        <v>-429350</v>
      </c>
      <c r="CA65" s="229">
        <v>-3.1699999999999999E-2</v>
      </c>
      <c r="CB65" s="230">
        <v>9592950</v>
      </c>
      <c r="CC65" s="230">
        <v>11466900</v>
      </c>
      <c r="CD65" s="230">
        <v>-1873950</v>
      </c>
      <c r="CE65" s="229">
        <v>-0.16339999999999999</v>
      </c>
      <c r="CF65" s="230">
        <v>3391400</v>
      </c>
      <c r="CG65" s="230">
        <v>1949900</v>
      </c>
      <c r="CH65" s="230">
        <v>1441500</v>
      </c>
      <c r="CI65" s="229">
        <v>0.73929999999999996</v>
      </c>
      <c r="CJ65" s="230">
        <v>115475</v>
      </c>
      <c r="CK65" s="230">
        <v>112375</v>
      </c>
      <c r="CL65" s="230">
        <v>3100</v>
      </c>
      <c r="CM65" s="229">
        <v>2.76E-2</v>
      </c>
      <c r="CN65" s="230">
        <v>9677425</v>
      </c>
      <c r="CO65" s="230">
        <v>10679500</v>
      </c>
      <c r="CP65" s="230">
        <v>-1002075</v>
      </c>
      <c r="CQ65" s="229">
        <v>-9.3799999999999994E-2</v>
      </c>
      <c r="CR65" s="230">
        <v>3955600</v>
      </c>
      <c r="CS65" s="230">
        <v>4025350</v>
      </c>
      <c r="CT65" s="230">
        <v>-69750</v>
      </c>
      <c r="CU65" s="229">
        <v>-1.7299999999999999E-2</v>
      </c>
      <c r="CV65" s="230">
        <v>26732850</v>
      </c>
      <c r="CW65" s="230">
        <v>28234025</v>
      </c>
      <c r="CX65" s="230">
        <v>-1501175</v>
      </c>
      <c r="CY65" s="229">
        <v>-5.3199999999999997E-2</v>
      </c>
      <c r="CZ65" s="228">
        <v>26.36</v>
      </c>
      <c r="DA65" s="228">
        <v>29.81</v>
      </c>
      <c r="DB65" s="228">
        <v>-3.45</v>
      </c>
      <c r="DC65" s="228">
        <v>-3.45</v>
      </c>
      <c r="DD65" s="228">
        <v>36.159999999999997</v>
      </c>
      <c r="DE65" s="228">
        <v>36.200000000000003</v>
      </c>
      <c r="DF65" s="228">
        <v>-9.8000000000000007</v>
      </c>
      <c r="DG65" s="228">
        <v>-0.04</v>
      </c>
      <c r="DH65" s="228">
        <v>26.67</v>
      </c>
      <c r="DI65" s="228">
        <v>30.86</v>
      </c>
      <c r="DJ65" s="228">
        <v>-4.1900000000000004</v>
      </c>
      <c r="DK65" s="228">
        <v>-4.1900000000000004</v>
      </c>
      <c r="DL65" s="228">
        <v>25.16</v>
      </c>
      <c r="DM65" s="228">
        <v>25.71</v>
      </c>
      <c r="DN65" s="228">
        <v>-0.55000000000000004</v>
      </c>
      <c r="DO65" s="228">
        <v>-0.55000000000000004</v>
      </c>
      <c r="DP65" s="228">
        <v>0.41</v>
      </c>
      <c r="DQ65" s="228">
        <v>0.38</v>
      </c>
      <c r="DR65" s="228">
        <v>0.03</v>
      </c>
      <c r="DS65" s="229">
        <v>7.8899999999999998E-2</v>
      </c>
      <c r="DT65" s="231">
        <v>1000</v>
      </c>
      <c r="DU65" s="228">
        <v>970</v>
      </c>
      <c r="DV65" s="228">
        <v>0.3</v>
      </c>
      <c r="DW65" s="228">
        <v>0.26</v>
      </c>
      <c r="DX65" s="228">
        <v>0.04</v>
      </c>
      <c r="DY65" s="229">
        <v>0.15379999999999999</v>
      </c>
      <c r="DZ65" s="229">
        <v>0.26769999999999999</v>
      </c>
      <c r="EA65" s="230">
        <v>2062275</v>
      </c>
      <c r="EB65" s="229">
        <v>4.1000000000000003E-3</v>
      </c>
      <c r="EC65" s="229">
        <v>0.26769999999999999</v>
      </c>
      <c r="ED65" s="228">
        <v>4.1500000000000004</v>
      </c>
      <c r="EE65" s="229">
        <v>4.4000000000000003E-3</v>
      </c>
      <c r="EF65" s="230">
        <v>1646428</v>
      </c>
      <c r="EG65" s="230">
        <v>1973790</v>
      </c>
      <c r="EH65" s="229">
        <v>-0.16589999999999999</v>
      </c>
      <c r="EI65" s="229">
        <v>0.59650000000000003</v>
      </c>
      <c r="EJ65" s="231">
        <v>138158.72</v>
      </c>
      <c r="EK65" s="231">
        <v>39414.29</v>
      </c>
      <c r="EL65" s="231">
        <v>71144.240000000005</v>
      </c>
      <c r="EM65" s="231">
        <v>4417</v>
      </c>
      <c r="EN65" s="231">
        <v>248717.25</v>
      </c>
      <c r="EO65" s="231">
        <v>231206.65</v>
      </c>
      <c r="EP65" s="231">
        <v>17510.599999999999</v>
      </c>
      <c r="EQ65" s="229">
        <v>7.5700000000000003E-2</v>
      </c>
      <c r="ER65" s="231">
        <v>96914</v>
      </c>
      <c r="ES65" s="231">
        <v>37582</v>
      </c>
      <c r="ET65" s="231">
        <v>122283</v>
      </c>
      <c r="EU65" s="231">
        <v>62490435</v>
      </c>
      <c r="EV65" s="231">
        <v>256779</v>
      </c>
      <c r="EW65" s="231">
        <v>270265</v>
      </c>
      <c r="EX65" s="231">
        <v>-13486</v>
      </c>
      <c r="EY65" s="229">
        <v>-4.99E-2</v>
      </c>
      <c r="EZ65" s="229">
        <v>0.42780000000000001</v>
      </c>
      <c r="FA65" s="227" t="s">
        <v>556</v>
      </c>
      <c r="FB65" s="161">
        <f t="shared" si="0"/>
        <v>3506875</v>
      </c>
    </row>
    <row r="66" spans="1:158" ht="17.25" hidden="1" thickBot="1" x14ac:dyDescent="0.3">
      <c r="A66" s="226">
        <v>45981</v>
      </c>
      <c r="B66" s="227" t="s">
        <v>193</v>
      </c>
      <c r="C66" s="227" t="s">
        <v>213</v>
      </c>
      <c r="D66" s="228">
        <v>3150</v>
      </c>
      <c r="E66" s="228">
        <v>184.19</v>
      </c>
      <c r="F66" s="228">
        <v>183.96</v>
      </c>
      <c r="G66" s="228">
        <v>0.23</v>
      </c>
      <c r="H66" s="229">
        <v>1.2999999999999999E-3</v>
      </c>
      <c r="I66" s="228">
        <v>184.31</v>
      </c>
      <c r="J66" s="228">
        <v>184.05</v>
      </c>
      <c r="K66" s="228">
        <v>0.26</v>
      </c>
      <c r="L66" s="229">
        <v>1.4E-3</v>
      </c>
      <c r="M66" s="228">
        <v>184.19</v>
      </c>
      <c r="N66" s="228">
        <v>183.96</v>
      </c>
      <c r="O66" s="228">
        <v>0.23</v>
      </c>
      <c r="P66" s="229">
        <v>1.2999999999999999E-3</v>
      </c>
      <c r="Q66" s="228">
        <v>185.24</v>
      </c>
      <c r="R66" s="228">
        <v>185.16</v>
      </c>
      <c r="S66" s="228">
        <v>0.08</v>
      </c>
      <c r="T66" s="229">
        <v>4.0000000000000002E-4</v>
      </c>
      <c r="U66" s="228">
        <v>186.69</v>
      </c>
      <c r="V66" s="228">
        <v>186.17</v>
      </c>
      <c r="W66" s="228">
        <v>0.52</v>
      </c>
      <c r="X66" s="229">
        <v>2.8E-3</v>
      </c>
      <c r="Y66" s="228">
        <v>-0.12</v>
      </c>
      <c r="Z66" s="228">
        <v>-0.09</v>
      </c>
      <c r="AA66" s="228">
        <v>-0.03</v>
      </c>
      <c r="AB66" s="229">
        <v>-6.9999999999999999E-4</v>
      </c>
      <c r="AC66" s="228">
        <v>-0.12</v>
      </c>
      <c r="AD66" s="228">
        <v>-0.09</v>
      </c>
      <c r="AE66" s="228">
        <v>-0.03</v>
      </c>
      <c r="AF66" s="229">
        <v>-6.9999999999999999E-4</v>
      </c>
      <c r="AG66" s="228">
        <v>0.93</v>
      </c>
      <c r="AH66" s="228">
        <v>1.1100000000000001</v>
      </c>
      <c r="AI66" s="228">
        <v>-0.18</v>
      </c>
      <c r="AJ66" s="229">
        <v>5.0000000000000001E-3</v>
      </c>
      <c r="AK66" s="228">
        <v>2.38</v>
      </c>
      <c r="AL66" s="228">
        <v>2.12</v>
      </c>
      <c r="AM66" s="228">
        <v>0.26</v>
      </c>
      <c r="AN66" s="229">
        <v>1.29E-2</v>
      </c>
      <c r="AO66" s="228">
        <v>184.32</v>
      </c>
      <c r="AP66" s="228">
        <v>185.41</v>
      </c>
      <c r="AQ66" s="228">
        <v>0</v>
      </c>
      <c r="AR66" s="230">
        <v>37563750</v>
      </c>
      <c r="AS66" s="230">
        <v>9717750</v>
      </c>
      <c r="AT66" s="230">
        <v>27846000</v>
      </c>
      <c r="AU66" s="229">
        <v>2.8654999999999999</v>
      </c>
      <c r="AV66" s="230">
        <v>21275100</v>
      </c>
      <c r="AW66" s="230">
        <v>6750450</v>
      </c>
      <c r="AX66" s="230">
        <v>14524650</v>
      </c>
      <c r="AY66" s="229">
        <v>2.1516999999999999</v>
      </c>
      <c r="AZ66" s="230">
        <v>16128000</v>
      </c>
      <c r="BA66" s="230">
        <v>2800350</v>
      </c>
      <c r="BB66" s="230">
        <v>13327650</v>
      </c>
      <c r="BC66" s="229">
        <v>4.7592999999999996</v>
      </c>
      <c r="BD66" s="230">
        <v>160650</v>
      </c>
      <c r="BE66" s="230">
        <v>166950</v>
      </c>
      <c r="BF66" s="230">
        <v>-6300</v>
      </c>
      <c r="BG66" s="229">
        <v>-3.7699999999999997E-2</v>
      </c>
      <c r="BH66" s="230">
        <v>33037200</v>
      </c>
      <c r="BI66" s="230">
        <v>18566100</v>
      </c>
      <c r="BJ66" s="230">
        <v>14471100</v>
      </c>
      <c r="BK66" s="229">
        <v>0.77939999999999998</v>
      </c>
      <c r="BL66" s="230">
        <v>18660600</v>
      </c>
      <c r="BM66" s="230">
        <v>7626150</v>
      </c>
      <c r="BN66" s="230">
        <v>11034450</v>
      </c>
      <c r="BO66" s="229">
        <v>1.4469000000000001</v>
      </c>
      <c r="BP66" s="230">
        <v>89261550</v>
      </c>
      <c r="BQ66" s="230">
        <v>35910000</v>
      </c>
      <c r="BR66" s="230">
        <v>53351550</v>
      </c>
      <c r="BS66" s="229">
        <v>1.4857</v>
      </c>
      <c r="BT66" s="230">
        <v>8378339</v>
      </c>
      <c r="BU66" s="230">
        <v>3102632</v>
      </c>
      <c r="BV66" s="230">
        <v>5275707</v>
      </c>
      <c r="BW66" s="229">
        <v>1.7003999999999999</v>
      </c>
      <c r="BX66" s="230">
        <v>80769150</v>
      </c>
      <c r="BY66" s="230">
        <v>80986500</v>
      </c>
      <c r="BZ66" s="230">
        <v>-217350</v>
      </c>
      <c r="CA66" s="229">
        <v>-2.7000000000000001E-3</v>
      </c>
      <c r="CB66" s="230">
        <v>60331950</v>
      </c>
      <c r="CC66" s="230">
        <v>72135000</v>
      </c>
      <c r="CD66" s="230">
        <v>-11803050</v>
      </c>
      <c r="CE66" s="229">
        <v>-0.1636</v>
      </c>
      <c r="CF66" s="230">
        <v>19429200</v>
      </c>
      <c r="CG66" s="230">
        <v>7878150</v>
      </c>
      <c r="CH66" s="230">
        <v>11551050</v>
      </c>
      <c r="CI66" s="229">
        <v>1.4661999999999999</v>
      </c>
      <c r="CJ66" s="230">
        <v>1008000</v>
      </c>
      <c r="CK66" s="230">
        <v>973350</v>
      </c>
      <c r="CL66" s="230">
        <v>34650</v>
      </c>
      <c r="CM66" s="229">
        <v>3.56E-2</v>
      </c>
      <c r="CN66" s="230">
        <v>39186000</v>
      </c>
      <c r="CO66" s="230">
        <v>42811650</v>
      </c>
      <c r="CP66" s="230">
        <v>-3625650</v>
      </c>
      <c r="CQ66" s="229">
        <v>-8.4699999999999998E-2</v>
      </c>
      <c r="CR66" s="230">
        <v>27234900</v>
      </c>
      <c r="CS66" s="230">
        <v>28079100</v>
      </c>
      <c r="CT66" s="230">
        <v>-844200</v>
      </c>
      <c r="CU66" s="229">
        <v>-3.0099999999999998E-2</v>
      </c>
      <c r="CV66" s="230">
        <v>147190050</v>
      </c>
      <c r="CW66" s="230">
        <v>151877250</v>
      </c>
      <c r="CX66" s="230">
        <v>-4687200</v>
      </c>
      <c r="CY66" s="229">
        <v>-3.09E-2</v>
      </c>
      <c r="CZ66" s="228">
        <v>21.4</v>
      </c>
      <c r="DA66" s="228">
        <v>24.96</v>
      </c>
      <c r="DB66" s="228">
        <v>-3.56</v>
      </c>
      <c r="DC66" s="228">
        <v>-3.56</v>
      </c>
      <c r="DD66" s="228">
        <v>35.01</v>
      </c>
      <c r="DE66" s="228">
        <v>35.1</v>
      </c>
      <c r="DF66" s="228">
        <v>-13.61</v>
      </c>
      <c r="DG66" s="228">
        <v>-0.09</v>
      </c>
      <c r="DH66" s="228">
        <v>21</v>
      </c>
      <c r="DI66" s="228">
        <v>23.74</v>
      </c>
      <c r="DJ66" s="228">
        <v>-2.74</v>
      </c>
      <c r="DK66" s="228">
        <v>-2.74</v>
      </c>
      <c r="DL66" s="228">
        <v>21.97</v>
      </c>
      <c r="DM66" s="228">
        <v>27.94</v>
      </c>
      <c r="DN66" s="228">
        <v>-5.97</v>
      </c>
      <c r="DO66" s="228">
        <v>-5.97</v>
      </c>
      <c r="DP66" s="228">
        <v>0.7</v>
      </c>
      <c r="DQ66" s="228">
        <v>0.66</v>
      </c>
      <c r="DR66" s="228">
        <v>0.04</v>
      </c>
      <c r="DS66" s="229">
        <v>6.0600000000000001E-2</v>
      </c>
      <c r="DT66" s="228">
        <v>190</v>
      </c>
      <c r="DU66" s="228">
        <v>180</v>
      </c>
      <c r="DV66" s="228">
        <v>0.56000000000000005</v>
      </c>
      <c r="DW66" s="228">
        <v>0.41</v>
      </c>
      <c r="DX66" s="228">
        <v>0.15</v>
      </c>
      <c r="DY66" s="229">
        <v>0.3659</v>
      </c>
      <c r="DZ66" s="229">
        <v>0.253</v>
      </c>
      <c r="EA66" s="230">
        <v>8851500</v>
      </c>
      <c r="EB66" s="229">
        <v>5.7000000000000002E-3</v>
      </c>
      <c r="EC66" s="229">
        <v>0.253</v>
      </c>
      <c r="ED66" s="228">
        <v>1.0900000000000001</v>
      </c>
      <c r="EE66" s="229">
        <v>5.8999999999999999E-3</v>
      </c>
      <c r="EF66" s="230">
        <v>5904100</v>
      </c>
      <c r="EG66" s="230">
        <v>2043465</v>
      </c>
      <c r="EH66" s="229">
        <v>1.8893</v>
      </c>
      <c r="EI66" s="229">
        <v>0.70469999999999999</v>
      </c>
      <c r="EJ66" s="231">
        <v>63087.43</v>
      </c>
      <c r="EK66" s="231">
        <v>34937.660000000003</v>
      </c>
      <c r="EL66" s="231">
        <v>69418.03</v>
      </c>
      <c r="EM66" s="231">
        <v>3231</v>
      </c>
      <c r="EN66" s="231">
        <v>167443.12</v>
      </c>
      <c r="EO66" s="231">
        <v>66992.679999999993</v>
      </c>
      <c r="EP66" s="231">
        <v>100450.44</v>
      </c>
      <c r="EQ66" s="229">
        <v>1.4994000000000001</v>
      </c>
      <c r="ER66" s="231">
        <v>74125</v>
      </c>
      <c r="ES66" s="231">
        <v>49731</v>
      </c>
      <c r="ET66" s="231">
        <v>148998</v>
      </c>
      <c r="EU66" s="231">
        <v>402429848</v>
      </c>
      <c r="EV66" s="231">
        <v>272854</v>
      </c>
      <c r="EW66" s="231">
        <v>281094</v>
      </c>
      <c r="EX66" s="231">
        <v>-8240</v>
      </c>
      <c r="EY66" s="229">
        <v>-2.93E-2</v>
      </c>
      <c r="EZ66" s="229">
        <v>0.36580000000000001</v>
      </c>
      <c r="FA66" s="227" t="s">
        <v>556</v>
      </c>
      <c r="FB66" s="161">
        <f t="shared" si="0"/>
        <v>20437200</v>
      </c>
    </row>
    <row r="67" spans="1:158" ht="17.25" hidden="1" thickBot="1" x14ac:dyDescent="0.3">
      <c r="A67" s="226">
        <v>45981</v>
      </c>
      <c r="B67" s="227" t="s">
        <v>170</v>
      </c>
      <c r="C67" s="227" t="s">
        <v>214</v>
      </c>
      <c r="D67" s="228">
        <v>375</v>
      </c>
      <c r="E67" s="231">
        <v>1883.9</v>
      </c>
      <c r="F67" s="231">
        <v>1842.1</v>
      </c>
      <c r="G67" s="228">
        <v>41.8</v>
      </c>
      <c r="H67" s="229">
        <v>2.2700000000000001E-2</v>
      </c>
      <c r="I67" s="231">
        <v>1878</v>
      </c>
      <c r="J67" s="231">
        <v>1840.8</v>
      </c>
      <c r="K67" s="228">
        <v>37.200000000000003</v>
      </c>
      <c r="L67" s="229">
        <v>2.0199999999999999E-2</v>
      </c>
      <c r="M67" s="231">
        <v>1883.9</v>
      </c>
      <c r="N67" s="231">
        <v>1842.1</v>
      </c>
      <c r="O67" s="228">
        <v>41.8</v>
      </c>
      <c r="P67" s="229">
        <v>2.2700000000000001E-2</v>
      </c>
      <c r="Q67" s="231">
        <v>1894.7</v>
      </c>
      <c r="R67" s="231">
        <v>1854.6</v>
      </c>
      <c r="S67" s="228">
        <v>40.1</v>
      </c>
      <c r="T67" s="229">
        <v>2.1600000000000001E-2</v>
      </c>
      <c r="U67" s="231">
        <v>1903.8</v>
      </c>
      <c r="V67" s="231">
        <v>1866.2</v>
      </c>
      <c r="W67" s="228">
        <v>37.6</v>
      </c>
      <c r="X67" s="229">
        <v>2.01E-2</v>
      </c>
      <c r="Y67" s="228">
        <v>5.9</v>
      </c>
      <c r="Z67" s="228">
        <v>1.3</v>
      </c>
      <c r="AA67" s="228">
        <v>4.5999999999999996</v>
      </c>
      <c r="AB67" s="229">
        <v>3.0999999999999999E-3</v>
      </c>
      <c r="AC67" s="228">
        <v>5.9</v>
      </c>
      <c r="AD67" s="228">
        <v>1.3</v>
      </c>
      <c r="AE67" s="228">
        <v>4.5999999999999996</v>
      </c>
      <c r="AF67" s="229">
        <v>3.0999999999999999E-3</v>
      </c>
      <c r="AG67" s="228">
        <v>16.7</v>
      </c>
      <c r="AH67" s="228">
        <v>13.8</v>
      </c>
      <c r="AI67" s="228">
        <v>2.9</v>
      </c>
      <c r="AJ67" s="229">
        <v>8.8999999999999999E-3</v>
      </c>
      <c r="AK67" s="228">
        <v>25.8</v>
      </c>
      <c r="AL67" s="228">
        <v>25.4</v>
      </c>
      <c r="AM67" s="228">
        <v>0.4</v>
      </c>
      <c r="AN67" s="229">
        <v>1.37E-2</v>
      </c>
      <c r="AO67" s="231">
        <v>1864.07</v>
      </c>
      <c r="AP67" s="231">
        <v>1874.25</v>
      </c>
      <c r="AQ67" s="228">
        <v>0</v>
      </c>
      <c r="AR67" s="230">
        <v>9424875</v>
      </c>
      <c r="AS67" s="230">
        <v>5514750</v>
      </c>
      <c r="AT67" s="230">
        <v>3910125</v>
      </c>
      <c r="AU67" s="229">
        <v>0.70899999999999996</v>
      </c>
      <c r="AV67" s="230">
        <v>5090250</v>
      </c>
      <c r="AW67" s="230">
        <v>3315750</v>
      </c>
      <c r="AX67" s="230">
        <v>1774500</v>
      </c>
      <c r="AY67" s="229">
        <v>0.53520000000000001</v>
      </c>
      <c r="AZ67" s="230">
        <v>4310250</v>
      </c>
      <c r="BA67" s="230">
        <v>2182875</v>
      </c>
      <c r="BB67" s="230">
        <v>2127375</v>
      </c>
      <c r="BC67" s="229">
        <v>0.97460000000000002</v>
      </c>
      <c r="BD67" s="230">
        <v>24375</v>
      </c>
      <c r="BE67" s="230">
        <v>16125</v>
      </c>
      <c r="BF67" s="230">
        <v>8250</v>
      </c>
      <c r="BG67" s="229">
        <v>0.51160000000000005</v>
      </c>
      <c r="BH67" s="230">
        <v>27796500</v>
      </c>
      <c r="BI67" s="230">
        <v>20161875</v>
      </c>
      <c r="BJ67" s="230">
        <v>7634625</v>
      </c>
      <c r="BK67" s="229">
        <v>0.37869999999999998</v>
      </c>
      <c r="BL67" s="230">
        <v>8042250</v>
      </c>
      <c r="BM67" s="230">
        <v>5871375</v>
      </c>
      <c r="BN67" s="230">
        <v>2170875</v>
      </c>
      <c r="BO67" s="229">
        <v>0.36969999999999997</v>
      </c>
      <c r="BP67" s="230">
        <v>45263625</v>
      </c>
      <c r="BQ67" s="230">
        <v>31548000</v>
      </c>
      <c r="BR67" s="230">
        <v>13715625</v>
      </c>
      <c r="BS67" s="229">
        <v>0.43480000000000002</v>
      </c>
      <c r="BT67" s="230">
        <v>1299036</v>
      </c>
      <c r="BU67" s="230">
        <v>562830</v>
      </c>
      <c r="BV67" s="230">
        <v>736206</v>
      </c>
      <c r="BW67" s="229">
        <v>1.3080000000000001</v>
      </c>
      <c r="BX67" s="230">
        <v>15547125</v>
      </c>
      <c r="BY67" s="230">
        <v>15631500</v>
      </c>
      <c r="BZ67" s="230">
        <v>-84375</v>
      </c>
      <c r="CA67" s="229">
        <v>-5.4000000000000003E-3</v>
      </c>
      <c r="CB67" s="230">
        <v>8944875</v>
      </c>
      <c r="CC67" s="230">
        <v>11653875</v>
      </c>
      <c r="CD67" s="230">
        <v>-2709000</v>
      </c>
      <c r="CE67" s="229">
        <v>-0.23250000000000001</v>
      </c>
      <c r="CF67" s="230">
        <v>6540000</v>
      </c>
      <c r="CG67" s="230">
        <v>3919875</v>
      </c>
      <c r="CH67" s="230">
        <v>2620125</v>
      </c>
      <c r="CI67" s="229">
        <v>0.66839999999999999</v>
      </c>
      <c r="CJ67" s="230">
        <v>62250</v>
      </c>
      <c r="CK67" s="230">
        <v>57750</v>
      </c>
      <c r="CL67" s="230">
        <v>4500</v>
      </c>
      <c r="CM67" s="229">
        <v>7.7899999999999997E-2</v>
      </c>
      <c r="CN67" s="230">
        <v>7327875</v>
      </c>
      <c r="CO67" s="230">
        <v>9763500</v>
      </c>
      <c r="CP67" s="230">
        <v>-2435625</v>
      </c>
      <c r="CQ67" s="229">
        <v>-0.2495</v>
      </c>
      <c r="CR67" s="230">
        <v>4022625</v>
      </c>
      <c r="CS67" s="230">
        <v>4338750</v>
      </c>
      <c r="CT67" s="230">
        <v>-316125</v>
      </c>
      <c r="CU67" s="229">
        <v>-7.2900000000000006E-2</v>
      </c>
      <c r="CV67" s="230">
        <v>26897625</v>
      </c>
      <c r="CW67" s="230">
        <v>29733750</v>
      </c>
      <c r="CX67" s="230">
        <v>-2836125</v>
      </c>
      <c r="CY67" s="229">
        <v>-9.5399999999999999E-2</v>
      </c>
      <c r="CZ67" s="228">
        <v>27.95</v>
      </c>
      <c r="DA67" s="228">
        <v>31.99</v>
      </c>
      <c r="DB67" s="228">
        <v>-4.04</v>
      </c>
      <c r="DC67" s="228">
        <v>-4.04</v>
      </c>
      <c r="DD67" s="228">
        <v>37</v>
      </c>
      <c r="DE67" s="228">
        <v>37</v>
      </c>
      <c r="DF67" s="228">
        <v>-9.0500000000000007</v>
      </c>
      <c r="DG67" s="228">
        <v>0</v>
      </c>
      <c r="DH67" s="228">
        <v>28.54</v>
      </c>
      <c r="DI67" s="228">
        <v>32.97</v>
      </c>
      <c r="DJ67" s="228">
        <v>-4.43</v>
      </c>
      <c r="DK67" s="228">
        <v>-4.43</v>
      </c>
      <c r="DL67" s="228">
        <v>26.56</v>
      </c>
      <c r="DM67" s="228">
        <v>28.63</v>
      </c>
      <c r="DN67" s="228">
        <v>-2.0699999999999998</v>
      </c>
      <c r="DO67" s="228">
        <v>-2.0699999999999998</v>
      </c>
      <c r="DP67" s="228">
        <v>0.55000000000000004</v>
      </c>
      <c r="DQ67" s="228">
        <v>0.44</v>
      </c>
      <c r="DR67" s="228">
        <v>0.11</v>
      </c>
      <c r="DS67" s="229">
        <v>0.25</v>
      </c>
      <c r="DT67" s="231">
        <v>1900</v>
      </c>
      <c r="DU67" s="231">
        <v>1900</v>
      </c>
      <c r="DV67" s="228">
        <v>0.28999999999999998</v>
      </c>
      <c r="DW67" s="228">
        <v>0.28999999999999998</v>
      </c>
      <c r="DX67" s="228">
        <v>0</v>
      </c>
      <c r="DY67" s="229">
        <v>0</v>
      </c>
      <c r="DZ67" s="229">
        <v>0.42470000000000002</v>
      </c>
      <c r="EA67" s="230">
        <v>3977625</v>
      </c>
      <c r="EB67" s="229">
        <v>5.7000000000000002E-3</v>
      </c>
      <c r="EC67" s="229">
        <v>0.42470000000000002</v>
      </c>
      <c r="ED67" s="228">
        <v>10.18</v>
      </c>
      <c r="EE67" s="229">
        <v>5.4999999999999997E-3</v>
      </c>
      <c r="EF67" s="230">
        <v>308174</v>
      </c>
      <c r="EG67" s="230">
        <v>198211</v>
      </c>
      <c r="EH67" s="229">
        <v>0.55479999999999996</v>
      </c>
      <c r="EI67" s="229">
        <v>0.23719999999999999</v>
      </c>
      <c r="EJ67" s="231">
        <v>538572.47</v>
      </c>
      <c r="EK67" s="231">
        <v>147960.04999999999</v>
      </c>
      <c r="EL67" s="231">
        <v>176131.15</v>
      </c>
      <c r="EM67" s="231">
        <v>18008</v>
      </c>
      <c r="EN67" s="231">
        <v>862663.67</v>
      </c>
      <c r="EO67" s="231">
        <v>599850.07999999996</v>
      </c>
      <c r="EP67" s="231">
        <v>262813.59000000003</v>
      </c>
      <c r="EQ67" s="229">
        <v>0.43809999999999999</v>
      </c>
      <c r="ER67" s="231">
        <v>143509</v>
      </c>
      <c r="ES67" s="231">
        <v>73306</v>
      </c>
      <c r="ET67" s="231">
        <v>293611</v>
      </c>
      <c r="EU67" s="231">
        <v>22585180</v>
      </c>
      <c r="EV67" s="231">
        <v>510426</v>
      </c>
      <c r="EW67" s="231">
        <v>557732</v>
      </c>
      <c r="EX67" s="231">
        <v>-47306</v>
      </c>
      <c r="EY67" s="229">
        <v>-8.48E-2</v>
      </c>
      <c r="EZ67" s="229">
        <v>1.1909000000000001</v>
      </c>
      <c r="FA67" s="227" t="s">
        <v>556</v>
      </c>
      <c r="FB67" s="161">
        <f t="shared" ref="FB67:FB130" si="1">BX67-CB67</f>
        <v>6602250</v>
      </c>
    </row>
    <row r="68" spans="1:158" ht="17.25" hidden="1" thickBot="1" x14ac:dyDescent="0.3">
      <c r="A68" s="226">
        <v>45981</v>
      </c>
      <c r="B68" s="227" t="s">
        <v>215</v>
      </c>
      <c r="C68" s="227" t="s">
        <v>631</v>
      </c>
      <c r="D68" s="228">
        <v>6975</v>
      </c>
      <c r="E68" s="228">
        <v>103.2</v>
      </c>
      <c r="F68" s="228">
        <v>102.87</v>
      </c>
      <c r="G68" s="228">
        <v>0.33</v>
      </c>
      <c r="H68" s="229">
        <v>3.2000000000000002E-3</v>
      </c>
      <c r="I68" s="228">
        <v>103.27</v>
      </c>
      <c r="J68" s="228">
        <v>102.92</v>
      </c>
      <c r="K68" s="228">
        <v>0.35</v>
      </c>
      <c r="L68" s="229">
        <v>3.3999999999999998E-3</v>
      </c>
      <c r="M68" s="228">
        <v>103.2</v>
      </c>
      <c r="N68" s="228">
        <v>102.87</v>
      </c>
      <c r="O68" s="228">
        <v>0.33</v>
      </c>
      <c r="P68" s="229">
        <v>3.2000000000000002E-3</v>
      </c>
      <c r="Q68" s="228">
        <v>103.86</v>
      </c>
      <c r="R68" s="228">
        <v>103.56</v>
      </c>
      <c r="S68" s="228">
        <v>0.3</v>
      </c>
      <c r="T68" s="229">
        <v>2.8999999999999998E-3</v>
      </c>
      <c r="U68" s="228">
        <v>104.56</v>
      </c>
      <c r="V68" s="228">
        <v>104.07</v>
      </c>
      <c r="W68" s="228">
        <v>0.49</v>
      </c>
      <c r="X68" s="229">
        <v>4.7000000000000002E-3</v>
      </c>
      <c r="Y68" s="228">
        <v>-7.0000000000000007E-2</v>
      </c>
      <c r="Z68" s="228">
        <v>-0.05</v>
      </c>
      <c r="AA68" s="228">
        <v>-0.02</v>
      </c>
      <c r="AB68" s="229">
        <v>-6.9999999999999999E-4</v>
      </c>
      <c r="AC68" s="228">
        <v>-7.0000000000000007E-2</v>
      </c>
      <c r="AD68" s="228">
        <v>-0.05</v>
      </c>
      <c r="AE68" s="228">
        <v>-0.02</v>
      </c>
      <c r="AF68" s="229">
        <v>-6.9999999999999999E-4</v>
      </c>
      <c r="AG68" s="228">
        <v>0.59</v>
      </c>
      <c r="AH68" s="228">
        <v>0.64</v>
      </c>
      <c r="AI68" s="228">
        <v>-0.05</v>
      </c>
      <c r="AJ68" s="229">
        <v>5.7000000000000002E-3</v>
      </c>
      <c r="AK68" s="228">
        <v>1.29</v>
      </c>
      <c r="AL68" s="228">
        <v>1.1499999999999999</v>
      </c>
      <c r="AM68" s="228">
        <v>0.14000000000000001</v>
      </c>
      <c r="AN68" s="229">
        <v>1.2500000000000001E-2</v>
      </c>
      <c r="AO68" s="228">
        <v>103.52</v>
      </c>
      <c r="AP68" s="228">
        <v>104.23</v>
      </c>
      <c r="AQ68" s="228">
        <v>0</v>
      </c>
      <c r="AR68" s="230">
        <v>104164650</v>
      </c>
      <c r="AS68" s="230">
        <v>67259925</v>
      </c>
      <c r="AT68" s="230">
        <v>36904725</v>
      </c>
      <c r="AU68" s="229">
        <v>0.54869999999999997</v>
      </c>
      <c r="AV68" s="230">
        <v>57271725</v>
      </c>
      <c r="AW68" s="230">
        <v>43530975</v>
      </c>
      <c r="AX68" s="230">
        <v>13740750</v>
      </c>
      <c r="AY68" s="229">
        <v>0.31569999999999998</v>
      </c>
      <c r="AZ68" s="230">
        <v>46223325</v>
      </c>
      <c r="BA68" s="230">
        <v>22968675</v>
      </c>
      <c r="BB68" s="230">
        <v>23254650</v>
      </c>
      <c r="BC68" s="229">
        <v>1.0125</v>
      </c>
      <c r="BD68" s="230">
        <v>669600</v>
      </c>
      <c r="BE68" s="230">
        <v>760275</v>
      </c>
      <c r="BF68" s="230">
        <v>-90675</v>
      </c>
      <c r="BG68" s="229">
        <v>-0.1193</v>
      </c>
      <c r="BH68" s="230">
        <v>156916575</v>
      </c>
      <c r="BI68" s="230">
        <v>277870050</v>
      </c>
      <c r="BJ68" s="230">
        <v>-120953475</v>
      </c>
      <c r="BK68" s="229">
        <v>-0.43530000000000002</v>
      </c>
      <c r="BL68" s="230">
        <v>73049175</v>
      </c>
      <c r="BM68" s="230">
        <v>127251900</v>
      </c>
      <c r="BN68" s="230">
        <v>-54202725</v>
      </c>
      <c r="BO68" s="229">
        <v>-0.4259</v>
      </c>
      <c r="BP68" s="230">
        <v>334130400</v>
      </c>
      <c r="BQ68" s="230">
        <v>472381875</v>
      </c>
      <c r="BR68" s="230">
        <v>-138251475</v>
      </c>
      <c r="BS68" s="229">
        <v>-0.29270000000000002</v>
      </c>
      <c r="BT68" s="230">
        <v>22471259</v>
      </c>
      <c r="BU68" s="230">
        <v>24782245</v>
      </c>
      <c r="BV68" s="230">
        <v>-2310986</v>
      </c>
      <c r="BW68" s="229">
        <v>-9.3299999999999994E-2</v>
      </c>
      <c r="BX68" s="230">
        <v>222007275</v>
      </c>
      <c r="BY68" s="230">
        <v>230300550</v>
      </c>
      <c r="BZ68" s="230">
        <v>-8293275</v>
      </c>
      <c r="CA68" s="229">
        <v>-3.5999999999999997E-2</v>
      </c>
      <c r="CB68" s="230">
        <v>145261350</v>
      </c>
      <c r="CC68" s="230">
        <v>185360625</v>
      </c>
      <c r="CD68" s="230">
        <v>-40099275</v>
      </c>
      <c r="CE68" s="229">
        <v>-0.21629999999999999</v>
      </c>
      <c r="CF68" s="230">
        <v>75092850</v>
      </c>
      <c r="CG68" s="230">
        <v>43517025</v>
      </c>
      <c r="CH68" s="230">
        <v>31575825</v>
      </c>
      <c r="CI68" s="229">
        <v>0.72560000000000002</v>
      </c>
      <c r="CJ68" s="230">
        <v>1653075</v>
      </c>
      <c r="CK68" s="230">
        <v>1422900</v>
      </c>
      <c r="CL68" s="230">
        <v>230175</v>
      </c>
      <c r="CM68" s="229">
        <v>0.1618</v>
      </c>
      <c r="CN68" s="230">
        <v>158639400</v>
      </c>
      <c r="CO68" s="230">
        <v>158744025</v>
      </c>
      <c r="CP68" s="230">
        <v>-104625</v>
      </c>
      <c r="CQ68" s="229">
        <v>-6.9999999999999999E-4</v>
      </c>
      <c r="CR68" s="230">
        <v>95020425</v>
      </c>
      <c r="CS68" s="230">
        <v>100077300</v>
      </c>
      <c r="CT68" s="230">
        <v>-5056875</v>
      </c>
      <c r="CU68" s="229">
        <v>-5.0500000000000003E-2</v>
      </c>
      <c r="CV68" s="230">
        <v>475667100</v>
      </c>
      <c r="CW68" s="230">
        <v>489121875</v>
      </c>
      <c r="CX68" s="230">
        <v>-13454775</v>
      </c>
      <c r="CY68" s="229">
        <v>-2.75E-2</v>
      </c>
      <c r="CZ68" s="228">
        <v>25.85</v>
      </c>
      <c r="DA68" s="228">
        <v>29.86</v>
      </c>
      <c r="DB68" s="228">
        <v>-4.01</v>
      </c>
      <c r="DC68" s="228">
        <v>-4.01</v>
      </c>
      <c r="DD68" s="228">
        <v>36.520000000000003</v>
      </c>
      <c r="DE68" s="228">
        <v>36.61</v>
      </c>
      <c r="DF68" s="228">
        <v>-10.67</v>
      </c>
      <c r="DG68" s="228">
        <v>-0.09</v>
      </c>
      <c r="DH68" s="228">
        <v>26.08</v>
      </c>
      <c r="DI68" s="228">
        <v>30.62</v>
      </c>
      <c r="DJ68" s="228">
        <v>-4.54</v>
      </c>
      <c r="DK68" s="228">
        <v>-4.54</v>
      </c>
      <c r="DL68" s="228">
        <v>24.94</v>
      </c>
      <c r="DM68" s="228">
        <v>28.18</v>
      </c>
      <c r="DN68" s="228">
        <v>-3.24</v>
      </c>
      <c r="DO68" s="228">
        <v>-3.24</v>
      </c>
      <c r="DP68" s="228">
        <v>0.6</v>
      </c>
      <c r="DQ68" s="228">
        <v>0.63</v>
      </c>
      <c r="DR68" s="228">
        <v>-0.03</v>
      </c>
      <c r="DS68" s="229">
        <v>-4.7600000000000003E-2</v>
      </c>
      <c r="DT68" s="228">
        <v>105</v>
      </c>
      <c r="DU68" s="228">
        <v>100</v>
      </c>
      <c r="DV68" s="228">
        <v>0.47</v>
      </c>
      <c r="DW68" s="228">
        <v>0.46</v>
      </c>
      <c r="DX68" s="228">
        <v>0.01</v>
      </c>
      <c r="DY68" s="229">
        <v>2.1700000000000001E-2</v>
      </c>
      <c r="DZ68" s="229">
        <v>0.34570000000000001</v>
      </c>
      <c r="EA68" s="230">
        <v>44939925</v>
      </c>
      <c r="EB68" s="229">
        <v>6.4000000000000003E-3</v>
      </c>
      <c r="EC68" s="229">
        <v>0.34570000000000001</v>
      </c>
      <c r="ED68" s="228">
        <v>0.71</v>
      </c>
      <c r="EE68" s="229">
        <v>6.8999999999999999E-3</v>
      </c>
      <c r="EF68" s="230">
        <v>13004917</v>
      </c>
      <c r="EG68" s="230">
        <v>8757865</v>
      </c>
      <c r="EH68" s="229">
        <v>0.4849</v>
      </c>
      <c r="EI68" s="229">
        <v>0.57869999999999999</v>
      </c>
      <c r="EJ68" s="231">
        <v>168026.7</v>
      </c>
      <c r="EK68" s="231">
        <v>74108.78</v>
      </c>
      <c r="EL68" s="231">
        <v>108166.03</v>
      </c>
      <c r="EM68" s="231">
        <v>10460</v>
      </c>
      <c r="EN68" s="231">
        <v>350301.51</v>
      </c>
      <c r="EO68" s="231">
        <v>497224.55</v>
      </c>
      <c r="EP68" s="231">
        <v>-146923.04</v>
      </c>
      <c r="EQ68" s="229">
        <v>-0.29549999999999998</v>
      </c>
      <c r="ER68" s="231">
        <v>162750</v>
      </c>
      <c r="ES68" s="231">
        <v>92286</v>
      </c>
      <c r="ET68" s="231">
        <v>229630</v>
      </c>
      <c r="EU68" s="231">
        <v>534704421</v>
      </c>
      <c r="EV68" s="231">
        <v>484666</v>
      </c>
      <c r="EW68" s="231">
        <v>496821</v>
      </c>
      <c r="EX68" s="231">
        <v>-12155</v>
      </c>
      <c r="EY68" s="229">
        <v>-2.4500000000000001E-2</v>
      </c>
      <c r="EZ68" s="229">
        <v>0.88959999999999995</v>
      </c>
      <c r="FA68" s="227" t="s">
        <v>556</v>
      </c>
      <c r="FB68" s="161">
        <f t="shared" si="1"/>
        <v>76745925</v>
      </c>
    </row>
    <row r="69" spans="1:158" ht="17.25" hidden="1" thickBot="1" x14ac:dyDescent="0.3">
      <c r="A69" s="226">
        <v>45981</v>
      </c>
      <c r="B69" s="227" t="s">
        <v>168</v>
      </c>
      <c r="C69" s="227" t="s">
        <v>217</v>
      </c>
      <c r="D69" s="228">
        <v>500</v>
      </c>
      <c r="E69" s="231">
        <v>1129.2</v>
      </c>
      <c r="F69" s="231">
        <v>1143.0999999999999</v>
      </c>
      <c r="G69" s="228">
        <v>-13.9</v>
      </c>
      <c r="H69" s="229">
        <v>-1.2200000000000001E-2</v>
      </c>
      <c r="I69" s="231">
        <v>1127.3</v>
      </c>
      <c r="J69" s="231">
        <v>1139.9000000000001</v>
      </c>
      <c r="K69" s="228">
        <v>-12.6</v>
      </c>
      <c r="L69" s="229">
        <v>-1.11E-2</v>
      </c>
      <c r="M69" s="231">
        <v>1129.2</v>
      </c>
      <c r="N69" s="231">
        <v>1143.0999999999999</v>
      </c>
      <c r="O69" s="228">
        <v>-13.9</v>
      </c>
      <c r="P69" s="229">
        <v>-1.2200000000000001E-2</v>
      </c>
      <c r="Q69" s="231">
        <v>1136.3</v>
      </c>
      <c r="R69" s="231">
        <v>1148.7</v>
      </c>
      <c r="S69" s="228">
        <v>-12.4</v>
      </c>
      <c r="T69" s="229">
        <v>-1.0800000000000001E-2</v>
      </c>
      <c r="U69" s="231">
        <v>1143.2</v>
      </c>
      <c r="V69" s="231">
        <v>1155.8</v>
      </c>
      <c r="W69" s="228">
        <v>-12.6</v>
      </c>
      <c r="X69" s="229">
        <v>-1.09E-2</v>
      </c>
      <c r="Y69" s="228">
        <v>1.9</v>
      </c>
      <c r="Z69" s="228">
        <v>3.2</v>
      </c>
      <c r="AA69" s="228">
        <v>-1.3</v>
      </c>
      <c r="AB69" s="229">
        <v>1.6999999999999999E-3</v>
      </c>
      <c r="AC69" s="228">
        <v>1.9</v>
      </c>
      <c r="AD69" s="228">
        <v>3.2</v>
      </c>
      <c r="AE69" s="228">
        <v>-1.3</v>
      </c>
      <c r="AF69" s="229">
        <v>1.6999999999999999E-3</v>
      </c>
      <c r="AG69" s="228">
        <v>9</v>
      </c>
      <c r="AH69" s="228">
        <v>8.8000000000000007</v>
      </c>
      <c r="AI69" s="228">
        <v>0.2</v>
      </c>
      <c r="AJ69" s="229">
        <v>8.0000000000000002E-3</v>
      </c>
      <c r="AK69" s="228">
        <v>15.9</v>
      </c>
      <c r="AL69" s="228">
        <v>15.9</v>
      </c>
      <c r="AM69" s="228">
        <v>0</v>
      </c>
      <c r="AN69" s="229">
        <v>1.41E-2</v>
      </c>
      <c r="AO69" s="231">
        <v>1135.9000000000001</v>
      </c>
      <c r="AP69" s="231">
        <v>1142.6099999999999</v>
      </c>
      <c r="AQ69" s="228">
        <v>0</v>
      </c>
      <c r="AR69" s="230">
        <v>6535500</v>
      </c>
      <c r="AS69" s="230">
        <v>1905000</v>
      </c>
      <c r="AT69" s="230">
        <v>4630500</v>
      </c>
      <c r="AU69" s="229">
        <v>2.4306999999999999</v>
      </c>
      <c r="AV69" s="230">
        <v>3241500</v>
      </c>
      <c r="AW69" s="230">
        <v>1274000</v>
      </c>
      <c r="AX69" s="230">
        <v>1967500</v>
      </c>
      <c r="AY69" s="229">
        <v>1.5443</v>
      </c>
      <c r="AZ69" s="230">
        <v>3283000</v>
      </c>
      <c r="BA69" s="230">
        <v>629500</v>
      </c>
      <c r="BB69" s="230">
        <v>2653500</v>
      </c>
      <c r="BC69" s="229">
        <v>4.2153</v>
      </c>
      <c r="BD69" s="230">
        <v>11000</v>
      </c>
      <c r="BE69" s="230">
        <v>1500</v>
      </c>
      <c r="BF69" s="230">
        <v>9500</v>
      </c>
      <c r="BG69" s="229">
        <v>6.3333000000000004</v>
      </c>
      <c r="BH69" s="230">
        <v>2323000</v>
      </c>
      <c r="BI69" s="230">
        <v>2680000</v>
      </c>
      <c r="BJ69" s="230">
        <v>-357000</v>
      </c>
      <c r="BK69" s="229">
        <v>-0.13320000000000001</v>
      </c>
      <c r="BL69" s="230">
        <v>1199500</v>
      </c>
      <c r="BM69" s="230">
        <v>1544500</v>
      </c>
      <c r="BN69" s="230">
        <v>-345000</v>
      </c>
      <c r="BO69" s="229">
        <v>-0.22339999999999999</v>
      </c>
      <c r="BP69" s="230">
        <v>10058000</v>
      </c>
      <c r="BQ69" s="230">
        <v>6129500</v>
      </c>
      <c r="BR69" s="230">
        <v>3928500</v>
      </c>
      <c r="BS69" s="229">
        <v>0.64090000000000003</v>
      </c>
      <c r="BT69" s="230">
        <v>1184998</v>
      </c>
      <c r="BU69" s="230">
        <v>1741300</v>
      </c>
      <c r="BV69" s="230">
        <v>-556302</v>
      </c>
      <c r="BW69" s="229">
        <v>-0.31950000000000001</v>
      </c>
      <c r="BX69" s="230">
        <v>10551500</v>
      </c>
      <c r="BY69" s="230">
        <v>10045000</v>
      </c>
      <c r="BZ69" s="230">
        <v>506500</v>
      </c>
      <c r="CA69" s="229">
        <v>5.04E-2</v>
      </c>
      <c r="CB69" s="230">
        <v>7079000</v>
      </c>
      <c r="CC69" s="230">
        <v>9183500</v>
      </c>
      <c r="CD69" s="230">
        <v>-2104500</v>
      </c>
      <c r="CE69" s="229">
        <v>-0.22919999999999999</v>
      </c>
      <c r="CF69" s="230">
        <v>3434500</v>
      </c>
      <c r="CG69" s="230">
        <v>831000</v>
      </c>
      <c r="CH69" s="230">
        <v>2603500</v>
      </c>
      <c r="CI69" s="229">
        <v>3.133</v>
      </c>
      <c r="CJ69" s="230">
        <v>38000</v>
      </c>
      <c r="CK69" s="230">
        <v>30500</v>
      </c>
      <c r="CL69" s="230">
        <v>7500</v>
      </c>
      <c r="CM69" s="229">
        <v>0.24590000000000001</v>
      </c>
      <c r="CN69" s="230">
        <v>2321000</v>
      </c>
      <c r="CO69" s="230">
        <v>2463500</v>
      </c>
      <c r="CP69" s="230">
        <v>-142500</v>
      </c>
      <c r="CQ69" s="229">
        <v>-5.7799999999999997E-2</v>
      </c>
      <c r="CR69" s="230">
        <v>1766500</v>
      </c>
      <c r="CS69" s="230">
        <v>1767500</v>
      </c>
      <c r="CT69" s="230">
        <v>-1000</v>
      </c>
      <c r="CU69" s="229">
        <v>-5.9999999999999995E-4</v>
      </c>
      <c r="CV69" s="230">
        <v>14639000</v>
      </c>
      <c r="CW69" s="230">
        <v>14276000</v>
      </c>
      <c r="CX69" s="230">
        <v>363000</v>
      </c>
      <c r="CY69" s="229">
        <v>2.5399999999999999E-2</v>
      </c>
      <c r="CZ69" s="228">
        <v>22.53</v>
      </c>
      <c r="DA69" s="228">
        <v>23.83</v>
      </c>
      <c r="DB69" s="228">
        <v>-1.3</v>
      </c>
      <c r="DC69" s="228">
        <v>-1.3</v>
      </c>
      <c r="DD69" s="228">
        <v>29.52</v>
      </c>
      <c r="DE69" s="228">
        <v>29.55</v>
      </c>
      <c r="DF69" s="228">
        <v>-6.99</v>
      </c>
      <c r="DG69" s="228">
        <v>-0.03</v>
      </c>
      <c r="DH69" s="228">
        <v>23.21</v>
      </c>
      <c r="DI69" s="228">
        <v>24.3</v>
      </c>
      <c r="DJ69" s="228">
        <v>-1.0900000000000001</v>
      </c>
      <c r="DK69" s="228">
        <v>-1.0900000000000001</v>
      </c>
      <c r="DL69" s="228">
        <v>21.65</v>
      </c>
      <c r="DM69" s="228">
        <v>23.01</v>
      </c>
      <c r="DN69" s="228">
        <v>-1.36</v>
      </c>
      <c r="DO69" s="228">
        <v>-1.36</v>
      </c>
      <c r="DP69" s="228">
        <v>0.76</v>
      </c>
      <c r="DQ69" s="228">
        <v>0.72</v>
      </c>
      <c r="DR69" s="228">
        <v>0.04</v>
      </c>
      <c r="DS69" s="229">
        <v>5.5599999999999997E-2</v>
      </c>
      <c r="DT69" s="231">
        <v>1160</v>
      </c>
      <c r="DU69" s="231">
        <v>1100</v>
      </c>
      <c r="DV69" s="228">
        <v>0.52</v>
      </c>
      <c r="DW69" s="228">
        <v>0.57999999999999996</v>
      </c>
      <c r="DX69" s="228">
        <v>-0.06</v>
      </c>
      <c r="DY69" s="229">
        <v>-0.10340000000000001</v>
      </c>
      <c r="DZ69" s="229">
        <v>0.3291</v>
      </c>
      <c r="EA69" s="230">
        <v>861500</v>
      </c>
      <c r="EB69" s="229">
        <v>6.3E-3</v>
      </c>
      <c r="EC69" s="229">
        <v>0.3291</v>
      </c>
      <c r="ED69" s="228">
        <v>6.71</v>
      </c>
      <c r="EE69" s="229">
        <v>5.8999999999999999E-3</v>
      </c>
      <c r="EF69" s="230">
        <v>854067</v>
      </c>
      <c r="EG69" s="230">
        <v>1313467</v>
      </c>
      <c r="EH69" s="229">
        <v>-0.3498</v>
      </c>
      <c r="EI69" s="229">
        <v>0.72070000000000001</v>
      </c>
      <c r="EJ69" s="231">
        <v>27445.7</v>
      </c>
      <c r="EK69" s="231">
        <v>13454.46</v>
      </c>
      <c r="EL69" s="231">
        <v>74458.38</v>
      </c>
      <c r="EM69" s="231">
        <v>2878</v>
      </c>
      <c r="EN69" s="231">
        <v>115358.54</v>
      </c>
      <c r="EO69" s="231">
        <v>70957.509999999995</v>
      </c>
      <c r="EP69" s="231">
        <v>44401.03</v>
      </c>
      <c r="EQ69" s="229">
        <v>0.62570000000000003</v>
      </c>
      <c r="ER69" s="231">
        <v>27649</v>
      </c>
      <c r="ES69" s="231">
        <v>19567</v>
      </c>
      <c r="ET69" s="231">
        <v>119397</v>
      </c>
      <c r="EU69" s="231">
        <v>58001204</v>
      </c>
      <c r="EV69" s="231">
        <v>166613</v>
      </c>
      <c r="EW69" s="231">
        <v>163905</v>
      </c>
      <c r="EX69" s="231">
        <v>2708</v>
      </c>
      <c r="EY69" s="229">
        <v>1.6500000000000001E-2</v>
      </c>
      <c r="EZ69" s="229">
        <v>0.25240000000000001</v>
      </c>
      <c r="FA69" s="227" t="s">
        <v>567</v>
      </c>
      <c r="FB69" s="161">
        <f t="shared" si="1"/>
        <v>3472500</v>
      </c>
    </row>
    <row r="70" spans="1:158" ht="17.25" hidden="1" thickBot="1" x14ac:dyDescent="0.3">
      <c r="A70" s="226">
        <v>45981</v>
      </c>
      <c r="B70" s="227" t="s">
        <v>206</v>
      </c>
      <c r="C70" s="227" t="s">
        <v>218</v>
      </c>
      <c r="D70" s="228">
        <v>275</v>
      </c>
      <c r="E70" s="231">
        <v>2125.6999999999998</v>
      </c>
      <c r="F70" s="231">
        <v>2132.1999999999998</v>
      </c>
      <c r="G70" s="228">
        <v>-6.5</v>
      </c>
      <c r="H70" s="229">
        <v>-3.0000000000000001E-3</v>
      </c>
      <c r="I70" s="231">
        <v>2123.8000000000002</v>
      </c>
      <c r="J70" s="231">
        <v>2130.4</v>
      </c>
      <c r="K70" s="228">
        <v>-6.6</v>
      </c>
      <c r="L70" s="229">
        <v>-3.0999999999999999E-3</v>
      </c>
      <c r="M70" s="231">
        <v>2125.6999999999998</v>
      </c>
      <c r="N70" s="231">
        <v>2132.1999999999998</v>
      </c>
      <c r="O70" s="228">
        <v>-6.5</v>
      </c>
      <c r="P70" s="229">
        <v>-3.0000000000000001E-3</v>
      </c>
      <c r="Q70" s="231">
        <v>2139.4</v>
      </c>
      <c r="R70" s="231">
        <v>2146</v>
      </c>
      <c r="S70" s="228">
        <v>-6.6</v>
      </c>
      <c r="T70" s="229">
        <v>-3.0999999999999999E-3</v>
      </c>
      <c r="U70" s="231">
        <v>2152.6999999999998</v>
      </c>
      <c r="V70" s="231">
        <v>2160</v>
      </c>
      <c r="W70" s="228">
        <v>-7.3</v>
      </c>
      <c r="X70" s="229">
        <v>-3.3999999999999998E-3</v>
      </c>
      <c r="Y70" s="228">
        <v>1.9</v>
      </c>
      <c r="Z70" s="228">
        <v>1.8</v>
      </c>
      <c r="AA70" s="228">
        <v>0.1</v>
      </c>
      <c r="AB70" s="229">
        <v>8.9999999999999998E-4</v>
      </c>
      <c r="AC70" s="228">
        <v>1.9</v>
      </c>
      <c r="AD70" s="228">
        <v>1.8</v>
      </c>
      <c r="AE70" s="228">
        <v>0.1</v>
      </c>
      <c r="AF70" s="229">
        <v>8.9999999999999998E-4</v>
      </c>
      <c r="AG70" s="228">
        <v>15.6</v>
      </c>
      <c r="AH70" s="228">
        <v>15.6</v>
      </c>
      <c r="AI70" s="228">
        <v>0</v>
      </c>
      <c r="AJ70" s="229">
        <v>7.3000000000000001E-3</v>
      </c>
      <c r="AK70" s="228">
        <v>28.9</v>
      </c>
      <c r="AL70" s="228">
        <v>29.6</v>
      </c>
      <c r="AM70" s="228">
        <v>-0.7</v>
      </c>
      <c r="AN70" s="229">
        <v>1.3599999999999999E-2</v>
      </c>
      <c r="AO70" s="231">
        <v>2127.61</v>
      </c>
      <c r="AP70" s="231">
        <v>2141.4</v>
      </c>
      <c r="AQ70" s="228">
        <v>0</v>
      </c>
      <c r="AR70" s="230">
        <v>3402575</v>
      </c>
      <c r="AS70" s="230">
        <v>1138775</v>
      </c>
      <c r="AT70" s="230">
        <v>2263800</v>
      </c>
      <c r="AU70" s="229">
        <v>1.9879</v>
      </c>
      <c r="AV70" s="230">
        <v>1873575</v>
      </c>
      <c r="AW70" s="230">
        <v>814825</v>
      </c>
      <c r="AX70" s="230">
        <v>1058750</v>
      </c>
      <c r="AY70" s="229">
        <v>1.2994000000000001</v>
      </c>
      <c r="AZ70" s="230">
        <v>1513600</v>
      </c>
      <c r="BA70" s="230">
        <v>302775</v>
      </c>
      <c r="BB70" s="230">
        <v>1210825</v>
      </c>
      <c r="BC70" s="229">
        <v>3.9990999999999999</v>
      </c>
      <c r="BD70" s="230">
        <v>15400</v>
      </c>
      <c r="BE70" s="230">
        <v>21175</v>
      </c>
      <c r="BF70" s="230">
        <v>-5775</v>
      </c>
      <c r="BG70" s="229">
        <v>-0.2727</v>
      </c>
      <c r="BH70" s="230">
        <v>3169650</v>
      </c>
      <c r="BI70" s="230">
        <v>4300450</v>
      </c>
      <c r="BJ70" s="230">
        <v>-1130800</v>
      </c>
      <c r="BK70" s="229">
        <v>-0.26290000000000002</v>
      </c>
      <c r="BL70" s="230">
        <v>1013650</v>
      </c>
      <c r="BM70" s="230">
        <v>2076525</v>
      </c>
      <c r="BN70" s="230">
        <v>-1062875</v>
      </c>
      <c r="BO70" s="229">
        <v>-0.51190000000000002</v>
      </c>
      <c r="BP70" s="230">
        <v>7585875</v>
      </c>
      <c r="BQ70" s="230">
        <v>7515750</v>
      </c>
      <c r="BR70" s="230">
        <v>70125</v>
      </c>
      <c r="BS70" s="229">
        <v>9.2999999999999992E-3</v>
      </c>
      <c r="BT70" s="230">
        <v>371821</v>
      </c>
      <c r="BU70" s="230">
        <v>384623</v>
      </c>
      <c r="BV70" s="230">
        <v>-12802</v>
      </c>
      <c r="BW70" s="229">
        <v>-3.3300000000000003E-2</v>
      </c>
      <c r="BX70" s="230">
        <v>8055300</v>
      </c>
      <c r="BY70" s="230">
        <v>8095725</v>
      </c>
      <c r="BZ70" s="230">
        <v>-40425</v>
      </c>
      <c r="CA70" s="229">
        <v>-5.0000000000000001E-3</v>
      </c>
      <c r="CB70" s="230">
        <v>6207300</v>
      </c>
      <c r="CC70" s="230">
        <v>7467075</v>
      </c>
      <c r="CD70" s="230">
        <v>-1259775</v>
      </c>
      <c r="CE70" s="229">
        <v>-0.16869999999999999</v>
      </c>
      <c r="CF70" s="230">
        <v>1787775</v>
      </c>
      <c r="CG70" s="230">
        <v>574750</v>
      </c>
      <c r="CH70" s="230">
        <v>1213025</v>
      </c>
      <c r="CI70" s="229">
        <v>2.1105</v>
      </c>
      <c r="CJ70" s="230">
        <v>60225</v>
      </c>
      <c r="CK70" s="230">
        <v>53900</v>
      </c>
      <c r="CL70" s="230">
        <v>6325</v>
      </c>
      <c r="CM70" s="229">
        <v>0.1173</v>
      </c>
      <c r="CN70" s="230">
        <v>3081925</v>
      </c>
      <c r="CO70" s="230">
        <v>3012350</v>
      </c>
      <c r="CP70" s="230">
        <v>69575</v>
      </c>
      <c r="CQ70" s="229">
        <v>2.3099999999999999E-2</v>
      </c>
      <c r="CR70" s="230">
        <v>1786950</v>
      </c>
      <c r="CS70" s="230">
        <v>1807850</v>
      </c>
      <c r="CT70" s="230">
        <v>-20900</v>
      </c>
      <c r="CU70" s="229">
        <v>-1.1599999999999999E-2</v>
      </c>
      <c r="CV70" s="230">
        <v>12924175</v>
      </c>
      <c r="CW70" s="230">
        <v>12915925</v>
      </c>
      <c r="CX70" s="230">
        <v>8250</v>
      </c>
      <c r="CY70" s="229">
        <v>5.9999999999999995E-4</v>
      </c>
      <c r="CZ70" s="228">
        <v>29.02</v>
      </c>
      <c r="DA70" s="228">
        <v>30.14</v>
      </c>
      <c r="DB70" s="228">
        <v>-1.1200000000000001</v>
      </c>
      <c r="DC70" s="228">
        <v>-1.1200000000000001</v>
      </c>
      <c r="DD70" s="228">
        <v>42.88</v>
      </c>
      <c r="DE70" s="228">
        <v>42.98</v>
      </c>
      <c r="DF70" s="228">
        <v>-13.86</v>
      </c>
      <c r="DG70" s="228">
        <v>-0.1</v>
      </c>
      <c r="DH70" s="228">
        <v>29.31</v>
      </c>
      <c r="DI70" s="228">
        <v>31.37</v>
      </c>
      <c r="DJ70" s="228">
        <v>-2.06</v>
      </c>
      <c r="DK70" s="228">
        <v>-2.06</v>
      </c>
      <c r="DL70" s="228">
        <v>28.24</v>
      </c>
      <c r="DM70" s="228">
        <v>27.58</v>
      </c>
      <c r="DN70" s="228">
        <v>0.66</v>
      </c>
      <c r="DO70" s="228">
        <v>0.66</v>
      </c>
      <c r="DP70" s="228">
        <v>0.57999999999999996</v>
      </c>
      <c r="DQ70" s="228">
        <v>0.6</v>
      </c>
      <c r="DR70" s="228">
        <v>-0.02</v>
      </c>
      <c r="DS70" s="229">
        <v>-3.3300000000000003E-2</v>
      </c>
      <c r="DT70" s="231">
        <v>2300</v>
      </c>
      <c r="DU70" s="231">
        <v>2100</v>
      </c>
      <c r="DV70" s="228">
        <v>0.32</v>
      </c>
      <c r="DW70" s="228">
        <v>0.48</v>
      </c>
      <c r="DX70" s="228">
        <v>-0.16</v>
      </c>
      <c r="DY70" s="229">
        <v>-0.33329999999999999</v>
      </c>
      <c r="DZ70" s="229">
        <v>0.22939999999999999</v>
      </c>
      <c r="EA70" s="230">
        <v>628650</v>
      </c>
      <c r="EB70" s="229">
        <v>6.4000000000000003E-3</v>
      </c>
      <c r="EC70" s="229">
        <v>0.22939999999999999</v>
      </c>
      <c r="ED70" s="228">
        <v>13.79</v>
      </c>
      <c r="EE70" s="229">
        <v>6.4999999999999997E-3</v>
      </c>
      <c r="EF70" s="230">
        <v>148698</v>
      </c>
      <c r="EG70" s="230">
        <v>118258</v>
      </c>
      <c r="EH70" s="229">
        <v>0.25740000000000002</v>
      </c>
      <c r="EI70" s="229">
        <v>0.39989999999999998</v>
      </c>
      <c r="EJ70" s="231">
        <v>70356.23</v>
      </c>
      <c r="EK70" s="231">
        <v>21622.38</v>
      </c>
      <c r="EL70" s="231">
        <v>72606.23</v>
      </c>
      <c r="EM70" s="231">
        <v>3196</v>
      </c>
      <c r="EN70" s="231">
        <v>164584.84</v>
      </c>
      <c r="EO70" s="231">
        <v>165257.96</v>
      </c>
      <c r="EP70" s="228">
        <v>-673.12</v>
      </c>
      <c r="EQ70" s="229">
        <v>-4.1000000000000003E-3</v>
      </c>
      <c r="ER70" s="231">
        <v>70479</v>
      </c>
      <c r="ES70" s="231">
        <v>38259</v>
      </c>
      <c r="ET70" s="231">
        <v>171493</v>
      </c>
      <c r="EU70" s="231">
        <v>24082879</v>
      </c>
      <c r="EV70" s="231">
        <v>280230</v>
      </c>
      <c r="EW70" s="231">
        <v>280497</v>
      </c>
      <c r="EX70" s="228">
        <v>-267</v>
      </c>
      <c r="EY70" s="229">
        <v>-1E-3</v>
      </c>
      <c r="EZ70" s="229">
        <v>0.53669999999999995</v>
      </c>
      <c r="FA70" s="227" t="s">
        <v>568</v>
      </c>
      <c r="FB70" s="161">
        <f t="shared" si="1"/>
        <v>1848000</v>
      </c>
    </row>
    <row r="71" spans="1:158" ht="17.25" hidden="1" thickBot="1" x14ac:dyDescent="0.3">
      <c r="A71" s="226">
        <v>45981</v>
      </c>
      <c r="B71" s="227" t="s">
        <v>157</v>
      </c>
      <c r="C71" s="227" t="s">
        <v>219</v>
      </c>
      <c r="D71" s="228">
        <v>250</v>
      </c>
      <c r="E71" s="231">
        <v>2751.9</v>
      </c>
      <c r="F71" s="231">
        <v>2745.7</v>
      </c>
      <c r="G71" s="228">
        <v>6.2</v>
      </c>
      <c r="H71" s="229">
        <v>2.3E-3</v>
      </c>
      <c r="I71" s="231">
        <v>2748.6</v>
      </c>
      <c r="J71" s="231">
        <v>2744.7</v>
      </c>
      <c r="K71" s="228">
        <v>3.9</v>
      </c>
      <c r="L71" s="229">
        <v>1.4E-3</v>
      </c>
      <c r="M71" s="231">
        <v>2751.9</v>
      </c>
      <c r="N71" s="231">
        <v>2745.7</v>
      </c>
      <c r="O71" s="228">
        <v>6.2</v>
      </c>
      <c r="P71" s="229">
        <v>2.3E-3</v>
      </c>
      <c r="Q71" s="231">
        <v>2771</v>
      </c>
      <c r="R71" s="231">
        <v>2765.4</v>
      </c>
      <c r="S71" s="228">
        <v>5.6</v>
      </c>
      <c r="T71" s="229">
        <v>2E-3</v>
      </c>
      <c r="U71" s="231">
        <v>2796.6</v>
      </c>
      <c r="V71" s="231">
        <v>2782.7</v>
      </c>
      <c r="W71" s="228">
        <v>13.9</v>
      </c>
      <c r="X71" s="229">
        <v>5.0000000000000001E-3</v>
      </c>
      <c r="Y71" s="228">
        <v>3.3</v>
      </c>
      <c r="Z71" s="228">
        <v>1</v>
      </c>
      <c r="AA71" s="228">
        <v>2.2999999999999998</v>
      </c>
      <c r="AB71" s="229">
        <v>1.1999999999999999E-3</v>
      </c>
      <c r="AC71" s="228">
        <v>3.3</v>
      </c>
      <c r="AD71" s="228">
        <v>1</v>
      </c>
      <c r="AE71" s="228">
        <v>2.2999999999999998</v>
      </c>
      <c r="AF71" s="229">
        <v>1.1999999999999999E-3</v>
      </c>
      <c r="AG71" s="228">
        <v>22.4</v>
      </c>
      <c r="AH71" s="228">
        <v>20.7</v>
      </c>
      <c r="AI71" s="228">
        <v>1.7</v>
      </c>
      <c r="AJ71" s="229">
        <v>8.0999999999999996E-3</v>
      </c>
      <c r="AK71" s="228">
        <v>48</v>
      </c>
      <c r="AL71" s="228">
        <v>38</v>
      </c>
      <c r="AM71" s="228">
        <v>10</v>
      </c>
      <c r="AN71" s="229">
        <v>1.7500000000000002E-2</v>
      </c>
      <c r="AO71" s="231">
        <v>2758.28</v>
      </c>
      <c r="AP71" s="231">
        <v>2776.92</v>
      </c>
      <c r="AQ71" s="228">
        <v>0</v>
      </c>
      <c r="AR71" s="230">
        <v>6840250</v>
      </c>
      <c r="AS71" s="230">
        <v>6979000</v>
      </c>
      <c r="AT71" s="230">
        <v>-138750</v>
      </c>
      <c r="AU71" s="229">
        <v>-1.9900000000000001E-2</v>
      </c>
      <c r="AV71" s="230">
        <v>3493250</v>
      </c>
      <c r="AW71" s="230">
        <v>3756750</v>
      </c>
      <c r="AX71" s="230">
        <v>-263500</v>
      </c>
      <c r="AY71" s="229">
        <v>-7.0099999999999996E-2</v>
      </c>
      <c r="AZ71" s="230">
        <v>3344750</v>
      </c>
      <c r="BA71" s="230">
        <v>3220750</v>
      </c>
      <c r="BB71" s="230">
        <v>124000</v>
      </c>
      <c r="BC71" s="229">
        <v>3.85E-2</v>
      </c>
      <c r="BD71" s="230">
        <v>2250</v>
      </c>
      <c r="BE71" s="230">
        <v>1500</v>
      </c>
      <c r="BF71" s="228">
        <v>750</v>
      </c>
      <c r="BG71" s="229">
        <v>0.5</v>
      </c>
      <c r="BH71" s="230">
        <v>3720250</v>
      </c>
      <c r="BI71" s="230">
        <v>4375500</v>
      </c>
      <c r="BJ71" s="230">
        <v>-655250</v>
      </c>
      <c r="BK71" s="229">
        <v>-0.14979999999999999</v>
      </c>
      <c r="BL71" s="230">
        <v>1486250</v>
      </c>
      <c r="BM71" s="230">
        <v>1570000</v>
      </c>
      <c r="BN71" s="230">
        <v>-83750</v>
      </c>
      <c r="BO71" s="229">
        <v>-5.33E-2</v>
      </c>
      <c r="BP71" s="230">
        <v>12046750</v>
      </c>
      <c r="BQ71" s="230">
        <v>12924500</v>
      </c>
      <c r="BR71" s="230">
        <v>-877750</v>
      </c>
      <c r="BS71" s="229">
        <v>-6.7900000000000002E-2</v>
      </c>
      <c r="BT71" s="230">
        <v>643955</v>
      </c>
      <c r="BU71" s="230">
        <v>609688</v>
      </c>
      <c r="BV71" s="230">
        <v>34267</v>
      </c>
      <c r="BW71" s="229">
        <v>5.62E-2</v>
      </c>
      <c r="BX71" s="230">
        <v>16096000</v>
      </c>
      <c r="BY71" s="230">
        <v>16174750</v>
      </c>
      <c r="BZ71" s="230">
        <v>-78750</v>
      </c>
      <c r="CA71" s="229">
        <v>-4.8999999999999998E-3</v>
      </c>
      <c r="CB71" s="230">
        <v>9388000</v>
      </c>
      <c r="CC71" s="230">
        <v>12308750</v>
      </c>
      <c r="CD71" s="230">
        <v>-2920750</v>
      </c>
      <c r="CE71" s="229">
        <v>-0.23730000000000001</v>
      </c>
      <c r="CF71" s="230">
        <v>6684750</v>
      </c>
      <c r="CG71" s="230">
        <v>3844000</v>
      </c>
      <c r="CH71" s="230">
        <v>2840750</v>
      </c>
      <c r="CI71" s="229">
        <v>0.73899999999999999</v>
      </c>
      <c r="CJ71" s="230">
        <v>23250</v>
      </c>
      <c r="CK71" s="230">
        <v>22000</v>
      </c>
      <c r="CL71" s="230">
        <v>1250</v>
      </c>
      <c r="CM71" s="229">
        <v>5.6800000000000003E-2</v>
      </c>
      <c r="CN71" s="230">
        <v>4752000</v>
      </c>
      <c r="CO71" s="230">
        <v>4984500</v>
      </c>
      <c r="CP71" s="230">
        <v>-232500</v>
      </c>
      <c r="CQ71" s="229">
        <v>-4.6600000000000003E-2</v>
      </c>
      <c r="CR71" s="230">
        <v>2557000</v>
      </c>
      <c r="CS71" s="230">
        <v>2572250</v>
      </c>
      <c r="CT71" s="230">
        <v>-15250</v>
      </c>
      <c r="CU71" s="229">
        <v>-5.8999999999999999E-3</v>
      </c>
      <c r="CV71" s="230">
        <v>23405000</v>
      </c>
      <c r="CW71" s="230">
        <v>23731500</v>
      </c>
      <c r="CX71" s="230">
        <v>-326500</v>
      </c>
      <c r="CY71" s="229">
        <v>-1.38E-2</v>
      </c>
      <c r="CZ71" s="228">
        <v>17.260000000000002</v>
      </c>
      <c r="DA71" s="228">
        <v>20.260000000000002</v>
      </c>
      <c r="DB71" s="228">
        <v>-3</v>
      </c>
      <c r="DC71" s="228">
        <v>-3</v>
      </c>
      <c r="DD71" s="228">
        <v>26.27</v>
      </c>
      <c r="DE71" s="228">
        <v>26.33</v>
      </c>
      <c r="DF71" s="228">
        <v>-9.01</v>
      </c>
      <c r="DG71" s="228">
        <v>-0.06</v>
      </c>
      <c r="DH71" s="228">
        <v>17.8</v>
      </c>
      <c r="DI71" s="228">
        <v>21.16</v>
      </c>
      <c r="DJ71" s="228">
        <v>-3.36</v>
      </c>
      <c r="DK71" s="228">
        <v>-3.36</v>
      </c>
      <c r="DL71" s="228">
        <v>16.670000000000002</v>
      </c>
      <c r="DM71" s="228">
        <v>17.77</v>
      </c>
      <c r="DN71" s="228">
        <v>-1.1000000000000001</v>
      </c>
      <c r="DO71" s="228">
        <v>-1.1000000000000001</v>
      </c>
      <c r="DP71" s="228">
        <v>0.54</v>
      </c>
      <c r="DQ71" s="228">
        <v>0.52</v>
      </c>
      <c r="DR71" s="228">
        <v>0.02</v>
      </c>
      <c r="DS71" s="229">
        <v>3.85E-2</v>
      </c>
      <c r="DT71" s="231">
        <v>3000</v>
      </c>
      <c r="DU71" s="231">
        <v>2700</v>
      </c>
      <c r="DV71" s="228">
        <v>0.4</v>
      </c>
      <c r="DW71" s="228">
        <v>0.36</v>
      </c>
      <c r="DX71" s="228">
        <v>0.04</v>
      </c>
      <c r="DY71" s="229">
        <v>0.1111</v>
      </c>
      <c r="DZ71" s="229">
        <v>0.41670000000000001</v>
      </c>
      <c r="EA71" s="230">
        <v>3866000</v>
      </c>
      <c r="EB71" s="229">
        <v>6.8999999999999999E-3</v>
      </c>
      <c r="EC71" s="229">
        <v>0.41670000000000001</v>
      </c>
      <c r="ED71" s="228">
        <v>18.64</v>
      </c>
      <c r="EE71" s="229">
        <v>6.7999999999999996E-3</v>
      </c>
      <c r="EF71" s="230">
        <v>453189</v>
      </c>
      <c r="EG71" s="230">
        <v>397632</v>
      </c>
      <c r="EH71" s="229">
        <v>0.13969999999999999</v>
      </c>
      <c r="EI71" s="229">
        <v>0.70379999999999998</v>
      </c>
      <c r="EJ71" s="231">
        <v>106528.82</v>
      </c>
      <c r="EK71" s="231">
        <v>41002.53</v>
      </c>
      <c r="EL71" s="231">
        <v>189297.67</v>
      </c>
      <c r="EM71" s="231">
        <v>9173</v>
      </c>
      <c r="EN71" s="231">
        <v>336829.02</v>
      </c>
      <c r="EO71" s="231">
        <v>361929.31</v>
      </c>
      <c r="EP71" s="231">
        <v>-25100.29</v>
      </c>
      <c r="EQ71" s="229">
        <v>-6.9400000000000003E-2</v>
      </c>
      <c r="ER71" s="231">
        <v>139053</v>
      </c>
      <c r="ES71" s="231">
        <v>69950</v>
      </c>
      <c r="ET71" s="231">
        <v>444233</v>
      </c>
      <c r="EU71" s="231">
        <v>38514157</v>
      </c>
      <c r="EV71" s="231">
        <v>653235</v>
      </c>
      <c r="EW71" s="231">
        <v>661561</v>
      </c>
      <c r="EX71" s="231">
        <v>-8326</v>
      </c>
      <c r="EY71" s="229">
        <v>-1.26E-2</v>
      </c>
      <c r="EZ71" s="229">
        <v>0.60770000000000002</v>
      </c>
      <c r="FA71" s="227" t="s">
        <v>556</v>
      </c>
      <c r="FB71" s="161">
        <f t="shared" si="1"/>
        <v>6708000</v>
      </c>
    </row>
    <row r="72" spans="1:158" ht="17.25" hidden="1" thickBot="1" x14ac:dyDescent="0.3">
      <c r="A72" s="226">
        <v>45981</v>
      </c>
      <c r="B72" s="227" t="s">
        <v>184</v>
      </c>
      <c r="C72" s="227" t="s">
        <v>513</v>
      </c>
      <c r="D72" s="228">
        <v>150</v>
      </c>
      <c r="E72" s="231">
        <v>4716.8</v>
      </c>
      <c r="F72" s="231">
        <v>4742.2</v>
      </c>
      <c r="G72" s="228">
        <v>-25.4</v>
      </c>
      <c r="H72" s="229">
        <v>-5.4000000000000003E-3</v>
      </c>
      <c r="I72" s="231">
        <v>4716.6000000000004</v>
      </c>
      <c r="J72" s="231">
        <v>4744.2</v>
      </c>
      <c r="K72" s="228">
        <v>-27.6</v>
      </c>
      <c r="L72" s="229">
        <v>-5.7999999999999996E-3</v>
      </c>
      <c r="M72" s="231">
        <v>4716.8</v>
      </c>
      <c r="N72" s="231">
        <v>4742.2</v>
      </c>
      <c r="O72" s="228">
        <v>-25.4</v>
      </c>
      <c r="P72" s="229">
        <v>-5.4000000000000003E-3</v>
      </c>
      <c r="Q72" s="231">
        <v>4748.3</v>
      </c>
      <c r="R72" s="231">
        <v>4773.8</v>
      </c>
      <c r="S72" s="228">
        <v>-25.5</v>
      </c>
      <c r="T72" s="229">
        <v>-5.3E-3</v>
      </c>
      <c r="U72" s="231">
        <v>4778.3999999999996</v>
      </c>
      <c r="V72" s="231">
        <v>4802.3</v>
      </c>
      <c r="W72" s="228">
        <v>-23.9</v>
      </c>
      <c r="X72" s="229">
        <v>-5.0000000000000001E-3</v>
      </c>
      <c r="Y72" s="228">
        <v>0.2</v>
      </c>
      <c r="Z72" s="228">
        <v>-2</v>
      </c>
      <c r="AA72" s="228">
        <v>2.2000000000000002</v>
      </c>
      <c r="AB72" s="229">
        <v>0</v>
      </c>
      <c r="AC72" s="228">
        <v>0.2</v>
      </c>
      <c r="AD72" s="228">
        <v>-2</v>
      </c>
      <c r="AE72" s="228">
        <v>2.2000000000000002</v>
      </c>
      <c r="AF72" s="229">
        <v>0</v>
      </c>
      <c r="AG72" s="228">
        <v>31.7</v>
      </c>
      <c r="AH72" s="228">
        <v>29.6</v>
      </c>
      <c r="AI72" s="228">
        <v>2.1</v>
      </c>
      <c r="AJ72" s="229">
        <v>6.7000000000000002E-3</v>
      </c>
      <c r="AK72" s="228">
        <v>61.8</v>
      </c>
      <c r="AL72" s="228">
        <v>58.1</v>
      </c>
      <c r="AM72" s="228">
        <v>3.7</v>
      </c>
      <c r="AN72" s="229">
        <v>1.3100000000000001E-2</v>
      </c>
      <c r="AO72" s="231">
        <v>4747.34</v>
      </c>
      <c r="AP72" s="231">
        <v>4779.5</v>
      </c>
      <c r="AQ72" s="228">
        <v>0</v>
      </c>
      <c r="AR72" s="230">
        <v>3589050</v>
      </c>
      <c r="AS72" s="230">
        <v>1974300</v>
      </c>
      <c r="AT72" s="230">
        <v>1614750</v>
      </c>
      <c r="AU72" s="229">
        <v>0.81789999999999996</v>
      </c>
      <c r="AV72" s="230">
        <v>1857450</v>
      </c>
      <c r="AW72" s="230">
        <v>1308300</v>
      </c>
      <c r="AX72" s="230">
        <v>549150</v>
      </c>
      <c r="AY72" s="229">
        <v>0.41970000000000002</v>
      </c>
      <c r="AZ72" s="230">
        <v>1689150</v>
      </c>
      <c r="BA72" s="230">
        <v>623250</v>
      </c>
      <c r="BB72" s="230">
        <v>1065900</v>
      </c>
      <c r="BC72" s="229">
        <v>1.7101999999999999</v>
      </c>
      <c r="BD72" s="230">
        <v>42450</v>
      </c>
      <c r="BE72" s="230">
        <v>42750</v>
      </c>
      <c r="BF72" s="228">
        <v>-300</v>
      </c>
      <c r="BG72" s="229">
        <v>-7.0000000000000001E-3</v>
      </c>
      <c r="BH72" s="230">
        <v>16053600</v>
      </c>
      <c r="BI72" s="230">
        <v>13155000</v>
      </c>
      <c r="BJ72" s="230">
        <v>2898600</v>
      </c>
      <c r="BK72" s="229">
        <v>0.2203</v>
      </c>
      <c r="BL72" s="230">
        <v>4653750</v>
      </c>
      <c r="BM72" s="230">
        <v>4559250</v>
      </c>
      <c r="BN72" s="230">
        <v>94500</v>
      </c>
      <c r="BO72" s="229">
        <v>2.07E-2</v>
      </c>
      <c r="BP72" s="230">
        <v>24296400</v>
      </c>
      <c r="BQ72" s="230">
        <v>19688550</v>
      </c>
      <c r="BR72" s="230">
        <v>4607850</v>
      </c>
      <c r="BS72" s="229">
        <v>0.23400000000000001</v>
      </c>
      <c r="BT72" s="230">
        <v>838929</v>
      </c>
      <c r="BU72" s="230">
        <v>906582</v>
      </c>
      <c r="BV72" s="230">
        <v>-67653</v>
      </c>
      <c r="BW72" s="229">
        <v>-7.46E-2</v>
      </c>
      <c r="BX72" s="230">
        <v>9960150</v>
      </c>
      <c r="BY72" s="230">
        <v>9922050</v>
      </c>
      <c r="BZ72" s="230">
        <v>38100</v>
      </c>
      <c r="CA72" s="229">
        <v>3.8E-3</v>
      </c>
      <c r="CB72" s="230">
        <v>6949200</v>
      </c>
      <c r="CC72" s="230">
        <v>8251350</v>
      </c>
      <c r="CD72" s="230">
        <v>-1302150</v>
      </c>
      <c r="CE72" s="229">
        <v>-0.1578</v>
      </c>
      <c r="CF72" s="230">
        <v>2843550</v>
      </c>
      <c r="CG72" s="230">
        <v>1518750</v>
      </c>
      <c r="CH72" s="230">
        <v>1324800</v>
      </c>
      <c r="CI72" s="229">
        <v>0.87229999999999996</v>
      </c>
      <c r="CJ72" s="230">
        <v>167400</v>
      </c>
      <c r="CK72" s="230">
        <v>151950</v>
      </c>
      <c r="CL72" s="230">
        <v>15450</v>
      </c>
      <c r="CM72" s="229">
        <v>0.1017</v>
      </c>
      <c r="CN72" s="230">
        <v>7304250</v>
      </c>
      <c r="CO72" s="230">
        <v>7676250</v>
      </c>
      <c r="CP72" s="230">
        <v>-372000</v>
      </c>
      <c r="CQ72" s="229">
        <v>-4.8500000000000001E-2</v>
      </c>
      <c r="CR72" s="230">
        <v>3352800</v>
      </c>
      <c r="CS72" s="230">
        <v>3444300</v>
      </c>
      <c r="CT72" s="230">
        <v>-91500</v>
      </c>
      <c r="CU72" s="229">
        <v>-2.6599999999999999E-2</v>
      </c>
      <c r="CV72" s="230">
        <v>20617200</v>
      </c>
      <c r="CW72" s="230">
        <v>21042600</v>
      </c>
      <c r="CX72" s="230">
        <v>-425400</v>
      </c>
      <c r="CY72" s="229">
        <v>-2.0199999999999999E-2</v>
      </c>
      <c r="CZ72" s="228">
        <v>24.36</v>
      </c>
      <c r="DA72" s="228">
        <v>28.41</v>
      </c>
      <c r="DB72" s="228">
        <v>-4.05</v>
      </c>
      <c r="DC72" s="228">
        <v>-4.05</v>
      </c>
      <c r="DD72" s="228">
        <v>38.39</v>
      </c>
      <c r="DE72" s="228">
        <v>38.479999999999997</v>
      </c>
      <c r="DF72" s="228">
        <v>-14.03</v>
      </c>
      <c r="DG72" s="228">
        <v>-0.09</v>
      </c>
      <c r="DH72" s="228">
        <v>24.27</v>
      </c>
      <c r="DI72" s="228">
        <v>29.58</v>
      </c>
      <c r="DJ72" s="228">
        <v>-5.31</v>
      </c>
      <c r="DK72" s="228">
        <v>-5.31</v>
      </c>
      <c r="DL72" s="228">
        <v>24.55</v>
      </c>
      <c r="DM72" s="228">
        <v>25.01</v>
      </c>
      <c r="DN72" s="228">
        <v>-0.46</v>
      </c>
      <c r="DO72" s="228">
        <v>-0.46</v>
      </c>
      <c r="DP72" s="228">
        <v>0.46</v>
      </c>
      <c r="DQ72" s="228">
        <v>0.45</v>
      </c>
      <c r="DR72" s="228">
        <v>0.01</v>
      </c>
      <c r="DS72" s="229">
        <v>2.2200000000000001E-2</v>
      </c>
      <c r="DT72" s="231">
        <v>4900</v>
      </c>
      <c r="DU72" s="231">
        <v>4800</v>
      </c>
      <c r="DV72" s="228">
        <v>0.28999999999999998</v>
      </c>
      <c r="DW72" s="228">
        <v>0.35</v>
      </c>
      <c r="DX72" s="228">
        <v>-0.06</v>
      </c>
      <c r="DY72" s="229">
        <v>-0.1714</v>
      </c>
      <c r="DZ72" s="229">
        <v>0.30230000000000001</v>
      </c>
      <c r="EA72" s="230">
        <v>1670700</v>
      </c>
      <c r="EB72" s="229">
        <v>6.7000000000000002E-3</v>
      </c>
      <c r="EC72" s="229">
        <v>0.30230000000000001</v>
      </c>
      <c r="ED72" s="228">
        <v>32.159999999999997</v>
      </c>
      <c r="EE72" s="229">
        <v>6.7999999999999996E-3</v>
      </c>
      <c r="EF72" s="230">
        <v>432643</v>
      </c>
      <c r="EG72" s="230">
        <v>460610</v>
      </c>
      <c r="EH72" s="229">
        <v>-6.0699999999999997E-2</v>
      </c>
      <c r="EI72" s="229">
        <v>0.51570000000000005</v>
      </c>
      <c r="EJ72" s="231">
        <v>794711.26</v>
      </c>
      <c r="EK72" s="231">
        <v>218143.61</v>
      </c>
      <c r="EL72" s="231">
        <v>170952.46</v>
      </c>
      <c r="EM72" s="231">
        <v>11956</v>
      </c>
      <c r="EN72" s="231">
        <v>1183807.33</v>
      </c>
      <c r="EO72" s="231">
        <v>962884.52</v>
      </c>
      <c r="EP72" s="231">
        <v>220922.81</v>
      </c>
      <c r="EQ72" s="229">
        <v>0.22939999999999999</v>
      </c>
      <c r="ER72" s="231">
        <v>362806</v>
      </c>
      <c r="ES72" s="231">
        <v>157283</v>
      </c>
      <c r="ET72" s="231">
        <v>470799</v>
      </c>
      <c r="EU72" s="231">
        <v>28450886</v>
      </c>
      <c r="EV72" s="231">
        <v>990888</v>
      </c>
      <c r="EW72" s="231">
        <v>1015480</v>
      </c>
      <c r="EX72" s="231">
        <v>-24592</v>
      </c>
      <c r="EY72" s="229">
        <v>-2.4199999999999999E-2</v>
      </c>
      <c r="EZ72" s="229">
        <v>0.72470000000000001</v>
      </c>
      <c r="FA72" s="227" t="s">
        <v>567</v>
      </c>
      <c r="FB72" s="161">
        <f t="shared" si="1"/>
        <v>3010950</v>
      </c>
    </row>
    <row r="73" spans="1:158" ht="17.25" hidden="1" thickBot="1" x14ac:dyDescent="0.3">
      <c r="A73" s="226">
        <v>45981</v>
      </c>
      <c r="B73" s="227" t="s">
        <v>184</v>
      </c>
      <c r="C73" s="227" t="s">
        <v>220</v>
      </c>
      <c r="D73" s="228">
        <v>500</v>
      </c>
      <c r="E73" s="231">
        <v>1447.9</v>
      </c>
      <c r="F73" s="231">
        <v>1443</v>
      </c>
      <c r="G73" s="228">
        <v>4.9000000000000004</v>
      </c>
      <c r="H73" s="229">
        <v>3.3999999999999998E-3</v>
      </c>
      <c r="I73" s="231">
        <v>1448.5</v>
      </c>
      <c r="J73" s="231">
        <v>1440.4</v>
      </c>
      <c r="K73" s="228">
        <v>8.1</v>
      </c>
      <c r="L73" s="229">
        <v>5.5999999999999999E-3</v>
      </c>
      <c r="M73" s="231">
        <v>1447.9</v>
      </c>
      <c r="N73" s="231">
        <v>1443</v>
      </c>
      <c r="O73" s="228">
        <v>4.9000000000000004</v>
      </c>
      <c r="P73" s="229">
        <v>3.3999999999999998E-3</v>
      </c>
      <c r="Q73" s="231">
        <v>1458.1</v>
      </c>
      <c r="R73" s="231">
        <v>1452.5</v>
      </c>
      <c r="S73" s="228">
        <v>5.6</v>
      </c>
      <c r="T73" s="229">
        <v>3.8999999999999998E-3</v>
      </c>
      <c r="U73" s="231">
        <v>1466.8</v>
      </c>
      <c r="V73" s="231">
        <v>1460.9</v>
      </c>
      <c r="W73" s="228">
        <v>5.9</v>
      </c>
      <c r="X73" s="229">
        <v>4.0000000000000001E-3</v>
      </c>
      <c r="Y73" s="228">
        <v>-0.6</v>
      </c>
      <c r="Z73" s="228">
        <v>2.6</v>
      </c>
      <c r="AA73" s="228">
        <v>-3.2</v>
      </c>
      <c r="AB73" s="229">
        <v>-4.0000000000000002E-4</v>
      </c>
      <c r="AC73" s="228">
        <v>-0.6</v>
      </c>
      <c r="AD73" s="228">
        <v>2.6</v>
      </c>
      <c r="AE73" s="228">
        <v>-3.2</v>
      </c>
      <c r="AF73" s="229">
        <v>-4.0000000000000002E-4</v>
      </c>
      <c r="AG73" s="228">
        <v>9.6</v>
      </c>
      <c r="AH73" s="228">
        <v>12.1</v>
      </c>
      <c r="AI73" s="228">
        <v>-2.5</v>
      </c>
      <c r="AJ73" s="229">
        <v>6.6E-3</v>
      </c>
      <c r="AK73" s="228">
        <v>18.3</v>
      </c>
      <c r="AL73" s="228">
        <v>20.5</v>
      </c>
      <c r="AM73" s="228">
        <v>-2.2000000000000002</v>
      </c>
      <c r="AN73" s="229">
        <v>1.26E-2</v>
      </c>
      <c r="AO73" s="231">
        <v>1449.08</v>
      </c>
      <c r="AP73" s="231">
        <v>1458.43</v>
      </c>
      <c r="AQ73" s="228">
        <v>0</v>
      </c>
      <c r="AR73" s="230">
        <v>5304000</v>
      </c>
      <c r="AS73" s="230">
        <v>1653000</v>
      </c>
      <c r="AT73" s="230">
        <v>3651000</v>
      </c>
      <c r="AU73" s="229">
        <v>2.2086999999999999</v>
      </c>
      <c r="AV73" s="230">
        <v>2840000</v>
      </c>
      <c r="AW73" s="230">
        <v>1108500</v>
      </c>
      <c r="AX73" s="230">
        <v>1731500</v>
      </c>
      <c r="AY73" s="229">
        <v>1.5620000000000001</v>
      </c>
      <c r="AZ73" s="230">
        <v>2450000</v>
      </c>
      <c r="BA73" s="230">
        <v>516500</v>
      </c>
      <c r="BB73" s="230">
        <v>1933500</v>
      </c>
      <c r="BC73" s="229">
        <v>3.7435</v>
      </c>
      <c r="BD73" s="230">
        <v>14000</v>
      </c>
      <c r="BE73" s="230">
        <v>28000</v>
      </c>
      <c r="BF73" s="230">
        <v>-14000</v>
      </c>
      <c r="BG73" s="229">
        <v>-0.5</v>
      </c>
      <c r="BH73" s="230">
        <v>2422500</v>
      </c>
      <c r="BI73" s="230">
        <v>3296000</v>
      </c>
      <c r="BJ73" s="230">
        <v>-873500</v>
      </c>
      <c r="BK73" s="229">
        <v>-0.26500000000000001</v>
      </c>
      <c r="BL73" s="230">
        <v>1085000</v>
      </c>
      <c r="BM73" s="230">
        <v>1499500</v>
      </c>
      <c r="BN73" s="230">
        <v>-414500</v>
      </c>
      <c r="BO73" s="229">
        <v>-0.27639999999999998</v>
      </c>
      <c r="BP73" s="230">
        <v>8811500</v>
      </c>
      <c r="BQ73" s="230">
        <v>6448500</v>
      </c>
      <c r="BR73" s="230">
        <v>2363000</v>
      </c>
      <c r="BS73" s="229">
        <v>0.3664</v>
      </c>
      <c r="BT73" s="230">
        <v>813884</v>
      </c>
      <c r="BU73" s="230">
        <v>1061339</v>
      </c>
      <c r="BV73" s="230">
        <v>-247455</v>
      </c>
      <c r="BW73" s="229">
        <v>-0.23319999999999999</v>
      </c>
      <c r="BX73" s="230">
        <v>8614000</v>
      </c>
      <c r="BY73" s="230">
        <v>8883000</v>
      </c>
      <c r="BZ73" s="230">
        <v>-269000</v>
      </c>
      <c r="CA73" s="229">
        <v>-3.0300000000000001E-2</v>
      </c>
      <c r="CB73" s="230">
        <v>5662500</v>
      </c>
      <c r="CC73" s="230">
        <v>7954000</v>
      </c>
      <c r="CD73" s="230">
        <v>-2291500</v>
      </c>
      <c r="CE73" s="229">
        <v>-0.28810000000000002</v>
      </c>
      <c r="CF73" s="230">
        <v>2874000</v>
      </c>
      <c r="CG73" s="230">
        <v>858000</v>
      </c>
      <c r="CH73" s="230">
        <v>2016000</v>
      </c>
      <c r="CI73" s="229">
        <v>2.3496999999999999</v>
      </c>
      <c r="CJ73" s="230">
        <v>77500</v>
      </c>
      <c r="CK73" s="230">
        <v>71000</v>
      </c>
      <c r="CL73" s="230">
        <v>6500</v>
      </c>
      <c r="CM73" s="229">
        <v>9.1499999999999998E-2</v>
      </c>
      <c r="CN73" s="230">
        <v>2854000</v>
      </c>
      <c r="CO73" s="230">
        <v>3035500</v>
      </c>
      <c r="CP73" s="230">
        <v>-181500</v>
      </c>
      <c r="CQ73" s="229">
        <v>-5.9799999999999999E-2</v>
      </c>
      <c r="CR73" s="230">
        <v>2059000</v>
      </c>
      <c r="CS73" s="230">
        <v>2009000</v>
      </c>
      <c r="CT73" s="230">
        <v>50000</v>
      </c>
      <c r="CU73" s="229">
        <v>2.4899999999999999E-2</v>
      </c>
      <c r="CV73" s="230">
        <v>13527000</v>
      </c>
      <c r="CW73" s="230">
        <v>13927500</v>
      </c>
      <c r="CX73" s="230">
        <v>-400500</v>
      </c>
      <c r="CY73" s="229">
        <v>-2.8799999999999999E-2</v>
      </c>
      <c r="CZ73" s="228">
        <v>19.43</v>
      </c>
      <c r="DA73" s="228">
        <v>23.67</v>
      </c>
      <c r="DB73" s="228">
        <v>-4.24</v>
      </c>
      <c r="DC73" s="228">
        <v>-4.24</v>
      </c>
      <c r="DD73" s="228">
        <v>27.72</v>
      </c>
      <c r="DE73" s="228">
        <v>27.79</v>
      </c>
      <c r="DF73" s="228">
        <v>-8.2899999999999991</v>
      </c>
      <c r="DG73" s="228">
        <v>-7.0000000000000007E-2</v>
      </c>
      <c r="DH73" s="228">
        <v>19.32</v>
      </c>
      <c r="DI73" s="228">
        <v>24.7</v>
      </c>
      <c r="DJ73" s="228">
        <v>-5.38</v>
      </c>
      <c r="DK73" s="228">
        <v>-5.38</v>
      </c>
      <c r="DL73" s="228">
        <v>19.55</v>
      </c>
      <c r="DM73" s="228">
        <v>21.38</v>
      </c>
      <c r="DN73" s="228">
        <v>-1.83</v>
      </c>
      <c r="DO73" s="228">
        <v>-1.83</v>
      </c>
      <c r="DP73" s="228">
        <v>0.72</v>
      </c>
      <c r="DQ73" s="228">
        <v>0.66</v>
      </c>
      <c r="DR73" s="228">
        <v>0.06</v>
      </c>
      <c r="DS73" s="229">
        <v>9.0899999999999995E-2</v>
      </c>
      <c r="DT73" s="231">
        <v>1500</v>
      </c>
      <c r="DU73" s="231">
        <v>1500</v>
      </c>
      <c r="DV73" s="228">
        <v>0.45</v>
      </c>
      <c r="DW73" s="228">
        <v>0.45</v>
      </c>
      <c r="DX73" s="228">
        <v>0</v>
      </c>
      <c r="DY73" s="229">
        <v>0</v>
      </c>
      <c r="DZ73" s="229">
        <v>0.34260000000000002</v>
      </c>
      <c r="EA73" s="230">
        <v>929000</v>
      </c>
      <c r="EB73" s="229">
        <v>7.0000000000000001E-3</v>
      </c>
      <c r="EC73" s="229">
        <v>0.34260000000000002</v>
      </c>
      <c r="ED73" s="228">
        <v>9.35</v>
      </c>
      <c r="EE73" s="229">
        <v>6.4999999999999997E-3</v>
      </c>
      <c r="EF73" s="230">
        <v>561523</v>
      </c>
      <c r="EG73" s="230">
        <v>726228</v>
      </c>
      <c r="EH73" s="229">
        <v>-0.2268</v>
      </c>
      <c r="EI73" s="229">
        <v>0.68989999999999996</v>
      </c>
      <c r="EJ73" s="231">
        <v>36349.620000000003</v>
      </c>
      <c r="EK73" s="231">
        <v>15692.98</v>
      </c>
      <c r="EL73" s="231">
        <v>77090.929999999993</v>
      </c>
      <c r="EM73" s="231">
        <v>2055</v>
      </c>
      <c r="EN73" s="231">
        <v>129133.53</v>
      </c>
      <c r="EO73" s="231">
        <v>95222.47</v>
      </c>
      <c r="EP73" s="231">
        <v>33911.06</v>
      </c>
      <c r="EQ73" s="229">
        <v>0.35610000000000003</v>
      </c>
      <c r="ER73" s="231">
        <v>43618</v>
      </c>
      <c r="ES73" s="231">
        <v>29838</v>
      </c>
      <c r="ET73" s="231">
        <v>125030</v>
      </c>
      <c r="EU73" s="231">
        <v>38133766</v>
      </c>
      <c r="EV73" s="231">
        <v>198486</v>
      </c>
      <c r="EW73" s="231">
        <v>203800</v>
      </c>
      <c r="EX73" s="231">
        <v>-5314</v>
      </c>
      <c r="EY73" s="229">
        <v>-2.6100000000000002E-2</v>
      </c>
      <c r="EZ73" s="229">
        <v>0.35470000000000002</v>
      </c>
      <c r="FA73" s="227" t="s">
        <v>556</v>
      </c>
      <c r="FB73" s="161">
        <f t="shared" si="1"/>
        <v>2951500</v>
      </c>
    </row>
    <row r="74" spans="1:158" ht="17.25" hidden="1" thickBot="1" x14ac:dyDescent="0.3">
      <c r="A74" s="226">
        <v>45981</v>
      </c>
      <c r="B74" s="227" t="s">
        <v>221</v>
      </c>
      <c r="C74" s="227" t="s">
        <v>222</v>
      </c>
      <c r="D74" s="228">
        <v>350</v>
      </c>
      <c r="E74" s="231">
        <v>1647.6</v>
      </c>
      <c r="F74" s="231">
        <v>1660</v>
      </c>
      <c r="G74" s="228">
        <v>-12.4</v>
      </c>
      <c r="H74" s="229">
        <v>-7.4999999999999997E-3</v>
      </c>
      <c r="I74" s="231">
        <v>1645.4</v>
      </c>
      <c r="J74" s="231">
        <v>1662.6</v>
      </c>
      <c r="K74" s="228">
        <v>-17.2</v>
      </c>
      <c r="L74" s="229">
        <v>-1.03E-2</v>
      </c>
      <c r="M74" s="231">
        <v>1647.6</v>
      </c>
      <c r="N74" s="231">
        <v>1660</v>
      </c>
      <c r="O74" s="228">
        <v>-12.4</v>
      </c>
      <c r="P74" s="229">
        <v>-7.4999999999999997E-3</v>
      </c>
      <c r="Q74" s="231">
        <v>1658.8</v>
      </c>
      <c r="R74" s="231">
        <v>1671.1</v>
      </c>
      <c r="S74" s="228">
        <v>-12.3</v>
      </c>
      <c r="T74" s="229">
        <v>-7.4000000000000003E-3</v>
      </c>
      <c r="U74" s="231">
        <v>1657.4</v>
      </c>
      <c r="V74" s="231">
        <v>1668.6</v>
      </c>
      <c r="W74" s="228">
        <v>-11.2</v>
      </c>
      <c r="X74" s="229">
        <v>-6.7000000000000002E-3</v>
      </c>
      <c r="Y74" s="228">
        <v>2.2000000000000002</v>
      </c>
      <c r="Z74" s="228">
        <v>-2.6</v>
      </c>
      <c r="AA74" s="228">
        <v>4.8</v>
      </c>
      <c r="AB74" s="229">
        <v>1.2999999999999999E-3</v>
      </c>
      <c r="AC74" s="228">
        <v>2.2000000000000002</v>
      </c>
      <c r="AD74" s="228">
        <v>-2.6</v>
      </c>
      <c r="AE74" s="228">
        <v>4.8</v>
      </c>
      <c r="AF74" s="229">
        <v>1.2999999999999999E-3</v>
      </c>
      <c r="AG74" s="228">
        <v>13.4</v>
      </c>
      <c r="AH74" s="228">
        <v>8.5</v>
      </c>
      <c r="AI74" s="228">
        <v>4.9000000000000004</v>
      </c>
      <c r="AJ74" s="229">
        <v>8.0999999999999996E-3</v>
      </c>
      <c r="AK74" s="228">
        <v>12</v>
      </c>
      <c r="AL74" s="228">
        <v>6</v>
      </c>
      <c r="AM74" s="228">
        <v>6</v>
      </c>
      <c r="AN74" s="229">
        <v>7.3000000000000001E-3</v>
      </c>
      <c r="AO74" s="231">
        <v>1654.51</v>
      </c>
      <c r="AP74" s="231">
        <v>1665.25</v>
      </c>
      <c r="AQ74" s="228">
        <v>0</v>
      </c>
      <c r="AR74" s="230">
        <v>11080300</v>
      </c>
      <c r="AS74" s="230">
        <v>6906900</v>
      </c>
      <c r="AT74" s="230">
        <v>4173400</v>
      </c>
      <c r="AU74" s="229">
        <v>0.60419999999999996</v>
      </c>
      <c r="AV74" s="230">
        <v>5750150</v>
      </c>
      <c r="AW74" s="230">
        <v>5030550</v>
      </c>
      <c r="AX74" s="230">
        <v>719600</v>
      </c>
      <c r="AY74" s="229">
        <v>0.14299999999999999</v>
      </c>
      <c r="AZ74" s="230">
        <v>5254550</v>
      </c>
      <c r="BA74" s="230">
        <v>1717800</v>
      </c>
      <c r="BB74" s="230">
        <v>3536750</v>
      </c>
      <c r="BC74" s="229">
        <v>2.0589</v>
      </c>
      <c r="BD74" s="230">
        <v>75600</v>
      </c>
      <c r="BE74" s="230">
        <v>158550</v>
      </c>
      <c r="BF74" s="230">
        <v>-82950</v>
      </c>
      <c r="BG74" s="229">
        <v>-0.5232</v>
      </c>
      <c r="BH74" s="230">
        <v>17284400</v>
      </c>
      <c r="BI74" s="230">
        <v>67809350</v>
      </c>
      <c r="BJ74" s="230">
        <v>-50524950</v>
      </c>
      <c r="BK74" s="229">
        <v>-0.74509999999999998</v>
      </c>
      <c r="BL74" s="230">
        <v>11804100</v>
      </c>
      <c r="BM74" s="230">
        <v>27424250</v>
      </c>
      <c r="BN74" s="230">
        <v>-15620150</v>
      </c>
      <c r="BO74" s="229">
        <v>-0.5696</v>
      </c>
      <c r="BP74" s="230">
        <v>40168800</v>
      </c>
      <c r="BQ74" s="230">
        <v>102140500</v>
      </c>
      <c r="BR74" s="230">
        <v>-61971700</v>
      </c>
      <c r="BS74" s="229">
        <v>-0.60670000000000002</v>
      </c>
      <c r="BT74" s="230">
        <v>2886062</v>
      </c>
      <c r="BU74" s="230">
        <v>6507861</v>
      </c>
      <c r="BV74" s="230">
        <v>-3621799</v>
      </c>
      <c r="BW74" s="229">
        <v>-0.55649999999999999</v>
      </c>
      <c r="BX74" s="230">
        <v>15910650</v>
      </c>
      <c r="BY74" s="230">
        <v>15928150</v>
      </c>
      <c r="BZ74" s="230">
        <v>-17500</v>
      </c>
      <c r="CA74" s="229">
        <v>-1.1000000000000001E-3</v>
      </c>
      <c r="CB74" s="230">
        <v>10245900</v>
      </c>
      <c r="CC74" s="230">
        <v>13986700</v>
      </c>
      <c r="CD74" s="230">
        <v>-3740800</v>
      </c>
      <c r="CE74" s="229">
        <v>-0.26750000000000002</v>
      </c>
      <c r="CF74" s="230">
        <v>5530350</v>
      </c>
      <c r="CG74" s="230">
        <v>1799350</v>
      </c>
      <c r="CH74" s="230">
        <v>3731000</v>
      </c>
      <c r="CI74" s="229">
        <v>2.0735000000000001</v>
      </c>
      <c r="CJ74" s="230">
        <v>134400</v>
      </c>
      <c r="CK74" s="230">
        <v>142100</v>
      </c>
      <c r="CL74" s="230">
        <v>-7700</v>
      </c>
      <c r="CM74" s="229">
        <v>-5.4199999999999998E-2</v>
      </c>
      <c r="CN74" s="230">
        <v>7007700</v>
      </c>
      <c r="CO74" s="230">
        <v>6834800</v>
      </c>
      <c r="CP74" s="230">
        <v>172900</v>
      </c>
      <c r="CQ74" s="229">
        <v>2.53E-2</v>
      </c>
      <c r="CR74" s="230">
        <v>5400150</v>
      </c>
      <c r="CS74" s="230">
        <v>6243650</v>
      </c>
      <c r="CT74" s="230">
        <v>-843500</v>
      </c>
      <c r="CU74" s="229">
        <v>-0.1351</v>
      </c>
      <c r="CV74" s="230">
        <v>28318500</v>
      </c>
      <c r="CW74" s="230">
        <v>29006600</v>
      </c>
      <c r="CX74" s="230">
        <v>-688100</v>
      </c>
      <c r="CY74" s="229">
        <v>-2.3699999999999999E-2</v>
      </c>
      <c r="CZ74" s="228">
        <v>21.25</v>
      </c>
      <c r="DA74" s="228">
        <v>23.95</v>
      </c>
      <c r="DB74" s="228">
        <v>-2.7</v>
      </c>
      <c r="DC74" s="228">
        <v>-2.7</v>
      </c>
      <c r="DD74" s="228">
        <v>28.73</v>
      </c>
      <c r="DE74" s="228">
        <v>28.77</v>
      </c>
      <c r="DF74" s="228">
        <v>-7.48</v>
      </c>
      <c r="DG74" s="228">
        <v>-0.04</v>
      </c>
      <c r="DH74" s="228">
        <v>21.19</v>
      </c>
      <c r="DI74" s="228">
        <v>23.15</v>
      </c>
      <c r="DJ74" s="228">
        <v>-1.96</v>
      </c>
      <c r="DK74" s="228">
        <v>-1.96</v>
      </c>
      <c r="DL74" s="228">
        <v>21.35</v>
      </c>
      <c r="DM74" s="228">
        <v>25.95</v>
      </c>
      <c r="DN74" s="228">
        <v>-4.5999999999999996</v>
      </c>
      <c r="DO74" s="228">
        <v>-4.5999999999999996</v>
      </c>
      <c r="DP74" s="228">
        <v>0.77</v>
      </c>
      <c r="DQ74" s="228">
        <v>0.91</v>
      </c>
      <c r="DR74" s="228">
        <v>-0.14000000000000001</v>
      </c>
      <c r="DS74" s="229">
        <v>-0.15379999999999999</v>
      </c>
      <c r="DT74" s="231">
        <v>1700</v>
      </c>
      <c r="DU74" s="231">
        <v>1600</v>
      </c>
      <c r="DV74" s="228">
        <v>0.68</v>
      </c>
      <c r="DW74" s="228">
        <v>0.4</v>
      </c>
      <c r="DX74" s="228">
        <v>0.28000000000000003</v>
      </c>
      <c r="DY74" s="229">
        <v>0.7</v>
      </c>
      <c r="DZ74" s="229">
        <v>0.35599999999999998</v>
      </c>
      <c r="EA74" s="230">
        <v>1941450</v>
      </c>
      <c r="EB74" s="229">
        <v>6.7999999999999996E-3</v>
      </c>
      <c r="EC74" s="229">
        <v>0.35599999999999998</v>
      </c>
      <c r="ED74" s="228">
        <v>10.74</v>
      </c>
      <c r="EE74" s="229">
        <v>6.4999999999999997E-3</v>
      </c>
      <c r="EF74" s="230">
        <v>1780902</v>
      </c>
      <c r="EG74" s="230">
        <v>3498382</v>
      </c>
      <c r="EH74" s="229">
        <v>-0.4909</v>
      </c>
      <c r="EI74" s="229">
        <v>0.61709999999999998</v>
      </c>
      <c r="EJ74" s="231">
        <v>294768.44</v>
      </c>
      <c r="EK74" s="231">
        <v>193253.21</v>
      </c>
      <c r="EL74" s="231">
        <v>183895.25</v>
      </c>
      <c r="EM74" s="231">
        <v>9329</v>
      </c>
      <c r="EN74" s="231">
        <v>671916.9</v>
      </c>
      <c r="EO74" s="231">
        <v>1697949.87</v>
      </c>
      <c r="EP74" s="231">
        <v>-1026032.97</v>
      </c>
      <c r="EQ74" s="229">
        <v>-0.60429999999999995</v>
      </c>
      <c r="ER74" s="231">
        <v>116514</v>
      </c>
      <c r="ES74" s="231">
        <v>83470</v>
      </c>
      <c r="ET74" s="231">
        <v>262776</v>
      </c>
      <c r="EU74" s="231">
        <v>145993539</v>
      </c>
      <c r="EV74" s="231">
        <v>462761</v>
      </c>
      <c r="EW74" s="231">
        <v>475129</v>
      </c>
      <c r="EX74" s="231">
        <v>-12368</v>
      </c>
      <c r="EY74" s="229">
        <v>-2.5999999999999999E-2</v>
      </c>
      <c r="EZ74" s="229">
        <v>0.19400000000000001</v>
      </c>
      <c r="FA74" s="227" t="s">
        <v>568</v>
      </c>
      <c r="FB74" s="161">
        <f t="shared" si="1"/>
        <v>5664750</v>
      </c>
    </row>
    <row r="75" spans="1:158" ht="17.25" hidden="1" thickBot="1" x14ac:dyDescent="0.3">
      <c r="A75" s="226">
        <v>45981</v>
      </c>
      <c r="B75" s="227" t="s">
        <v>175</v>
      </c>
      <c r="C75" s="227" t="s">
        <v>475</v>
      </c>
      <c r="D75" s="228">
        <v>150</v>
      </c>
      <c r="E75" s="231">
        <v>5406</v>
      </c>
      <c r="F75" s="231">
        <v>5399.5</v>
      </c>
      <c r="G75" s="228">
        <v>6.5</v>
      </c>
      <c r="H75" s="229">
        <v>1.1999999999999999E-3</v>
      </c>
      <c r="I75" s="231">
        <v>5399</v>
      </c>
      <c r="J75" s="231">
        <v>5392</v>
      </c>
      <c r="K75" s="228">
        <v>7</v>
      </c>
      <c r="L75" s="229">
        <v>1.2999999999999999E-3</v>
      </c>
      <c r="M75" s="231">
        <v>5406</v>
      </c>
      <c r="N75" s="231">
        <v>5399.5</v>
      </c>
      <c r="O75" s="228">
        <v>6.5</v>
      </c>
      <c r="P75" s="229">
        <v>1.1999999999999999E-3</v>
      </c>
      <c r="Q75" s="231">
        <v>5442</v>
      </c>
      <c r="R75" s="231">
        <v>5436</v>
      </c>
      <c r="S75" s="228">
        <v>6</v>
      </c>
      <c r="T75" s="229">
        <v>1.1000000000000001E-3</v>
      </c>
      <c r="U75" s="231">
        <v>5473.5</v>
      </c>
      <c r="V75" s="231">
        <v>5476</v>
      </c>
      <c r="W75" s="228">
        <v>-2.5</v>
      </c>
      <c r="X75" s="229">
        <v>-5.0000000000000001E-4</v>
      </c>
      <c r="Y75" s="228">
        <v>7</v>
      </c>
      <c r="Z75" s="228">
        <v>7.5</v>
      </c>
      <c r="AA75" s="228">
        <v>-0.5</v>
      </c>
      <c r="AB75" s="229">
        <v>1.2999999999999999E-3</v>
      </c>
      <c r="AC75" s="228">
        <v>7</v>
      </c>
      <c r="AD75" s="228">
        <v>7.5</v>
      </c>
      <c r="AE75" s="228">
        <v>-0.5</v>
      </c>
      <c r="AF75" s="229">
        <v>1.2999999999999999E-3</v>
      </c>
      <c r="AG75" s="228">
        <v>43</v>
      </c>
      <c r="AH75" s="228">
        <v>44</v>
      </c>
      <c r="AI75" s="228">
        <v>-1</v>
      </c>
      <c r="AJ75" s="229">
        <v>8.0000000000000002E-3</v>
      </c>
      <c r="AK75" s="228">
        <v>74.5</v>
      </c>
      <c r="AL75" s="228">
        <v>84</v>
      </c>
      <c r="AM75" s="228">
        <v>-9.5</v>
      </c>
      <c r="AN75" s="229">
        <v>1.38E-2</v>
      </c>
      <c r="AO75" s="231">
        <v>5407.06</v>
      </c>
      <c r="AP75" s="231">
        <v>5441.53</v>
      </c>
      <c r="AQ75" s="228">
        <v>0</v>
      </c>
      <c r="AR75" s="230">
        <v>1357050</v>
      </c>
      <c r="AS75" s="230">
        <v>396150</v>
      </c>
      <c r="AT75" s="230">
        <v>960900</v>
      </c>
      <c r="AU75" s="229">
        <v>2.4256000000000002</v>
      </c>
      <c r="AV75" s="230">
        <v>752250</v>
      </c>
      <c r="AW75" s="230">
        <v>290100</v>
      </c>
      <c r="AX75" s="230">
        <v>462150</v>
      </c>
      <c r="AY75" s="229">
        <v>1.5931</v>
      </c>
      <c r="AZ75" s="230">
        <v>603150</v>
      </c>
      <c r="BA75" s="230">
        <v>104100</v>
      </c>
      <c r="BB75" s="230">
        <v>499050</v>
      </c>
      <c r="BC75" s="229">
        <v>4.7938999999999998</v>
      </c>
      <c r="BD75" s="230">
        <v>1650</v>
      </c>
      <c r="BE75" s="230">
        <v>1950</v>
      </c>
      <c r="BF75" s="228">
        <v>-300</v>
      </c>
      <c r="BG75" s="229">
        <v>-0.15379999999999999</v>
      </c>
      <c r="BH75" s="230">
        <v>1626450</v>
      </c>
      <c r="BI75" s="230">
        <v>2009400</v>
      </c>
      <c r="BJ75" s="230">
        <v>-382950</v>
      </c>
      <c r="BK75" s="229">
        <v>-0.19059999999999999</v>
      </c>
      <c r="BL75" s="230">
        <v>445800</v>
      </c>
      <c r="BM75" s="230">
        <v>475200</v>
      </c>
      <c r="BN75" s="230">
        <v>-29400</v>
      </c>
      <c r="BO75" s="229">
        <v>-6.1899999999999997E-2</v>
      </c>
      <c r="BP75" s="230">
        <v>3429300</v>
      </c>
      <c r="BQ75" s="230">
        <v>2880750</v>
      </c>
      <c r="BR75" s="230">
        <v>548550</v>
      </c>
      <c r="BS75" s="229">
        <v>0.19040000000000001</v>
      </c>
      <c r="BT75" s="230">
        <v>365476</v>
      </c>
      <c r="BU75" s="230">
        <v>429642</v>
      </c>
      <c r="BV75" s="230">
        <v>-64166</v>
      </c>
      <c r="BW75" s="229">
        <v>-0.14929999999999999</v>
      </c>
      <c r="BX75" s="230">
        <v>2499450</v>
      </c>
      <c r="BY75" s="230">
        <v>2489850</v>
      </c>
      <c r="BZ75" s="230">
        <v>9600</v>
      </c>
      <c r="CA75" s="229">
        <v>3.8999999999999998E-3</v>
      </c>
      <c r="CB75" s="230">
        <v>1762500</v>
      </c>
      <c r="CC75" s="230">
        <v>2271150</v>
      </c>
      <c r="CD75" s="230">
        <v>-508650</v>
      </c>
      <c r="CE75" s="229">
        <v>-0.224</v>
      </c>
      <c r="CF75" s="230">
        <v>726600</v>
      </c>
      <c r="CG75" s="230">
        <v>207900</v>
      </c>
      <c r="CH75" s="230">
        <v>518700</v>
      </c>
      <c r="CI75" s="229">
        <v>2.4948999999999999</v>
      </c>
      <c r="CJ75" s="230">
        <v>10350</v>
      </c>
      <c r="CK75" s="230">
        <v>10800</v>
      </c>
      <c r="CL75" s="228">
        <v>-450</v>
      </c>
      <c r="CM75" s="229">
        <v>-4.1700000000000001E-2</v>
      </c>
      <c r="CN75" s="230">
        <v>1584750</v>
      </c>
      <c r="CO75" s="230">
        <v>1702200</v>
      </c>
      <c r="CP75" s="230">
        <v>-117450</v>
      </c>
      <c r="CQ75" s="229">
        <v>-6.9000000000000006E-2</v>
      </c>
      <c r="CR75" s="230">
        <v>968250</v>
      </c>
      <c r="CS75" s="230">
        <v>982200</v>
      </c>
      <c r="CT75" s="230">
        <v>-13950</v>
      </c>
      <c r="CU75" s="229">
        <v>-1.4200000000000001E-2</v>
      </c>
      <c r="CV75" s="230">
        <v>5052450</v>
      </c>
      <c r="CW75" s="230">
        <v>5174250</v>
      </c>
      <c r="CX75" s="230">
        <v>-121800</v>
      </c>
      <c r="CY75" s="229">
        <v>-2.35E-2</v>
      </c>
      <c r="CZ75" s="228">
        <v>21.65</v>
      </c>
      <c r="DA75" s="228">
        <v>27.89</v>
      </c>
      <c r="DB75" s="228">
        <v>-6.24</v>
      </c>
      <c r="DC75" s="228">
        <v>-6.24</v>
      </c>
      <c r="DD75" s="228">
        <v>33.979999999999997</v>
      </c>
      <c r="DE75" s="228">
        <v>34.07</v>
      </c>
      <c r="DF75" s="228">
        <v>-12.33</v>
      </c>
      <c r="DG75" s="228">
        <v>-0.09</v>
      </c>
      <c r="DH75" s="228">
        <v>21.64</v>
      </c>
      <c r="DI75" s="228">
        <v>28.48</v>
      </c>
      <c r="DJ75" s="228">
        <v>-6.84</v>
      </c>
      <c r="DK75" s="228">
        <v>-6.84</v>
      </c>
      <c r="DL75" s="228">
        <v>21.66</v>
      </c>
      <c r="DM75" s="228">
        <v>25.39</v>
      </c>
      <c r="DN75" s="228">
        <v>-3.73</v>
      </c>
      <c r="DO75" s="228">
        <v>-3.73</v>
      </c>
      <c r="DP75" s="228">
        <v>0.61</v>
      </c>
      <c r="DQ75" s="228">
        <v>0.57999999999999996</v>
      </c>
      <c r="DR75" s="228">
        <v>0.03</v>
      </c>
      <c r="DS75" s="229">
        <v>5.1700000000000003E-2</v>
      </c>
      <c r="DT75" s="231">
        <v>5500</v>
      </c>
      <c r="DU75" s="231">
        <v>5400</v>
      </c>
      <c r="DV75" s="228">
        <v>0.27</v>
      </c>
      <c r="DW75" s="228">
        <v>0.24</v>
      </c>
      <c r="DX75" s="228">
        <v>0.03</v>
      </c>
      <c r="DY75" s="229">
        <v>0.125</v>
      </c>
      <c r="DZ75" s="229">
        <v>0.29480000000000001</v>
      </c>
      <c r="EA75" s="230">
        <v>218700</v>
      </c>
      <c r="EB75" s="229">
        <v>6.7000000000000002E-3</v>
      </c>
      <c r="EC75" s="229">
        <v>0.29480000000000001</v>
      </c>
      <c r="ED75" s="228">
        <v>34.47</v>
      </c>
      <c r="EE75" s="229">
        <v>6.4000000000000003E-3</v>
      </c>
      <c r="EF75" s="230">
        <v>275276</v>
      </c>
      <c r="EG75" s="230">
        <v>314833</v>
      </c>
      <c r="EH75" s="229">
        <v>-0.12559999999999999</v>
      </c>
      <c r="EI75" s="229">
        <v>0.75319999999999998</v>
      </c>
      <c r="EJ75" s="231">
        <v>91958.41</v>
      </c>
      <c r="EK75" s="231">
        <v>23765.41</v>
      </c>
      <c r="EL75" s="231">
        <v>73585.45</v>
      </c>
      <c r="EM75" s="231">
        <v>2614</v>
      </c>
      <c r="EN75" s="231">
        <v>189309.27</v>
      </c>
      <c r="EO75" s="231">
        <v>160906.71</v>
      </c>
      <c r="EP75" s="231">
        <v>28402.560000000001</v>
      </c>
      <c r="EQ75" s="229">
        <v>0.17649999999999999</v>
      </c>
      <c r="ER75" s="231">
        <v>89943</v>
      </c>
      <c r="ES75" s="231">
        <v>51744</v>
      </c>
      <c r="ET75" s="231">
        <v>135389</v>
      </c>
      <c r="EU75" s="231">
        <v>15259458</v>
      </c>
      <c r="EV75" s="231">
        <v>277076</v>
      </c>
      <c r="EW75" s="231">
        <v>283755</v>
      </c>
      <c r="EX75" s="231">
        <v>-6679</v>
      </c>
      <c r="EY75" s="229">
        <v>-2.35E-2</v>
      </c>
      <c r="EZ75" s="229">
        <v>0.33110000000000001</v>
      </c>
      <c r="FA75" s="227" t="s">
        <v>555</v>
      </c>
      <c r="FB75" s="161">
        <f t="shared" si="1"/>
        <v>736950</v>
      </c>
    </row>
    <row r="76" spans="1:158" ht="17.25" hidden="1" thickBot="1" x14ac:dyDescent="0.3">
      <c r="A76" s="226">
        <v>45981</v>
      </c>
      <c r="B76" s="227" t="s">
        <v>172</v>
      </c>
      <c r="C76" s="227" t="s">
        <v>224</v>
      </c>
      <c r="D76" s="228">
        <v>550</v>
      </c>
      <c r="E76" s="231">
        <v>1010.05</v>
      </c>
      <c r="F76" s="228">
        <v>995.2</v>
      </c>
      <c r="G76" s="228">
        <v>14.85</v>
      </c>
      <c r="H76" s="229">
        <v>1.49E-2</v>
      </c>
      <c r="I76" s="231">
        <v>1008.85</v>
      </c>
      <c r="J76" s="228">
        <v>994.6</v>
      </c>
      <c r="K76" s="228">
        <v>14.25</v>
      </c>
      <c r="L76" s="229">
        <v>1.43E-2</v>
      </c>
      <c r="M76" s="231">
        <v>1010.05</v>
      </c>
      <c r="N76" s="228">
        <v>995.2</v>
      </c>
      <c r="O76" s="228">
        <v>14.85</v>
      </c>
      <c r="P76" s="229">
        <v>1.49E-2</v>
      </c>
      <c r="Q76" s="231">
        <v>1016.9</v>
      </c>
      <c r="R76" s="231">
        <v>1001.8</v>
      </c>
      <c r="S76" s="228">
        <v>15.1</v>
      </c>
      <c r="T76" s="229">
        <v>1.5100000000000001E-2</v>
      </c>
      <c r="U76" s="231">
        <v>1022.35</v>
      </c>
      <c r="V76" s="231">
        <v>1007.55</v>
      </c>
      <c r="W76" s="228">
        <v>14.8</v>
      </c>
      <c r="X76" s="229">
        <v>1.47E-2</v>
      </c>
      <c r="Y76" s="228">
        <v>1.2</v>
      </c>
      <c r="Z76" s="228">
        <v>0.6</v>
      </c>
      <c r="AA76" s="228">
        <v>0.6</v>
      </c>
      <c r="AB76" s="229">
        <v>1.1999999999999999E-3</v>
      </c>
      <c r="AC76" s="228">
        <v>1.2</v>
      </c>
      <c r="AD76" s="228">
        <v>0.6</v>
      </c>
      <c r="AE76" s="228">
        <v>0.6</v>
      </c>
      <c r="AF76" s="229">
        <v>1.1999999999999999E-3</v>
      </c>
      <c r="AG76" s="228">
        <v>8.0500000000000007</v>
      </c>
      <c r="AH76" s="228">
        <v>7.2</v>
      </c>
      <c r="AI76" s="228">
        <v>0.85</v>
      </c>
      <c r="AJ76" s="229">
        <v>8.0000000000000002E-3</v>
      </c>
      <c r="AK76" s="228">
        <v>13.5</v>
      </c>
      <c r="AL76" s="228">
        <v>12.95</v>
      </c>
      <c r="AM76" s="228">
        <v>0.55000000000000004</v>
      </c>
      <c r="AN76" s="229">
        <v>1.34E-2</v>
      </c>
      <c r="AO76" s="231">
        <v>1004.09</v>
      </c>
      <c r="AP76" s="231">
        <v>1011</v>
      </c>
      <c r="AQ76" s="228">
        <v>0</v>
      </c>
      <c r="AR76" s="230">
        <v>112808850</v>
      </c>
      <c r="AS76" s="230">
        <v>27100700</v>
      </c>
      <c r="AT76" s="230">
        <v>85708150</v>
      </c>
      <c r="AU76" s="229">
        <v>3.1625999999999999</v>
      </c>
      <c r="AV76" s="230">
        <v>58302200</v>
      </c>
      <c r="AW76" s="230">
        <v>15964850</v>
      </c>
      <c r="AX76" s="230">
        <v>42337350</v>
      </c>
      <c r="AY76" s="229">
        <v>2.6518999999999999</v>
      </c>
      <c r="AZ76" s="230">
        <v>54216800</v>
      </c>
      <c r="BA76" s="230">
        <v>10757450</v>
      </c>
      <c r="BB76" s="230">
        <v>43459350</v>
      </c>
      <c r="BC76" s="229">
        <v>4.0399000000000003</v>
      </c>
      <c r="BD76" s="230">
        <v>289850</v>
      </c>
      <c r="BE76" s="230">
        <v>378400</v>
      </c>
      <c r="BF76" s="230">
        <v>-88550</v>
      </c>
      <c r="BG76" s="229">
        <v>-0.23400000000000001</v>
      </c>
      <c r="BH76" s="230">
        <v>115478550</v>
      </c>
      <c r="BI76" s="230">
        <v>67763300</v>
      </c>
      <c r="BJ76" s="230">
        <v>47715250</v>
      </c>
      <c r="BK76" s="229">
        <v>0.70409999999999995</v>
      </c>
      <c r="BL76" s="230">
        <v>58358300</v>
      </c>
      <c r="BM76" s="230">
        <v>31891750</v>
      </c>
      <c r="BN76" s="230">
        <v>26466550</v>
      </c>
      <c r="BO76" s="229">
        <v>0.82989999999999997</v>
      </c>
      <c r="BP76" s="230">
        <v>286645700</v>
      </c>
      <c r="BQ76" s="230">
        <v>126755750</v>
      </c>
      <c r="BR76" s="230">
        <v>159889950</v>
      </c>
      <c r="BS76" s="229">
        <v>1.2614000000000001</v>
      </c>
      <c r="BT76" s="230">
        <v>21454088</v>
      </c>
      <c r="BU76" s="230">
        <v>20157526</v>
      </c>
      <c r="BV76" s="230">
        <v>1296562</v>
      </c>
      <c r="BW76" s="229">
        <v>6.4299999999999996E-2</v>
      </c>
      <c r="BX76" s="230">
        <v>216296300</v>
      </c>
      <c r="BY76" s="230">
        <v>215444900</v>
      </c>
      <c r="BZ76" s="230">
        <v>851400</v>
      </c>
      <c r="CA76" s="229">
        <v>4.0000000000000001E-3</v>
      </c>
      <c r="CB76" s="230">
        <v>137464250</v>
      </c>
      <c r="CC76" s="230">
        <v>186607850</v>
      </c>
      <c r="CD76" s="230">
        <v>-49143600</v>
      </c>
      <c r="CE76" s="229">
        <v>-0.26340000000000002</v>
      </c>
      <c r="CF76" s="230">
        <v>77297000</v>
      </c>
      <c r="CG76" s="230">
        <v>27398250</v>
      </c>
      <c r="CH76" s="230">
        <v>49898750</v>
      </c>
      <c r="CI76" s="229">
        <v>1.8211999999999999</v>
      </c>
      <c r="CJ76" s="230">
        <v>1535050</v>
      </c>
      <c r="CK76" s="230">
        <v>1438800</v>
      </c>
      <c r="CL76" s="230">
        <v>96250</v>
      </c>
      <c r="CM76" s="229">
        <v>6.6900000000000001E-2</v>
      </c>
      <c r="CN76" s="230">
        <v>33656150</v>
      </c>
      <c r="CO76" s="230">
        <v>39628050</v>
      </c>
      <c r="CP76" s="230">
        <v>-5971900</v>
      </c>
      <c r="CQ76" s="229">
        <v>-0.1507</v>
      </c>
      <c r="CR76" s="230">
        <v>24792350</v>
      </c>
      <c r="CS76" s="230">
        <v>24395800</v>
      </c>
      <c r="CT76" s="230">
        <v>396550</v>
      </c>
      <c r="CU76" s="229">
        <v>1.6299999999999999E-2</v>
      </c>
      <c r="CV76" s="230">
        <v>274744800</v>
      </c>
      <c r="CW76" s="230">
        <v>279468750</v>
      </c>
      <c r="CX76" s="230">
        <v>-4723950</v>
      </c>
      <c r="CY76" s="229">
        <v>-1.6899999999999998E-2</v>
      </c>
      <c r="CZ76" s="228">
        <v>15.76</v>
      </c>
      <c r="DA76" s="228">
        <v>16.61</v>
      </c>
      <c r="DB76" s="228">
        <v>-0.85</v>
      </c>
      <c r="DC76" s="228">
        <v>-0.85</v>
      </c>
      <c r="DD76" s="228">
        <v>20.46</v>
      </c>
      <c r="DE76" s="228">
        <v>20.420000000000002</v>
      </c>
      <c r="DF76" s="228">
        <v>-4.7</v>
      </c>
      <c r="DG76" s="228">
        <v>0.04</v>
      </c>
      <c r="DH76" s="228">
        <v>15.55</v>
      </c>
      <c r="DI76" s="228">
        <v>16.48</v>
      </c>
      <c r="DJ76" s="228">
        <v>-0.93</v>
      </c>
      <c r="DK76" s="228">
        <v>-0.93</v>
      </c>
      <c r="DL76" s="228">
        <v>16.23</v>
      </c>
      <c r="DM76" s="228">
        <v>16.89</v>
      </c>
      <c r="DN76" s="228">
        <v>-0.66</v>
      </c>
      <c r="DO76" s="228">
        <v>-0.66</v>
      </c>
      <c r="DP76" s="228">
        <v>0.74</v>
      </c>
      <c r="DQ76" s="228">
        <v>0.62</v>
      </c>
      <c r="DR76" s="228">
        <v>0.12</v>
      </c>
      <c r="DS76" s="229">
        <v>0.19350000000000001</v>
      </c>
      <c r="DT76" s="231">
        <v>1020</v>
      </c>
      <c r="DU76" s="228">
        <v>950</v>
      </c>
      <c r="DV76" s="228">
        <v>0.51</v>
      </c>
      <c r="DW76" s="228">
        <v>0.47</v>
      </c>
      <c r="DX76" s="228">
        <v>0.04</v>
      </c>
      <c r="DY76" s="229">
        <v>8.5099999999999995E-2</v>
      </c>
      <c r="DZ76" s="229">
        <v>0.36449999999999999</v>
      </c>
      <c r="EA76" s="230">
        <v>28837050</v>
      </c>
      <c r="EB76" s="229">
        <v>6.7999999999999996E-3</v>
      </c>
      <c r="EC76" s="229">
        <v>0.36449999999999999</v>
      </c>
      <c r="ED76" s="228">
        <v>6.91</v>
      </c>
      <c r="EE76" s="229">
        <v>6.8999999999999999E-3</v>
      </c>
      <c r="EF76" s="230">
        <v>13066818</v>
      </c>
      <c r="EG76" s="230">
        <v>14599934</v>
      </c>
      <c r="EH76" s="229">
        <v>-0.105</v>
      </c>
      <c r="EI76" s="229">
        <v>0.60909999999999997</v>
      </c>
      <c r="EJ76" s="231">
        <v>1177328.1000000001</v>
      </c>
      <c r="EK76" s="231">
        <v>581662.44999999995</v>
      </c>
      <c r="EL76" s="231">
        <v>1136482.3799999999</v>
      </c>
      <c r="EM76" s="231">
        <v>37660</v>
      </c>
      <c r="EN76" s="231">
        <v>2895472.93</v>
      </c>
      <c r="EO76" s="231">
        <v>1269184.3700000001</v>
      </c>
      <c r="EP76" s="231">
        <v>1626288.56</v>
      </c>
      <c r="EQ76" s="229">
        <v>1.2814000000000001</v>
      </c>
      <c r="ER76" s="231">
        <v>344918</v>
      </c>
      <c r="ES76" s="231">
        <v>241212</v>
      </c>
      <c r="ET76" s="231">
        <v>2190184</v>
      </c>
      <c r="EU76" s="231">
        <v>1329733550</v>
      </c>
      <c r="EV76" s="231">
        <v>2776315</v>
      </c>
      <c r="EW76" s="231">
        <v>2786695</v>
      </c>
      <c r="EX76" s="231">
        <v>-10380</v>
      </c>
      <c r="EY76" s="229">
        <v>-3.7000000000000002E-3</v>
      </c>
      <c r="EZ76" s="229">
        <v>0.20660000000000001</v>
      </c>
      <c r="FA76" s="227" t="s">
        <v>555</v>
      </c>
      <c r="FB76" s="161">
        <f t="shared" si="1"/>
        <v>78832050</v>
      </c>
    </row>
    <row r="77" spans="1:158" ht="17.25" hidden="1" thickBot="1" x14ac:dyDescent="0.3">
      <c r="A77" s="226">
        <v>45981</v>
      </c>
      <c r="B77" s="227" t="s">
        <v>175</v>
      </c>
      <c r="C77" s="227" t="s">
        <v>225</v>
      </c>
      <c r="D77" s="228">
        <v>1100</v>
      </c>
      <c r="E77" s="228">
        <v>762.6</v>
      </c>
      <c r="F77" s="228">
        <v>760.45</v>
      </c>
      <c r="G77" s="228">
        <v>2.15</v>
      </c>
      <c r="H77" s="229">
        <v>2.8E-3</v>
      </c>
      <c r="I77" s="228">
        <v>762.2</v>
      </c>
      <c r="J77" s="228">
        <v>761.1</v>
      </c>
      <c r="K77" s="228">
        <v>1.1000000000000001</v>
      </c>
      <c r="L77" s="229">
        <v>1.4E-3</v>
      </c>
      <c r="M77" s="228">
        <v>762.6</v>
      </c>
      <c r="N77" s="228">
        <v>760.45</v>
      </c>
      <c r="O77" s="228">
        <v>2.15</v>
      </c>
      <c r="P77" s="229">
        <v>2.8E-3</v>
      </c>
      <c r="Q77" s="228">
        <v>767.6</v>
      </c>
      <c r="R77" s="228">
        <v>765.6</v>
      </c>
      <c r="S77" s="228">
        <v>2</v>
      </c>
      <c r="T77" s="229">
        <v>2.5999999999999999E-3</v>
      </c>
      <c r="U77" s="228">
        <v>773.2</v>
      </c>
      <c r="V77" s="228">
        <v>770.7</v>
      </c>
      <c r="W77" s="228">
        <v>2.5</v>
      </c>
      <c r="X77" s="229">
        <v>3.2000000000000002E-3</v>
      </c>
      <c r="Y77" s="228">
        <v>0.4</v>
      </c>
      <c r="Z77" s="228">
        <v>-0.65</v>
      </c>
      <c r="AA77" s="228">
        <v>1.05</v>
      </c>
      <c r="AB77" s="229">
        <v>5.0000000000000001E-4</v>
      </c>
      <c r="AC77" s="228">
        <v>0.4</v>
      </c>
      <c r="AD77" s="228">
        <v>-0.65</v>
      </c>
      <c r="AE77" s="228">
        <v>1.05</v>
      </c>
      <c r="AF77" s="229">
        <v>5.0000000000000001E-4</v>
      </c>
      <c r="AG77" s="228">
        <v>5.4</v>
      </c>
      <c r="AH77" s="228">
        <v>4.5</v>
      </c>
      <c r="AI77" s="228">
        <v>0.9</v>
      </c>
      <c r="AJ77" s="229">
        <v>7.1000000000000004E-3</v>
      </c>
      <c r="AK77" s="228">
        <v>11</v>
      </c>
      <c r="AL77" s="228">
        <v>9.6</v>
      </c>
      <c r="AM77" s="228">
        <v>1.4</v>
      </c>
      <c r="AN77" s="229">
        <v>1.44E-2</v>
      </c>
      <c r="AO77" s="228">
        <v>758.12</v>
      </c>
      <c r="AP77" s="228">
        <v>763.42</v>
      </c>
      <c r="AQ77" s="228">
        <v>0</v>
      </c>
      <c r="AR77" s="230">
        <v>18170900</v>
      </c>
      <c r="AS77" s="230">
        <v>3171300</v>
      </c>
      <c r="AT77" s="230">
        <v>14999600</v>
      </c>
      <c r="AU77" s="229">
        <v>4.7298</v>
      </c>
      <c r="AV77" s="230">
        <v>9521600</v>
      </c>
      <c r="AW77" s="230">
        <v>2195600</v>
      </c>
      <c r="AX77" s="230">
        <v>7326000</v>
      </c>
      <c r="AY77" s="229">
        <v>3.3367</v>
      </c>
      <c r="AZ77" s="230">
        <v>8587700</v>
      </c>
      <c r="BA77" s="230">
        <v>951500</v>
      </c>
      <c r="BB77" s="230">
        <v>7636200</v>
      </c>
      <c r="BC77" s="229">
        <v>8.0253999999999994</v>
      </c>
      <c r="BD77" s="230">
        <v>61600</v>
      </c>
      <c r="BE77" s="230">
        <v>24200</v>
      </c>
      <c r="BF77" s="230">
        <v>37400</v>
      </c>
      <c r="BG77" s="229">
        <v>1.5455000000000001</v>
      </c>
      <c r="BH77" s="230">
        <v>15956600</v>
      </c>
      <c r="BI77" s="230">
        <v>9454500</v>
      </c>
      <c r="BJ77" s="230">
        <v>6502100</v>
      </c>
      <c r="BK77" s="229">
        <v>0.68769999999999998</v>
      </c>
      <c r="BL77" s="230">
        <v>8881400</v>
      </c>
      <c r="BM77" s="230">
        <v>4559500</v>
      </c>
      <c r="BN77" s="230">
        <v>4321900</v>
      </c>
      <c r="BO77" s="229">
        <v>0.94789999999999996</v>
      </c>
      <c r="BP77" s="230">
        <v>43008900</v>
      </c>
      <c r="BQ77" s="230">
        <v>17185300</v>
      </c>
      <c r="BR77" s="230">
        <v>25823600</v>
      </c>
      <c r="BS77" s="229">
        <v>1.5026999999999999</v>
      </c>
      <c r="BT77" s="230">
        <v>2651014</v>
      </c>
      <c r="BU77" s="230">
        <v>962410</v>
      </c>
      <c r="BV77" s="230">
        <v>1688604</v>
      </c>
      <c r="BW77" s="229">
        <v>1.7545999999999999</v>
      </c>
      <c r="BX77" s="230">
        <v>29570200</v>
      </c>
      <c r="BY77" s="230">
        <v>29434900</v>
      </c>
      <c r="BZ77" s="230">
        <v>135300</v>
      </c>
      <c r="CA77" s="229">
        <v>4.5999999999999999E-3</v>
      </c>
      <c r="CB77" s="230">
        <v>20323600</v>
      </c>
      <c r="CC77" s="230">
        <v>27170000</v>
      </c>
      <c r="CD77" s="230">
        <v>-6846400</v>
      </c>
      <c r="CE77" s="229">
        <v>-0.252</v>
      </c>
      <c r="CF77" s="230">
        <v>9154200</v>
      </c>
      <c r="CG77" s="230">
        <v>2186800</v>
      </c>
      <c r="CH77" s="230">
        <v>6967400</v>
      </c>
      <c r="CI77" s="229">
        <v>3.1861000000000002</v>
      </c>
      <c r="CJ77" s="230">
        <v>92400</v>
      </c>
      <c r="CK77" s="230">
        <v>78100</v>
      </c>
      <c r="CL77" s="230">
        <v>14300</v>
      </c>
      <c r="CM77" s="229">
        <v>0.18310000000000001</v>
      </c>
      <c r="CN77" s="230">
        <v>10588600</v>
      </c>
      <c r="CO77" s="230">
        <v>10681000</v>
      </c>
      <c r="CP77" s="230">
        <v>-92400</v>
      </c>
      <c r="CQ77" s="229">
        <v>-8.6999999999999994E-3</v>
      </c>
      <c r="CR77" s="230">
        <v>7492100</v>
      </c>
      <c r="CS77" s="230">
        <v>7114800</v>
      </c>
      <c r="CT77" s="230">
        <v>377300</v>
      </c>
      <c r="CU77" s="229">
        <v>5.2999999999999999E-2</v>
      </c>
      <c r="CV77" s="230">
        <v>47650900</v>
      </c>
      <c r="CW77" s="230">
        <v>47230700</v>
      </c>
      <c r="CX77" s="230">
        <v>420200</v>
      </c>
      <c r="CY77" s="229">
        <v>8.8999999999999999E-3</v>
      </c>
      <c r="CZ77" s="228">
        <v>19.39</v>
      </c>
      <c r="DA77" s="228">
        <v>16.98</v>
      </c>
      <c r="DB77" s="228">
        <v>2.41</v>
      </c>
      <c r="DC77" s="228">
        <v>2.41</v>
      </c>
      <c r="DD77" s="228">
        <v>25.75</v>
      </c>
      <c r="DE77" s="228">
        <v>25.81</v>
      </c>
      <c r="DF77" s="228">
        <v>-6.36</v>
      </c>
      <c r="DG77" s="228">
        <v>-0.06</v>
      </c>
      <c r="DH77" s="228">
        <v>19.649999999999999</v>
      </c>
      <c r="DI77" s="228">
        <v>17.27</v>
      </c>
      <c r="DJ77" s="228">
        <v>2.38</v>
      </c>
      <c r="DK77" s="228">
        <v>2.38</v>
      </c>
      <c r="DL77" s="228">
        <v>18.86</v>
      </c>
      <c r="DM77" s="228">
        <v>16.37</v>
      </c>
      <c r="DN77" s="228">
        <v>2.4900000000000002</v>
      </c>
      <c r="DO77" s="228">
        <v>2.4900000000000002</v>
      </c>
      <c r="DP77" s="228">
        <v>0.71</v>
      </c>
      <c r="DQ77" s="228">
        <v>0.67</v>
      </c>
      <c r="DR77" s="228">
        <v>0.04</v>
      </c>
      <c r="DS77" s="229">
        <v>5.9700000000000003E-2</v>
      </c>
      <c r="DT77" s="228">
        <v>820</v>
      </c>
      <c r="DU77" s="228">
        <v>740</v>
      </c>
      <c r="DV77" s="228">
        <v>0.56000000000000005</v>
      </c>
      <c r="DW77" s="228">
        <v>0.48</v>
      </c>
      <c r="DX77" s="228">
        <v>0.08</v>
      </c>
      <c r="DY77" s="229">
        <v>0.16669999999999999</v>
      </c>
      <c r="DZ77" s="229">
        <v>0.31269999999999998</v>
      </c>
      <c r="EA77" s="230">
        <v>2264900</v>
      </c>
      <c r="EB77" s="229">
        <v>6.6E-3</v>
      </c>
      <c r="EC77" s="229">
        <v>0.31269999999999998</v>
      </c>
      <c r="ED77" s="228">
        <v>5.3</v>
      </c>
      <c r="EE77" s="229">
        <v>7.0000000000000001E-3</v>
      </c>
      <c r="EF77" s="230">
        <v>1557377</v>
      </c>
      <c r="EG77" s="230">
        <v>579888</v>
      </c>
      <c r="EH77" s="229">
        <v>1.6857</v>
      </c>
      <c r="EI77" s="229">
        <v>0.58750000000000002</v>
      </c>
      <c r="EJ77" s="231">
        <v>123813.8</v>
      </c>
      <c r="EK77" s="231">
        <v>66853.33</v>
      </c>
      <c r="EL77" s="231">
        <v>138217.87</v>
      </c>
      <c r="EM77" s="231">
        <v>2849</v>
      </c>
      <c r="EN77" s="231">
        <v>328885</v>
      </c>
      <c r="EO77" s="231">
        <v>132187.48000000001</v>
      </c>
      <c r="EP77" s="231">
        <v>196697.52</v>
      </c>
      <c r="EQ77" s="229">
        <v>1.488</v>
      </c>
      <c r="ER77" s="231">
        <v>83537</v>
      </c>
      <c r="ES77" s="231">
        <v>54945</v>
      </c>
      <c r="ET77" s="231">
        <v>225970</v>
      </c>
      <c r="EU77" s="231">
        <v>119296253</v>
      </c>
      <c r="EV77" s="231">
        <v>364452</v>
      </c>
      <c r="EW77" s="231">
        <v>360450</v>
      </c>
      <c r="EX77" s="231">
        <v>4002</v>
      </c>
      <c r="EY77" s="229">
        <v>1.11E-2</v>
      </c>
      <c r="EZ77" s="229">
        <v>0.39939999999999998</v>
      </c>
      <c r="FA77" s="227" t="s">
        <v>555</v>
      </c>
      <c r="FB77" s="161">
        <f t="shared" si="1"/>
        <v>9246600</v>
      </c>
    </row>
    <row r="78" spans="1:158" ht="17.25" hidden="1" thickBot="1" x14ac:dyDescent="0.3">
      <c r="A78" s="226">
        <v>45981</v>
      </c>
      <c r="B78" s="227" t="s">
        <v>162</v>
      </c>
      <c r="C78" s="227" t="s">
        <v>226</v>
      </c>
      <c r="D78" s="228">
        <v>150</v>
      </c>
      <c r="E78" s="231">
        <v>6005</v>
      </c>
      <c r="F78" s="231">
        <v>5891</v>
      </c>
      <c r="G78" s="228">
        <v>114</v>
      </c>
      <c r="H78" s="229">
        <v>1.9400000000000001E-2</v>
      </c>
      <c r="I78" s="231">
        <v>5999.5</v>
      </c>
      <c r="J78" s="231">
        <v>5876.5</v>
      </c>
      <c r="K78" s="228">
        <v>123</v>
      </c>
      <c r="L78" s="229">
        <v>2.0899999999999998E-2</v>
      </c>
      <c r="M78" s="231">
        <v>6005</v>
      </c>
      <c r="N78" s="231">
        <v>5891</v>
      </c>
      <c r="O78" s="228">
        <v>114</v>
      </c>
      <c r="P78" s="229">
        <v>1.9400000000000001E-2</v>
      </c>
      <c r="Q78" s="231">
        <v>6044.5</v>
      </c>
      <c r="R78" s="231">
        <v>5923</v>
      </c>
      <c r="S78" s="228">
        <v>121.5</v>
      </c>
      <c r="T78" s="229">
        <v>2.0500000000000001E-2</v>
      </c>
      <c r="U78" s="231">
        <v>6067.5</v>
      </c>
      <c r="V78" s="231">
        <v>5941.5</v>
      </c>
      <c r="W78" s="228">
        <v>126</v>
      </c>
      <c r="X78" s="229">
        <v>2.12E-2</v>
      </c>
      <c r="Y78" s="228">
        <v>5.5</v>
      </c>
      <c r="Z78" s="228">
        <v>14.5</v>
      </c>
      <c r="AA78" s="228">
        <v>-9</v>
      </c>
      <c r="AB78" s="229">
        <v>8.9999999999999998E-4</v>
      </c>
      <c r="AC78" s="228">
        <v>5.5</v>
      </c>
      <c r="AD78" s="228">
        <v>14.5</v>
      </c>
      <c r="AE78" s="228">
        <v>-9</v>
      </c>
      <c r="AF78" s="229">
        <v>8.9999999999999998E-4</v>
      </c>
      <c r="AG78" s="228">
        <v>45</v>
      </c>
      <c r="AH78" s="228">
        <v>46.5</v>
      </c>
      <c r="AI78" s="228">
        <v>-1.5</v>
      </c>
      <c r="AJ78" s="229">
        <v>7.4999999999999997E-3</v>
      </c>
      <c r="AK78" s="228">
        <v>68</v>
      </c>
      <c r="AL78" s="228">
        <v>65</v>
      </c>
      <c r="AM78" s="228">
        <v>3</v>
      </c>
      <c r="AN78" s="229">
        <v>1.1299999999999999E-2</v>
      </c>
      <c r="AO78" s="231">
        <v>6011.98</v>
      </c>
      <c r="AP78" s="231">
        <v>6048.3</v>
      </c>
      <c r="AQ78" s="228">
        <v>0</v>
      </c>
      <c r="AR78" s="230">
        <v>4846500</v>
      </c>
      <c r="AS78" s="230">
        <v>1273950</v>
      </c>
      <c r="AT78" s="230">
        <v>3572550</v>
      </c>
      <c r="AU78" s="229">
        <v>2.8043</v>
      </c>
      <c r="AV78" s="230">
        <v>2735100</v>
      </c>
      <c r="AW78" s="230">
        <v>970500</v>
      </c>
      <c r="AX78" s="230">
        <v>1764600</v>
      </c>
      <c r="AY78" s="229">
        <v>1.8182</v>
      </c>
      <c r="AZ78" s="230">
        <v>2086500</v>
      </c>
      <c r="BA78" s="230">
        <v>293700</v>
      </c>
      <c r="BB78" s="230">
        <v>1792800</v>
      </c>
      <c r="BC78" s="229">
        <v>6.1041999999999996</v>
      </c>
      <c r="BD78" s="230">
        <v>24900</v>
      </c>
      <c r="BE78" s="230">
        <v>9750</v>
      </c>
      <c r="BF78" s="230">
        <v>15150</v>
      </c>
      <c r="BG78" s="229">
        <v>1.5538000000000001</v>
      </c>
      <c r="BH78" s="230">
        <v>28790100</v>
      </c>
      <c r="BI78" s="230">
        <v>14694300</v>
      </c>
      <c r="BJ78" s="230">
        <v>14095800</v>
      </c>
      <c r="BK78" s="229">
        <v>0.95930000000000004</v>
      </c>
      <c r="BL78" s="230">
        <v>14869650</v>
      </c>
      <c r="BM78" s="230">
        <v>8655000</v>
      </c>
      <c r="BN78" s="230">
        <v>6214650</v>
      </c>
      <c r="BO78" s="229">
        <v>0.71799999999999997</v>
      </c>
      <c r="BP78" s="230">
        <v>48506250</v>
      </c>
      <c r="BQ78" s="230">
        <v>24623250</v>
      </c>
      <c r="BR78" s="230">
        <v>23883000</v>
      </c>
      <c r="BS78" s="229">
        <v>0.96989999999999998</v>
      </c>
      <c r="BT78" s="230">
        <v>1320078</v>
      </c>
      <c r="BU78" s="230">
        <v>982522</v>
      </c>
      <c r="BV78" s="230">
        <v>337556</v>
      </c>
      <c r="BW78" s="229">
        <v>0.34360000000000002</v>
      </c>
      <c r="BX78" s="230">
        <v>5990700</v>
      </c>
      <c r="BY78" s="230">
        <v>5961600</v>
      </c>
      <c r="BZ78" s="230">
        <v>29100</v>
      </c>
      <c r="CA78" s="229">
        <v>4.8999999999999998E-3</v>
      </c>
      <c r="CB78" s="230">
        <v>4103100</v>
      </c>
      <c r="CC78" s="230">
        <v>5461800</v>
      </c>
      <c r="CD78" s="230">
        <v>-1358700</v>
      </c>
      <c r="CE78" s="229">
        <v>-0.24879999999999999</v>
      </c>
      <c r="CF78" s="230">
        <v>1858650</v>
      </c>
      <c r="CG78" s="230">
        <v>477300</v>
      </c>
      <c r="CH78" s="230">
        <v>1381350</v>
      </c>
      <c r="CI78" s="229">
        <v>2.8940999999999999</v>
      </c>
      <c r="CJ78" s="230">
        <v>28950</v>
      </c>
      <c r="CK78" s="230">
        <v>22500</v>
      </c>
      <c r="CL78" s="230">
        <v>6450</v>
      </c>
      <c r="CM78" s="229">
        <v>0.28670000000000001</v>
      </c>
      <c r="CN78" s="230">
        <v>3872850</v>
      </c>
      <c r="CO78" s="230">
        <v>3590550</v>
      </c>
      <c r="CP78" s="230">
        <v>282300</v>
      </c>
      <c r="CQ78" s="229">
        <v>7.8600000000000003E-2</v>
      </c>
      <c r="CR78" s="230">
        <v>4052850</v>
      </c>
      <c r="CS78" s="230">
        <v>3630900</v>
      </c>
      <c r="CT78" s="230">
        <v>421950</v>
      </c>
      <c r="CU78" s="229">
        <v>0.1162</v>
      </c>
      <c r="CV78" s="230">
        <v>13916400</v>
      </c>
      <c r="CW78" s="230">
        <v>13183050</v>
      </c>
      <c r="CX78" s="230">
        <v>733350</v>
      </c>
      <c r="CY78" s="229">
        <v>5.5599999999999997E-2</v>
      </c>
      <c r="CZ78" s="228">
        <v>23.64</v>
      </c>
      <c r="DA78" s="228">
        <v>25.03</v>
      </c>
      <c r="DB78" s="228">
        <v>-1.39</v>
      </c>
      <c r="DC78" s="228">
        <v>-1.39</v>
      </c>
      <c r="DD78" s="228">
        <v>30.8</v>
      </c>
      <c r="DE78" s="228">
        <v>30.75</v>
      </c>
      <c r="DF78" s="228">
        <v>-7.16</v>
      </c>
      <c r="DG78" s="228">
        <v>0.05</v>
      </c>
      <c r="DH78" s="228">
        <v>23.22</v>
      </c>
      <c r="DI78" s="228">
        <v>23.53</v>
      </c>
      <c r="DJ78" s="228">
        <v>-0.31</v>
      </c>
      <c r="DK78" s="228">
        <v>-0.31</v>
      </c>
      <c r="DL78" s="228">
        <v>24.41</v>
      </c>
      <c r="DM78" s="228">
        <v>27.59</v>
      </c>
      <c r="DN78" s="228">
        <v>-3.18</v>
      </c>
      <c r="DO78" s="228">
        <v>-3.18</v>
      </c>
      <c r="DP78" s="228">
        <v>1.05</v>
      </c>
      <c r="DQ78" s="228">
        <v>1.01</v>
      </c>
      <c r="DR78" s="228">
        <v>0.04</v>
      </c>
      <c r="DS78" s="229">
        <v>3.9600000000000003E-2</v>
      </c>
      <c r="DT78" s="231">
        <v>6400</v>
      </c>
      <c r="DU78" s="231">
        <v>5700</v>
      </c>
      <c r="DV78" s="228">
        <v>0.52</v>
      </c>
      <c r="DW78" s="228">
        <v>0.59</v>
      </c>
      <c r="DX78" s="228">
        <v>-7.0000000000000007E-2</v>
      </c>
      <c r="DY78" s="229">
        <v>-0.1186</v>
      </c>
      <c r="DZ78" s="229">
        <v>0.31509999999999999</v>
      </c>
      <c r="EA78" s="230">
        <v>499800</v>
      </c>
      <c r="EB78" s="229">
        <v>6.6E-3</v>
      </c>
      <c r="EC78" s="229">
        <v>0.31509999999999999</v>
      </c>
      <c r="ED78" s="228">
        <v>36.32</v>
      </c>
      <c r="EE78" s="229">
        <v>6.0000000000000001E-3</v>
      </c>
      <c r="EF78" s="230">
        <v>561959</v>
      </c>
      <c r="EG78" s="230">
        <v>514187</v>
      </c>
      <c r="EH78" s="229">
        <v>9.2899999999999996E-2</v>
      </c>
      <c r="EI78" s="229">
        <v>0.42570000000000002</v>
      </c>
      <c r="EJ78" s="231">
        <v>1771342.88</v>
      </c>
      <c r="EK78" s="231">
        <v>866049.21</v>
      </c>
      <c r="EL78" s="231">
        <v>292141.53999999998</v>
      </c>
      <c r="EM78" s="231">
        <v>12323</v>
      </c>
      <c r="EN78" s="231">
        <v>2929533.63</v>
      </c>
      <c r="EO78" s="231">
        <v>1457015.54</v>
      </c>
      <c r="EP78" s="231">
        <v>1472518.09</v>
      </c>
      <c r="EQ78" s="229">
        <v>1.0105999999999999</v>
      </c>
      <c r="ER78" s="231">
        <v>233934</v>
      </c>
      <c r="ES78" s="231">
        <v>226953</v>
      </c>
      <c r="ET78" s="231">
        <v>360494</v>
      </c>
      <c r="EU78" s="231">
        <v>19579129</v>
      </c>
      <c r="EV78" s="231">
        <v>821381</v>
      </c>
      <c r="EW78" s="231">
        <v>764851</v>
      </c>
      <c r="EX78" s="231">
        <v>56530</v>
      </c>
      <c r="EY78" s="229">
        <v>7.3899999999999993E-2</v>
      </c>
      <c r="EZ78" s="229">
        <v>0.71079999999999999</v>
      </c>
      <c r="FA78" s="227" t="s">
        <v>555</v>
      </c>
      <c r="FB78" s="161">
        <f t="shared" si="1"/>
        <v>1887600</v>
      </c>
    </row>
    <row r="79" spans="1:158" ht="17.25" hidden="1" thickBot="1" x14ac:dyDescent="0.3">
      <c r="A79" s="226">
        <v>45981</v>
      </c>
      <c r="B79" s="227" t="s">
        <v>221</v>
      </c>
      <c r="C79" s="227" t="s">
        <v>576</v>
      </c>
      <c r="D79" s="228">
        <v>6450</v>
      </c>
      <c r="E79" s="228">
        <v>73.38</v>
      </c>
      <c r="F79" s="228">
        <v>73.739999999999995</v>
      </c>
      <c r="G79" s="228">
        <v>-0.36</v>
      </c>
      <c r="H79" s="229">
        <v>-4.8999999999999998E-3</v>
      </c>
      <c r="I79" s="228">
        <v>73.400000000000006</v>
      </c>
      <c r="J79" s="228">
        <v>73.790000000000006</v>
      </c>
      <c r="K79" s="228">
        <v>-0.39</v>
      </c>
      <c r="L79" s="229">
        <v>-5.3E-3</v>
      </c>
      <c r="M79" s="228">
        <v>73.38</v>
      </c>
      <c r="N79" s="228">
        <v>73.739999999999995</v>
      </c>
      <c r="O79" s="228">
        <v>-0.36</v>
      </c>
      <c r="P79" s="229">
        <v>-4.8999999999999998E-3</v>
      </c>
      <c r="Q79" s="228">
        <v>73.84</v>
      </c>
      <c r="R79" s="228">
        <v>74.28</v>
      </c>
      <c r="S79" s="228">
        <v>-0.44</v>
      </c>
      <c r="T79" s="229">
        <v>-5.8999999999999999E-3</v>
      </c>
      <c r="U79" s="228">
        <v>0</v>
      </c>
      <c r="V79" s="228">
        <v>0</v>
      </c>
      <c r="W79" s="228">
        <v>0</v>
      </c>
      <c r="X79" s="229">
        <v>0</v>
      </c>
      <c r="Y79" s="228">
        <v>-0.02</v>
      </c>
      <c r="Z79" s="228">
        <v>-0.05</v>
      </c>
      <c r="AA79" s="228">
        <v>0.03</v>
      </c>
      <c r="AB79" s="229">
        <v>-2.9999999999999997E-4</v>
      </c>
      <c r="AC79" s="228">
        <v>-0.02</v>
      </c>
      <c r="AD79" s="228">
        <v>-0.05</v>
      </c>
      <c r="AE79" s="228">
        <v>0.03</v>
      </c>
      <c r="AF79" s="229">
        <v>-2.9999999999999997E-4</v>
      </c>
      <c r="AG79" s="228">
        <v>0.44</v>
      </c>
      <c r="AH79" s="228">
        <v>0.49</v>
      </c>
      <c r="AI79" s="228">
        <v>-0.05</v>
      </c>
      <c r="AJ79" s="229">
        <v>6.0000000000000001E-3</v>
      </c>
      <c r="AK79" s="228">
        <v>0</v>
      </c>
      <c r="AL79" s="228">
        <v>0</v>
      </c>
      <c r="AM79" s="228">
        <v>0</v>
      </c>
      <c r="AN79" s="229">
        <v>0</v>
      </c>
      <c r="AO79" s="228">
        <v>73.69</v>
      </c>
      <c r="AP79" s="228">
        <v>74.19</v>
      </c>
      <c r="AQ79" s="228">
        <v>0</v>
      </c>
      <c r="AR79" s="230">
        <v>45949800</v>
      </c>
      <c r="AS79" s="230">
        <v>22723350</v>
      </c>
      <c r="AT79" s="230">
        <v>23226450</v>
      </c>
      <c r="AU79" s="229">
        <v>1.0221</v>
      </c>
      <c r="AV79" s="230">
        <v>23239350</v>
      </c>
      <c r="AW79" s="230">
        <v>12771000</v>
      </c>
      <c r="AX79" s="230">
        <v>10468350</v>
      </c>
      <c r="AY79" s="229">
        <v>0.81969999999999998</v>
      </c>
      <c r="AZ79" s="230">
        <v>22710450</v>
      </c>
      <c r="BA79" s="230">
        <v>9952350</v>
      </c>
      <c r="BB79" s="230">
        <v>12758100</v>
      </c>
      <c r="BC79" s="229">
        <v>1.2819</v>
      </c>
      <c r="BD79" s="228">
        <v>0</v>
      </c>
      <c r="BE79" s="228">
        <v>0</v>
      </c>
      <c r="BF79" s="228">
        <v>0</v>
      </c>
      <c r="BG79" s="229">
        <v>0</v>
      </c>
      <c r="BH79" s="230">
        <v>32553150</v>
      </c>
      <c r="BI79" s="230">
        <v>46349700</v>
      </c>
      <c r="BJ79" s="230">
        <v>-13796550</v>
      </c>
      <c r="BK79" s="229">
        <v>-0.29770000000000002</v>
      </c>
      <c r="BL79" s="230">
        <v>20749650</v>
      </c>
      <c r="BM79" s="230">
        <v>20917350</v>
      </c>
      <c r="BN79" s="230">
        <v>-167700</v>
      </c>
      <c r="BO79" s="229">
        <v>-8.0000000000000002E-3</v>
      </c>
      <c r="BP79" s="230">
        <v>99252600</v>
      </c>
      <c r="BQ79" s="230">
        <v>89990400</v>
      </c>
      <c r="BR79" s="230">
        <v>9262200</v>
      </c>
      <c r="BS79" s="229">
        <v>0.10290000000000001</v>
      </c>
      <c r="BT79" s="230">
        <v>6792339</v>
      </c>
      <c r="BU79" s="230">
        <v>8364075</v>
      </c>
      <c r="BV79" s="230">
        <v>-1571736</v>
      </c>
      <c r="BW79" s="229">
        <v>-0.18790000000000001</v>
      </c>
      <c r="BX79" s="230">
        <v>122769300</v>
      </c>
      <c r="BY79" s="230">
        <v>124749450</v>
      </c>
      <c r="BZ79" s="230">
        <v>-1980150</v>
      </c>
      <c r="CA79" s="229">
        <v>-1.5900000000000001E-2</v>
      </c>
      <c r="CB79" s="230">
        <v>76051950</v>
      </c>
      <c r="CC79" s="230">
        <v>93757200</v>
      </c>
      <c r="CD79" s="230">
        <v>-17705250</v>
      </c>
      <c r="CE79" s="229">
        <v>-0.1888</v>
      </c>
      <c r="CF79" s="230">
        <v>46717350</v>
      </c>
      <c r="CG79" s="230">
        <v>30992250</v>
      </c>
      <c r="CH79" s="230">
        <v>15725100</v>
      </c>
      <c r="CI79" s="229">
        <v>0.50739999999999996</v>
      </c>
      <c r="CJ79" s="228">
        <v>0</v>
      </c>
      <c r="CK79" s="228">
        <v>0</v>
      </c>
      <c r="CL79" s="228">
        <v>0</v>
      </c>
      <c r="CM79" s="229">
        <v>0</v>
      </c>
      <c r="CN79" s="230">
        <v>52844850</v>
      </c>
      <c r="CO79" s="230">
        <v>52206300</v>
      </c>
      <c r="CP79" s="230">
        <v>638550</v>
      </c>
      <c r="CQ79" s="229">
        <v>1.2200000000000001E-2</v>
      </c>
      <c r="CR79" s="230">
        <v>29624850</v>
      </c>
      <c r="CS79" s="230">
        <v>29108850</v>
      </c>
      <c r="CT79" s="230">
        <v>516000</v>
      </c>
      <c r="CU79" s="229">
        <v>1.77E-2</v>
      </c>
      <c r="CV79" s="230">
        <v>205239000</v>
      </c>
      <c r="CW79" s="230">
        <v>206064600</v>
      </c>
      <c r="CX79" s="230">
        <v>-825600</v>
      </c>
      <c r="CY79" s="229">
        <v>-4.0000000000000001E-3</v>
      </c>
      <c r="CZ79" s="228">
        <v>37.159999999999997</v>
      </c>
      <c r="DA79" s="228">
        <v>36.81</v>
      </c>
      <c r="DB79" s="228">
        <v>0.35</v>
      </c>
      <c r="DC79" s="228">
        <v>0.35</v>
      </c>
      <c r="DD79" s="228">
        <v>53.7</v>
      </c>
      <c r="DE79" s="228">
        <v>53.83</v>
      </c>
      <c r="DF79" s="228">
        <v>-16.54</v>
      </c>
      <c r="DG79" s="228">
        <v>-0.13</v>
      </c>
      <c r="DH79" s="228">
        <v>37.409999999999997</v>
      </c>
      <c r="DI79" s="228">
        <v>37.22</v>
      </c>
      <c r="DJ79" s="228">
        <v>0.19</v>
      </c>
      <c r="DK79" s="228">
        <v>0.19</v>
      </c>
      <c r="DL79" s="228">
        <v>36.630000000000003</v>
      </c>
      <c r="DM79" s="228">
        <v>35.880000000000003</v>
      </c>
      <c r="DN79" s="228">
        <v>0.75</v>
      </c>
      <c r="DO79" s="228">
        <v>0.75</v>
      </c>
      <c r="DP79" s="228">
        <v>0.56000000000000005</v>
      </c>
      <c r="DQ79" s="228">
        <v>0.56000000000000005</v>
      </c>
      <c r="DR79" s="228">
        <v>0</v>
      </c>
      <c r="DS79" s="229">
        <v>0</v>
      </c>
      <c r="DT79" s="228">
        <v>80</v>
      </c>
      <c r="DU79" s="228">
        <v>70</v>
      </c>
      <c r="DV79" s="228">
        <v>0.64</v>
      </c>
      <c r="DW79" s="228">
        <v>0.45</v>
      </c>
      <c r="DX79" s="228">
        <v>0.19</v>
      </c>
      <c r="DY79" s="229">
        <v>0.42220000000000002</v>
      </c>
      <c r="DZ79" s="229">
        <v>0.3805</v>
      </c>
      <c r="EA79" s="230">
        <v>30992250</v>
      </c>
      <c r="EB79" s="229">
        <v>6.3E-3</v>
      </c>
      <c r="EC79" s="229">
        <v>0.3805</v>
      </c>
      <c r="ED79" s="228">
        <v>0.5</v>
      </c>
      <c r="EE79" s="229">
        <v>6.7999999999999996E-3</v>
      </c>
      <c r="EF79" s="230">
        <v>2586541</v>
      </c>
      <c r="EG79" s="230">
        <v>2779572</v>
      </c>
      <c r="EH79" s="229">
        <v>-6.9400000000000003E-2</v>
      </c>
      <c r="EI79" s="229">
        <v>0.38080000000000003</v>
      </c>
      <c r="EJ79" s="231">
        <v>25302.28</v>
      </c>
      <c r="EK79" s="231">
        <v>15034.18</v>
      </c>
      <c r="EL79" s="231">
        <v>33975.03</v>
      </c>
      <c r="EM79" s="231">
        <v>2418</v>
      </c>
      <c r="EN79" s="231">
        <v>74311.490000000005</v>
      </c>
      <c r="EO79" s="231">
        <v>68409.179999999993</v>
      </c>
      <c r="EP79" s="231">
        <v>5902.31</v>
      </c>
      <c r="EQ79" s="229">
        <v>8.6300000000000002E-2</v>
      </c>
      <c r="ER79" s="231">
        <v>41867</v>
      </c>
      <c r="ES79" s="231">
        <v>21902</v>
      </c>
      <c r="ET79" s="231">
        <v>90303</v>
      </c>
      <c r="EU79" s="231">
        <v>147979599</v>
      </c>
      <c r="EV79" s="231">
        <v>154072</v>
      </c>
      <c r="EW79" s="231">
        <v>155168</v>
      </c>
      <c r="EX79" s="231">
        <v>-1096</v>
      </c>
      <c r="EY79" s="229">
        <v>-7.1000000000000004E-3</v>
      </c>
      <c r="EZ79" s="229">
        <v>1.3869</v>
      </c>
      <c r="FA79" s="227" t="s">
        <v>568</v>
      </c>
      <c r="FB79" s="161">
        <f t="shared" si="1"/>
        <v>46717350</v>
      </c>
    </row>
    <row r="80" spans="1:158" ht="17.25" hidden="1" thickBot="1" x14ac:dyDescent="0.3">
      <c r="A80" s="226">
        <v>45981</v>
      </c>
      <c r="B80" s="227" t="s">
        <v>227</v>
      </c>
      <c r="C80" s="227" t="s">
        <v>228</v>
      </c>
      <c r="D80" s="228">
        <v>700</v>
      </c>
      <c r="E80" s="228">
        <v>800.45</v>
      </c>
      <c r="F80" s="228">
        <v>792.1</v>
      </c>
      <c r="G80" s="228">
        <v>8.35</v>
      </c>
      <c r="H80" s="229">
        <v>1.0500000000000001E-2</v>
      </c>
      <c r="I80" s="228">
        <v>799.8</v>
      </c>
      <c r="J80" s="228">
        <v>790.95</v>
      </c>
      <c r="K80" s="228">
        <v>8.85</v>
      </c>
      <c r="L80" s="229">
        <v>1.12E-2</v>
      </c>
      <c r="M80" s="228">
        <v>800.45</v>
      </c>
      <c r="N80" s="228">
        <v>792.1</v>
      </c>
      <c r="O80" s="228">
        <v>8.35</v>
      </c>
      <c r="P80" s="229">
        <v>1.0500000000000001E-2</v>
      </c>
      <c r="Q80" s="228">
        <v>806.35</v>
      </c>
      <c r="R80" s="228">
        <v>797.6</v>
      </c>
      <c r="S80" s="228">
        <v>8.75</v>
      </c>
      <c r="T80" s="229">
        <v>1.0999999999999999E-2</v>
      </c>
      <c r="U80" s="228">
        <v>811</v>
      </c>
      <c r="V80" s="228">
        <v>802.3</v>
      </c>
      <c r="W80" s="228">
        <v>8.6999999999999993</v>
      </c>
      <c r="X80" s="229">
        <v>1.0800000000000001E-2</v>
      </c>
      <c r="Y80" s="228">
        <v>0.65</v>
      </c>
      <c r="Z80" s="228">
        <v>1.1499999999999999</v>
      </c>
      <c r="AA80" s="228">
        <v>-0.5</v>
      </c>
      <c r="AB80" s="229">
        <v>8.0000000000000004E-4</v>
      </c>
      <c r="AC80" s="228">
        <v>0.65</v>
      </c>
      <c r="AD80" s="228">
        <v>1.1499999999999999</v>
      </c>
      <c r="AE80" s="228">
        <v>-0.5</v>
      </c>
      <c r="AF80" s="229">
        <v>8.0000000000000004E-4</v>
      </c>
      <c r="AG80" s="228">
        <v>6.55</v>
      </c>
      <c r="AH80" s="228">
        <v>6.65</v>
      </c>
      <c r="AI80" s="228">
        <v>-0.1</v>
      </c>
      <c r="AJ80" s="229">
        <v>8.2000000000000007E-3</v>
      </c>
      <c r="AK80" s="228">
        <v>11.2</v>
      </c>
      <c r="AL80" s="228">
        <v>11.35</v>
      </c>
      <c r="AM80" s="228">
        <v>-0.15</v>
      </c>
      <c r="AN80" s="229">
        <v>1.4E-2</v>
      </c>
      <c r="AO80" s="228">
        <v>799.66</v>
      </c>
      <c r="AP80" s="228">
        <v>805.2</v>
      </c>
      <c r="AQ80" s="228">
        <v>0</v>
      </c>
      <c r="AR80" s="230">
        <v>47655300</v>
      </c>
      <c r="AS80" s="230">
        <v>39363100</v>
      </c>
      <c r="AT80" s="230">
        <v>8292200</v>
      </c>
      <c r="AU80" s="229">
        <v>0.2107</v>
      </c>
      <c r="AV80" s="230">
        <v>24814300</v>
      </c>
      <c r="AW80" s="230">
        <v>21703500</v>
      </c>
      <c r="AX80" s="230">
        <v>3110800</v>
      </c>
      <c r="AY80" s="229">
        <v>0.14330000000000001</v>
      </c>
      <c r="AZ80" s="230">
        <v>22778700</v>
      </c>
      <c r="BA80" s="230">
        <v>17619000</v>
      </c>
      <c r="BB80" s="230">
        <v>5159700</v>
      </c>
      <c r="BC80" s="229">
        <v>0.2928</v>
      </c>
      <c r="BD80" s="230">
        <v>62300</v>
      </c>
      <c r="BE80" s="230">
        <v>40600</v>
      </c>
      <c r="BF80" s="230">
        <v>21700</v>
      </c>
      <c r="BG80" s="229">
        <v>0.53449999999999998</v>
      </c>
      <c r="BH80" s="230">
        <v>42338100</v>
      </c>
      <c r="BI80" s="230">
        <v>28045500</v>
      </c>
      <c r="BJ80" s="230">
        <v>14292600</v>
      </c>
      <c r="BK80" s="229">
        <v>0.50960000000000005</v>
      </c>
      <c r="BL80" s="230">
        <v>17511200</v>
      </c>
      <c r="BM80" s="230">
        <v>16739100</v>
      </c>
      <c r="BN80" s="230">
        <v>772100</v>
      </c>
      <c r="BO80" s="229">
        <v>4.6100000000000002E-2</v>
      </c>
      <c r="BP80" s="230">
        <v>107504600</v>
      </c>
      <c r="BQ80" s="230">
        <v>84147700</v>
      </c>
      <c r="BR80" s="230">
        <v>23356900</v>
      </c>
      <c r="BS80" s="229">
        <v>0.27760000000000001</v>
      </c>
      <c r="BT80" s="230">
        <v>6174795</v>
      </c>
      <c r="BU80" s="230">
        <v>3085892</v>
      </c>
      <c r="BV80" s="230">
        <v>3088903</v>
      </c>
      <c r="BW80" s="229">
        <v>1.0009999999999999</v>
      </c>
      <c r="BX80" s="230">
        <v>81377100</v>
      </c>
      <c r="BY80" s="230">
        <v>81040400</v>
      </c>
      <c r="BZ80" s="230">
        <v>336700</v>
      </c>
      <c r="CA80" s="229">
        <v>4.1999999999999997E-3</v>
      </c>
      <c r="CB80" s="230">
        <v>38987900</v>
      </c>
      <c r="CC80" s="230">
        <v>59154900</v>
      </c>
      <c r="CD80" s="230">
        <v>-20167000</v>
      </c>
      <c r="CE80" s="229">
        <v>-0.34089999999999998</v>
      </c>
      <c r="CF80" s="230">
        <v>42082600</v>
      </c>
      <c r="CG80" s="230">
        <v>21599900</v>
      </c>
      <c r="CH80" s="230">
        <v>20482700</v>
      </c>
      <c r="CI80" s="229">
        <v>0.94830000000000003</v>
      </c>
      <c r="CJ80" s="230">
        <v>306600</v>
      </c>
      <c r="CK80" s="230">
        <v>285600</v>
      </c>
      <c r="CL80" s="230">
        <v>21000</v>
      </c>
      <c r="CM80" s="229">
        <v>7.3499999999999996E-2</v>
      </c>
      <c r="CN80" s="230">
        <v>24368400</v>
      </c>
      <c r="CO80" s="230">
        <v>25390400</v>
      </c>
      <c r="CP80" s="230">
        <v>-1022000</v>
      </c>
      <c r="CQ80" s="229">
        <v>-4.0300000000000002E-2</v>
      </c>
      <c r="CR80" s="230">
        <v>16871400</v>
      </c>
      <c r="CS80" s="230">
        <v>17306800</v>
      </c>
      <c r="CT80" s="230">
        <v>-435400</v>
      </c>
      <c r="CU80" s="229">
        <v>-2.52E-2</v>
      </c>
      <c r="CV80" s="230">
        <v>122616900</v>
      </c>
      <c r="CW80" s="230">
        <v>123737600</v>
      </c>
      <c r="CX80" s="230">
        <v>-1120700</v>
      </c>
      <c r="CY80" s="229">
        <v>-9.1000000000000004E-3</v>
      </c>
      <c r="CZ80" s="228">
        <v>23.96</v>
      </c>
      <c r="DA80" s="228">
        <v>25.08</v>
      </c>
      <c r="DB80" s="228">
        <v>-1.1200000000000001</v>
      </c>
      <c r="DC80" s="228">
        <v>-1.1200000000000001</v>
      </c>
      <c r="DD80" s="228">
        <v>33.159999999999997</v>
      </c>
      <c r="DE80" s="228">
        <v>33.21</v>
      </c>
      <c r="DF80" s="228">
        <v>-9.1999999999999993</v>
      </c>
      <c r="DG80" s="228">
        <v>-0.05</v>
      </c>
      <c r="DH80" s="228">
        <v>24.02</v>
      </c>
      <c r="DI80" s="228">
        <v>25.77</v>
      </c>
      <c r="DJ80" s="228">
        <v>-1.75</v>
      </c>
      <c r="DK80" s="228">
        <v>-1.75</v>
      </c>
      <c r="DL80" s="228">
        <v>23.89</v>
      </c>
      <c r="DM80" s="228">
        <v>23.91</v>
      </c>
      <c r="DN80" s="228">
        <v>-0.02</v>
      </c>
      <c r="DO80" s="228">
        <v>-0.02</v>
      </c>
      <c r="DP80" s="228">
        <v>0.69</v>
      </c>
      <c r="DQ80" s="228">
        <v>0.68</v>
      </c>
      <c r="DR80" s="228">
        <v>0.01</v>
      </c>
      <c r="DS80" s="229">
        <v>1.47E-2</v>
      </c>
      <c r="DT80" s="228">
        <v>800</v>
      </c>
      <c r="DU80" s="228">
        <v>800</v>
      </c>
      <c r="DV80" s="228">
        <v>0.41</v>
      </c>
      <c r="DW80" s="228">
        <v>0.6</v>
      </c>
      <c r="DX80" s="228">
        <v>-0.19</v>
      </c>
      <c r="DY80" s="229">
        <v>-0.31669999999999998</v>
      </c>
      <c r="DZ80" s="229">
        <v>0.52090000000000003</v>
      </c>
      <c r="EA80" s="230">
        <v>21885500</v>
      </c>
      <c r="EB80" s="229">
        <v>7.4000000000000003E-3</v>
      </c>
      <c r="EC80" s="229">
        <v>0.52090000000000003</v>
      </c>
      <c r="ED80" s="228">
        <v>5.54</v>
      </c>
      <c r="EE80" s="229">
        <v>6.8999999999999999E-3</v>
      </c>
      <c r="EF80" s="230">
        <v>3602295</v>
      </c>
      <c r="EG80" s="230">
        <v>1651638</v>
      </c>
      <c r="EH80" s="229">
        <v>1.181</v>
      </c>
      <c r="EI80" s="229">
        <v>0.58340000000000003</v>
      </c>
      <c r="EJ80" s="231">
        <v>347640.63</v>
      </c>
      <c r="EK80" s="231">
        <v>138995.66</v>
      </c>
      <c r="EL80" s="231">
        <v>382348.19</v>
      </c>
      <c r="EM80" s="231">
        <v>21740</v>
      </c>
      <c r="EN80" s="231">
        <v>868984.48</v>
      </c>
      <c r="EO80" s="231">
        <v>679205.32</v>
      </c>
      <c r="EP80" s="231">
        <v>189779.16</v>
      </c>
      <c r="EQ80" s="229">
        <v>0.27939999999999998</v>
      </c>
      <c r="ER80" s="231">
        <v>203185</v>
      </c>
      <c r="ES80" s="231">
        <v>132229</v>
      </c>
      <c r="ET80" s="231">
        <v>653898</v>
      </c>
      <c r="EU80" s="231">
        <v>176136372</v>
      </c>
      <c r="EV80" s="231">
        <v>989313</v>
      </c>
      <c r="EW80" s="231">
        <v>990492</v>
      </c>
      <c r="EX80" s="231">
        <v>-1179</v>
      </c>
      <c r="EY80" s="229">
        <v>-1.1999999999999999E-3</v>
      </c>
      <c r="EZ80" s="229">
        <v>0.69610000000000005</v>
      </c>
      <c r="FA80" s="227" t="s">
        <v>555</v>
      </c>
      <c r="FB80" s="161">
        <f t="shared" si="1"/>
        <v>42389200</v>
      </c>
    </row>
    <row r="81" spans="1:158" ht="17.25" hidden="1" thickBot="1" x14ac:dyDescent="0.3">
      <c r="A81" s="226">
        <v>45981</v>
      </c>
      <c r="B81" s="227" t="s">
        <v>193</v>
      </c>
      <c r="C81" s="227" t="s">
        <v>229</v>
      </c>
      <c r="D81" s="228">
        <v>2025</v>
      </c>
      <c r="E81" s="228">
        <v>478.6</v>
      </c>
      <c r="F81" s="228">
        <v>478.25</v>
      </c>
      <c r="G81" s="228">
        <v>0.35</v>
      </c>
      <c r="H81" s="229">
        <v>6.9999999999999999E-4</v>
      </c>
      <c r="I81" s="228">
        <v>477.9</v>
      </c>
      <c r="J81" s="228">
        <v>477.15</v>
      </c>
      <c r="K81" s="228">
        <v>0.75</v>
      </c>
      <c r="L81" s="229">
        <v>1.6000000000000001E-3</v>
      </c>
      <c r="M81" s="228">
        <v>478.6</v>
      </c>
      <c r="N81" s="228">
        <v>478.25</v>
      </c>
      <c r="O81" s="228">
        <v>0.35</v>
      </c>
      <c r="P81" s="229">
        <v>6.9999999999999999E-4</v>
      </c>
      <c r="Q81" s="228">
        <v>481.85</v>
      </c>
      <c r="R81" s="228">
        <v>481.3</v>
      </c>
      <c r="S81" s="228">
        <v>0.55000000000000004</v>
      </c>
      <c r="T81" s="229">
        <v>1.1000000000000001E-3</v>
      </c>
      <c r="U81" s="228">
        <v>485</v>
      </c>
      <c r="V81" s="228">
        <v>484.35</v>
      </c>
      <c r="W81" s="228">
        <v>0.65</v>
      </c>
      <c r="X81" s="229">
        <v>1.2999999999999999E-3</v>
      </c>
      <c r="Y81" s="228">
        <v>0.7</v>
      </c>
      <c r="Z81" s="228">
        <v>1.1000000000000001</v>
      </c>
      <c r="AA81" s="228">
        <v>-0.4</v>
      </c>
      <c r="AB81" s="229">
        <v>1.5E-3</v>
      </c>
      <c r="AC81" s="228">
        <v>0.7</v>
      </c>
      <c r="AD81" s="228">
        <v>1.1000000000000001</v>
      </c>
      <c r="AE81" s="228">
        <v>-0.4</v>
      </c>
      <c r="AF81" s="229">
        <v>1.5E-3</v>
      </c>
      <c r="AG81" s="228">
        <v>3.95</v>
      </c>
      <c r="AH81" s="228">
        <v>4.1500000000000004</v>
      </c>
      <c r="AI81" s="228">
        <v>-0.2</v>
      </c>
      <c r="AJ81" s="229">
        <v>8.3000000000000001E-3</v>
      </c>
      <c r="AK81" s="228">
        <v>7.1</v>
      </c>
      <c r="AL81" s="228">
        <v>7.2</v>
      </c>
      <c r="AM81" s="228">
        <v>-0.1</v>
      </c>
      <c r="AN81" s="229">
        <v>1.49E-2</v>
      </c>
      <c r="AO81" s="228">
        <v>478.56</v>
      </c>
      <c r="AP81" s="228">
        <v>481.73</v>
      </c>
      <c r="AQ81" s="228">
        <v>0</v>
      </c>
      <c r="AR81" s="230">
        <v>27586575</v>
      </c>
      <c r="AS81" s="230">
        <v>8027100</v>
      </c>
      <c r="AT81" s="230">
        <v>19559475</v>
      </c>
      <c r="AU81" s="229">
        <v>2.4367000000000001</v>
      </c>
      <c r="AV81" s="230">
        <v>14268150</v>
      </c>
      <c r="AW81" s="230">
        <v>5232600</v>
      </c>
      <c r="AX81" s="230">
        <v>9035550</v>
      </c>
      <c r="AY81" s="229">
        <v>1.7267999999999999</v>
      </c>
      <c r="AZ81" s="230">
        <v>13207050</v>
      </c>
      <c r="BA81" s="230">
        <v>2610225</v>
      </c>
      <c r="BB81" s="230">
        <v>10596825</v>
      </c>
      <c r="BC81" s="229">
        <v>4.0597000000000003</v>
      </c>
      <c r="BD81" s="230">
        <v>111375</v>
      </c>
      <c r="BE81" s="230">
        <v>184275</v>
      </c>
      <c r="BF81" s="230">
        <v>-72900</v>
      </c>
      <c r="BG81" s="229">
        <v>-0.39560000000000001</v>
      </c>
      <c r="BH81" s="230">
        <v>13245525</v>
      </c>
      <c r="BI81" s="230">
        <v>17291475</v>
      </c>
      <c r="BJ81" s="230">
        <v>-4045950</v>
      </c>
      <c r="BK81" s="229">
        <v>-0.23400000000000001</v>
      </c>
      <c r="BL81" s="230">
        <v>5275125</v>
      </c>
      <c r="BM81" s="230">
        <v>8638650</v>
      </c>
      <c r="BN81" s="230">
        <v>-3363525</v>
      </c>
      <c r="BO81" s="229">
        <v>-0.38940000000000002</v>
      </c>
      <c r="BP81" s="230">
        <v>46107225</v>
      </c>
      <c r="BQ81" s="230">
        <v>33957225</v>
      </c>
      <c r="BR81" s="230">
        <v>12150000</v>
      </c>
      <c r="BS81" s="229">
        <v>0.35780000000000001</v>
      </c>
      <c r="BT81" s="230">
        <v>2924023</v>
      </c>
      <c r="BU81" s="230">
        <v>4042926</v>
      </c>
      <c r="BV81" s="230">
        <v>-1118903</v>
      </c>
      <c r="BW81" s="229">
        <v>-0.27679999999999999</v>
      </c>
      <c r="BX81" s="230">
        <v>40046400</v>
      </c>
      <c r="BY81" s="230">
        <v>39748725</v>
      </c>
      <c r="BZ81" s="230">
        <v>297675</v>
      </c>
      <c r="CA81" s="229">
        <v>7.4999999999999997E-3</v>
      </c>
      <c r="CB81" s="230">
        <v>25294275</v>
      </c>
      <c r="CC81" s="230">
        <v>36478350</v>
      </c>
      <c r="CD81" s="230">
        <v>-11184075</v>
      </c>
      <c r="CE81" s="229">
        <v>-0.30659999999999998</v>
      </c>
      <c r="CF81" s="230">
        <v>14486850</v>
      </c>
      <c r="CG81" s="230">
        <v>3011175</v>
      </c>
      <c r="CH81" s="230">
        <v>11475675</v>
      </c>
      <c r="CI81" s="229">
        <v>3.8109999999999999</v>
      </c>
      <c r="CJ81" s="230">
        <v>265275</v>
      </c>
      <c r="CK81" s="230">
        <v>259200</v>
      </c>
      <c r="CL81" s="230">
        <v>6075</v>
      </c>
      <c r="CM81" s="229">
        <v>2.3400000000000001E-2</v>
      </c>
      <c r="CN81" s="230">
        <v>14503050</v>
      </c>
      <c r="CO81" s="230">
        <v>15284700</v>
      </c>
      <c r="CP81" s="230">
        <v>-781650</v>
      </c>
      <c r="CQ81" s="229">
        <v>-5.11E-2</v>
      </c>
      <c r="CR81" s="230">
        <v>10013625</v>
      </c>
      <c r="CS81" s="230">
        <v>10141200</v>
      </c>
      <c r="CT81" s="230">
        <v>-127575</v>
      </c>
      <c r="CU81" s="229">
        <v>-1.26E-2</v>
      </c>
      <c r="CV81" s="230">
        <v>64563075</v>
      </c>
      <c r="CW81" s="230">
        <v>65174625</v>
      </c>
      <c r="CX81" s="230">
        <v>-611550</v>
      </c>
      <c r="CY81" s="229">
        <v>-9.4000000000000004E-3</v>
      </c>
      <c r="CZ81" s="228">
        <v>25.08</v>
      </c>
      <c r="DA81" s="228">
        <v>26.69</v>
      </c>
      <c r="DB81" s="228">
        <v>-1.61</v>
      </c>
      <c r="DC81" s="228">
        <v>-1.61</v>
      </c>
      <c r="DD81" s="228">
        <v>39.53</v>
      </c>
      <c r="DE81" s="228">
        <v>39.630000000000003</v>
      </c>
      <c r="DF81" s="228">
        <v>-14.45</v>
      </c>
      <c r="DG81" s="228">
        <v>-0.1</v>
      </c>
      <c r="DH81" s="228">
        <v>25.02</v>
      </c>
      <c r="DI81" s="228">
        <v>26.66</v>
      </c>
      <c r="DJ81" s="228">
        <v>-1.64</v>
      </c>
      <c r="DK81" s="228">
        <v>-1.64</v>
      </c>
      <c r="DL81" s="228">
        <v>25.18</v>
      </c>
      <c r="DM81" s="228">
        <v>26.75</v>
      </c>
      <c r="DN81" s="228">
        <v>-1.57</v>
      </c>
      <c r="DO81" s="228">
        <v>-1.57</v>
      </c>
      <c r="DP81" s="228">
        <v>0.69</v>
      </c>
      <c r="DQ81" s="228">
        <v>0.66</v>
      </c>
      <c r="DR81" s="228">
        <v>0.03</v>
      </c>
      <c r="DS81" s="229">
        <v>4.5499999999999999E-2</v>
      </c>
      <c r="DT81" s="228">
        <v>500</v>
      </c>
      <c r="DU81" s="228">
        <v>450</v>
      </c>
      <c r="DV81" s="228">
        <v>0.4</v>
      </c>
      <c r="DW81" s="228">
        <v>0.5</v>
      </c>
      <c r="DX81" s="228">
        <v>-0.1</v>
      </c>
      <c r="DY81" s="229">
        <v>-0.2</v>
      </c>
      <c r="DZ81" s="229">
        <v>0.36840000000000001</v>
      </c>
      <c r="EA81" s="230">
        <v>3270375</v>
      </c>
      <c r="EB81" s="229">
        <v>6.7999999999999996E-3</v>
      </c>
      <c r="EC81" s="229">
        <v>0.36840000000000001</v>
      </c>
      <c r="ED81" s="228">
        <v>3.17</v>
      </c>
      <c r="EE81" s="229">
        <v>6.6E-3</v>
      </c>
      <c r="EF81" s="230">
        <v>1895020</v>
      </c>
      <c r="EG81" s="230">
        <v>2716489</v>
      </c>
      <c r="EH81" s="229">
        <v>-0.3024</v>
      </c>
      <c r="EI81" s="229">
        <v>0.64810000000000001</v>
      </c>
      <c r="EJ81" s="231">
        <v>65647.97</v>
      </c>
      <c r="EK81" s="231">
        <v>24831.88</v>
      </c>
      <c r="EL81" s="231">
        <v>132443.57999999999</v>
      </c>
      <c r="EM81" s="231">
        <v>2750</v>
      </c>
      <c r="EN81" s="231">
        <v>222923.43</v>
      </c>
      <c r="EO81" s="231">
        <v>165227.62</v>
      </c>
      <c r="EP81" s="231">
        <v>57695.81</v>
      </c>
      <c r="EQ81" s="229">
        <v>0.34920000000000001</v>
      </c>
      <c r="ER81" s="231">
        <v>70633</v>
      </c>
      <c r="ES81" s="231">
        <v>45460</v>
      </c>
      <c r="ET81" s="231">
        <v>192150</v>
      </c>
      <c r="EU81" s="231">
        <v>143933168</v>
      </c>
      <c r="EV81" s="231">
        <v>308243</v>
      </c>
      <c r="EW81" s="231">
        <v>310726</v>
      </c>
      <c r="EX81" s="231">
        <v>-2483</v>
      </c>
      <c r="EY81" s="229">
        <v>-8.0000000000000002E-3</v>
      </c>
      <c r="EZ81" s="229">
        <v>0.4486</v>
      </c>
      <c r="FA81" s="227" t="s">
        <v>555</v>
      </c>
      <c r="FB81" s="161">
        <f t="shared" si="1"/>
        <v>14752125</v>
      </c>
    </row>
    <row r="82" spans="1:158" ht="17.25" hidden="1" thickBot="1" x14ac:dyDescent="0.3">
      <c r="A82" s="226">
        <v>45981</v>
      </c>
      <c r="B82" s="227" t="s">
        <v>168</v>
      </c>
      <c r="C82" s="227" t="s">
        <v>230</v>
      </c>
      <c r="D82" s="228">
        <v>300</v>
      </c>
      <c r="E82" s="231">
        <v>2432.8000000000002</v>
      </c>
      <c r="F82" s="231">
        <v>2442.1</v>
      </c>
      <c r="G82" s="228">
        <v>-9.3000000000000007</v>
      </c>
      <c r="H82" s="229">
        <v>-3.8E-3</v>
      </c>
      <c r="I82" s="231">
        <v>2428.4</v>
      </c>
      <c r="J82" s="231">
        <v>2441.6</v>
      </c>
      <c r="K82" s="228">
        <v>-13.2</v>
      </c>
      <c r="L82" s="229">
        <v>-5.4000000000000003E-3</v>
      </c>
      <c r="M82" s="231">
        <v>2432.8000000000002</v>
      </c>
      <c r="N82" s="231">
        <v>2442.1</v>
      </c>
      <c r="O82" s="228">
        <v>-9.3000000000000007</v>
      </c>
      <c r="P82" s="229">
        <v>-3.8E-3</v>
      </c>
      <c r="Q82" s="231">
        <v>2438.9</v>
      </c>
      <c r="R82" s="231">
        <v>2449.1</v>
      </c>
      <c r="S82" s="228">
        <v>-10.199999999999999</v>
      </c>
      <c r="T82" s="229">
        <v>-4.1999999999999997E-3</v>
      </c>
      <c r="U82" s="231">
        <v>2441.5</v>
      </c>
      <c r="V82" s="231">
        <v>2450.1999999999998</v>
      </c>
      <c r="W82" s="228">
        <v>-8.6999999999999993</v>
      </c>
      <c r="X82" s="229">
        <v>-3.5999999999999999E-3</v>
      </c>
      <c r="Y82" s="228">
        <v>4.4000000000000004</v>
      </c>
      <c r="Z82" s="228">
        <v>0.5</v>
      </c>
      <c r="AA82" s="228">
        <v>3.9</v>
      </c>
      <c r="AB82" s="229">
        <v>1.8E-3</v>
      </c>
      <c r="AC82" s="228">
        <v>4.4000000000000004</v>
      </c>
      <c r="AD82" s="228">
        <v>0.5</v>
      </c>
      <c r="AE82" s="228">
        <v>3.9</v>
      </c>
      <c r="AF82" s="229">
        <v>1.8E-3</v>
      </c>
      <c r="AG82" s="228">
        <v>10.5</v>
      </c>
      <c r="AH82" s="228">
        <v>7.5</v>
      </c>
      <c r="AI82" s="228">
        <v>3</v>
      </c>
      <c r="AJ82" s="229">
        <v>4.3E-3</v>
      </c>
      <c r="AK82" s="228">
        <v>13.1</v>
      </c>
      <c r="AL82" s="228">
        <v>8.6</v>
      </c>
      <c r="AM82" s="228">
        <v>4.5</v>
      </c>
      <c r="AN82" s="229">
        <v>5.4000000000000003E-3</v>
      </c>
      <c r="AO82" s="231">
        <v>2446.23</v>
      </c>
      <c r="AP82" s="231">
        <v>2450.9</v>
      </c>
      <c r="AQ82" s="228">
        <v>0</v>
      </c>
      <c r="AR82" s="230">
        <v>11765400</v>
      </c>
      <c r="AS82" s="230">
        <v>5539200</v>
      </c>
      <c r="AT82" s="230">
        <v>6226200</v>
      </c>
      <c r="AU82" s="229">
        <v>1.1240000000000001</v>
      </c>
      <c r="AV82" s="230">
        <v>6334200</v>
      </c>
      <c r="AW82" s="230">
        <v>3453600</v>
      </c>
      <c r="AX82" s="230">
        <v>2880600</v>
      </c>
      <c r="AY82" s="229">
        <v>0.83409999999999995</v>
      </c>
      <c r="AZ82" s="230">
        <v>5370600</v>
      </c>
      <c r="BA82" s="230">
        <v>2017200</v>
      </c>
      <c r="BB82" s="230">
        <v>3353400</v>
      </c>
      <c r="BC82" s="229">
        <v>1.6624000000000001</v>
      </c>
      <c r="BD82" s="230">
        <v>60600</v>
      </c>
      <c r="BE82" s="230">
        <v>68400</v>
      </c>
      <c r="BF82" s="230">
        <v>-7800</v>
      </c>
      <c r="BG82" s="229">
        <v>-0.114</v>
      </c>
      <c r="BH82" s="230">
        <v>16743600</v>
      </c>
      <c r="BI82" s="230">
        <v>29783700</v>
      </c>
      <c r="BJ82" s="230">
        <v>-13040100</v>
      </c>
      <c r="BK82" s="229">
        <v>-0.43780000000000002</v>
      </c>
      <c r="BL82" s="230">
        <v>6159900</v>
      </c>
      <c r="BM82" s="230">
        <v>10338600</v>
      </c>
      <c r="BN82" s="230">
        <v>-4178700</v>
      </c>
      <c r="BO82" s="229">
        <v>-0.4042</v>
      </c>
      <c r="BP82" s="230">
        <v>34668900</v>
      </c>
      <c r="BQ82" s="230">
        <v>45661500</v>
      </c>
      <c r="BR82" s="230">
        <v>-10992600</v>
      </c>
      <c r="BS82" s="229">
        <v>-0.2407</v>
      </c>
      <c r="BT82" s="230">
        <v>1716912</v>
      </c>
      <c r="BU82" s="230">
        <v>1506217</v>
      </c>
      <c r="BV82" s="230">
        <v>210695</v>
      </c>
      <c r="BW82" s="229">
        <v>0.1399</v>
      </c>
      <c r="BX82" s="230">
        <v>18020700</v>
      </c>
      <c r="BY82" s="230">
        <v>19352100</v>
      </c>
      <c r="BZ82" s="230">
        <v>-1331400</v>
      </c>
      <c r="CA82" s="229">
        <v>-6.88E-2</v>
      </c>
      <c r="CB82" s="230">
        <v>11541600</v>
      </c>
      <c r="CC82" s="230">
        <v>16201800</v>
      </c>
      <c r="CD82" s="230">
        <v>-4660200</v>
      </c>
      <c r="CE82" s="229">
        <v>-0.28760000000000002</v>
      </c>
      <c r="CF82" s="230">
        <v>6203400</v>
      </c>
      <c r="CG82" s="230">
        <v>2897100</v>
      </c>
      <c r="CH82" s="230">
        <v>3306300</v>
      </c>
      <c r="CI82" s="229">
        <v>1.1412</v>
      </c>
      <c r="CJ82" s="230">
        <v>275700</v>
      </c>
      <c r="CK82" s="230">
        <v>253200</v>
      </c>
      <c r="CL82" s="230">
        <v>22500</v>
      </c>
      <c r="CM82" s="229">
        <v>8.8900000000000007E-2</v>
      </c>
      <c r="CN82" s="230">
        <v>11681100</v>
      </c>
      <c r="CO82" s="230">
        <v>12526500</v>
      </c>
      <c r="CP82" s="230">
        <v>-845400</v>
      </c>
      <c r="CQ82" s="229">
        <v>-6.7500000000000004E-2</v>
      </c>
      <c r="CR82" s="230">
        <v>5248800</v>
      </c>
      <c r="CS82" s="230">
        <v>5617500</v>
      </c>
      <c r="CT82" s="230">
        <v>-368700</v>
      </c>
      <c r="CU82" s="229">
        <v>-6.5600000000000006E-2</v>
      </c>
      <c r="CV82" s="230">
        <v>34950600</v>
      </c>
      <c r="CW82" s="230">
        <v>37496100</v>
      </c>
      <c r="CX82" s="230">
        <v>-2545500</v>
      </c>
      <c r="CY82" s="229">
        <v>-6.7900000000000002E-2</v>
      </c>
      <c r="CZ82" s="228">
        <v>12.34</v>
      </c>
      <c r="DA82" s="228">
        <v>16.5</v>
      </c>
      <c r="DB82" s="228">
        <v>-4.16</v>
      </c>
      <c r="DC82" s="228">
        <v>-4.16</v>
      </c>
      <c r="DD82" s="228">
        <v>22.21</v>
      </c>
      <c r="DE82" s="228">
        <v>22.25</v>
      </c>
      <c r="DF82" s="228">
        <v>-9.8699999999999992</v>
      </c>
      <c r="DG82" s="228">
        <v>-0.04</v>
      </c>
      <c r="DH82" s="228">
        <v>12.71</v>
      </c>
      <c r="DI82" s="228">
        <v>16.920000000000002</v>
      </c>
      <c r="DJ82" s="228">
        <v>-4.21</v>
      </c>
      <c r="DK82" s="228">
        <v>-4.21</v>
      </c>
      <c r="DL82" s="228">
        <v>11.34</v>
      </c>
      <c r="DM82" s="228">
        <v>15.29</v>
      </c>
      <c r="DN82" s="228">
        <v>-3.95</v>
      </c>
      <c r="DO82" s="228">
        <v>-3.95</v>
      </c>
      <c r="DP82" s="228">
        <v>0.45</v>
      </c>
      <c r="DQ82" s="228">
        <v>0.45</v>
      </c>
      <c r="DR82" s="228">
        <v>0</v>
      </c>
      <c r="DS82" s="229">
        <v>0</v>
      </c>
      <c r="DT82" s="231">
        <v>2500</v>
      </c>
      <c r="DU82" s="231">
        <v>2500</v>
      </c>
      <c r="DV82" s="228">
        <v>0.37</v>
      </c>
      <c r="DW82" s="228">
        <v>0.35</v>
      </c>
      <c r="DX82" s="228">
        <v>0.02</v>
      </c>
      <c r="DY82" s="229">
        <v>5.7099999999999998E-2</v>
      </c>
      <c r="DZ82" s="229">
        <v>0.35949999999999999</v>
      </c>
      <c r="EA82" s="230">
        <v>3150300</v>
      </c>
      <c r="EB82" s="229">
        <v>2.5000000000000001E-3</v>
      </c>
      <c r="EC82" s="229">
        <v>0.35949999999999999</v>
      </c>
      <c r="ED82" s="228">
        <v>4.67</v>
      </c>
      <c r="EE82" s="229">
        <v>1.9E-3</v>
      </c>
      <c r="EF82" s="230">
        <v>895304</v>
      </c>
      <c r="EG82" s="230">
        <v>771256</v>
      </c>
      <c r="EH82" s="229">
        <v>0.1608</v>
      </c>
      <c r="EI82" s="229">
        <v>0.52149999999999996</v>
      </c>
      <c r="EJ82" s="231">
        <v>421491.48</v>
      </c>
      <c r="EK82" s="231">
        <v>149714.16</v>
      </c>
      <c r="EL82" s="231">
        <v>288063.33</v>
      </c>
      <c r="EM82" s="231">
        <v>8408</v>
      </c>
      <c r="EN82" s="231">
        <v>859268.97</v>
      </c>
      <c r="EO82" s="231">
        <v>1131116.3500000001</v>
      </c>
      <c r="EP82" s="231">
        <v>-271847.38</v>
      </c>
      <c r="EQ82" s="229">
        <v>-0.24030000000000001</v>
      </c>
      <c r="ER82" s="231">
        <v>296913</v>
      </c>
      <c r="ES82" s="231">
        <v>128380</v>
      </c>
      <c r="ET82" s="231">
        <v>438810</v>
      </c>
      <c r="EU82" s="231">
        <v>89517840</v>
      </c>
      <c r="EV82" s="231">
        <v>864103</v>
      </c>
      <c r="EW82" s="231">
        <v>928872</v>
      </c>
      <c r="EX82" s="231">
        <v>-64769</v>
      </c>
      <c r="EY82" s="229">
        <v>-6.9699999999999998E-2</v>
      </c>
      <c r="EZ82" s="229">
        <v>0.39040000000000002</v>
      </c>
      <c r="FA82" s="227" t="s">
        <v>568</v>
      </c>
      <c r="FB82" s="161">
        <f t="shared" si="1"/>
        <v>6479100</v>
      </c>
    </row>
    <row r="83" spans="1:158" ht="17.25" hidden="1" thickBot="1" x14ac:dyDescent="0.3">
      <c r="A83" s="226">
        <v>45981</v>
      </c>
      <c r="B83" s="227" t="s">
        <v>227</v>
      </c>
      <c r="C83" s="227" t="s">
        <v>669</v>
      </c>
      <c r="D83" s="228">
        <v>1225</v>
      </c>
      <c r="E83" s="228">
        <v>472.05</v>
      </c>
      <c r="F83" s="228">
        <v>477.45</v>
      </c>
      <c r="G83" s="228">
        <v>-5.4</v>
      </c>
      <c r="H83" s="229">
        <v>-1.1299999999999999E-2</v>
      </c>
      <c r="I83" s="228">
        <v>472.15</v>
      </c>
      <c r="J83" s="228">
        <v>476.55</v>
      </c>
      <c r="K83" s="228">
        <v>-4.4000000000000004</v>
      </c>
      <c r="L83" s="229">
        <v>-9.1999999999999998E-3</v>
      </c>
      <c r="M83" s="228">
        <v>472.05</v>
      </c>
      <c r="N83" s="228">
        <v>477.45</v>
      </c>
      <c r="O83" s="228">
        <v>-5.4</v>
      </c>
      <c r="P83" s="229">
        <v>-1.1299999999999999E-2</v>
      </c>
      <c r="Q83" s="228">
        <v>475.2</v>
      </c>
      <c r="R83" s="228">
        <v>480.8</v>
      </c>
      <c r="S83" s="228">
        <v>-5.6</v>
      </c>
      <c r="T83" s="229">
        <v>-1.1599999999999999E-2</v>
      </c>
      <c r="U83" s="228">
        <v>478.45</v>
      </c>
      <c r="V83" s="228">
        <v>483.65</v>
      </c>
      <c r="W83" s="228">
        <v>-5.2</v>
      </c>
      <c r="X83" s="229">
        <v>-1.0800000000000001E-2</v>
      </c>
      <c r="Y83" s="228">
        <v>-0.1</v>
      </c>
      <c r="Z83" s="228">
        <v>0.9</v>
      </c>
      <c r="AA83" s="228">
        <v>-1</v>
      </c>
      <c r="AB83" s="229">
        <v>-2.0000000000000001E-4</v>
      </c>
      <c r="AC83" s="228">
        <v>-0.1</v>
      </c>
      <c r="AD83" s="228">
        <v>0.9</v>
      </c>
      <c r="AE83" s="228">
        <v>-1</v>
      </c>
      <c r="AF83" s="229">
        <v>-2.0000000000000001E-4</v>
      </c>
      <c r="AG83" s="228">
        <v>3.05</v>
      </c>
      <c r="AH83" s="228">
        <v>4.25</v>
      </c>
      <c r="AI83" s="228">
        <v>-1.2</v>
      </c>
      <c r="AJ83" s="229">
        <v>6.4999999999999997E-3</v>
      </c>
      <c r="AK83" s="228">
        <v>6.3</v>
      </c>
      <c r="AL83" s="228">
        <v>7.1</v>
      </c>
      <c r="AM83" s="228">
        <v>-0.8</v>
      </c>
      <c r="AN83" s="229">
        <v>1.3299999999999999E-2</v>
      </c>
      <c r="AO83" s="228">
        <v>474.36</v>
      </c>
      <c r="AP83" s="228">
        <v>477.62</v>
      </c>
      <c r="AQ83" s="228">
        <v>0</v>
      </c>
      <c r="AR83" s="230">
        <v>13193250</v>
      </c>
      <c r="AS83" s="230">
        <v>4690525</v>
      </c>
      <c r="AT83" s="230">
        <v>8502725</v>
      </c>
      <c r="AU83" s="229">
        <v>1.8127</v>
      </c>
      <c r="AV83" s="230">
        <v>6535375</v>
      </c>
      <c r="AW83" s="230">
        <v>2828525</v>
      </c>
      <c r="AX83" s="230">
        <v>3706850</v>
      </c>
      <c r="AY83" s="229">
        <v>1.3105</v>
      </c>
      <c r="AZ83" s="230">
        <v>6586825</v>
      </c>
      <c r="BA83" s="230">
        <v>1811775</v>
      </c>
      <c r="BB83" s="230">
        <v>4775050</v>
      </c>
      <c r="BC83" s="229">
        <v>2.6356000000000002</v>
      </c>
      <c r="BD83" s="230">
        <v>71050</v>
      </c>
      <c r="BE83" s="230">
        <v>50225</v>
      </c>
      <c r="BF83" s="230">
        <v>20825</v>
      </c>
      <c r="BG83" s="229">
        <v>0.41460000000000002</v>
      </c>
      <c r="BH83" s="230">
        <v>20512625</v>
      </c>
      <c r="BI83" s="230">
        <v>23142700</v>
      </c>
      <c r="BJ83" s="230">
        <v>-2630075</v>
      </c>
      <c r="BK83" s="229">
        <v>-0.11360000000000001</v>
      </c>
      <c r="BL83" s="230">
        <v>4803225</v>
      </c>
      <c r="BM83" s="230">
        <v>7975975</v>
      </c>
      <c r="BN83" s="230">
        <v>-3172750</v>
      </c>
      <c r="BO83" s="229">
        <v>-0.39779999999999999</v>
      </c>
      <c r="BP83" s="230">
        <v>38509100</v>
      </c>
      <c r="BQ83" s="230">
        <v>35809200</v>
      </c>
      <c r="BR83" s="230">
        <v>2699900</v>
      </c>
      <c r="BS83" s="229">
        <v>7.5399999999999995E-2</v>
      </c>
      <c r="BT83" s="230">
        <v>1500459</v>
      </c>
      <c r="BU83" s="230">
        <v>2826645</v>
      </c>
      <c r="BV83" s="230">
        <v>-1326186</v>
      </c>
      <c r="BW83" s="229">
        <v>-0.46920000000000001</v>
      </c>
      <c r="BX83" s="230">
        <v>40336800</v>
      </c>
      <c r="BY83" s="230">
        <v>40099150</v>
      </c>
      <c r="BZ83" s="230">
        <v>237650</v>
      </c>
      <c r="CA83" s="229">
        <v>5.8999999999999999E-3</v>
      </c>
      <c r="CB83" s="230">
        <v>27315050</v>
      </c>
      <c r="CC83" s="230">
        <v>32504150</v>
      </c>
      <c r="CD83" s="230">
        <v>-5189100</v>
      </c>
      <c r="CE83" s="229">
        <v>-0.15959999999999999</v>
      </c>
      <c r="CF83" s="230">
        <v>12656700</v>
      </c>
      <c r="CG83" s="230">
        <v>7283850</v>
      </c>
      <c r="CH83" s="230">
        <v>5372850</v>
      </c>
      <c r="CI83" s="229">
        <v>0.73760000000000003</v>
      </c>
      <c r="CJ83" s="230">
        <v>365050</v>
      </c>
      <c r="CK83" s="230">
        <v>311150</v>
      </c>
      <c r="CL83" s="230">
        <v>53900</v>
      </c>
      <c r="CM83" s="229">
        <v>0.17319999999999999</v>
      </c>
      <c r="CN83" s="230">
        <v>26313000</v>
      </c>
      <c r="CO83" s="230">
        <v>27990025</v>
      </c>
      <c r="CP83" s="230">
        <v>-1677025</v>
      </c>
      <c r="CQ83" s="229">
        <v>-5.9900000000000002E-2</v>
      </c>
      <c r="CR83" s="230">
        <v>13593825</v>
      </c>
      <c r="CS83" s="230">
        <v>13777575</v>
      </c>
      <c r="CT83" s="230">
        <v>-183750</v>
      </c>
      <c r="CU83" s="229">
        <v>-1.3299999999999999E-2</v>
      </c>
      <c r="CV83" s="230">
        <v>80243625</v>
      </c>
      <c r="CW83" s="230">
        <v>81866750</v>
      </c>
      <c r="CX83" s="230">
        <v>-1623125</v>
      </c>
      <c r="CY83" s="229">
        <v>-1.9800000000000002E-2</v>
      </c>
      <c r="CZ83" s="228">
        <v>27.81</v>
      </c>
      <c r="DA83" s="228">
        <v>30.32</v>
      </c>
      <c r="DB83" s="228">
        <v>-2.5099999999999998</v>
      </c>
      <c r="DC83" s="228">
        <v>-2.5099999999999998</v>
      </c>
      <c r="DD83" s="228">
        <v>43.24</v>
      </c>
      <c r="DE83" s="228">
        <v>43.32</v>
      </c>
      <c r="DF83" s="228">
        <v>-15.43</v>
      </c>
      <c r="DG83" s="228">
        <v>-0.08</v>
      </c>
      <c r="DH83" s="228">
        <v>28.06</v>
      </c>
      <c r="DI83" s="228">
        <v>31.39</v>
      </c>
      <c r="DJ83" s="228">
        <v>-3.33</v>
      </c>
      <c r="DK83" s="228">
        <v>-3.33</v>
      </c>
      <c r="DL83" s="228">
        <v>26.88</v>
      </c>
      <c r="DM83" s="228">
        <v>27.19</v>
      </c>
      <c r="DN83" s="228">
        <v>-0.31</v>
      </c>
      <c r="DO83" s="228">
        <v>-0.31</v>
      </c>
      <c r="DP83" s="228">
        <v>0.52</v>
      </c>
      <c r="DQ83" s="228">
        <v>0.49</v>
      </c>
      <c r="DR83" s="228">
        <v>0.03</v>
      </c>
      <c r="DS83" s="229">
        <v>6.1199999999999997E-2</v>
      </c>
      <c r="DT83" s="228">
        <v>500</v>
      </c>
      <c r="DU83" s="228">
        <v>460</v>
      </c>
      <c r="DV83" s="228">
        <v>0.23</v>
      </c>
      <c r="DW83" s="228">
        <v>0.34</v>
      </c>
      <c r="DX83" s="228">
        <v>-0.11</v>
      </c>
      <c r="DY83" s="229">
        <v>-0.32350000000000001</v>
      </c>
      <c r="DZ83" s="229">
        <v>0.32279999999999998</v>
      </c>
      <c r="EA83" s="230">
        <v>7595000</v>
      </c>
      <c r="EB83" s="229">
        <v>6.7000000000000002E-3</v>
      </c>
      <c r="EC83" s="229">
        <v>0.32279999999999998</v>
      </c>
      <c r="ED83" s="228">
        <v>3.26</v>
      </c>
      <c r="EE83" s="229">
        <v>6.8999999999999999E-3</v>
      </c>
      <c r="EF83" s="230">
        <v>666760</v>
      </c>
      <c r="EG83" s="230">
        <v>1176184</v>
      </c>
      <c r="EH83" s="229">
        <v>-0.43309999999999998</v>
      </c>
      <c r="EI83" s="229">
        <v>0.44440000000000002</v>
      </c>
      <c r="EJ83" s="231">
        <v>103007.21</v>
      </c>
      <c r="EK83" s="231">
        <v>22907.4</v>
      </c>
      <c r="EL83" s="231">
        <v>62802.98</v>
      </c>
      <c r="EM83" s="231">
        <v>8067</v>
      </c>
      <c r="EN83" s="231">
        <v>188717.59</v>
      </c>
      <c r="EO83" s="231">
        <v>176394.58</v>
      </c>
      <c r="EP83" s="231">
        <v>12323.01</v>
      </c>
      <c r="EQ83" s="229">
        <v>6.9900000000000004E-2</v>
      </c>
      <c r="ER83" s="231">
        <v>134325</v>
      </c>
      <c r="ES83" s="231">
        <v>63682</v>
      </c>
      <c r="ET83" s="231">
        <v>190832</v>
      </c>
      <c r="EU83" s="231">
        <v>167680340</v>
      </c>
      <c r="EV83" s="231">
        <v>388839</v>
      </c>
      <c r="EW83" s="231">
        <v>399423</v>
      </c>
      <c r="EX83" s="231">
        <v>-10584</v>
      </c>
      <c r="EY83" s="229">
        <v>-2.6499999999999999E-2</v>
      </c>
      <c r="EZ83" s="229">
        <v>0.47860000000000003</v>
      </c>
      <c r="FA83" s="227" t="s">
        <v>567</v>
      </c>
      <c r="FB83" s="161">
        <f t="shared" si="1"/>
        <v>13021750</v>
      </c>
    </row>
    <row r="84" spans="1:158" ht="17.25" hidden="1" thickBot="1" x14ac:dyDescent="0.3">
      <c r="A84" s="226">
        <v>45981</v>
      </c>
      <c r="B84" s="227" t="s">
        <v>206</v>
      </c>
      <c r="C84" s="227" t="s">
        <v>608</v>
      </c>
      <c r="D84" s="228">
        <v>2775</v>
      </c>
      <c r="E84" s="228">
        <v>237.78</v>
      </c>
      <c r="F84" s="228">
        <v>237.29</v>
      </c>
      <c r="G84" s="228">
        <v>0.49</v>
      </c>
      <c r="H84" s="229">
        <v>2.0999999999999999E-3</v>
      </c>
      <c r="I84" s="228">
        <v>237.1</v>
      </c>
      <c r="J84" s="228">
        <v>237.28</v>
      </c>
      <c r="K84" s="228">
        <v>-0.18</v>
      </c>
      <c r="L84" s="229">
        <v>-8.0000000000000004E-4</v>
      </c>
      <c r="M84" s="228">
        <v>237.78</v>
      </c>
      <c r="N84" s="228">
        <v>237.29</v>
      </c>
      <c r="O84" s="228">
        <v>0.49</v>
      </c>
      <c r="P84" s="229">
        <v>2.0999999999999999E-3</v>
      </c>
      <c r="Q84" s="228">
        <v>239.06</v>
      </c>
      <c r="R84" s="228">
        <v>238.93</v>
      </c>
      <c r="S84" s="228">
        <v>0.13</v>
      </c>
      <c r="T84" s="229">
        <v>5.0000000000000001E-4</v>
      </c>
      <c r="U84" s="228">
        <v>240.9</v>
      </c>
      <c r="V84" s="228">
        <v>240.54</v>
      </c>
      <c r="W84" s="228">
        <v>0.36</v>
      </c>
      <c r="X84" s="229">
        <v>1.5E-3</v>
      </c>
      <c r="Y84" s="228">
        <v>0.68</v>
      </c>
      <c r="Z84" s="228">
        <v>0.01</v>
      </c>
      <c r="AA84" s="228">
        <v>0.67</v>
      </c>
      <c r="AB84" s="229">
        <v>2.8999999999999998E-3</v>
      </c>
      <c r="AC84" s="228">
        <v>0.68</v>
      </c>
      <c r="AD84" s="228">
        <v>0.01</v>
      </c>
      <c r="AE84" s="228">
        <v>0.67</v>
      </c>
      <c r="AF84" s="229">
        <v>2.8999999999999998E-3</v>
      </c>
      <c r="AG84" s="228">
        <v>1.96</v>
      </c>
      <c r="AH84" s="228">
        <v>1.65</v>
      </c>
      <c r="AI84" s="228">
        <v>0.31</v>
      </c>
      <c r="AJ84" s="229">
        <v>8.3000000000000001E-3</v>
      </c>
      <c r="AK84" s="228">
        <v>3.8</v>
      </c>
      <c r="AL84" s="228">
        <v>3.26</v>
      </c>
      <c r="AM84" s="228">
        <v>0.54</v>
      </c>
      <c r="AN84" s="229">
        <v>1.6E-2</v>
      </c>
      <c r="AO84" s="228">
        <v>237.93</v>
      </c>
      <c r="AP84" s="228">
        <v>239.67</v>
      </c>
      <c r="AQ84" s="228">
        <v>0</v>
      </c>
      <c r="AR84" s="230">
        <v>19544325</v>
      </c>
      <c r="AS84" s="230">
        <v>12345975</v>
      </c>
      <c r="AT84" s="230">
        <v>7198350</v>
      </c>
      <c r="AU84" s="229">
        <v>0.58309999999999995</v>
      </c>
      <c r="AV84" s="230">
        <v>11802075</v>
      </c>
      <c r="AW84" s="230">
        <v>8558100</v>
      </c>
      <c r="AX84" s="230">
        <v>3243975</v>
      </c>
      <c r="AY84" s="229">
        <v>0.37909999999999999</v>
      </c>
      <c r="AZ84" s="230">
        <v>7470300</v>
      </c>
      <c r="BA84" s="230">
        <v>3638025</v>
      </c>
      <c r="BB84" s="230">
        <v>3832275</v>
      </c>
      <c r="BC84" s="229">
        <v>1.0533999999999999</v>
      </c>
      <c r="BD84" s="230">
        <v>271950</v>
      </c>
      <c r="BE84" s="230">
        <v>149850</v>
      </c>
      <c r="BF84" s="230">
        <v>122100</v>
      </c>
      <c r="BG84" s="229">
        <v>0.81479999999999997</v>
      </c>
      <c r="BH84" s="230">
        <v>68400975</v>
      </c>
      <c r="BI84" s="230">
        <v>61494000</v>
      </c>
      <c r="BJ84" s="230">
        <v>6906975</v>
      </c>
      <c r="BK84" s="229">
        <v>0.1123</v>
      </c>
      <c r="BL84" s="230">
        <v>34895625</v>
      </c>
      <c r="BM84" s="230">
        <v>25707600</v>
      </c>
      <c r="BN84" s="230">
        <v>9188025</v>
      </c>
      <c r="BO84" s="229">
        <v>0.3574</v>
      </c>
      <c r="BP84" s="230">
        <v>122840925</v>
      </c>
      <c r="BQ84" s="230">
        <v>99547575</v>
      </c>
      <c r="BR84" s="230">
        <v>23293350</v>
      </c>
      <c r="BS84" s="229">
        <v>0.23400000000000001</v>
      </c>
      <c r="BT84" s="230">
        <v>3910555</v>
      </c>
      <c r="BU84" s="230">
        <v>5392672</v>
      </c>
      <c r="BV84" s="230">
        <v>-1482117</v>
      </c>
      <c r="BW84" s="229">
        <v>-0.27479999999999999</v>
      </c>
      <c r="BX84" s="230">
        <v>36263700</v>
      </c>
      <c r="BY84" s="230">
        <v>35680950</v>
      </c>
      <c r="BZ84" s="230">
        <v>582750</v>
      </c>
      <c r="CA84" s="229">
        <v>1.6299999999999999E-2</v>
      </c>
      <c r="CB84" s="230">
        <v>26742675</v>
      </c>
      <c r="CC84" s="230">
        <v>29509350</v>
      </c>
      <c r="CD84" s="230">
        <v>-2766675</v>
      </c>
      <c r="CE84" s="229">
        <v>-9.3799999999999994E-2</v>
      </c>
      <c r="CF84" s="230">
        <v>9063150</v>
      </c>
      <c r="CG84" s="230">
        <v>5785875</v>
      </c>
      <c r="CH84" s="230">
        <v>3277275</v>
      </c>
      <c r="CI84" s="229">
        <v>0.56640000000000001</v>
      </c>
      <c r="CJ84" s="230">
        <v>457875</v>
      </c>
      <c r="CK84" s="230">
        <v>385725</v>
      </c>
      <c r="CL84" s="230">
        <v>72150</v>
      </c>
      <c r="CM84" s="229">
        <v>0.18709999999999999</v>
      </c>
      <c r="CN84" s="230">
        <v>31798725</v>
      </c>
      <c r="CO84" s="230">
        <v>33799500</v>
      </c>
      <c r="CP84" s="230">
        <v>-2000775</v>
      </c>
      <c r="CQ84" s="229">
        <v>-5.9200000000000003E-2</v>
      </c>
      <c r="CR84" s="230">
        <v>18054150</v>
      </c>
      <c r="CS84" s="230">
        <v>18478725</v>
      </c>
      <c r="CT84" s="230">
        <v>-424575</v>
      </c>
      <c r="CU84" s="229">
        <v>-2.3E-2</v>
      </c>
      <c r="CV84" s="230">
        <v>86116575</v>
      </c>
      <c r="CW84" s="230">
        <v>87959175</v>
      </c>
      <c r="CX84" s="230">
        <v>-1842600</v>
      </c>
      <c r="CY84" s="229">
        <v>-2.0899999999999998E-2</v>
      </c>
      <c r="CZ84" s="228">
        <v>31.67</v>
      </c>
      <c r="DA84" s="228">
        <v>34.340000000000003</v>
      </c>
      <c r="DB84" s="228">
        <v>-2.67</v>
      </c>
      <c r="DC84" s="228">
        <v>-2.67</v>
      </c>
      <c r="DD84" s="228">
        <v>52.1</v>
      </c>
      <c r="DE84" s="228">
        <v>52.23</v>
      </c>
      <c r="DF84" s="228">
        <v>-20.43</v>
      </c>
      <c r="DG84" s="228">
        <v>-0.13</v>
      </c>
      <c r="DH84" s="228">
        <v>31.65</v>
      </c>
      <c r="DI84" s="228">
        <v>35.44</v>
      </c>
      <c r="DJ84" s="228">
        <v>-3.79</v>
      </c>
      <c r="DK84" s="228">
        <v>-3.79</v>
      </c>
      <c r="DL84" s="228">
        <v>31.72</v>
      </c>
      <c r="DM84" s="228">
        <v>31.72</v>
      </c>
      <c r="DN84" s="228">
        <v>0</v>
      </c>
      <c r="DO84" s="228">
        <v>0</v>
      </c>
      <c r="DP84" s="228">
        <v>0.56999999999999995</v>
      </c>
      <c r="DQ84" s="228">
        <v>0.55000000000000004</v>
      </c>
      <c r="DR84" s="228">
        <v>0.02</v>
      </c>
      <c r="DS84" s="229">
        <v>3.6400000000000002E-2</v>
      </c>
      <c r="DT84" s="228">
        <v>250</v>
      </c>
      <c r="DU84" s="228">
        <v>230</v>
      </c>
      <c r="DV84" s="228">
        <v>0.51</v>
      </c>
      <c r="DW84" s="228">
        <v>0.42</v>
      </c>
      <c r="DX84" s="228">
        <v>0.09</v>
      </c>
      <c r="DY84" s="229">
        <v>0.21429999999999999</v>
      </c>
      <c r="DZ84" s="229">
        <v>0.26250000000000001</v>
      </c>
      <c r="EA84" s="230">
        <v>6171600</v>
      </c>
      <c r="EB84" s="229">
        <v>5.4000000000000003E-3</v>
      </c>
      <c r="EC84" s="229">
        <v>0.26250000000000001</v>
      </c>
      <c r="ED84" s="228">
        <v>1.74</v>
      </c>
      <c r="EE84" s="229">
        <v>7.3000000000000001E-3</v>
      </c>
      <c r="EF84" s="230">
        <v>897872</v>
      </c>
      <c r="EG84" s="230">
        <v>1883950</v>
      </c>
      <c r="EH84" s="229">
        <v>-0.52339999999999998</v>
      </c>
      <c r="EI84" s="229">
        <v>0.2296</v>
      </c>
      <c r="EJ84" s="231">
        <v>168870.23</v>
      </c>
      <c r="EK84" s="231">
        <v>82224.27</v>
      </c>
      <c r="EL84" s="231">
        <v>46640.11</v>
      </c>
      <c r="EM84" s="231">
        <v>5557</v>
      </c>
      <c r="EN84" s="231">
        <v>297734.61</v>
      </c>
      <c r="EO84" s="231">
        <v>244300.59</v>
      </c>
      <c r="EP84" s="231">
        <v>53434.02</v>
      </c>
      <c r="EQ84" s="229">
        <v>0.21870000000000001</v>
      </c>
      <c r="ER84" s="231">
        <v>78522</v>
      </c>
      <c r="ES84" s="231">
        <v>41533</v>
      </c>
      <c r="ET84" s="231">
        <v>86358</v>
      </c>
      <c r="EU84" s="231">
        <v>75071250</v>
      </c>
      <c r="EV84" s="231">
        <v>206413</v>
      </c>
      <c r="EW84" s="231">
        <v>210982</v>
      </c>
      <c r="EX84" s="231">
        <v>-4569</v>
      </c>
      <c r="EY84" s="229">
        <v>-2.1700000000000001E-2</v>
      </c>
      <c r="EZ84" s="229">
        <v>1.1471</v>
      </c>
      <c r="FA84" s="227" t="s">
        <v>555</v>
      </c>
      <c r="FB84" s="161">
        <f t="shared" si="1"/>
        <v>9521025</v>
      </c>
    </row>
    <row r="85" spans="1:158" ht="17.25" hidden="1" thickBot="1" x14ac:dyDescent="0.3">
      <c r="A85" s="226">
        <v>45981</v>
      </c>
      <c r="B85" s="227" t="s">
        <v>172</v>
      </c>
      <c r="C85" s="227" t="s">
        <v>232</v>
      </c>
      <c r="D85" s="228">
        <v>700</v>
      </c>
      <c r="E85" s="231">
        <v>1384.8</v>
      </c>
      <c r="F85" s="231">
        <v>1382.7</v>
      </c>
      <c r="G85" s="228">
        <v>2.1</v>
      </c>
      <c r="H85" s="229">
        <v>1.5E-3</v>
      </c>
      <c r="I85" s="231">
        <v>1383</v>
      </c>
      <c r="J85" s="231">
        <v>1383.1</v>
      </c>
      <c r="K85" s="228">
        <v>-0.1</v>
      </c>
      <c r="L85" s="229">
        <v>-1E-4</v>
      </c>
      <c r="M85" s="231">
        <v>1384.8</v>
      </c>
      <c r="N85" s="231">
        <v>1382.7</v>
      </c>
      <c r="O85" s="228">
        <v>2.1</v>
      </c>
      <c r="P85" s="229">
        <v>1.5E-3</v>
      </c>
      <c r="Q85" s="231">
        <v>1394.1</v>
      </c>
      <c r="R85" s="231">
        <v>1392</v>
      </c>
      <c r="S85" s="228">
        <v>2.1</v>
      </c>
      <c r="T85" s="229">
        <v>1.5E-3</v>
      </c>
      <c r="U85" s="231">
        <v>1401.8</v>
      </c>
      <c r="V85" s="231">
        <v>1399.7</v>
      </c>
      <c r="W85" s="228">
        <v>2.1</v>
      </c>
      <c r="X85" s="229">
        <v>1.5E-3</v>
      </c>
      <c r="Y85" s="228">
        <v>1.8</v>
      </c>
      <c r="Z85" s="228">
        <v>-0.4</v>
      </c>
      <c r="AA85" s="228">
        <v>2.2000000000000002</v>
      </c>
      <c r="AB85" s="229">
        <v>1.2999999999999999E-3</v>
      </c>
      <c r="AC85" s="228">
        <v>1.8</v>
      </c>
      <c r="AD85" s="228">
        <v>-0.4</v>
      </c>
      <c r="AE85" s="228">
        <v>2.2000000000000002</v>
      </c>
      <c r="AF85" s="229">
        <v>1.2999999999999999E-3</v>
      </c>
      <c r="AG85" s="228">
        <v>11.1</v>
      </c>
      <c r="AH85" s="228">
        <v>8.9</v>
      </c>
      <c r="AI85" s="228">
        <v>2.2000000000000002</v>
      </c>
      <c r="AJ85" s="229">
        <v>8.0000000000000002E-3</v>
      </c>
      <c r="AK85" s="228">
        <v>18.8</v>
      </c>
      <c r="AL85" s="228">
        <v>16.600000000000001</v>
      </c>
      <c r="AM85" s="228">
        <v>2.2000000000000002</v>
      </c>
      <c r="AN85" s="229">
        <v>1.3599999999999999E-2</v>
      </c>
      <c r="AO85" s="231">
        <v>1382.91</v>
      </c>
      <c r="AP85" s="231">
        <v>1392.15</v>
      </c>
      <c r="AQ85" s="228">
        <v>0</v>
      </c>
      <c r="AR85" s="230">
        <v>43598800</v>
      </c>
      <c r="AS85" s="230">
        <v>13721400</v>
      </c>
      <c r="AT85" s="230">
        <v>29877400</v>
      </c>
      <c r="AU85" s="229">
        <v>2.1774</v>
      </c>
      <c r="AV85" s="230">
        <v>23610300</v>
      </c>
      <c r="AW85" s="230">
        <v>9403800</v>
      </c>
      <c r="AX85" s="230">
        <v>14206500</v>
      </c>
      <c r="AY85" s="229">
        <v>1.5106999999999999</v>
      </c>
      <c r="AZ85" s="230">
        <v>19828200</v>
      </c>
      <c r="BA85" s="230">
        <v>4240600</v>
      </c>
      <c r="BB85" s="230">
        <v>15587600</v>
      </c>
      <c r="BC85" s="229">
        <v>3.6758000000000002</v>
      </c>
      <c r="BD85" s="230">
        <v>160300</v>
      </c>
      <c r="BE85" s="230">
        <v>77000</v>
      </c>
      <c r="BF85" s="230">
        <v>83300</v>
      </c>
      <c r="BG85" s="229">
        <v>1.0818000000000001</v>
      </c>
      <c r="BH85" s="230">
        <v>59662400</v>
      </c>
      <c r="BI85" s="230">
        <v>39856600</v>
      </c>
      <c r="BJ85" s="230">
        <v>19805800</v>
      </c>
      <c r="BK85" s="229">
        <v>0.49690000000000001</v>
      </c>
      <c r="BL85" s="230">
        <v>27705300</v>
      </c>
      <c r="BM85" s="230">
        <v>23972200</v>
      </c>
      <c r="BN85" s="230">
        <v>3733100</v>
      </c>
      <c r="BO85" s="229">
        <v>0.15570000000000001</v>
      </c>
      <c r="BP85" s="230">
        <v>130966500</v>
      </c>
      <c r="BQ85" s="230">
        <v>77550200</v>
      </c>
      <c r="BR85" s="230">
        <v>53416300</v>
      </c>
      <c r="BS85" s="229">
        <v>0.68879999999999997</v>
      </c>
      <c r="BT85" s="230">
        <v>11156009</v>
      </c>
      <c r="BU85" s="230">
        <v>10575291</v>
      </c>
      <c r="BV85" s="230">
        <v>580718</v>
      </c>
      <c r="BW85" s="229">
        <v>5.4899999999999997E-2</v>
      </c>
      <c r="BX85" s="230">
        <v>112245000</v>
      </c>
      <c r="BY85" s="230">
        <v>110748400</v>
      </c>
      <c r="BZ85" s="230">
        <v>1496600</v>
      </c>
      <c r="CA85" s="229">
        <v>1.35E-2</v>
      </c>
      <c r="CB85" s="230">
        <v>79351300</v>
      </c>
      <c r="CC85" s="230">
        <v>94576300</v>
      </c>
      <c r="CD85" s="230">
        <v>-15225000</v>
      </c>
      <c r="CE85" s="229">
        <v>-0.161</v>
      </c>
      <c r="CF85" s="230">
        <v>32147500</v>
      </c>
      <c r="CG85" s="230">
        <v>15475600</v>
      </c>
      <c r="CH85" s="230">
        <v>16671900</v>
      </c>
      <c r="CI85" s="229">
        <v>1.0772999999999999</v>
      </c>
      <c r="CJ85" s="230">
        <v>746200</v>
      </c>
      <c r="CK85" s="230">
        <v>696500</v>
      </c>
      <c r="CL85" s="230">
        <v>49700</v>
      </c>
      <c r="CM85" s="229">
        <v>7.1400000000000005E-2</v>
      </c>
      <c r="CN85" s="230">
        <v>38777200</v>
      </c>
      <c r="CO85" s="230">
        <v>39295200</v>
      </c>
      <c r="CP85" s="230">
        <v>-518000</v>
      </c>
      <c r="CQ85" s="229">
        <v>-1.32E-2</v>
      </c>
      <c r="CR85" s="230">
        <v>23900100</v>
      </c>
      <c r="CS85" s="230">
        <v>24462200</v>
      </c>
      <c r="CT85" s="230">
        <v>-562100</v>
      </c>
      <c r="CU85" s="229">
        <v>-2.3E-2</v>
      </c>
      <c r="CV85" s="230">
        <v>174922300</v>
      </c>
      <c r="CW85" s="230">
        <v>174505800</v>
      </c>
      <c r="CX85" s="230">
        <v>416500</v>
      </c>
      <c r="CY85" s="229">
        <v>2.3999999999999998E-3</v>
      </c>
      <c r="CZ85" s="228">
        <v>15.21</v>
      </c>
      <c r="DA85" s="228">
        <v>15.48</v>
      </c>
      <c r="DB85" s="228">
        <v>-0.27</v>
      </c>
      <c r="DC85" s="228">
        <v>-0.27</v>
      </c>
      <c r="DD85" s="228">
        <v>20.98</v>
      </c>
      <c r="DE85" s="228">
        <v>21.04</v>
      </c>
      <c r="DF85" s="228">
        <v>-5.77</v>
      </c>
      <c r="DG85" s="228">
        <v>-0.06</v>
      </c>
      <c r="DH85" s="228">
        <v>15.19</v>
      </c>
      <c r="DI85" s="228">
        <v>15.2</v>
      </c>
      <c r="DJ85" s="228">
        <v>-0.01</v>
      </c>
      <c r="DK85" s="228">
        <v>-0.01</v>
      </c>
      <c r="DL85" s="228">
        <v>15.24</v>
      </c>
      <c r="DM85" s="228">
        <v>15.93</v>
      </c>
      <c r="DN85" s="228">
        <v>-0.69</v>
      </c>
      <c r="DO85" s="228">
        <v>-0.69</v>
      </c>
      <c r="DP85" s="228">
        <v>0.62</v>
      </c>
      <c r="DQ85" s="228">
        <v>0.62</v>
      </c>
      <c r="DR85" s="228">
        <v>0</v>
      </c>
      <c r="DS85" s="229">
        <v>0</v>
      </c>
      <c r="DT85" s="231">
        <v>1400</v>
      </c>
      <c r="DU85" s="231">
        <v>1380</v>
      </c>
      <c r="DV85" s="228">
        <v>0.46</v>
      </c>
      <c r="DW85" s="228">
        <v>0.6</v>
      </c>
      <c r="DX85" s="228">
        <v>-0.14000000000000001</v>
      </c>
      <c r="DY85" s="229">
        <v>-0.23330000000000001</v>
      </c>
      <c r="DZ85" s="229">
        <v>0.29310000000000003</v>
      </c>
      <c r="EA85" s="230">
        <v>16172100</v>
      </c>
      <c r="EB85" s="229">
        <v>6.7000000000000002E-3</v>
      </c>
      <c r="EC85" s="229">
        <v>0.29310000000000003</v>
      </c>
      <c r="ED85" s="228">
        <v>9.24</v>
      </c>
      <c r="EE85" s="229">
        <v>6.7000000000000002E-3</v>
      </c>
      <c r="EF85" s="230">
        <v>6315757</v>
      </c>
      <c r="EG85" s="230">
        <v>8371026</v>
      </c>
      <c r="EH85" s="229">
        <v>-0.2455</v>
      </c>
      <c r="EI85" s="229">
        <v>0.56610000000000005</v>
      </c>
      <c r="EJ85" s="231">
        <v>838893.77</v>
      </c>
      <c r="EK85" s="231">
        <v>381938.05</v>
      </c>
      <c r="EL85" s="231">
        <v>604791.75</v>
      </c>
      <c r="EM85" s="231">
        <v>22251</v>
      </c>
      <c r="EN85" s="231">
        <v>1825623.57</v>
      </c>
      <c r="EO85" s="231">
        <v>1079100.72</v>
      </c>
      <c r="EP85" s="231">
        <v>746522.85</v>
      </c>
      <c r="EQ85" s="229">
        <v>0.69179999999999997</v>
      </c>
      <c r="ER85" s="231">
        <v>552477</v>
      </c>
      <c r="ES85" s="231">
        <v>323697</v>
      </c>
      <c r="ET85" s="231">
        <v>1557485</v>
      </c>
      <c r="EU85" s="231">
        <v>579785172</v>
      </c>
      <c r="EV85" s="231">
        <v>2433660</v>
      </c>
      <c r="EW85" s="231">
        <v>2423735</v>
      </c>
      <c r="EX85" s="231">
        <v>9925</v>
      </c>
      <c r="EY85" s="229">
        <v>4.1000000000000003E-3</v>
      </c>
      <c r="EZ85" s="229">
        <v>0.30170000000000002</v>
      </c>
      <c r="FA85" s="227" t="s">
        <v>555</v>
      </c>
      <c r="FB85" s="161">
        <f t="shared" si="1"/>
        <v>32893700</v>
      </c>
    </row>
    <row r="86" spans="1:158" ht="17.25" hidden="1" thickBot="1" x14ac:dyDescent="0.3">
      <c r="A86" s="226">
        <v>45981</v>
      </c>
      <c r="B86" s="227" t="s">
        <v>175</v>
      </c>
      <c r="C86" s="227" t="s">
        <v>472</v>
      </c>
      <c r="D86" s="228">
        <v>325</v>
      </c>
      <c r="E86" s="231">
        <v>2035.8</v>
      </c>
      <c r="F86" s="231">
        <v>2041.7</v>
      </c>
      <c r="G86" s="228">
        <v>-5.9</v>
      </c>
      <c r="H86" s="229">
        <v>-2.8999999999999998E-3</v>
      </c>
      <c r="I86" s="231">
        <v>2037.6</v>
      </c>
      <c r="J86" s="231">
        <v>2041.7</v>
      </c>
      <c r="K86" s="228">
        <v>-4.0999999999999996</v>
      </c>
      <c r="L86" s="229">
        <v>-2E-3</v>
      </c>
      <c r="M86" s="231">
        <v>2035.8</v>
      </c>
      <c r="N86" s="231">
        <v>2041.7</v>
      </c>
      <c r="O86" s="228">
        <v>-5.9</v>
      </c>
      <c r="P86" s="229">
        <v>-2.8999999999999998E-3</v>
      </c>
      <c r="Q86" s="231">
        <v>2050.5</v>
      </c>
      <c r="R86" s="231">
        <v>2054.6</v>
      </c>
      <c r="S86" s="228">
        <v>-4.0999999999999996</v>
      </c>
      <c r="T86" s="229">
        <v>-2E-3</v>
      </c>
      <c r="U86" s="231">
        <v>2063.1999999999998</v>
      </c>
      <c r="V86" s="231">
        <v>2067.6999999999998</v>
      </c>
      <c r="W86" s="228">
        <v>-4.5</v>
      </c>
      <c r="X86" s="229">
        <v>-2.2000000000000001E-3</v>
      </c>
      <c r="Y86" s="228">
        <v>-1.8</v>
      </c>
      <c r="Z86" s="228">
        <v>0</v>
      </c>
      <c r="AA86" s="228">
        <v>-1.8</v>
      </c>
      <c r="AB86" s="229">
        <v>-8.9999999999999998E-4</v>
      </c>
      <c r="AC86" s="228">
        <v>-1.8</v>
      </c>
      <c r="AD86" s="228">
        <v>0</v>
      </c>
      <c r="AE86" s="228">
        <v>-1.8</v>
      </c>
      <c r="AF86" s="229">
        <v>-8.9999999999999998E-4</v>
      </c>
      <c r="AG86" s="228">
        <v>12.9</v>
      </c>
      <c r="AH86" s="228">
        <v>12.9</v>
      </c>
      <c r="AI86" s="228">
        <v>0</v>
      </c>
      <c r="AJ86" s="229">
        <v>6.3E-3</v>
      </c>
      <c r="AK86" s="228">
        <v>25.6</v>
      </c>
      <c r="AL86" s="228">
        <v>26</v>
      </c>
      <c r="AM86" s="228">
        <v>-0.4</v>
      </c>
      <c r="AN86" s="229">
        <v>1.26E-2</v>
      </c>
      <c r="AO86" s="231">
        <v>2044.34</v>
      </c>
      <c r="AP86" s="231">
        <v>2058.4499999999998</v>
      </c>
      <c r="AQ86" s="228">
        <v>0</v>
      </c>
      <c r="AR86" s="230">
        <v>2769325</v>
      </c>
      <c r="AS86" s="230">
        <v>757575</v>
      </c>
      <c r="AT86" s="230">
        <v>2011750</v>
      </c>
      <c r="AU86" s="229">
        <v>2.6555</v>
      </c>
      <c r="AV86" s="230">
        <v>1470300</v>
      </c>
      <c r="AW86" s="230">
        <v>489125</v>
      </c>
      <c r="AX86" s="230">
        <v>981175</v>
      </c>
      <c r="AY86" s="229">
        <v>2.0059999999999998</v>
      </c>
      <c r="AZ86" s="230">
        <v>1291875</v>
      </c>
      <c r="BA86" s="230">
        <v>265200</v>
      </c>
      <c r="BB86" s="230">
        <v>1026675</v>
      </c>
      <c r="BC86" s="229">
        <v>3.8713000000000002</v>
      </c>
      <c r="BD86" s="230">
        <v>7150</v>
      </c>
      <c r="BE86" s="230">
        <v>3250</v>
      </c>
      <c r="BF86" s="230">
        <v>3900</v>
      </c>
      <c r="BG86" s="229">
        <v>1.2</v>
      </c>
      <c r="BH86" s="230">
        <v>1866150</v>
      </c>
      <c r="BI86" s="230">
        <v>1841775</v>
      </c>
      <c r="BJ86" s="230">
        <v>24375</v>
      </c>
      <c r="BK86" s="229">
        <v>1.32E-2</v>
      </c>
      <c r="BL86" s="230">
        <v>664625</v>
      </c>
      <c r="BM86" s="230">
        <v>698100</v>
      </c>
      <c r="BN86" s="230">
        <v>-33475</v>
      </c>
      <c r="BO86" s="229">
        <v>-4.8000000000000001E-2</v>
      </c>
      <c r="BP86" s="230">
        <v>5300100</v>
      </c>
      <c r="BQ86" s="230">
        <v>3297450</v>
      </c>
      <c r="BR86" s="230">
        <v>2002650</v>
      </c>
      <c r="BS86" s="229">
        <v>0.60729999999999995</v>
      </c>
      <c r="BT86" s="230">
        <v>464658</v>
      </c>
      <c r="BU86" s="230">
        <v>554719</v>
      </c>
      <c r="BV86" s="230">
        <v>-90061</v>
      </c>
      <c r="BW86" s="229">
        <v>-0.16239999999999999</v>
      </c>
      <c r="BX86" s="230">
        <v>5865925</v>
      </c>
      <c r="BY86" s="230">
        <v>6044350</v>
      </c>
      <c r="BZ86" s="230">
        <v>-178425</v>
      </c>
      <c r="CA86" s="229">
        <v>-2.9499999999999998E-2</v>
      </c>
      <c r="CB86" s="230">
        <v>4485000</v>
      </c>
      <c r="CC86" s="230">
        <v>5584800</v>
      </c>
      <c r="CD86" s="230">
        <v>-1099800</v>
      </c>
      <c r="CE86" s="229">
        <v>-0.19689999999999999</v>
      </c>
      <c r="CF86" s="230">
        <v>1369225</v>
      </c>
      <c r="CG86" s="230">
        <v>451100</v>
      </c>
      <c r="CH86" s="230">
        <v>918125</v>
      </c>
      <c r="CI86" s="229">
        <v>2.0352999999999999</v>
      </c>
      <c r="CJ86" s="230">
        <v>11700</v>
      </c>
      <c r="CK86" s="230">
        <v>8450</v>
      </c>
      <c r="CL86" s="230">
        <v>3250</v>
      </c>
      <c r="CM86" s="229">
        <v>0.3846</v>
      </c>
      <c r="CN86" s="230">
        <v>1513525</v>
      </c>
      <c r="CO86" s="230">
        <v>1550575</v>
      </c>
      <c r="CP86" s="230">
        <v>-37050</v>
      </c>
      <c r="CQ86" s="229">
        <v>-2.3900000000000001E-2</v>
      </c>
      <c r="CR86" s="230">
        <v>1006525</v>
      </c>
      <c r="CS86" s="230">
        <v>992225</v>
      </c>
      <c r="CT86" s="230">
        <v>14300</v>
      </c>
      <c r="CU86" s="229">
        <v>1.44E-2</v>
      </c>
      <c r="CV86" s="230">
        <v>8385975</v>
      </c>
      <c r="CW86" s="230">
        <v>8587150</v>
      </c>
      <c r="CX86" s="230">
        <v>-201175</v>
      </c>
      <c r="CY86" s="229">
        <v>-2.3400000000000001E-2</v>
      </c>
      <c r="CZ86" s="228">
        <v>22.1</v>
      </c>
      <c r="DA86" s="228">
        <v>23.56</v>
      </c>
      <c r="DB86" s="228">
        <v>-1.46</v>
      </c>
      <c r="DC86" s="228">
        <v>-1.46</v>
      </c>
      <c r="DD86" s="228">
        <v>29.37</v>
      </c>
      <c r="DE86" s="228">
        <v>29.44</v>
      </c>
      <c r="DF86" s="228">
        <v>-7.27</v>
      </c>
      <c r="DG86" s="228">
        <v>-7.0000000000000007E-2</v>
      </c>
      <c r="DH86" s="228">
        <v>22.07</v>
      </c>
      <c r="DI86" s="228">
        <v>23.3</v>
      </c>
      <c r="DJ86" s="228">
        <v>-1.23</v>
      </c>
      <c r="DK86" s="228">
        <v>-1.23</v>
      </c>
      <c r="DL86" s="228">
        <v>22.17</v>
      </c>
      <c r="DM86" s="228">
        <v>24.25</v>
      </c>
      <c r="DN86" s="228">
        <v>-2.08</v>
      </c>
      <c r="DO86" s="228">
        <v>-2.08</v>
      </c>
      <c r="DP86" s="228">
        <v>0.67</v>
      </c>
      <c r="DQ86" s="228">
        <v>0.64</v>
      </c>
      <c r="DR86" s="228">
        <v>0.03</v>
      </c>
      <c r="DS86" s="229">
        <v>4.6899999999999997E-2</v>
      </c>
      <c r="DT86" s="231">
        <v>2100</v>
      </c>
      <c r="DU86" s="231">
        <v>2000</v>
      </c>
      <c r="DV86" s="228">
        <v>0.36</v>
      </c>
      <c r="DW86" s="228">
        <v>0.38</v>
      </c>
      <c r="DX86" s="228">
        <v>-0.02</v>
      </c>
      <c r="DY86" s="229">
        <v>-5.2600000000000001E-2</v>
      </c>
      <c r="DZ86" s="229">
        <v>0.2354</v>
      </c>
      <c r="EA86" s="230">
        <v>459550</v>
      </c>
      <c r="EB86" s="229">
        <v>7.1999999999999998E-3</v>
      </c>
      <c r="EC86" s="229">
        <v>0.2354</v>
      </c>
      <c r="ED86" s="228">
        <v>14.11</v>
      </c>
      <c r="EE86" s="229">
        <v>6.8999999999999999E-3</v>
      </c>
      <c r="EF86" s="230">
        <v>313476</v>
      </c>
      <c r="EG86" s="230">
        <v>384948</v>
      </c>
      <c r="EH86" s="229">
        <v>-0.1857</v>
      </c>
      <c r="EI86" s="229">
        <v>0.67459999999999998</v>
      </c>
      <c r="EJ86" s="231">
        <v>39315.620000000003</v>
      </c>
      <c r="EK86" s="231">
        <v>13310.79</v>
      </c>
      <c r="EL86" s="231">
        <v>56798.39</v>
      </c>
      <c r="EM86" s="231">
        <v>2928</v>
      </c>
      <c r="EN86" s="231">
        <v>109424.8</v>
      </c>
      <c r="EO86" s="231">
        <v>68071.53</v>
      </c>
      <c r="EP86" s="231">
        <v>41353.269999999997</v>
      </c>
      <c r="EQ86" s="229">
        <v>0.60750000000000004</v>
      </c>
      <c r="ER86" s="231">
        <v>31730</v>
      </c>
      <c r="ES86" s="231">
        <v>19775</v>
      </c>
      <c r="ET86" s="231">
        <v>119623</v>
      </c>
      <c r="EU86" s="231">
        <v>26688038</v>
      </c>
      <c r="EV86" s="231">
        <v>171128</v>
      </c>
      <c r="EW86" s="231">
        <v>175482</v>
      </c>
      <c r="EX86" s="231">
        <v>-4354</v>
      </c>
      <c r="EY86" s="229">
        <v>-2.4799999999999999E-2</v>
      </c>
      <c r="EZ86" s="229">
        <v>0.31419999999999998</v>
      </c>
      <c r="FA86" s="227" t="s">
        <v>568</v>
      </c>
      <c r="FB86" s="161">
        <f t="shared" si="1"/>
        <v>1380925</v>
      </c>
    </row>
    <row r="87" spans="1:158" ht="17.25" hidden="1" thickBot="1" x14ac:dyDescent="0.3">
      <c r="A87" s="226">
        <v>45981</v>
      </c>
      <c r="B87" s="227" t="s">
        <v>175</v>
      </c>
      <c r="C87" s="227" t="s">
        <v>233</v>
      </c>
      <c r="D87" s="228">
        <v>925</v>
      </c>
      <c r="E87" s="228">
        <v>619.1</v>
      </c>
      <c r="F87" s="228">
        <v>615.25</v>
      </c>
      <c r="G87" s="228">
        <v>3.85</v>
      </c>
      <c r="H87" s="229">
        <v>6.3E-3</v>
      </c>
      <c r="I87" s="228">
        <v>618.4</v>
      </c>
      <c r="J87" s="228">
        <v>613.95000000000005</v>
      </c>
      <c r="K87" s="228">
        <v>4.45</v>
      </c>
      <c r="L87" s="229">
        <v>7.1999999999999998E-3</v>
      </c>
      <c r="M87" s="228">
        <v>619.1</v>
      </c>
      <c r="N87" s="228">
        <v>615.25</v>
      </c>
      <c r="O87" s="228">
        <v>3.85</v>
      </c>
      <c r="P87" s="229">
        <v>6.3E-3</v>
      </c>
      <c r="Q87" s="228">
        <v>623.15</v>
      </c>
      <c r="R87" s="228">
        <v>619</v>
      </c>
      <c r="S87" s="228">
        <v>4.1500000000000004</v>
      </c>
      <c r="T87" s="229">
        <v>6.7000000000000002E-3</v>
      </c>
      <c r="U87" s="228">
        <v>629</v>
      </c>
      <c r="V87" s="228">
        <v>622.6</v>
      </c>
      <c r="W87" s="228">
        <v>6.4</v>
      </c>
      <c r="X87" s="229">
        <v>1.03E-2</v>
      </c>
      <c r="Y87" s="228">
        <v>0.7</v>
      </c>
      <c r="Z87" s="228">
        <v>1.3</v>
      </c>
      <c r="AA87" s="228">
        <v>-0.6</v>
      </c>
      <c r="AB87" s="229">
        <v>1.1000000000000001E-3</v>
      </c>
      <c r="AC87" s="228">
        <v>0.7</v>
      </c>
      <c r="AD87" s="228">
        <v>1.3</v>
      </c>
      <c r="AE87" s="228">
        <v>-0.6</v>
      </c>
      <c r="AF87" s="229">
        <v>1.1000000000000001E-3</v>
      </c>
      <c r="AG87" s="228">
        <v>4.75</v>
      </c>
      <c r="AH87" s="228">
        <v>5.05</v>
      </c>
      <c r="AI87" s="228">
        <v>-0.3</v>
      </c>
      <c r="AJ87" s="229">
        <v>7.7000000000000002E-3</v>
      </c>
      <c r="AK87" s="228">
        <v>10.6</v>
      </c>
      <c r="AL87" s="228">
        <v>8.65</v>
      </c>
      <c r="AM87" s="228">
        <v>1.95</v>
      </c>
      <c r="AN87" s="229">
        <v>1.7100000000000001E-2</v>
      </c>
      <c r="AO87" s="228">
        <v>617.19000000000005</v>
      </c>
      <c r="AP87" s="228">
        <v>621.34</v>
      </c>
      <c r="AQ87" s="228">
        <v>0</v>
      </c>
      <c r="AR87" s="230">
        <v>8004025</v>
      </c>
      <c r="AS87" s="230">
        <v>2705625</v>
      </c>
      <c r="AT87" s="230">
        <v>5298400</v>
      </c>
      <c r="AU87" s="229">
        <v>1.9582999999999999</v>
      </c>
      <c r="AV87" s="230">
        <v>4191175</v>
      </c>
      <c r="AW87" s="230">
        <v>1812075</v>
      </c>
      <c r="AX87" s="230">
        <v>2379100</v>
      </c>
      <c r="AY87" s="229">
        <v>1.3129</v>
      </c>
      <c r="AZ87" s="230">
        <v>3798050</v>
      </c>
      <c r="BA87" s="230">
        <v>856550</v>
      </c>
      <c r="BB87" s="230">
        <v>2941500</v>
      </c>
      <c r="BC87" s="229">
        <v>3.4340999999999999</v>
      </c>
      <c r="BD87" s="230">
        <v>14800</v>
      </c>
      <c r="BE87" s="230">
        <v>37000</v>
      </c>
      <c r="BF87" s="230">
        <v>-22200</v>
      </c>
      <c r="BG87" s="229">
        <v>-0.6</v>
      </c>
      <c r="BH87" s="230">
        <v>7374100</v>
      </c>
      <c r="BI87" s="230">
        <v>4817400</v>
      </c>
      <c r="BJ87" s="230">
        <v>2556700</v>
      </c>
      <c r="BK87" s="229">
        <v>0.53069999999999995</v>
      </c>
      <c r="BL87" s="230">
        <v>3524250</v>
      </c>
      <c r="BM87" s="230">
        <v>2889700</v>
      </c>
      <c r="BN87" s="230">
        <v>634550</v>
      </c>
      <c r="BO87" s="229">
        <v>0.21959999999999999</v>
      </c>
      <c r="BP87" s="230">
        <v>18902375</v>
      </c>
      <c r="BQ87" s="230">
        <v>10412725</v>
      </c>
      <c r="BR87" s="230">
        <v>8489650</v>
      </c>
      <c r="BS87" s="229">
        <v>0.81530000000000002</v>
      </c>
      <c r="BT87" s="230">
        <v>1037114</v>
      </c>
      <c r="BU87" s="230">
        <v>4250855</v>
      </c>
      <c r="BV87" s="230">
        <v>-3213741</v>
      </c>
      <c r="BW87" s="229">
        <v>-0.75600000000000001</v>
      </c>
      <c r="BX87" s="230">
        <v>13636350</v>
      </c>
      <c r="BY87" s="230">
        <v>13570675</v>
      </c>
      <c r="BZ87" s="230">
        <v>65675</v>
      </c>
      <c r="CA87" s="229">
        <v>4.7999999999999996E-3</v>
      </c>
      <c r="CB87" s="230">
        <v>10415500</v>
      </c>
      <c r="CC87" s="230">
        <v>12917625</v>
      </c>
      <c r="CD87" s="230">
        <v>-2502125</v>
      </c>
      <c r="CE87" s="229">
        <v>-0.19370000000000001</v>
      </c>
      <c r="CF87" s="230">
        <v>3169050</v>
      </c>
      <c r="CG87" s="230">
        <v>612350</v>
      </c>
      <c r="CH87" s="230">
        <v>2556700</v>
      </c>
      <c r="CI87" s="229">
        <v>4.1752000000000002</v>
      </c>
      <c r="CJ87" s="230">
        <v>51800</v>
      </c>
      <c r="CK87" s="230">
        <v>40700</v>
      </c>
      <c r="CL87" s="230">
        <v>11100</v>
      </c>
      <c r="CM87" s="229">
        <v>0.2727</v>
      </c>
      <c r="CN87" s="230">
        <v>3824875</v>
      </c>
      <c r="CO87" s="230">
        <v>3769375</v>
      </c>
      <c r="CP87" s="230">
        <v>55500</v>
      </c>
      <c r="CQ87" s="229">
        <v>1.47E-2</v>
      </c>
      <c r="CR87" s="230">
        <v>2897100</v>
      </c>
      <c r="CS87" s="230">
        <v>2870275</v>
      </c>
      <c r="CT87" s="230">
        <v>26825</v>
      </c>
      <c r="CU87" s="229">
        <v>9.2999999999999992E-3</v>
      </c>
      <c r="CV87" s="230">
        <v>20358325</v>
      </c>
      <c r="CW87" s="230">
        <v>20210325</v>
      </c>
      <c r="CX87" s="230">
        <v>148000</v>
      </c>
      <c r="CY87" s="229">
        <v>7.3000000000000001E-3</v>
      </c>
      <c r="CZ87" s="228">
        <v>21.77</v>
      </c>
      <c r="DA87" s="228">
        <v>22.52</v>
      </c>
      <c r="DB87" s="228">
        <v>-0.75</v>
      </c>
      <c r="DC87" s="228">
        <v>-0.75</v>
      </c>
      <c r="DD87" s="228">
        <v>27.45</v>
      </c>
      <c r="DE87" s="228">
        <v>27.5</v>
      </c>
      <c r="DF87" s="228">
        <v>-5.68</v>
      </c>
      <c r="DG87" s="228">
        <v>-0.05</v>
      </c>
      <c r="DH87" s="228">
        <v>21.93</v>
      </c>
      <c r="DI87" s="228">
        <v>22.44</v>
      </c>
      <c r="DJ87" s="228">
        <v>-0.51</v>
      </c>
      <c r="DK87" s="228">
        <v>-0.51</v>
      </c>
      <c r="DL87" s="228">
        <v>21.36</v>
      </c>
      <c r="DM87" s="228">
        <v>22.66</v>
      </c>
      <c r="DN87" s="228">
        <v>-1.3</v>
      </c>
      <c r="DO87" s="228">
        <v>-1.3</v>
      </c>
      <c r="DP87" s="228">
        <v>0.76</v>
      </c>
      <c r="DQ87" s="228">
        <v>0.76</v>
      </c>
      <c r="DR87" s="228">
        <v>0</v>
      </c>
      <c r="DS87" s="229">
        <v>0</v>
      </c>
      <c r="DT87" s="228">
        <v>620</v>
      </c>
      <c r="DU87" s="228">
        <v>600</v>
      </c>
      <c r="DV87" s="228">
        <v>0.48</v>
      </c>
      <c r="DW87" s="228">
        <v>0.6</v>
      </c>
      <c r="DX87" s="228">
        <v>-0.12</v>
      </c>
      <c r="DY87" s="229">
        <v>-0.2</v>
      </c>
      <c r="DZ87" s="229">
        <v>0.23619999999999999</v>
      </c>
      <c r="EA87" s="230">
        <v>653050</v>
      </c>
      <c r="EB87" s="229">
        <v>6.4999999999999997E-3</v>
      </c>
      <c r="EC87" s="229">
        <v>0.23619999999999999</v>
      </c>
      <c r="ED87" s="228">
        <v>4.1500000000000004</v>
      </c>
      <c r="EE87" s="229">
        <v>6.7000000000000002E-3</v>
      </c>
      <c r="EF87" s="230">
        <v>264550</v>
      </c>
      <c r="EG87" s="230">
        <v>3119179</v>
      </c>
      <c r="EH87" s="229">
        <v>-0.91520000000000001</v>
      </c>
      <c r="EI87" s="229">
        <v>0.25509999999999999</v>
      </c>
      <c r="EJ87" s="231">
        <v>46363.16</v>
      </c>
      <c r="EK87" s="231">
        <v>21780.54</v>
      </c>
      <c r="EL87" s="231">
        <v>49558.9</v>
      </c>
      <c r="EM87" s="231">
        <v>1531</v>
      </c>
      <c r="EN87" s="231">
        <v>117702.6</v>
      </c>
      <c r="EO87" s="231">
        <v>65167.76</v>
      </c>
      <c r="EP87" s="231">
        <v>52534.84</v>
      </c>
      <c r="EQ87" s="229">
        <v>0.80610000000000004</v>
      </c>
      <c r="ER87" s="231">
        <v>24384</v>
      </c>
      <c r="ES87" s="231">
        <v>17180</v>
      </c>
      <c r="ET87" s="231">
        <v>84556</v>
      </c>
      <c r="EU87" s="231">
        <v>48653643</v>
      </c>
      <c r="EV87" s="231">
        <v>126121</v>
      </c>
      <c r="EW87" s="231">
        <v>124571</v>
      </c>
      <c r="EX87" s="231">
        <v>1550</v>
      </c>
      <c r="EY87" s="229">
        <v>1.24E-2</v>
      </c>
      <c r="EZ87" s="229">
        <v>0.41839999999999999</v>
      </c>
      <c r="FA87" s="227" t="s">
        <v>555</v>
      </c>
      <c r="FB87" s="161">
        <f t="shared" si="1"/>
        <v>3220850</v>
      </c>
    </row>
    <row r="88" spans="1:158" ht="17.25" hidden="1" thickBot="1" x14ac:dyDescent="0.3">
      <c r="A88" s="226">
        <v>45981</v>
      </c>
      <c r="B88" s="227" t="s">
        <v>188</v>
      </c>
      <c r="C88" s="227" t="s">
        <v>234</v>
      </c>
      <c r="D88" s="228">
        <v>71475</v>
      </c>
      <c r="E88" s="228">
        <v>10.17</v>
      </c>
      <c r="F88" s="228">
        <v>10.71</v>
      </c>
      <c r="G88" s="228">
        <v>-0.54</v>
      </c>
      <c r="H88" s="229">
        <v>-5.04E-2</v>
      </c>
      <c r="I88" s="228">
        <v>10.17</v>
      </c>
      <c r="J88" s="228">
        <v>10.69</v>
      </c>
      <c r="K88" s="228">
        <v>-0.52</v>
      </c>
      <c r="L88" s="229">
        <v>-4.8599999999999997E-2</v>
      </c>
      <c r="M88" s="228">
        <v>10.17</v>
      </c>
      <c r="N88" s="228">
        <v>10.71</v>
      </c>
      <c r="O88" s="228">
        <v>-0.54</v>
      </c>
      <c r="P88" s="229">
        <v>-5.04E-2</v>
      </c>
      <c r="Q88" s="228">
        <v>10.25</v>
      </c>
      <c r="R88" s="228">
        <v>10.79</v>
      </c>
      <c r="S88" s="228">
        <v>-0.54</v>
      </c>
      <c r="T88" s="229">
        <v>-0.05</v>
      </c>
      <c r="U88" s="228">
        <v>10.32</v>
      </c>
      <c r="V88" s="228">
        <v>10.87</v>
      </c>
      <c r="W88" s="228">
        <v>-0.55000000000000004</v>
      </c>
      <c r="X88" s="229">
        <v>-5.0599999999999999E-2</v>
      </c>
      <c r="Y88" s="228">
        <v>0</v>
      </c>
      <c r="Z88" s="228">
        <v>0.02</v>
      </c>
      <c r="AA88" s="228">
        <v>-0.02</v>
      </c>
      <c r="AB88" s="229">
        <v>0</v>
      </c>
      <c r="AC88" s="228">
        <v>0</v>
      </c>
      <c r="AD88" s="228">
        <v>0.02</v>
      </c>
      <c r="AE88" s="228">
        <v>-0.02</v>
      </c>
      <c r="AF88" s="229">
        <v>0</v>
      </c>
      <c r="AG88" s="228">
        <v>0.08</v>
      </c>
      <c r="AH88" s="228">
        <v>0.1</v>
      </c>
      <c r="AI88" s="228">
        <v>-0.02</v>
      </c>
      <c r="AJ88" s="229">
        <v>7.9000000000000008E-3</v>
      </c>
      <c r="AK88" s="228">
        <v>0.15</v>
      </c>
      <c r="AL88" s="228">
        <v>0.18</v>
      </c>
      <c r="AM88" s="228">
        <v>-0.03</v>
      </c>
      <c r="AN88" s="229">
        <v>1.47E-2</v>
      </c>
      <c r="AO88" s="228">
        <v>10.45</v>
      </c>
      <c r="AP88" s="228">
        <v>10.52</v>
      </c>
      <c r="AQ88" s="228">
        <v>0</v>
      </c>
      <c r="AR88" s="230">
        <v>3601482300</v>
      </c>
      <c r="AS88" s="230">
        <v>1430071800</v>
      </c>
      <c r="AT88" s="230">
        <v>2171410500</v>
      </c>
      <c r="AU88" s="229">
        <v>1.5184</v>
      </c>
      <c r="AV88" s="230">
        <v>1910097900</v>
      </c>
      <c r="AW88" s="230">
        <v>880286100</v>
      </c>
      <c r="AX88" s="230">
        <v>1029811800</v>
      </c>
      <c r="AY88" s="229">
        <v>1.1698999999999999</v>
      </c>
      <c r="AZ88" s="230">
        <v>1618122525</v>
      </c>
      <c r="BA88" s="230">
        <v>509044950</v>
      </c>
      <c r="BB88" s="230">
        <v>1109077575</v>
      </c>
      <c r="BC88" s="229">
        <v>2.1787000000000001</v>
      </c>
      <c r="BD88" s="230">
        <v>73261875</v>
      </c>
      <c r="BE88" s="230">
        <v>40740750</v>
      </c>
      <c r="BF88" s="230">
        <v>32521125</v>
      </c>
      <c r="BG88" s="229">
        <v>0.79820000000000002</v>
      </c>
      <c r="BH88" s="230">
        <v>2071988775</v>
      </c>
      <c r="BI88" s="230">
        <v>2457381975</v>
      </c>
      <c r="BJ88" s="230">
        <v>-385393200</v>
      </c>
      <c r="BK88" s="229">
        <v>-0.15679999999999999</v>
      </c>
      <c r="BL88" s="230">
        <v>1110364125</v>
      </c>
      <c r="BM88" s="230">
        <v>792371850</v>
      </c>
      <c r="BN88" s="230">
        <v>317992275</v>
      </c>
      <c r="BO88" s="229">
        <v>0.40129999999999999</v>
      </c>
      <c r="BP88" s="230">
        <v>6783835200</v>
      </c>
      <c r="BQ88" s="230">
        <v>4679825625</v>
      </c>
      <c r="BR88" s="230">
        <v>2104009575</v>
      </c>
      <c r="BS88" s="229">
        <v>0.4496</v>
      </c>
      <c r="BT88" s="230">
        <v>942705455</v>
      </c>
      <c r="BU88" s="230">
        <v>686437145</v>
      </c>
      <c r="BV88" s="230">
        <v>256268310</v>
      </c>
      <c r="BW88" s="229">
        <v>0.37330000000000002</v>
      </c>
      <c r="BX88" s="230">
        <v>6317818200</v>
      </c>
      <c r="BY88" s="230">
        <v>6480423825</v>
      </c>
      <c r="BZ88" s="230">
        <v>-162605625</v>
      </c>
      <c r="CA88" s="229">
        <v>-2.5100000000000001E-2</v>
      </c>
      <c r="CB88" s="230">
        <v>3604412775</v>
      </c>
      <c r="CC88" s="230">
        <v>4849006950</v>
      </c>
      <c r="CD88" s="230">
        <v>-1244594175</v>
      </c>
      <c r="CE88" s="229">
        <v>-0.25669999999999998</v>
      </c>
      <c r="CF88" s="230">
        <v>2530500900</v>
      </c>
      <c r="CG88" s="230">
        <v>1479746925</v>
      </c>
      <c r="CH88" s="230">
        <v>1050753975</v>
      </c>
      <c r="CI88" s="229">
        <v>0.71009999999999995</v>
      </c>
      <c r="CJ88" s="230">
        <v>182904525</v>
      </c>
      <c r="CK88" s="230">
        <v>151669950</v>
      </c>
      <c r="CL88" s="230">
        <v>31234575</v>
      </c>
      <c r="CM88" s="229">
        <v>0.2059</v>
      </c>
      <c r="CN88" s="230">
        <v>2548083750</v>
      </c>
      <c r="CO88" s="230">
        <v>2440585350</v>
      </c>
      <c r="CP88" s="230">
        <v>107498400</v>
      </c>
      <c r="CQ88" s="229">
        <v>4.3999999999999997E-2</v>
      </c>
      <c r="CR88" s="230">
        <v>1457589675</v>
      </c>
      <c r="CS88" s="230">
        <v>1557297300</v>
      </c>
      <c r="CT88" s="230">
        <v>-99707625</v>
      </c>
      <c r="CU88" s="229">
        <v>-6.4000000000000001E-2</v>
      </c>
      <c r="CV88" s="230">
        <v>10323491625</v>
      </c>
      <c r="CW88" s="230">
        <v>10478306475</v>
      </c>
      <c r="CX88" s="230">
        <v>-154814850</v>
      </c>
      <c r="CY88" s="229">
        <v>-1.4800000000000001E-2</v>
      </c>
      <c r="CZ88" s="228">
        <v>56.21</v>
      </c>
      <c r="DA88" s="228">
        <v>55.81</v>
      </c>
      <c r="DB88" s="228">
        <v>0.4</v>
      </c>
      <c r="DC88" s="228">
        <v>0.4</v>
      </c>
      <c r="DD88" s="228">
        <v>69.09</v>
      </c>
      <c r="DE88" s="228">
        <v>68.91</v>
      </c>
      <c r="DF88" s="228">
        <v>-12.88</v>
      </c>
      <c r="DG88" s="228">
        <v>0.18</v>
      </c>
      <c r="DH88" s="228">
        <v>57.35</v>
      </c>
      <c r="DI88" s="228">
        <v>57.3</v>
      </c>
      <c r="DJ88" s="228">
        <v>0.05</v>
      </c>
      <c r="DK88" s="228">
        <v>0.05</v>
      </c>
      <c r="DL88" s="228">
        <v>52.49</v>
      </c>
      <c r="DM88" s="228">
        <v>51.2</v>
      </c>
      <c r="DN88" s="228">
        <v>1.29</v>
      </c>
      <c r="DO88" s="228">
        <v>1.29</v>
      </c>
      <c r="DP88" s="228">
        <v>0.56999999999999995</v>
      </c>
      <c r="DQ88" s="228">
        <v>0.64</v>
      </c>
      <c r="DR88" s="228">
        <v>-7.0000000000000007E-2</v>
      </c>
      <c r="DS88" s="229">
        <v>-0.1094</v>
      </c>
      <c r="DT88" s="228">
        <v>12</v>
      </c>
      <c r="DU88" s="228">
        <v>9</v>
      </c>
      <c r="DV88" s="228">
        <v>0.54</v>
      </c>
      <c r="DW88" s="228">
        <v>0.32</v>
      </c>
      <c r="DX88" s="228">
        <v>0.22</v>
      </c>
      <c r="DY88" s="229">
        <v>0.6875</v>
      </c>
      <c r="DZ88" s="229">
        <v>0.42949999999999999</v>
      </c>
      <c r="EA88" s="230">
        <v>1631416875</v>
      </c>
      <c r="EB88" s="229">
        <v>7.9000000000000008E-3</v>
      </c>
      <c r="EC88" s="229">
        <v>0.42949999999999999</v>
      </c>
      <c r="ED88" s="228">
        <v>7.0000000000000007E-2</v>
      </c>
      <c r="EE88" s="229">
        <v>6.7000000000000002E-3</v>
      </c>
      <c r="EF88" s="230">
        <v>218041180</v>
      </c>
      <c r="EG88" s="230">
        <v>123691695</v>
      </c>
      <c r="EH88" s="229">
        <v>0.76280000000000003</v>
      </c>
      <c r="EI88" s="229">
        <v>0.23130000000000001</v>
      </c>
      <c r="EJ88" s="231">
        <v>241568.68</v>
      </c>
      <c r="EK88" s="231">
        <v>112145.17</v>
      </c>
      <c r="EL88" s="231">
        <v>377672.29</v>
      </c>
      <c r="EM88" s="231">
        <v>17553</v>
      </c>
      <c r="EN88" s="231">
        <v>731386.14</v>
      </c>
      <c r="EO88" s="231">
        <v>526918.41</v>
      </c>
      <c r="EP88" s="231">
        <v>204467.73</v>
      </c>
      <c r="EQ88" s="229">
        <v>0.38800000000000001</v>
      </c>
      <c r="ER88" s="231">
        <v>297495</v>
      </c>
      <c r="ES88" s="231">
        <v>134306</v>
      </c>
      <c r="ET88" s="231">
        <v>644821</v>
      </c>
      <c r="EU88" s="231">
        <v>8713529091</v>
      </c>
      <c r="EV88" s="231">
        <v>1076621</v>
      </c>
      <c r="EW88" s="231">
        <v>1124739</v>
      </c>
      <c r="EX88" s="231">
        <v>-48118</v>
      </c>
      <c r="EY88" s="229">
        <v>-4.2799999999999998E-2</v>
      </c>
      <c r="EZ88" s="229">
        <v>1.1848000000000001</v>
      </c>
      <c r="FA88" s="227" t="s">
        <v>568</v>
      </c>
      <c r="FB88" s="161">
        <f t="shared" si="1"/>
        <v>2713405425</v>
      </c>
    </row>
    <row r="89" spans="1:158" ht="17.25" hidden="1" thickBot="1" x14ac:dyDescent="0.3">
      <c r="A89" s="226">
        <v>45981</v>
      </c>
      <c r="B89" s="227" t="s">
        <v>172</v>
      </c>
      <c r="C89" s="227" t="s">
        <v>235</v>
      </c>
      <c r="D89" s="228">
        <v>9275</v>
      </c>
      <c r="E89" s="228">
        <v>79.02</v>
      </c>
      <c r="F89" s="228">
        <v>79.58</v>
      </c>
      <c r="G89" s="228">
        <v>-0.56000000000000005</v>
      </c>
      <c r="H89" s="229">
        <v>-7.0000000000000001E-3</v>
      </c>
      <c r="I89" s="228">
        <v>78.930000000000007</v>
      </c>
      <c r="J89" s="228">
        <v>79.61</v>
      </c>
      <c r="K89" s="228">
        <v>-0.68</v>
      </c>
      <c r="L89" s="229">
        <v>-8.5000000000000006E-3</v>
      </c>
      <c r="M89" s="228">
        <v>79.02</v>
      </c>
      <c r="N89" s="228">
        <v>79.58</v>
      </c>
      <c r="O89" s="228">
        <v>-0.56000000000000005</v>
      </c>
      <c r="P89" s="229">
        <v>-7.0000000000000001E-3</v>
      </c>
      <c r="Q89" s="228">
        <v>79.56</v>
      </c>
      <c r="R89" s="228">
        <v>80.12</v>
      </c>
      <c r="S89" s="228">
        <v>-0.56000000000000005</v>
      </c>
      <c r="T89" s="229">
        <v>-7.0000000000000001E-3</v>
      </c>
      <c r="U89" s="228">
        <v>80.03</v>
      </c>
      <c r="V89" s="228">
        <v>80.62</v>
      </c>
      <c r="W89" s="228">
        <v>-0.59</v>
      </c>
      <c r="X89" s="229">
        <v>-7.3000000000000001E-3</v>
      </c>
      <c r="Y89" s="228">
        <v>0.09</v>
      </c>
      <c r="Z89" s="228">
        <v>-0.03</v>
      </c>
      <c r="AA89" s="228">
        <v>0.12</v>
      </c>
      <c r="AB89" s="229">
        <v>1.1000000000000001E-3</v>
      </c>
      <c r="AC89" s="228">
        <v>0.09</v>
      </c>
      <c r="AD89" s="228">
        <v>-0.03</v>
      </c>
      <c r="AE89" s="228">
        <v>0.12</v>
      </c>
      <c r="AF89" s="229">
        <v>1.1000000000000001E-3</v>
      </c>
      <c r="AG89" s="228">
        <v>0.63</v>
      </c>
      <c r="AH89" s="228">
        <v>0.51</v>
      </c>
      <c r="AI89" s="228">
        <v>0.12</v>
      </c>
      <c r="AJ89" s="229">
        <v>8.0000000000000002E-3</v>
      </c>
      <c r="AK89" s="228">
        <v>1.1000000000000001</v>
      </c>
      <c r="AL89" s="228">
        <v>1.01</v>
      </c>
      <c r="AM89" s="228">
        <v>0.09</v>
      </c>
      <c r="AN89" s="229">
        <v>1.3899999999999999E-2</v>
      </c>
      <c r="AO89" s="228">
        <v>79.47</v>
      </c>
      <c r="AP89" s="228">
        <v>79.98</v>
      </c>
      <c r="AQ89" s="228">
        <v>0</v>
      </c>
      <c r="AR89" s="230">
        <v>176039500</v>
      </c>
      <c r="AS89" s="230">
        <v>76926850</v>
      </c>
      <c r="AT89" s="230">
        <v>99112650</v>
      </c>
      <c r="AU89" s="229">
        <v>1.2884</v>
      </c>
      <c r="AV89" s="230">
        <v>96756800</v>
      </c>
      <c r="AW89" s="230">
        <v>51337125</v>
      </c>
      <c r="AX89" s="230">
        <v>45419675</v>
      </c>
      <c r="AY89" s="229">
        <v>0.88470000000000004</v>
      </c>
      <c r="AZ89" s="230">
        <v>75424300</v>
      </c>
      <c r="BA89" s="230">
        <v>22946350</v>
      </c>
      <c r="BB89" s="230">
        <v>52477950</v>
      </c>
      <c r="BC89" s="229">
        <v>2.2869999999999999</v>
      </c>
      <c r="BD89" s="230">
        <v>3858400</v>
      </c>
      <c r="BE89" s="230">
        <v>2643375</v>
      </c>
      <c r="BF89" s="230">
        <v>1215025</v>
      </c>
      <c r="BG89" s="229">
        <v>0.45960000000000001</v>
      </c>
      <c r="BH89" s="230">
        <v>164686900</v>
      </c>
      <c r="BI89" s="230">
        <v>195164550</v>
      </c>
      <c r="BJ89" s="230">
        <v>-30477650</v>
      </c>
      <c r="BK89" s="229">
        <v>-0.15620000000000001</v>
      </c>
      <c r="BL89" s="230">
        <v>72975700</v>
      </c>
      <c r="BM89" s="230">
        <v>109918025</v>
      </c>
      <c r="BN89" s="230">
        <v>-36942325</v>
      </c>
      <c r="BO89" s="229">
        <v>-0.33610000000000001</v>
      </c>
      <c r="BP89" s="230">
        <v>413702100</v>
      </c>
      <c r="BQ89" s="230">
        <v>382009425</v>
      </c>
      <c r="BR89" s="230">
        <v>31692675</v>
      </c>
      <c r="BS89" s="229">
        <v>8.3000000000000004E-2</v>
      </c>
      <c r="BT89" s="230">
        <v>17689664</v>
      </c>
      <c r="BU89" s="230">
        <v>24867055</v>
      </c>
      <c r="BV89" s="230">
        <v>-7177391</v>
      </c>
      <c r="BW89" s="229">
        <v>-0.28860000000000002</v>
      </c>
      <c r="BX89" s="230">
        <v>366288300</v>
      </c>
      <c r="BY89" s="230">
        <v>369200650</v>
      </c>
      <c r="BZ89" s="230">
        <v>-2912350</v>
      </c>
      <c r="CA89" s="229">
        <v>-7.9000000000000008E-3</v>
      </c>
      <c r="CB89" s="230">
        <v>233563050</v>
      </c>
      <c r="CC89" s="230">
        <v>297681125</v>
      </c>
      <c r="CD89" s="230">
        <v>-64118075</v>
      </c>
      <c r="CE89" s="229">
        <v>-0.21540000000000001</v>
      </c>
      <c r="CF89" s="230">
        <v>121595250</v>
      </c>
      <c r="CG89" s="230">
        <v>62494950</v>
      </c>
      <c r="CH89" s="230">
        <v>59100300</v>
      </c>
      <c r="CI89" s="229">
        <v>0.94569999999999999</v>
      </c>
      <c r="CJ89" s="230">
        <v>11130000</v>
      </c>
      <c r="CK89" s="230">
        <v>9024575</v>
      </c>
      <c r="CL89" s="230">
        <v>2105425</v>
      </c>
      <c r="CM89" s="229">
        <v>0.23330000000000001</v>
      </c>
      <c r="CN89" s="230">
        <v>198049075</v>
      </c>
      <c r="CO89" s="230">
        <v>203243075</v>
      </c>
      <c r="CP89" s="230">
        <v>-5194000</v>
      </c>
      <c r="CQ89" s="229">
        <v>-2.5600000000000001E-2</v>
      </c>
      <c r="CR89" s="230">
        <v>103880000</v>
      </c>
      <c r="CS89" s="230">
        <v>108656625</v>
      </c>
      <c r="CT89" s="230">
        <v>-4776625</v>
      </c>
      <c r="CU89" s="229">
        <v>-4.3999999999999997E-2</v>
      </c>
      <c r="CV89" s="230">
        <v>668217375</v>
      </c>
      <c r="CW89" s="230">
        <v>681100350</v>
      </c>
      <c r="CX89" s="230">
        <v>-12882975</v>
      </c>
      <c r="CY89" s="229">
        <v>-1.89E-2</v>
      </c>
      <c r="CZ89" s="228">
        <v>25.5</v>
      </c>
      <c r="DA89" s="228">
        <v>31.27</v>
      </c>
      <c r="DB89" s="228">
        <v>-5.77</v>
      </c>
      <c r="DC89" s="228">
        <v>-5.77</v>
      </c>
      <c r="DD89" s="228">
        <v>33.880000000000003</v>
      </c>
      <c r="DE89" s="228">
        <v>33.950000000000003</v>
      </c>
      <c r="DF89" s="228">
        <v>-8.3800000000000008</v>
      </c>
      <c r="DG89" s="228">
        <v>-7.0000000000000007E-2</v>
      </c>
      <c r="DH89" s="228">
        <v>25.86</v>
      </c>
      <c r="DI89" s="228">
        <v>32.19</v>
      </c>
      <c r="DJ89" s="228">
        <v>-6.33</v>
      </c>
      <c r="DK89" s="228">
        <v>-6.33</v>
      </c>
      <c r="DL89" s="228">
        <v>24.89</v>
      </c>
      <c r="DM89" s="228">
        <v>29.65</v>
      </c>
      <c r="DN89" s="228">
        <v>-4.76</v>
      </c>
      <c r="DO89" s="228">
        <v>-4.76</v>
      </c>
      <c r="DP89" s="228">
        <v>0.52</v>
      </c>
      <c r="DQ89" s="228">
        <v>0.53</v>
      </c>
      <c r="DR89" s="228">
        <v>-0.01</v>
      </c>
      <c r="DS89" s="229">
        <v>-1.89E-2</v>
      </c>
      <c r="DT89" s="228">
        <v>80</v>
      </c>
      <c r="DU89" s="228">
        <v>80</v>
      </c>
      <c r="DV89" s="228">
        <v>0.44</v>
      </c>
      <c r="DW89" s="228">
        <v>0.56000000000000005</v>
      </c>
      <c r="DX89" s="228">
        <v>-0.12</v>
      </c>
      <c r="DY89" s="229">
        <v>-0.21429999999999999</v>
      </c>
      <c r="DZ89" s="229">
        <v>0.3624</v>
      </c>
      <c r="EA89" s="230">
        <v>71519525</v>
      </c>
      <c r="EB89" s="229">
        <v>6.7999999999999996E-3</v>
      </c>
      <c r="EC89" s="229">
        <v>0.3624</v>
      </c>
      <c r="ED89" s="228">
        <v>0.51</v>
      </c>
      <c r="EE89" s="229">
        <v>6.4000000000000003E-3</v>
      </c>
      <c r="EF89" s="230">
        <v>6946786</v>
      </c>
      <c r="EG89" s="230">
        <v>13244317</v>
      </c>
      <c r="EH89" s="229">
        <v>-0.47549999999999998</v>
      </c>
      <c r="EI89" s="229">
        <v>0.39269999999999999</v>
      </c>
      <c r="EJ89" s="231">
        <v>136823.17000000001</v>
      </c>
      <c r="EK89" s="231">
        <v>57520.6</v>
      </c>
      <c r="EL89" s="231">
        <v>140313.95000000001</v>
      </c>
      <c r="EM89" s="231">
        <v>7646</v>
      </c>
      <c r="EN89" s="231">
        <v>334657.71999999997</v>
      </c>
      <c r="EO89" s="231">
        <v>310897.45</v>
      </c>
      <c r="EP89" s="231">
        <v>23760.27</v>
      </c>
      <c r="EQ89" s="229">
        <v>7.6399999999999996E-2</v>
      </c>
      <c r="ER89" s="231">
        <v>164182</v>
      </c>
      <c r="ES89" s="231">
        <v>80254</v>
      </c>
      <c r="ET89" s="231">
        <v>290210</v>
      </c>
      <c r="EU89" s="231">
        <v>761294821</v>
      </c>
      <c r="EV89" s="231">
        <v>534646</v>
      </c>
      <c r="EW89" s="231">
        <v>546956</v>
      </c>
      <c r="EX89" s="231">
        <v>-12310</v>
      </c>
      <c r="EY89" s="229">
        <v>-2.2499999999999999E-2</v>
      </c>
      <c r="EZ89" s="229">
        <v>0.87770000000000004</v>
      </c>
      <c r="FA89" s="227" t="s">
        <v>568</v>
      </c>
      <c r="FB89" s="161">
        <f t="shared" si="1"/>
        <v>132725250</v>
      </c>
    </row>
    <row r="90" spans="1:158" ht="17.25" hidden="1" thickBot="1" x14ac:dyDescent="0.3">
      <c r="A90" s="226">
        <v>45981</v>
      </c>
      <c r="B90" s="227" t="s">
        <v>161</v>
      </c>
      <c r="C90" s="227" t="s">
        <v>514</v>
      </c>
      <c r="D90" s="228">
        <v>3750</v>
      </c>
      <c r="E90" s="228">
        <v>143.04</v>
      </c>
      <c r="F90" s="228">
        <v>137.11000000000001</v>
      </c>
      <c r="G90" s="228">
        <v>5.93</v>
      </c>
      <c r="H90" s="229">
        <v>4.3200000000000002E-2</v>
      </c>
      <c r="I90" s="228">
        <v>143.13</v>
      </c>
      <c r="J90" s="228">
        <v>137.11000000000001</v>
      </c>
      <c r="K90" s="228">
        <v>6.02</v>
      </c>
      <c r="L90" s="229">
        <v>4.3900000000000002E-2</v>
      </c>
      <c r="M90" s="228">
        <v>143.04</v>
      </c>
      <c r="N90" s="228">
        <v>137.11000000000001</v>
      </c>
      <c r="O90" s="228">
        <v>5.93</v>
      </c>
      <c r="P90" s="229">
        <v>4.3200000000000002E-2</v>
      </c>
      <c r="Q90" s="228">
        <v>143.82</v>
      </c>
      <c r="R90" s="228">
        <v>138.05000000000001</v>
      </c>
      <c r="S90" s="228">
        <v>5.77</v>
      </c>
      <c r="T90" s="229">
        <v>4.1799999999999997E-2</v>
      </c>
      <c r="U90" s="228">
        <v>144.6</v>
      </c>
      <c r="V90" s="228">
        <v>138.94999999999999</v>
      </c>
      <c r="W90" s="228">
        <v>5.65</v>
      </c>
      <c r="X90" s="229">
        <v>4.07E-2</v>
      </c>
      <c r="Y90" s="228">
        <v>-0.09</v>
      </c>
      <c r="Z90" s="228">
        <v>0</v>
      </c>
      <c r="AA90" s="228">
        <v>-0.09</v>
      </c>
      <c r="AB90" s="229">
        <v>-5.9999999999999995E-4</v>
      </c>
      <c r="AC90" s="228">
        <v>-0.09</v>
      </c>
      <c r="AD90" s="228">
        <v>0</v>
      </c>
      <c r="AE90" s="228">
        <v>-0.09</v>
      </c>
      <c r="AF90" s="229">
        <v>-5.9999999999999995E-4</v>
      </c>
      <c r="AG90" s="228">
        <v>0.69</v>
      </c>
      <c r="AH90" s="228">
        <v>0.94</v>
      </c>
      <c r="AI90" s="228">
        <v>-0.25</v>
      </c>
      <c r="AJ90" s="229">
        <v>4.7999999999999996E-3</v>
      </c>
      <c r="AK90" s="228">
        <v>1.47</v>
      </c>
      <c r="AL90" s="228">
        <v>1.84</v>
      </c>
      <c r="AM90" s="228">
        <v>-0.37</v>
      </c>
      <c r="AN90" s="229">
        <v>1.03E-2</v>
      </c>
      <c r="AO90" s="228">
        <v>141.13</v>
      </c>
      <c r="AP90" s="228">
        <v>141.63999999999999</v>
      </c>
      <c r="AQ90" s="228">
        <v>0</v>
      </c>
      <c r="AR90" s="230">
        <v>58196250</v>
      </c>
      <c r="AS90" s="230">
        <v>11497500</v>
      </c>
      <c r="AT90" s="230">
        <v>46698750</v>
      </c>
      <c r="AU90" s="229">
        <v>4.0616000000000003</v>
      </c>
      <c r="AV90" s="230">
        <v>32628750</v>
      </c>
      <c r="AW90" s="230">
        <v>7267500</v>
      </c>
      <c r="AX90" s="230">
        <v>25361250</v>
      </c>
      <c r="AY90" s="229">
        <v>3.4897</v>
      </c>
      <c r="AZ90" s="230">
        <v>24847500</v>
      </c>
      <c r="BA90" s="230">
        <v>4031250</v>
      </c>
      <c r="BB90" s="230">
        <v>20816250</v>
      </c>
      <c r="BC90" s="229">
        <v>5.1637000000000004</v>
      </c>
      <c r="BD90" s="230">
        <v>720000</v>
      </c>
      <c r="BE90" s="230">
        <v>198750</v>
      </c>
      <c r="BF90" s="230">
        <v>521250</v>
      </c>
      <c r="BG90" s="229">
        <v>2.6225999999999998</v>
      </c>
      <c r="BH90" s="230">
        <v>245336250</v>
      </c>
      <c r="BI90" s="230">
        <v>32437500</v>
      </c>
      <c r="BJ90" s="230">
        <v>212898750</v>
      </c>
      <c r="BK90" s="229">
        <v>6.5633999999999997</v>
      </c>
      <c r="BL90" s="230">
        <v>56970000</v>
      </c>
      <c r="BM90" s="230">
        <v>14670000</v>
      </c>
      <c r="BN90" s="230">
        <v>42300000</v>
      </c>
      <c r="BO90" s="229">
        <v>2.8834</v>
      </c>
      <c r="BP90" s="230">
        <v>360502500</v>
      </c>
      <c r="BQ90" s="230">
        <v>58605000</v>
      </c>
      <c r="BR90" s="230">
        <v>301897500</v>
      </c>
      <c r="BS90" s="229">
        <v>5.1513999999999998</v>
      </c>
      <c r="BT90" s="230">
        <v>25623176</v>
      </c>
      <c r="BU90" s="230">
        <v>3866286</v>
      </c>
      <c r="BV90" s="230">
        <v>21756890</v>
      </c>
      <c r="BW90" s="229">
        <v>5.6273</v>
      </c>
      <c r="BX90" s="230">
        <v>69798750</v>
      </c>
      <c r="BY90" s="230">
        <v>77535000</v>
      </c>
      <c r="BZ90" s="230">
        <v>-7736250</v>
      </c>
      <c r="CA90" s="229">
        <v>-9.98E-2</v>
      </c>
      <c r="CB90" s="230">
        <v>50310000</v>
      </c>
      <c r="CC90" s="230">
        <v>66667500</v>
      </c>
      <c r="CD90" s="230">
        <v>-16357500</v>
      </c>
      <c r="CE90" s="229">
        <v>-0.24540000000000001</v>
      </c>
      <c r="CF90" s="230">
        <v>18667500</v>
      </c>
      <c r="CG90" s="230">
        <v>10038750</v>
      </c>
      <c r="CH90" s="230">
        <v>8628750</v>
      </c>
      <c r="CI90" s="229">
        <v>0.85950000000000004</v>
      </c>
      <c r="CJ90" s="230">
        <v>821250</v>
      </c>
      <c r="CK90" s="230">
        <v>828750</v>
      </c>
      <c r="CL90" s="230">
        <v>-7500</v>
      </c>
      <c r="CM90" s="229">
        <v>-8.9999999999999993E-3</v>
      </c>
      <c r="CN90" s="230">
        <v>55770000</v>
      </c>
      <c r="CO90" s="230">
        <v>55477500</v>
      </c>
      <c r="CP90" s="230">
        <v>292500</v>
      </c>
      <c r="CQ90" s="229">
        <v>5.3E-3</v>
      </c>
      <c r="CR90" s="230">
        <v>35778750</v>
      </c>
      <c r="CS90" s="230">
        <v>33262500</v>
      </c>
      <c r="CT90" s="230">
        <v>2516250</v>
      </c>
      <c r="CU90" s="229">
        <v>7.5600000000000001E-2</v>
      </c>
      <c r="CV90" s="230">
        <v>161347500</v>
      </c>
      <c r="CW90" s="230">
        <v>166275000</v>
      </c>
      <c r="CX90" s="230">
        <v>-4927500</v>
      </c>
      <c r="CY90" s="229">
        <v>-2.9600000000000001E-2</v>
      </c>
      <c r="CZ90" s="228">
        <v>34.67</v>
      </c>
      <c r="DA90" s="228">
        <v>31.75</v>
      </c>
      <c r="DB90" s="228">
        <v>2.92</v>
      </c>
      <c r="DC90" s="228">
        <v>2.92</v>
      </c>
      <c r="DD90" s="228">
        <v>55.12</v>
      </c>
      <c r="DE90" s="228">
        <v>54.94</v>
      </c>
      <c r="DF90" s="228">
        <v>-20.45</v>
      </c>
      <c r="DG90" s="228">
        <v>0.18</v>
      </c>
      <c r="DH90" s="228">
        <v>34.520000000000003</v>
      </c>
      <c r="DI90" s="228">
        <v>31.99</v>
      </c>
      <c r="DJ90" s="228">
        <v>2.5299999999999998</v>
      </c>
      <c r="DK90" s="228">
        <v>2.5299999999999998</v>
      </c>
      <c r="DL90" s="228">
        <v>35.020000000000003</v>
      </c>
      <c r="DM90" s="228">
        <v>31.23</v>
      </c>
      <c r="DN90" s="228">
        <v>3.79</v>
      </c>
      <c r="DO90" s="228">
        <v>3.79</v>
      </c>
      <c r="DP90" s="228">
        <v>0.64</v>
      </c>
      <c r="DQ90" s="228">
        <v>0.6</v>
      </c>
      <c r="DR90" s="228">
        <v>0.04</v>
      </c>
      <c r="DS90" s="229">
        <v>6.6699999999999995E-2</v>
      </c>
      <c r="DT90" s="228">
        <v>150</v>
      </c>
      <c r="DU90" s="228">
        <v>140</v>
      </c>
      <c r="DV90" s="228">
        <v>0.23</v>
      </c>
      <c r="DW90" s="228">
        <v>0.45</v>
      </c>
      <c r="DX90" s="228">
        <v>-0.22</v>
      </c>
      <c r="DY90" s="229">
        <v>-0.4889</v>
      </c>
      <c r="DZ90" s="229">
        <v>0.2792</v>
      </c>
      <c r="EA90" s="230">
        <v>10867500</v>
      </c>
      <c r="EB90" s="229">
        <v>5.4999999999999997E-3</v>
      </c>
      <c r="EC90" s="229">
        <v>0.2792</v>
      </c>
      <c r="ED90" s="228">
        <v>0.51</v>
      </c>
      <c r="EE90" s="229">
        <v>3.5999999999999999E-3</v>
      </c>
      <c r="EF90" s="230">
        <v>9328343</v>
      </c>
      <c r="EG90" s="230">
        <v>1648155</v>
      </c>
      <c r="EH90" s="229">
        <v>4.6599000000000004</v>
      </c>
      <c r="EI90" s="229">
        <v>0.36409999999999998</v>
      </c>
      <c r="EJ90" s="231">
        <v>360033.23</v>
      </c>
      <c r="EK90" s="231">
        <v>80149.27</v>
      </c>
      <c r="EL90" s="231">
        <v>82274.289999999994</v>
      </c>
      <c r="EM90" s="231">
        <v>1991</v>
      </c>
      <c r="EN90" s="231">
        <v>522456.79</v>
      </c>
      <c r="EO90" s="231">
        <v>82468.13</v>
      </c>
      <c r="EP90" s="231">
        <v>439988.66</v>
      </c>
      <c r="EQ90" s="229">
        <v>5.3353000000000002</v>
      </c>
      <c r="ER90" s="231">
        <v>83987</v>
      </c>
      <c r="ES90" s="231">
        <v>49701</v>
      </c>
      <c r="ET90" s="231">
        <v>99999</v>
      </c>
      <c r="EU90" s="231">
        <v>133395043</v>
      </c>
      <c r="EV90" s="231">
        <v>233687</v>
      </c>
      <c r="EW90" s="231">
        <v>235697</v>
      </c>
      <c r="EX90" s="231">
        <v>-2010</v>
      </c>
      <c r="EY90" s="229">
        <v>-8.5000000000000006E-3</v>
      </c>
      <c r="EZ90" s="229">
        <v>1.2095</v>
      </c>
      <c r="FA90" s="227" t="s">
        <v>556</v>
      </c>
      <c r="FB90" s="161">
        <f t="shared" si="1"/>
        <v>19488750</v>
      </c>
    </row>
    <row r="91" spans="1:158" ht="17.25" hidden="1" thickBot="1" x14ac:dyDescent="0.3">
      <c r="A91" s="226">
        <v>45981</v>
      </c>
      <c r="B91" s="227" t="s">
        <v>193</v>
      </c>
      <c r="C91" s="227" t="s">
        <v>236</v>
      </c>
      <c r="D91" s="228">
        <v>2750</v>
      </c>
      <c r="E91" s="228">
        <v>204.61</v>
      </c>
      <c r="F91" s="228">
        <v>206.78</v>
      </c>
      <c r="G91" s="228">
        <v>-2.17</v>
      </c>
      <c r="H91" s="229">
        <v>-1.0500000000000001E-2</v>
      </c>
      <c r="I91" s="228">
        <v>204.06</v>
      </c>
      <c r="J91" s="228">
        <v>206.56</v>
      </c>
      <c r="K91" s="228">
        <v>-2.5</v>
      </c>
      <c r="L91" s="229">
        <v>-1.21E-2</v>
      </c>
      <c r="M91" s="228">
        <v>204.61</v>
      </c>
      <c r="N91" s="228">
        <v>206.78</v>
      </c>
      <c r="O91" s="228">
        <v>-2.17</v>
      </c>
      <c r="P91" s="229">
        <v>-1.0500000000000001E-2</v>
      </c>
      <c r="Q91" s="228">
        <v>0</v>
      </c>
      <c r="R91" s="228">
        <v>0</v>
      </c>
      <c r="S91" s="228">
        <v>0</v>
      </c>
      <c r="T91" s="229">
        <v>0</v>
      </c>
      <c r="U91" s="228">
        <v>0</v>
      </c>
      <c r="V91" s="228">
        <v>0</v>
      </c>
      <c r="W91" s="228">
        <v>0</v>
      </c>
      <c r="X91" s="229">
        <v>0</v>
      </c>
      <c r="Y91" s="228">
        <v>0.55000000000000004</v>
      </c>
      <c r="Z91" s="228">
        <v>0.22</v>
      </c>
      <c r="AA91" s="228">
        <v>0.33</v>
      </c>
      <c r="AB91" s="229">
        <v>2.7000000000000001E-3</v>
      </c>
      <c r="AC91" s="228">
        <v>0.55000000000000004</v>
      </c>
      <c r="AD91" s="228">
        <v>0.22</v>
      </c>
      <c r="AE91" s="228">
        <v>0.33</v>
      </c>
      <c r="AF91" s="229">
        <v>2.7000000000000001E-3</v>
      </c>
      <c r="AG91" s="228">
        <v>0</v>
      </c>
      <c r="AH91" s="228">
        <v>0</v>
      </c>
      <c r="AI91" s="228">
        <v>0</v>
      </c>
      <c r="AJ91" s="229">
        <v>0</v>
      </c>
      <c r="AK91" s="228">
        <v>0</v>
      </c>
      <c r="AL91" s="228">
        <v>0</v>
      </c>
      <c r="AM91" s="228">
        <v>0</v>
      </c>
      <c r="AN91" s="229">
        <v>0</v>
      </c>
      <c r="AO91" s="228">
        <v>205.28</v>
      </c>
      <c r="AP91" s="228">
        <v>0</v>
      </c>
      <c r="AQ91" s="228">
        <v>0</v>
      </c>
      <c r="AR91" s="230">
        <v>3718000</v>
      </c>
      <c r="AS91" s="230">
        <v>2469500</v>
      </c>
      <c r="AT91" s="230">
        <v>1248500</v>
      </c>
      <c r="AU91" s="229">
        <v>0.50560000000000005</v>
      </c>
      <c r="AV91" s="230">
        <v>3718000</v>
      </c>
      <c r="AW91" s="230">
        <v>2469500</v>
      </c>
      <c r="AX91" s="230">
        <v>1248500</v>
      </c>
      <c r="AY91" s="229">
        <v>0.50560000000000005</v>
      </c>
      <c r="AZ91" s="228">
        <v>0</v>
      </c>
      <c r="BA91" s="228">
        <v>0</v>
      </c>
      <c r="BB91" s="228">
        <v>0</v>
      </c>
      <c r="BC91" s="229">
        <v>0</v>
      </c>
      <c r="BD91" s="228">
        <v>0</v>
      </c>
      <c r="BE91" s="228">
        <v>0</v>
      </c>
      <c r="BF91" s="228">
        <v>0</v>
      </c>
      <c r="BG91" s="229">
        <v>0</v>
      </c>
      <c r="BH91" s="230">
        <v>10411500</v>
      </c>
      <c r="BI91" s="230">
        <v>15268000</v>
      </c>
      <c r="BJ91" s="230">
        <v>-4856500</v>
      </c>
      <c r="BK91" s="229">
        <v>-0.31809999999999999</v>
      </c>
      <c r="BL91" s="230">
        <v>5258000</v>
      </c>
      <c r="BM91" s="230">
        <v>7628500</v>
      </c>
      <c r="BN91" s="230">
        <v>-2370500</v>
      </c>
      <c r="BO91" s="229">
        <v>-0.31069999999999998</v>
      </c>
      <c r="BP91" s="230">
        <v>19387500</v>
      </c>
      <c r="BQ91" s="230">
        <v>25366000</v>
      </c>
      <c r="BR91" s="230">
        <v>-5978500</v>
      </c>
      <c r="BS91" s="229">
        <v>-0.23569999999999999</v>
      </c>
      <c r="BT91" s="230">
        <v>2861426</v>
      </c>
      <c r="BU91" s="230">
        <v>2466657</v>
      </c>
      <c r="BV91" s="230">
        <v>394769</v>
      </c>
      <c r="BW91" s="229">
        <v>0.16</v>
      </c>
      <c r="BX91" s="230">
        <v>12672000</v>
      </c>
      <c r="BY91" s="230">
        <v>13271500</v>
      </c>
      <c r="BZ91" s="230">
        <v>-599500</v>
      </c>
      <c r="CA91" s="229">
        <v>-4.5199999999999997E-2</v>
      </c>
      <c r="CB91" s="230">
        <v>12672000</v>
      </c>
      <c r="CC91" s="230">
        <v>13271500</v>
      </c>
      <c r="CD91" s="230">
        <v>-599500</v>
      </c>
      <c r="CE91" s="229">
        <v>-4.5199999999999997E-2</v>
      </c>
      <c r="CF91" s="228">
        <v>0</v>
      </c>
      <c r="CG91" s="228">
        <v>0</v>
      </c>
      <c r="CH91" s="228">
        <v>0</v>
      </c>
      <c r="CI91" s="229">
        <v>0</v>
      </c>
      <c r="CJ91" s="228">
        <v>0</v>
      </c>
      <c r="CK91" s="228">
        <v>0</v>
      </c>
      <c r="CL91" s="228">
        <v>0</v>
      </c>
      <c r="CM91" s="229">
        <v>0</v>
      </c>
      <c r="CN91" s="230">
        <v>14025000</v>
      </c>
      <c r="CO91" s="230">
        <v>15017750</v>
      </c>
      <c r="CP91" s="230">
        <v>-992750</v>
      </c>
      <c r="CQ91" s="229">
        <v>-6.6100000000000006E-2</v>
      </c>
      <c r="CR91" s="230">
        <v>8244500</v>
      </c>
      <c r="CS91" s="230">
        <v>8538750</v>
      </c>
      <c r="CT91" s="230">
        <v>-294250</v>
      </c>
      <c r="CU91" s="229">
        <v>-3.4500000000000003E-2</v>
      </c>
      <c r="CV91" s="230">
        <v>34941500</v>
      </c>
      <c r="CW91" s="230">
        <v>36828000</v>
      </c>
      <c r="CX91" s="230">
        <v>-1886500</v>
      </c>
      <c r="CY91" s="229">
        <v>-5.1200000000000002E-2</v>
      </c>
      <c r="CZ91" s="228">
        <v>40.729999999999997</v>
      </c>
      <c r="DA91" s="228">
        <v>27.64</v>
      </c>
      <c r="DB91" s="228">
        <v>13.09</v>
      </c>
      <c r="DC91" s="228">
        <v>13.09</v>
      </c>
      <c r="DD91" s="228">
        <v>40.729999999999997</v>
      </c>
      <c r="DE91" s="228">
        <v>40.81</v>
      </c>
      <c r="DF91" s="228">
        <v>0</v>
      </c>
      <c r="DG91" s="228">
        <v>-0.08</v>
      </c>
      <c r="DH91" s="228">
        <v>40.729999999999997</v>
      </c>
      <c r="DI91" s="228">
        <v>28.94</v>
      </c>
      <c r="DJ91" s="228">
        <v>11.79</v>
      </c>
      <c r="DK91" s="228">
        <v>11.79</v>
      </c>
      <c r="DL91" s="228">
        <v>40.729999999999997</v>
      </c>
      <c r="DM91" s="228">
        <v>25.03</v>
      </c>
      <c r="DN91" s="228">
        <v>15.7</v>
      </c>
      <c r="DO91" s="228">
        <v>15.7</v>
      </c>
      <c r="DP91" s="228">
        <v>0.59</v>
      </c>
      <c r="DQ91" s="228">
        <v>0.56999999999999995</v>
      </c>
      <c r="DR91" s="228">
        <v>0.02</v>
      </c>
      <c r="DS91" s="229">
        <v>3.5099999999999999E-2</v>
      </c>
      <c r="DT91" s="228">
        <v>220</v>
      </c>
      <c r="DU91" s="228">
        <v>200</v>
      </c>
      <c r="DV91" s="228">
        <v>0.51</v>
      </c>
      <c r="DW91" s="228">
        <v>0.5</v>
      </c>
      <c r="DX91" s="228">
        <v>0.01</v>
      </c>
      <c r="DY91" s="229">
        <v>0.02</v>
      </c>
      <c r="DZ91" s="229">
        <v>0</v>
      </c>
      <c r="EA91" s="228">
        <v>0</v>
      </c>
      <c r="EB91" s="229">
        <v>0</v>
      </c>
      <c r="EC91" s="229">
        <v>0</v>
      </c>
      <c r="ED91" s="228">
        <v>0</v>
      </c>
      <c r="EE91" s="229">
        <v>0</v>
      </c>
      <c r="EF91" s="230">
        <v>1213943</v>
      </c>
      <c r="EG91" s="230">
        <v>1095636</v>
      </c>
      <c r="EH91" s="229">
        <v>0.108</v>
      </c>
      <c r="EI91" s="229">
        <v>0.42420000000000002</v>
      </c>
      <c r="EJ91" s="231">
        <v>22359.94</v>
      </c>
      <c r="EK91" s="231">
        <v>10712.87</v>
      </c>
      <c r="EL91" s="231">
        <v>7632.31</v>
      </c>
      <c r="EM91" s="231">
        <v>2337</v>
      </c>
      <c r="EN91" s="231">
        <v>40705.120000000003</v>
      </c>
      <c r="EO91" s="231">
        <v>53982.02</v>
      </c>
      <c r="EP91" s="231">
        <v>-13276.9</v>
      </c>
      <c r="EQ91" s="229">
        <v>-0.246</v>
      </c>
      <c r="ER91" s="231">
        <v>30902</v>
      </c>
      <c r="ES91" s="231">
        <v>16728</v>
      </c>
      <c r="ET91" s="231">
        <v>25928</v>
      </c>
      <c r="EU91" s="231">
        <v>94000476</v>
      </c>
      <c r="EV91" s="231">
        <v>73558</v>
      </c>
      <c r="EW91" s="231">
        <v>77947</v>
      </c>
      <c r="EX91" s="231">
        <v>-4389</v>
      </c>
      <c r="EY91" s="229">
        <v>-5.6300000000000003E-2</v>
      </c>
      <c r="EZ91" s="229">
        <v>0.37169999999999997</v>
      </c>
      <c r="FA91" s="227" t="s">
        <v>568</v>
      </c>
      <c r="FB91" s="161">
        <f t="shared" si="1"/>
        <v>0</v>
      </c>
    </row>
    <row r="92" spans="1:158" ht="17.25" hidden="1" thickBot="1" x14ac:dyDescent="0.3">
      <c r="A92" s="226">
        <v>45981</v>
      </c>
      <c r="B92" s="227" t="s">
        <v>175</v>
      </c>
      <c r="C92" s="227" t="s">
        <v>667</v>
      </c>
      <c r="D92" s="228">
        <v>1650</v>
      </c>
      <c r="E92" s="228">
        <v>545.4</v>
      </c>
      <c r="F92" s="228">
        <v>558.25</v>
      </c>
      <c r="G92" s="228">
        <v>-12.85</v>
      </c>
      <c r="H92" s="229">
        <v>-2.3E-2</v>
      </c>
      <c r="I92" s="228">
        <v>544.75</v>
      </c>
      <c r="J92" s="228">
        <v>557.54999999999995</v>
      </c>
      <c r="K92" s="228">
        <v>-12.8</v>
      </c>
      <c r="L92" s="229">
        <v>-2.3E-2</v>
      </c>
      <c r="M92" s="228">
        <v>545.4</v>
      </c>
      <c r="N92" s="228">
        <v>558.25</v>
      </c>
      <c r="O92" s="228">
        <v>-12.85</v>
      </c>
      <c r="P92" s="229">
        <v>-2.3E-2</v>
      </c>
      <c r="Q92" s="228">
        <v>549.25</v>
      </c>
      <c r="R92" s="228">
        <v>561.79999999999995</v>
      </c>
      <c r="S92" s="228">
        <v>-12.55</v>
      </c>
      <c r="T92" s="229">
        <v>-2.23E-2</v>
      </c>
      <c r="U92" s="228">
        <v>552.15</v>
      </c>
      <c r="V92" s="228">
        <v>564.5</v>
      </c>
      <c r="W92" s="228">
        <v>-12.35</v>
      </c>
      <c r="X92" s="229">
        <v>-2.1899999999999999E-2</v>
      </c>
      <c r="Y92" s="228">
        <v>0.65</v>
      </c>
      <c r="Z92" s="228">
        <v>0.7</v>
      </c>
      <c r="AA92" s="228">
        <v>-0.05</v>
      </c>
      <c r="AB92" s="229">
        <v>1.1999999999999999E-3</v>
      </c>
      <c r="AC92" s="228">
        <v>0.65</v>
      </c>
      <c r="AD92" s="228">
        <v>0.7</v>
      </c>
      <c r="AE92" s="228">
        <v>-0.05</v>
      </c>
      <c r="AF92" s="229">
        <v>1.1999999999999999E-3</v>
      </c>
      <c r="AG92" s="228">
        <v>4.5</v>
      </c>
      <c r="AH92" s="228">
        <v>4.25</v>
      </c>
      <c r="AI92" s="228">
        <v>0.25</v>
      </c>
      <c r="AJ92" s="229">
        <v>8.3000000000000001E-3</v>
      </c>
      <c r="AK92" s="228">
        <v>7.4</v>
      </c>
      <c r="AL92" s="228">
        <v>6.95</v>
      </c>
      <c r="AM92" s="228">
        <v>0.45</v>
      </c>
      <c r="AN92" s="229">
        <v>1.3599999999999999E-2</v>
      </c>
      <c r="AO92" s="228">
        <v>550</v>
      </c>
      <c r="AP92" s="228">
        <v>554.07000000000005</v>
      </c>
      <c r="AQ92" s="228">
        <v>0</v>
      </c>
      <c r="AR92" s="230">
        <v>8071800</v>
      </c>
      <c r="AS92" s="230">
        <v>3163050</v>
      </c>
      <c r="AT92" s="230">
        <v>4908750</v>
      </c>
      <c r="AU92" s="229">
        <v>1.5519000000000001</v>
      </c>
      <c r="AV92" s="230">
        <v>4369200</v>
      </c>
      <c r="AW92" s="230">
        <v>2201100</v>
      </c>
      <c r="AX92" s="230">
        <v>2168100</v>
      </c>
      <c r="AY92" s="229">
        <v>0.98499999999999999</v>
      </c>
      <c r="AZ92" s="230">
        <v>3663000</v>
      </c>
      <c r="BA92" s="230">
        <v>943800</v>
      </c>
      <c r="BB92" s="230">
        <v>2719200</v>
      </c>
      <c r="BC92" s="229">
        <v>2.8811</v>
      </c>
      <c r="BD92" s="230">
        <v>39600</v>
      </c>
      <c r="BE92" s="230">
        <v>18150</v>
      </c>
      <c r="BF92" s="230">
        <v>21450</v>
      </c>
      <c r="BG92" s="229">
        <v>1.1818</v>
      </c>
      <c r="BH92" s="230">
        <v>14082750</v>
      </c>
      <c r="BI92" s="230">
        <v>10432950</v>
      </c>
      <c r="BJ92" s="230">
        <v>3649800</v>
      </c>
      <c r="BK92" s="229">
        <v>0.3498</v>
      </c>
      <c r="BL92" s="230">
        <v>6834300</v>
      </c>
      <c r="BM92" s="230">
        <v>3725700</v>
      </c>
      <c r="BN92" s="230">
        <v>3108600</v>
      </c>
      <c r="BO92" s="229">
        <v>0.83440000000000003</v>
      </c>
      <c r="BP92" s="230">
        <v>28988850</v>
      </c>
      <c r="BQ92" s="230">
        <v>17321700</v>
      </c>
      <c r="BR92" s="230">
        <v>11667150</v>
      </c>
      <c r="BS92" s="229">
        <v>0.67359999999999998</v>
      </c>
      <c r="BT92" s="230">
        <v>1256479</v>
      </c>
      <c r="BU92" s="230">
        <v>890036</v>
      </c>
      <c r="BV92" s="230">
        <v>366443</v>
      </c>
      <c r="BW92" s="229">
        <v>0.41170000000000001</v>
      </c>
      <c r="BX92" s="230">
        <v>15508350</v>
      </c>
      <c r="BY92" s="230">
        <v>16264050</v>
      </c>
      <c r="BZ92" s="230">
        <v>-755700</v>
      </c>
      <c r="CA92" s="229">
        <v>-4.65E-2</v>
      </c>
      <c r="CB92" s="230">
        <v>11388300</v>
      </c>
      <c r="CC92" s="230">
        <v>14201550</v>
      </c>
      <c r="CD92" s="230">
        <v>-2813250</v>
      </c>
      <c r="CE92" s="229">
        <v>-0.1981</v>
      </c>
      <c r="CF92" s="230">
        <v>4009500</v>
      </c>
      <c r="CG92" s="230">
        <v>1983300</v>
      </c>
      <c r="CH92" s="230">
        <v>2026200</v>
      </c>
      <c r="CI92" s="229">
        <v>1.0216000000000001</v>
      </c>
      <c r="CJ92" s="230">
        <v>110550</v>
      </c>
      <c r="CK92" s="230">
        <v>79200</v>
      </c>
      <c r="CL92" s="230">
        <v>31350</v>
      </c>
      <c r="CM92" s="229">
        <v>0.39579999999999999</v>
      </c>
      <c r="CN92" s="230">
        <v>8256600</v>
      </c>
      <c r="CO92" s="230">
        <v>8707050</v>
      </c>
      <c r="CP92" s="230">
        <v>-450450</v>
      </c>
      <c r="CQ92" s="229">
        <v>-5.1700000000000003E-2</v>
      </c>
      <c r="CR92" s="230">
        <v>5314650</v>
      </c>
      <c r="CS92" s="230">
        <v>5410350</v>
      </c>
      <c r="CT92" s="230">
        <v>-95700</v>
      </c>
      <c r="CU92" s="229">
        <v>-1.77E-2</v>
      </c>
      <c r="CV92" s="230">
        <v>29079600</v>
      </c>
      <c r="CW92" s="230">
        <v>30381450</v>
      </c>
      <c r="CX92" s="230">
        <v>-1301850</v>
      </c>
      <c r="CY92" s="229">
        <v>-4.2900000000000001E-2</v>
      </c>
      <c r="CZ92" s="228">
        <v>31.89</v>
      </c>
      <c r="DA92" s="228">
        <v>32.4</v>
      </c>
      <c r="DB92" s="228">
        <v>-0.51</v>
      </c>
      <c r="DC92" s="228">
        <v>-0.51</v>
      </c>
      <c r="DD92" s="228">
        <v>50.8</v>
      </c>
      <c r="DE92" s="228">
        <v>50.83</v>
      </c>
      <c r="DF92" s="228">
        <v>-18.91</v>
      </c>
      <c r="DG92" s="228">
        <v>-0.03</v>
      </c>
      <c r="DH92" s="228">
        <v>31.71</v>
      </c>
      <c r="DI92" s="228">
        <v>31.28</v>
      </c>
      <c r="DJ92" s="228">
        <v>0.43</v>
      </c>
      <c r="DK92" s="228">
        <v>0.43</v>
      </c>
      <c r="DL92" s="228">
        <v>32.299999999999997</v>
      </c>
      <c r="DM92" s="228">
        <v>35.54</v>
      </c>
      <c r="DN92" s="228">
        <v>-3.24</v>
      </c>
      <c r="DO92" s="228">
        <v>-3.24</v>
      </c>
      <c r="DP92" s="228">
        <v>0.64</v>
      </c>
      <c r="DQ92" s="228">
        <v>0.62</v>
      </c>
      <c r="DR92" s="228">
        <v>0.02</v>
      </c>
      <c r="DS92" s="229">
        <v>3.2300000000000002E-2</v>
      </c>
      <c r="DT92" s="228">
        <v>560</v>
      </c>
      <c r="DU92" s="228">
        <v>530</v>
      </c>
      <c r="DV92" s="228">
        <v>0.49</v>
      </c>
      <c r="DW92" s="228">
        <v>0.36</v>
      </c>
      <c r="DX92" s="228">
        <v>0.13</v>
      </c>
      <c r="DY92" s="229">
        <v>0.36109999999999998</v>
      </c>
      <c r="DZ92" s="229">
        <v>0.26569999999999999</v>
      </c>
      <c r="EA92" s="230">
        <v>2062500</v>
      </c>
      <c r="EB92" s="229">
        <v>7.1000000000000004E-3</v>
      </c>
      <c r="EC92" s="229">
        <v>0.26569999999999999</v>
      </c>
      <c r="ED92" s="228">
        <v>4.07</v>
      </c>
      <c r="EE92" s="229">
        <v>7.4000000000000003E-3</v>
      </c>
      <c r="EF92" s="230">
        <v>514265</v>
      </c>
      <c r="EG92" s="230">
        <v>356130</v>
      </c>
      <c r="EH92" s="229">
        <v>0.44400000000000001</v>
      </c>
      <c r="EI92" s="229">
        <v>0.4093</v>
      </c>
      <c r="EJ92" s="231">
        <v>80522.73</v>
      </c>
      <c r="EK92" s="231">
        <v>36853.949999999997</v>
      </c>
      <c r="EL92" s="231">
        <v>44546.66</v>
      </c>
      <c r="EM92" s="231">
        <v>2738</v>
      </c>
      <c r="EN92" s="231">
        <v>161923.34</v>
      </c>
      <c r="EO92" s="231">
        <v>98356.47</v>
      </c>
      <c r="EP92" s="231">
        <v>63566.87</v>
      </c>
      <c r="EQ92" s="229">
        <v>0.64629999999999999</v>
      </c>
      <c r="ER92" s="231">
        <v>46727</v>
      </c>
      <c r="ES92" s="231">
        <v>27795</v>
      </c>
      <c r="ET92" s="231">
        <v>84744</v>
      </c>
      <c r="EU92" s="231">
        <v>47888370</v>
      </c>
      <c r="EV92" s="231">
        <v>159266</v>
      </c>
      <c r="EW92" s="231">
        <v>168620</v>
      </c>
      <c r="EX92" s="231">
        <v>-9354</v>
      </c>
      <c r="EY92" s="229">
        <v>-5.5500000000000001E-2</v>
      </c>
      <c r="EZ92" s="229">
        <v>0.60719999999999996</v>
      </c>
      <c r="FA92" s="227" t="s">
        <v>568</v>
      </c>
      <c r="FB92" s="161">
        <f t="shared" si="1"/>
        <v>4120050</v>
      </c>
    </row>
    <row r="93" spans="1:158" ht="17.25" hidden="1" thickBot="1" x14ac:dyDescent="0.3">
      <c r="A93" s="226">
        <v>45981</v>
      </c>
      <c r="B93" s="227" t="s">
        <v>206</v>
      </c>
      <c r="C93" s="227" t="s">
        <v>501</v>
      </c>
      <c r="D93" s="228">
        <v>1000</v>
      </c>
      <c r="E93" s="228">
        <v>734</v>
      </c>
      <c r="F93" s="228">
        <v>719.3</v>
      </c>
      <c r="G93" s="228">
        <v>14.7</v>
      </c>
      <c r="H93" s="229">
        <v>2.0400000000000001E-2</v>
      </c>
      <c r="I93" s="228">
        <v>733.35</v>
      </c>
      <c r="J93" s="228">
        <v>719.55</v>
      </c>
      <c r="K93" s="228">
        <v>13.8</v>
      </c>
      <c r="L93" s="229">
        <v>1.9199999999999998E-2</v>
      </c>
      <c r="M93" s="228">
        <v>734</v>
      </c>
      <c r="N93" s="228">
        <v>719.3</v>
      </c>
      <c r="O93" s="228">
        <v>14.7</v>
      </c>
      <c r="P93" s="229">
        <v>2.0400000000000001E-2</v>
      </c>
      <c r="Q93" s="228">
        <v>739.05</v>
      </c>
      <c r="R93" s="228">
        <v>723.75</v>
      </c>
      <c r="S93" s="228">
        <v>15.3</v>
      </c>
      <c r="T93" s="229">
        <v>2.1100000000000001E-2</v>
      </c>
      <c r="U93" s="228">
        <v>743.25</v>
      </c>
      <c r="V93" s="228">
        <v>727.4</v>
      </c>
      <c r="W93" s="228">
        <v>15.85</v>
      </c>
      <c r="X93" s="229">
        <v>2.18E-2</v>
      </c>
      <c r="Y93" s="228">
        <v>0.65</v>
      </c>
      <c r="Z93" s="228">
        <v>-0.25</v>
      </c>
      <c r="AA93" s="228">
        <v>0.9</v>
      </c>
      <c r="AB93" s="229">
        <v>8.9999999999999998E-4</v>
      </c>
      <c r="AC93" s="228">
        <v>0.65</v>
      </c>
      <c r="AD93" s="228">
        <v>-0.25</v>
      </c>
      <c r="AE93" s="228">
        <v>0.9</v>
      </c>
      <c r="AF93" s="229">
        <v>8.9999999999999998E-4</v>
      </c>
      <c r="AG93" s="228">
        <v>5.7</v>
      </c>
      <c r="AH93" s="228">
        <v>4.2</v>
      </c>
      <c r="AI93" s="228">
        <v>1.5</v>
      </c>
      <c r="AJ93" s="229">
        <v>7.7999999999999996E-3</v>
      </c>
      <c r="AK93" s="228">
        <v>9.9</v>
      </c>
      <c r="AL93" s="228">
        <v>7.85</v>
      </c>
      <c r="AM93" s="228">
        <v>2.0499999999999998</v>
      </c>
      <c r="AN93" s="229">
        <v>1.35E-2</v>
      </c>
      <c r="AO93" s="228">
        <v>732.59</v>
      </c>
      <c r="AP93" s="228">
        <v>737.78</v>
      </c>
      <c r="AQ93" s="228">
        <v>0</v>
      </c>
      <c r="AR93" s="230">
        <v>16857000</v>
      </c>
      <c r="AS93" s="230">
        <v>5124000</v>
      </c>
      <c r="AT93" s="230">
        <v>11733000</v>
      </c>
      <c r="AU93" s="229">
        <v>2.2898000000000001</v>
      </c>
      <c r="AV93" s="230">
        <v>9958000</v>
      </c>
      <c r="AW93" s="230">
        <v>3332000</v>
      </c>
      <c r="AX93" s="230">
        <v>6626000</v>
      </c>
      <c r="AY93" s="229">
        <v>1.9885999999999999</v>
      </c>
      <c r="AZ93" s="230">
        <v>6304000</v>
      </c>
      <c r="BA93" s="230">
        <v>1592000</v>
      </c>
      <c r="BB93" s="230">
        <v>4712000</v>
      </c>
      <c r="BC93" s="229">
        <v>2.9598</v>
      </c>
      <c r="BD93" s="230">
        <v>595000</v>
      </c>
      <c r="BE93" s="230">
        <v>200000</v>
      </c>
      <c r="BF93" s="230">
        <v>395000</v>
      </c>
      <c r="BG93" s="229">
        <v>1.9750000000000001</v>
      </c>
      <c r="BH93" s="230">
        <v>48790000</v>
      </c>
      <c r="BI93" s="230">
        <v>14374000</v>
      </c>
      <c r="BJ93" s="230">
        <v>34416000</v>
      </c>
      <c r="BK93" s="229">
        <v>2.3942999999999999</v>
      </c>
      <c r="BL93" s="230">
        <v>19561000</v>
      </c>
      <c r="BM93" s="230">
        <v>6583000</v>
      </c>
      <c r="BN93" s="230">
        <v>12978000</v>
      </c>
      <c r="BO93" s="229">
        <v>1.9714</v>
      </c>
      <c r="BP93" s="230">
        <v>85208000</v>
      </c>
      <c r="BQ93" s="230">
        <v>26081000</v>
      </c>
      <c r="BR93" s="230">
        <v>59127000</v>
      </c>
      <c r="BS93" s="229">
        <v>2.2671000000000001</v>
      </c>
      <c r="BT93" s="230">
        <v>5051767</v>
      </c>
      <c r="BU93" s="230">
        <v>2827498</v>
      </c>
      <c r="BV93" s="230">
        <v>2224269</v>
      </c>
      <c r="BW93" s="229">
        <v>0.78669999999999995</v>
      </c>
      <c r="BX93" s="230">
        <v>28250000</v>
      </c>
      <c r="BY93" s="230">
        <v>30182000</v>
      </c>
      <c r="BZ93" s="230">
        <v>-1932000</v>
      </c>
      <c r="CA93" s="229">
        <v>-6.4000000000000001E-2</v>
      </c>
      <c r="CB93" s="230">
        <v>20364000</v>
      </c>
      <c r="CC93" s="230">
        <v>26326000</v>
      </c>
      <c r="CD93" s="230">
        <v>-5962000</v>
      </c>
      <c r="CE93" s="229">
        <v>-0.22650000000000001</v>
      </c>
      <c r="CF93" s="230">
        <v>7237000</v>
      </c>
      <c r="CG93" s="230">
        <v>3291000</v>
      </c>
      <c r="CH93" s="230">
        <v>3946000</v>
      </c>
      <c r="CI93" s="229">
        <v>1.1990000000000001</v>
      </c>
      <c r="CJ93" s="230">
        <v>649000</v>
      </c>
      <c r="CK93" s="230">
        <v>565000</v>
      </c>
      <c r="CL93" s="230">
        <v>84000</v>
      </c>
      <c r="CM93" s="229">
        <v>0.1487</v>
      </c>
      <c r="CN93" s="230">
        <v>13196000</v>
      </c>
      <c r="CO93" s="230">
        <v>13250000</v>
      </c>
      <c r="CP93" s="230">
        <v>-54000</v>
      </c>
      <c r="CQ93" s="229">
        <v>-4.1000000000000003E-3</v>
      </c>
      <c r="CR93" s="230">
        <v>8424000</v>
      </c>
      <c r="CS93" s="230">
        <v>8098000</v>
      </c>
      <c r="CT93" s="230">
        <v>326000</v>
      </c>
      <c r="CU93" s="229">
        <v>4.0300000000000002E-2</v>
      </c>
      <c r="CV93" s="230">
        <v>49870000</v>
      </c>
      <c r="CW93" s="230">
        <v>51530000</v>
      </c>
      <c r="CX93" s="230">
        <v>-1660000</v>
      </c>
      <c r="CY93" s="229">
        <v>-3.2199999999999999E-2</v>
      </c>
      <c r="CZ93" s="228">
        <v>20.260000000000002</v>
      </c>
      <c r="DA93" s="228">
        <v>21.21</v>
      </c>
      <c r="DB93" s="228">
        <v>-0.95</v>
      </c>
      <c r="DC93" s="228">
        <v>-0.95</v>
      </c>
      <c r="DD93" s="228">
        <v>35.15</v>
      </c>
      <c r="DE93" s="228">
        <v>35.15</v>
      </c>
      <c r="DF93" s="228">
        <v>-14.89</v>
      </c>
      <c r="DG93" s="228">
        <v>0</v>
      </c>
      <c r="DH93" s="228">
        <v>20.420000000000002</v>
      </c>
      <c r="DI93" s="228">
        <v>21.33</v>
      </c>
      <c r="DJ93" s="228">
        <v>-0.91</v>
      </c>
      <c r="DK93" s="228">
        <v>-0.91</v>
      </c>
      <c r="DL93" s="228">
        <v>19.97</v>
      </c>
      <c r="DM93" s="228">
        <v>20.95</v>
      </c>
      <c r="DN93" s="228">
        <v>-0.98</v>
      </c>
      <c r="DO93" s="228">
        <v>-0.98</v>
      </c>
      <c r="DP93" s="228">
        <v>0.64</v>
      </c>
      <c r="DQ93" s="228">
        <v>0.61</v>
      </c>
      <c r="DR93" s="228">
        <v>0.03</v>
      </c>
      <c r="DS93" s="229">
        <v>4.9200000000000001E-2</v>
      </c>
      <c r="DT93" s="228">
        <v>800</v>
      </c>
      <c r="DU93" s="228">
        <v>720</v>
      </c>
      <c r="DV93" s="228">
        <v>0.4</v>
      </c>
      <c r="DW93" s="228">
        <v>0.46</v>
      </c>
      <c r="DX93" s="228">
        <v>-0.06</v>
      </c>
      <c r="DY93" s="229">
        <v>-0.13039999999999999</v>
      </c>
      <c r="DZ93" s="229">
        <v>0.2792</v>
      </c>
      <c r="EA93" s="230">
        <v>3856000</v>
      </c>
      <c r="EB93" s="229">
        <v>6.8999999999999999E-3</v>
      </c>
      <c r="EC93" s="229">
        <v>0.2792</v>
      </c>
      <c r="ED93" s="228">
        <v>5.19</v>
      </c>
      <c r="EE93" s="229">
        <v>7.1000000000000004E-3</v>
      </c>
      <c r="EF93" s="230">
        <v>2930982</v>
      </c>
      <c r="EG93" s="230">
        <v>1875282</v>
      </c>
      <c r="EH93" s="229">
        <v>0.56299999999999994</v>
      </c>
      <c r="EI93" s="229">
        <v>0.58020000000000005</v>
      </c>
      <c r="EJ93" s="231">
        <v>367253.32</v>
      </c>
      <c r="EK93" s="231">
        <v>142184.31</v>
      </c>
      <c r="EL93" s="231">
        <v>123891.76</v>
      </c>
      <c r="EM93" s="231">
        <v>4436</v>
      </c>
      <c r="EN93" s="231">
        <v>633329.39</v>
      </c>
      <c r="EO93" s="231">
        <v>190611.48</v>
      </c>
      <c r="EP93" s="231">
        <v>442717.91</v>
      </c>
      <c r="EQ93" s="229">
        <v>2.3226</v>
      </c>
      <c r="ER93" s="231">
        <v>100140</v>
      </c>
      <c r="ES93" s="231">
        <v>60456</v>
      </c>
      <c r="ET93" s="231">
        <v>207781</v>
      </c>
      <c r="EU93" s="231">
        <v>111956321</v>
      </c>
      <c r="EV93" s="231">
        <v>368376</v>
      </c>
      <c r="EW93" s="231">
        <v>375443</v>
      </c>
      <c r="EX93" s="231">
        <v>-7067</v>
      </c>
      <c r="EY93" s="229">
        <v>-1.8800000000000001E-2</v>
      </c>
      <c r="EZ93" s="229">
        <v>0.44540000000000002</v>
      </c>
      <c r="FA93" s="227" t="s">
        <v>556</v>
      </c>
      <c r="FB93" s="161">
        <f t="shared" si="1"/>
        <v>7886000</v>
      </c>
    </row>
    <row r="94" spans="1:158" ht="17.25" hidden="1" thickBot="1" x14ac:dyDescent="0.3">
      <c r="A94" s="226">
        <v>45981</v>
      </c>
      <c r="B94" s="227" t="s">
        <v>172</v>
      </c>
      <c r="C94" s="227" t="s">
        <v>578</v>
      </c>
      <c r="D94" s="228">
        <v>1000</v>
      </c>
      <c r="E94" s="228">
        <v>880.65</v>
      </c>
      <c r="F94" s="228">
        <v>885.5</v>
      </c>
      <c r="G94" s="228">
        <v>-4.8499999999999996</v>
      </c>
      <c r="H94" s="229">
        <v>-5.4999999999999997E-3</v>
      </c>
      <c r="I94" s="228">
        <v>882.35</v>
      </c>
      <c r="J94" s="228">
        <v>885.55</v>
      </c>
      <c r="K94" s="228">
        <v>-3.2</v>
      </c>
      <c r="L94" s="229">
        <v>-3.5999999999999999E-3</v>
      </c>
      <c r="M94" s="228">
        <v>880.65</v>
      </c>
      <c r="N94" s="228">
        <v>885.5</v>
      </c>
      <c r="O94" s="228">
        <v>-4.8499999999999996</v>
      </c>
      <c r="P94" s="229">
        <v>-5.4999999999999997E-3</v>
      </c>
      <c r="Q94" s="228">
        <v>884.7</v>
      </c>
      <c r="R94" s="228">
        <v>889.25</v>
      </c>
      <c r="S94" s="228">
        <v>-4.55</v>
      </c>
      <c r="T94" s="229">
        <v>-5.1000000000000004E-3</v>
      </c>
      <c r="U94" s="228">
        <v>888.25</v>
      </c>
      <c r="V94" s="228">
        <v>893</v>
      </c>
      <c r="W94" s="228">
        <v>-4.75</v>
      </c>
      <c r="X94" s="229">
        <v>-5.3E-3</v>
      </c>
      <c r="Y94" s="228">
        <v>-1.7</v>
      </c>
      <c r="Z94" s="228">
        <v>-0.05</v>
      </c>
      <c r="AA94" s="228">
        <v>-1.65</v>
      </c>
      <c r="AB94" s="229">
        <v>-1.9E-3</v>
      </c>
      <c r="AC94" s="228">
        <v>-1.7</v>
      </c>
      <c r="AD94" s="228">
        <v>-0.05</v>
      </c>
      <c r="AE94" s="228">
        <v>-1.65</v>
      </c>
      <c r="AF94" s="229">
        <v>-1.9E-3</v>
      </c>
      <c r="AG94" s="228">
        <v>2.35</v>
      </c>
      <c r="AH94" s="228">
        <v>3.7</v>
      </c>
      <c r="AI94" s="228">
        <v>-1.35</v>
      </c>
      <c r="AJ94" s="229">
        <v>2.7000000000000001E-3</v>
      </c>
      <c r="AK94" s="228">
        <v>5.9</v>
      </c>
      <c r="AL94" s="228">
        <v>7.45</v>
      </c>
      <c r="AM94" s="228">
        <v>-1.55</v>
      </c>
      <c r="AN94" s="229">
        <v>6.7000000000000002E-3</v>
      </c>
      <c r="AO94" s="228">
        <v>887.25</v>
      </c>
      <c r="AP94" s="228">
        <v>890.89</v>
      </c>
      <c r="AQ94" s="228">
        <v>0</v>
      </c>
      <c r="AR94" s="230">
        <v>7741000</v>
      </c>
      <c r="AS94" s="230">
        <v>3195000</v>
      </c>
      <c r="AT94" s="230">
        <v>4546000</v>
      </c>
      <c r="AU94" s="229">
        <v>1.4228000000000001</v>
      </c>
      <c r="AV94" s="230">
        <v>4528000</v>
      </c>
      <c r="AW94" s="230">
        <v>2585000</v>
      </c>
      <c r="AX94" s="230">
        <v>1943000</v>
      </c>
      <c r="AY94" s="229">
        <v>0.75160000000000005</v>
      </c>
      <c r="AZ94" s="230">
        <v>3200000</v>
      </c>
      <c r="BA94" s="230">
        <v>596000</v>
      </c>
      <c r="BB94" s="230">
        <v>2604000</v>
      </c>
      <c r="BC94" s="229">
        <v>4.3691000000000004</v>
      </c>
      <c r="BD94" s="230">
        <v>13000</v>
      </c>
      <c r="BE94" s="230">
        <v>14000</v>
      </c>
      <c r="BF94" s="230">
        <v>-1000</v>
      </c>
      <c r="BG94" s="229">
        <v>-7.1400000000000005E-2</v>
      </c>
      <c r="BH94" s="230">
        <v>5587000</v>
      </c>
      <c r="BI94" s="230">
        <v>7305000</v>
      </c>
      <c r="BJ94" s="230">
        <v>-1718000</v>
      </c>
      <c r="BK94" s="229">
        <v>-0.23519999999999999</v>
      </c>
      <c r="BL94" s="230">
        <v>2922000</v>
      </c>
      <c r="BM94" s="230">
        <v>3438000</v>
      </c>
      <c r="BN94" s="230">
        <v>-516000</v>
      </c>
      <c r="BO94" s="229">
        <v>-0.15010000000000001</v>
      </c>
      <c r="BP94" s="230">
        <v>16250000</v>
      </c>
      <c r="BQ94" s="230">
        <v>13938000</v>
      </c>
      <c r="BR94" s="230">
        <v>2312000</v>
      </c>
      <c r="BS94" s="229">
        <v>0.16589999999999999</v>
      </c>
      <c r="BT94" s="230">
        <v>899998</v>
      </c>
      <c r="BU94" s="230">
        <v>1524800</v>
      </c>
      <c r="BV94" s="230">
        <v>-624802</v>
      </c>
      <c r="BW94" s="229">
        <v>-0.4098</v>
      </c>
      <c r="BX94" s="230">
        <v>12104000</v>
      </c>
      <c r="BY94" s="230">
        <v>13136000</v>
      </c>
      <c r="BZ94" s="230">
        <v>-1032000</v>
      </c>
      <c r="CA94" s="229">
        <v>-7.8600000000000003E-2</v>
      </c>
      <c r="CB94" s="230">
        <v>8670000</v>
      </c>
      <c r="CC94" s="230">
        <v>11654000</v>
      </c>
      <c r="CD94" s="230">
        <v>-2984000</v>
      </c>
      <c r="CE94" s="229">
        <v>-0.25600000000000001</v>
      </c>
      <c r="CF94" s="230">
        <v>3286000</v>
      </c>
      <c r="CG94" s="230">
        <v>1338000</v>
      </c>
      <c r="CH94" s="230">
        <v>1948000</v>
      </c>
      <c r="CI94" s="229">
        <v>1.4559</v>
      </c>
      <c r="CJ94" s="230">
        <v>148000</v>
      </c>
      <c r="CK94" s="230">
        <v>144000</v>
      </c>
      <c r="CL94" s="230">
        <v>4000</v>
      </c>
      <c r="CM94" s="229">
        <v>2.7799999999999998E-2</v>
      </c>
      <c r="CN94" s="230">
        <v>6671000</v>
      </c>
      <c r="CO94" s="230">
        <v>7101000</v>
      </c>
      <c r="CP94" s="230">
        <v>-430000</v>
      </c>
      <c r="CQ94" s="229">
        <v>-6.0600000000000001E-2</v>
      </c>
      <c r="CR94" s="230">
        <v>4198000</v>
      </c>
      <c r="CS94" s="230">
        <v>4317000</v>
      </c>
      <c r="CT94" s="230">
        <v>-119000</v>
      </c>
      <c r="CU94" s="229">
        <v>-2.76E-2</v>
      </c>
      <c r="CV94" s="230">
        <v>22973000</v>
      </c>
      <c r="CW94" s="230">
        <v>24554000</v>
      </c>
      <c r="CX94" s="230">
        <v>-1581000</v>
      </c>
      <c r="CY94" s="229">
        <v>-6.4399999999999999E-2</v>
      </c>
      <c r="CZ94" s="228">
        <v>27.37</v>
      </c>
      <c r="DA94" s="228">
        <v>26.22</v>
      </c>
      <c r="DB94" s="228">
        <v>1.1499999999999999</v>
      </c>
      <c r="DC94" s="228">
        <v>1.1499999999999999</v>
      </c>
      <c r="DD94" s="228">
        <v>37.19</v>
      </c>
      <c r="DE94" s="228">
        <v>37.28</v>
      </c>
      <c r="DF94" s="228">
        <v>-9.82</v>
      </c>
      <c r="DG94" s="228">
        <v>-0.09</v>
      </c>
      <c r="DH94" s="228">
        <v>27.04</v>
      </c>
      <c r="DI94" s="228">
        <v>26.18</v>
      </c>
      <c r="DJ94" s="228">
        <v>0.86</v>
      </c>
      <c r="DK94" s="228">
        <v>0.86</v>
      </c>
      <c r="DL94" s="228">
        <v>27.79</v>
      </c>
      <c r="DM94" s="228">
        <v>26.32</v>
      </c>
      <c r="DN94" s="228">
        <v>1.47</v>
      </c>
      <c r="DO94" s="228">
        <v>1.47</v>
      </c>
      <c r="DP94" s="228">
        <v>0.63</v>
      </c>
      <c r="DQ94" s="228">
        <v>0.61</v>
      </c>
      <c r="DR94" s="228">
        <v>0.02</v>
      </c>
      <c r="DS94" s="229">
        <v>3.2800000000000003E-2</v>
      </c>
      <c r="DT94" s="228">
        <v>900</v>
      </c>
      <c r="DU94" s="228">
        <v>850</v>
      </c>
      <c r="DV94" s="228">
        <v>0.52</v>
      </c>
      <c r="DW94" s="228">
        <v>0.47</v>
      </c>
      <c r="DX94" s="228">
        <v>0.05</v>
      </c>
      <c r="DY94" s="229">
        <v>0.10639999999999999</v>
      </c>
      <c r="DZ94" s="229">
        <v>0.28370000000000001</v>
      </c>
      <c r="EA94" s="230">
        <v>1482000</v>
      </c>
      <c r="EB94" s="229">
        <v>4.5999999999999999E-3</v>
      </c>
      <c r="EC94" s="229">
        <v>0.28370000000000001</v>
      </c>
      <c r="ED94" s="228">
        <v>3.64</v>
      </c>
      <c r="EE94" s="229">
        <v>4.1000000000000003E-3</v>
      </c>
      <c r="EF94" s="230">
        <v>456304</v>
      </c>
      <c r="EG94" s="230">
        <v>860459</v>
      </c>
      <c r="EH94" s="229">
        <v>-0.46970000000000001</v>
      </c>
      <c r="EI94" s="229">
        <v>0.50700000000000001</v>
      </c>
      <c r="EJ94" s="231">
        <v>50963.51</v>
      </c>
      <c r="EK94" s="231">
        <v>25402.27</v>
      </c>
      <c r="EL94" s="231">
        <v>68799.509999999995</v>
      </c>
      <c r="EM94" s="231">
        <v>2566</v>
      </c>
      <c r="EN94" s="231">
        <v>145165.29</v>
      </c>
      <c r="EO94" s="231">
        <v>124875.42</v>
      </c>
      <c r="EP94" s="231">
        <v>20289.87</v>
      </c>
      <c r="EQ94" s="229">
        <v>0.16250000000000001</v>
      </c>
      <c r="ER94" s="231">
        <v>59646</v>
      </c>
      <c r="ES94" s="231">
        <v>34846</v>
      </c>
      <c r="ET94" s="231">
        <v>106738</v>
      </c>
      <c r="EU94" s="231">
        <v>52862157</v>
      </c>
      <c r="EV94" s="231">
        <v>201229</v>
      </c>
      <c r="EW94" s="231">
        <v>215717</v>
      </c>
      <c r="EX94" s="231">
        <v>-14488</v>
      </c>
      <c r="EY94" s="229">
        <v>-6.7199999999999996E-2</v>
      </c>
      <c r="EZ94" s="229">
        <v>0.43459999999999999</v>
      </c>
      <c r="FA94" s="227" t="s">
        <v>568</v>
      </c>
      <c r="FB94" s="161">
        <f t="shared" si="1"/>
        <v>3434000</v>
      </c>
    </row>
    <row r="95" spans="1:158" ht="17.25" hidden="1" thickBot="1" x14ac:dyDescent="0.3">
      <c r="A95" s="226">
        <v>45981</v>
      </c>
      <c r="B95" s="227" t="s">
        <v>181</v>
      </c>
      <c r="C95" s="227" t="s">
        <v>689</v>
      </c>
      <c r="D95" s="228">
        <v>1</v>
      </c>
      <c r="E95" s="228">
        <v>12.13</v>
      </c>
      <c r="F95" s="228">
        <v>11.97</v>
      </c>
      <c r="G95" s="228">
        <v>0.16</v>
      </c>
      <c r="H95" s="229">
        <v>1.38E-2</v>
      </c>
      <c r="I95" s="228">
        <v>12.13</v>
      </c>
      <c r="J95" s="228">
        <v>11.97</v>
      </c>
      <c r="K95" s="228">
        <v>0.16</v>
      </c>
      <c r="L95" s="229">
        <v>1.38E-2</v>
      </c>
      <c r="M95" s="228">
        <v>0</v>
      </c>
      <c r="N95" s="228">
        <v>0</v>
      </c>
      <c r="O95" s="228">
        <v>0</v>
      </c>
      <c r="P95" s="229">
        <v>0</v>
      </c>
      <c r="Q95" s="228">
        <v>0</v>
      </c>
      <c r="R95" s="228">
        <v>0</v>
      </c>
      <c r="S95" s="228">
        <v>0</v>
      </c>
      <c r="T95" s="229">
        <v>0</v>
      </c>
      <c r="U95" s="228">
        <v>0</v>
      </c>
      <c r="V95" s="228">
        <v>0</v>
      </c>
      <c r="W95" s="228">
        <v>0</v>
      </c>
      <c r="X95" s="229">
        <v>0</v>
      </c>
      <c r="Y95" s="228">
        <v>0</v>
      </c>
      <c r="Z95" s="228">
        <v>0</v>
      </c>
      <c r="AA95" s="228">
        <v>0</v>
      </c>
      <c r="AB95" s="229">
        <v>0</v>
      </c>
      <c r="AC95" s="228">
        <v>0</v>
      </c>
      <c r="AD95" s="228">
        <v>0</v>
      </c>
      <c r="AE95" s="228">
        <v>0</v>
      </c>
      <c r="AF95" s="229">
        <v>0</v>
      </c>
      <c r="AG95" s="228">
        <v>0</v>
      </c>
      <c r="AH95" s="228">
        <v>0</v>
      </c>
      <c r="AI95" s="228">
        <v>0</v>
      </c>
      <c r="AJ95" s="229">
        <v>0</v>
      </c>
      <c r="AK95" s="228">
        <v>0</v>
      </c>
      <c r="AL95" s="228">
        <v>0</v>
      </c>
      <c r="AM95" s="228">
        <v>0</v>
      </c>
      <c r="AN95" s="229">
        <v>0</v>
      </c>
      <c r="AO95" s="228">
        <v>0</v>
      </c>
      <c r="AP95" s="228">
        <v>0</v>
      </c>
      <c r="AQ95" s="228">
        <v>0</v>
      </c>
      <c r="AR95" s="228">
        <v>0</v>
      </c>
      <c r="AS95" s="228">
        <v>0</v>
      </c>
      <c r="AT95" s="228">
        <v>0</v>
      </c>
      <c r="AU95" s="229">
        <v>0</v>
      </c>
      <c r="AV95" s="228">
        <v>0</v>
      </c>
      <c r="AW95" s="228">
        <v>0</v>
      </c>
      <c r="AX95" s="228">
        <v>0</v>
      </c>
      <c r="AY95" s="229">
        <v>0</v>
      </c>
      <c r="AZ95" s="228">
        <v>0</v>
      </c>
      <c r="BA95" s="228">
        <v>0</v>
      </c>
      <c r="BB95" s="228">
        <v>0</v>
      </c>
      <c r="BC95" s="229">
        <v>0</v>
      </c>
      <c r="BD95" s="228">
        <v>0</v>
      </c>
      <c r="BE95" s="228">
        <v>0</v>
      </c>
      <c r="BF95" s="228">
        <v>0</v>
      </c>
      <c r="BG95" s="229">
        <v>0</v>
      </c>
      <c r="BH95" s="228">
        <v>0</v>
      </c>
      <c r="BI95" s="228">
        <v>0</v>
      </c>
      <c r="BJ95" s="228">
        <v>0</v>
      </c>
      <c r="BK95" s="229">
        <v>0</v>
      </c>
      <c r="BL95" s="228">
        <v>0</v>
      </c>
      <c r="BM95" s="228">
        <v>0</v>
      </c>
      <c r="BN95" s="228">
        <v>0</v>
      </c>
      <c r="BO95" s="229">
        <v>0</v>
      </c>
      <c r="BP95" s="228">
        <v>0</v>
      </c>
      <c r="BQ95" s="228">
        <v>0</v>
      </c>
      <c r="BR95" s="228">
        <v>0</v>
      </c>
      <c r="BS95" s="229">
        <v>0</v>
      </c>
      <c r="BT95" s="228">
        <v>0</v>
      </c>
      <c r="BU95" s="228">
        <v>0</v>
      </c>
      <c r="BV95" s="228">
        <v>0</v>
      </c>
      <c r="BW95" s="229">
        <v>0</v>
      </c>
      <c r="BX95" s="228">
        <v>0</v>
      </c>
      <c r="BY95" s="228">
        <v>0</v>
      </c>
      <c r="BZ95" s="228">
        <v>0</v>
      </c>
      <c r="CA95" s="229">
        <v>0</v>
      </c>
      <c r="CB95" s="228">
        <v>0</v>
      </c>
      <c r="CC95" s="228">
        <v>0</v>
      </c>
      <c r="CD95" s="228">
        <v>0</v>
      </c>
      <c r="CE95" s="229">
        <v>0</v>
      </c>
      <c r="CF95" s="228">
        <v>0</v>
      </c>
      <c r="CG95" s="228">
        <v>0</v>
      </c>
      <c r="CH95" s="228">
        <v>0</v>
      </c>
      <c r="CI95" s="229">
        <v>0</v>
      </c>
      <c r="CJ95" s="228">
        <v>0</v>
      </c>
      <c r="CK95" s="228">
        <v>0</v>
      </c>
      <c r="CL95" s="228">
        <v>0</v>
      </c>
      <c r="CM95" s="229">
        <v>0</v>
      </c>
      <c r="CN95" s="228">
        <v>0</v>
      </c>
      <c r="CO95" s="228">
        <v>0</v>
      </c>
      <c r="CP95" s="228">
        <v>0</v>
      </c>
      <c r="CQ95" s="229">
        <v>0</v>
      </c>
      <c r="CR95" s="228">
        <v>0</v>
      </c>
      <c r="CS95" s="228">
        <v>0</v>
      </c>
      <c r="CT95" s="228">
        <v>0</v>
      </c>
      <c r="CU95" s="229">
        <v>0</v>
      </c>
      <c r="CV95" s="228">
        <v>0</v>
      </c>
      <c r="CW95" s="228">
        <v>0</v>
      </c>
      <c r="CX95" s="228">
        <v>0</v>
      </c>
      <c r="CY95" s="229">
        <v>0</v>
      </c>
      <c r="CZ95" s="228">
        <v>0</v>
      </c>
      <c r="DA95" s="228">
        <v>0</v>
      </c>
      <c r="DB95" s="228">
        <v>0</v>
      </c>
      <c r="DC95" s="228">
        <v>0</v>
      </c>
      <c r="DD95" s="228">
        <v>0</v>
      </c>
      <c r="DE95" s="228">
        <v>0</v>
      </c>
      <c r="DF95" s="228">
        <v>0</v>
      </c>
      <c r="DG95" s="228">
        <v>0</v>
      </c>
      <c r="DH95" s="228">
        <v>0</v>
      </c>
      <c r="DI95" s="228">
        <v>0</v>
      </c>
      <c r="DJ95" s="228">
        <v>0</v>
      </c>
      <c r="DK95" s="228">
        <v>0</v>
      </c>
      <c r="DL95" s="228">
        <v>0</v>
      </c>
      <c r="DM95" s="228">
        <v>0</v>
      </c>
      <c r="DN95" s="228">
        <v>0</v>
      </c>
      <c r="DO95" s="228">
        <v>0</v>
      </c>
      <c r="DP95" s="228">
        <v>0</v>
      </c>
      <c r="DQ95" s="228">
        <v>0</v>
      </c>
      <c r="DR95" s="228">
        <v>0</v>
      </c>
      <c r="DS95" s="229">
        <v>0</v>
      </c>
      <c r="DT95" s="228">
        <v>0</v>
      </c>
      <c r="DU95" s="228">
        <v>0</v>
      </c>
      <c r="DV95" s="228">
        <v>0</v>
      </c>
      <c r="DW95" s="228">
        <v>0</v>
      </c>
      <c r="DX95" s="228">
        <v>0</v>
      </c>
      <c r="DY95" s="229">
        <v>0</v>
      </c>
      <c r="DZ95" s="229">
        <v>0</v>
      </c>
      <c r="EA95" s="228">
        <v>0</v>
      </c>
      <c r="EB95" s="229">
        <v>0</v>
      </c>
      <c r="EC95" s="229">
        <v>0</v>
      </c>
      <c r="ED95" s="228">
        <v>0</v>
      </c>
      <c r="EE95" s="229">
        <v>0</v>
      </c>
      <c r="EF95" s="228">
        <v>0</v>
      </c>
      <c r="EG95" s="228">
        <v>0</v>
      </c>
      <c r="EH95" s="229">
        <v>0</v>
      </c>
      <c r="EI95" s="229">
        <v>0</v>
      </c>
      <c r="EJ95" s="228">
        <v>0</v>
      </c>
      <c r="EK95" s="228">
        <v>0</v>
      </c>
      <c r="EL95" s="228">
        <v>0</v>
      </c>
      <c r="EM95" s="228">
        <v>0</v>
      </c>
      <c r="EN95" s="228">
        <v>0</v>
      </c>
      <c r="EO95" s="228">
        <v>0</v>
      </c>
      <c r="EP95" s="228">
        <v>0</v>
      </c>
      <c r="EQ95" s="229">
        <v>0</v>
      </c>
      <c r="ER95" s="228">
        <v>0</v>
      </c>
      <c r="ES95" s="228">
        <v>0</v>
      </c>
      <c r="ET95" s="228">
        <v>0</v>
      </c>
      <c r="EU95" s="228">
        <v>0</v>
      </c>
      <c r="EV95" s="228">
        <v>0</v>
      </c>
      <c r="EW95" s="228">
        <v>0</v>
      </c>
      <c r="EX95" s="228">
        <v>0</v>
      </c>
      <c r="EY95" s="229">
        <v>0</v>
      </c>
      <c r="EZ95" s="229">
        <v>0</v>
      </c>
      <c r="FA95" s="227" t="s">
        <v>237</v>
      </c>
      <c r="FB95" s="161">
        <f t="shared" si="1"/>
        <v>0</v>
      </c>
    </row>
    <row r="96" spans="1:158" ht="17.25" hidden="1" thickBot="1" x14ac:dyDescent="0.3">
      <c r="A96" s="226">
        <v>45981</v>
      </c>
      <c r="B96" s="227" t="s">
        <v>215</v>
      </c>
      <c r="C96" s="227" t="s">
        <v>238</v>
      </c>
      <c r="D96" s="228">
        <v>150</v>
      </c>
      <c r="E96" s="231">
        <v>5788</v>
      </c>
      <c r="F96" s="231">
        <v>5768</v>
      </c>
      <c r="G96" s="228">
        <v>20</v>
      </c>
      <c r="H96" s="229">
        <v>3.5000000000000001E-3</v>
      </c>
      <c r="I96" s="231">
        <v>5785.5</v>
      </c>
      <c r="J96" s="231">
        <v>5758.5</v>
      </c>
      <c r="K96" s="228">
        <v>27</v>
      </c>
      <c r="L96" s="229">
        <v>4.7000000000000002E-3</v>
      </c>
      <c r="M96" s="231">
        <v>5788</v>
      </c>
      <c r="N96" s="231">
        <v>5768</v>
      </c>
      <c r="O96" s="228">
        <v>20</v>
      </c>
      <c r="P96" s="229">
        <v>3.5000000000000001E-3</v>
      </c>
      <c r="Q96" s="231">
        <v>5822.5</v>
      </c>
      <c r="R96" s="231">
        <v>5802.5</v>
      </c>
      <c r="S96" s="228">
        <v>20</v>
      </c>
      <c r="T96" s="229">
        <v>3.3999999999999998E-3</v>
      </c>
      <c r="U96" s="231">
        <v>5858</v>
      </c>
      <c r="V96" s="231">
        <v>5841.5</v>
      </c>
      <c r="W96" s="228">
        <v>16.5</v>
      </c>
      <c r="X96" s="229">
        <v>2.8E-3</v>
      </c>
      <c r="Y96" s="228">
        <v>2.5</v>
      </c>
      <c r="Z96" s="228">
        <v>9.5</v>
      </c>
      <c r="AA96" s="228">
        <v>-7</v>
      </c>
      <c r="AB96" s="229">
        <v>4.0000000000000002E-4</v>
      </c>
      <c r="AC96" s="228">
        <v>2.5</v>
      </c>
      <c r="AD96" s="228">
        <v>9.5</v>
      </c>
      <c r="AE96" s="228">
        <v>-7</v>
      </c>
      <c r="AF96" s="229">
        <v>4.0000000000000002E-4</v>
      </c>
      <c r="AG96" s="228">
        <v>37</v>
      </c>
      <c r="AH96" s="228">
        <v>44</v>
      </c>
      <c r="AI96" s="228">
        <v>-7</v>
      </c>
      <c r="AJ96" s="229">
        <v>6.4000000000000003E-3</v>
      </c>
      <c r="AK96" s="228">
        <v>72.5</v>
      </c>
      <c r="AL96" s="228">
        <v>83</v>
      </c>
      <c r="AM96" s="228">
        <v>-10.5</v>
      </c>
      <c r="AN96" s="229">
        <v>1.2500000000000001E-2</v>
      </c>
      <c r="AO96" s="231">
        <v>5803.06</v>
      </c>
      <c r="AP96" s="231">
        <v>5835.23</v>
      </c>
      <c r="AQ96" s="228">
        <v>0</v>
      </c>
      <c r="AR96" s="230">
        <v>5099550</v>
      </c>
      <c r="AS96" s="230">
        <v>1689450</v>
      </c>
      <c r="AT96" s="230">
        <v>3410100</v>
      </c>
      <c r="AU96" s="229">
        <v>2.0185</v>
      </c>
      <c r="AV96" s="230">
        <v>2617800</v>
      </c>
      <c r="AW96" s="230">
        <v>1049850</v>
      </c>
      <c r="AX96" s="230">
        <v>1567950</v>
      </c>
      <c r="AY96" s="229">
        <v>1.4935</v>
      </c>
      <c r="AZ96" s="230">
        <v>2457750</v>
      </c>
      <c r="BA96" s="230">
        <v>627450</v>
      </c>
      <c r="BB96" s="230">
        <v>1830300</v>
      </c>
      <c r="BC96" s="229">
        <v>2.9169999999999998</v>
      </c>
      <c r="BD96" s="230">
        <v>24000</v>
      </c>
      <c r="BE96" s="230">
        <v>12150</v>
      </c>
      <c r="BF96" s="230">
        <v>11850</v>
      </c>
      <c r="BG96" s="229">
        <v>0.97529999999999994</v>
      </c>
      <c r="BH96" s="230">
        <v>6867600</v>
      </c>
      <c r="BI96" s="230">
        <v>6735300</v>
      </c>
      <c r="BJ96" s="230">
        <v>132300</v>
      </c>
      <c r="BK96" s="229">
        <v>1.9599999999999999E-2</v>
      </c>
      <c r="BL96" s="230">
        <v>3158100</v>
      </c>
      <c r="BM96" s="230">
        <v>3888000</v>
      </c>
      <c r="BN96" s="230">
        <v>-729900</v>
      </c>
      <c r="BO96" s="229">
        <v>-0.18770000000000001</v>
      </c>
      <c r="BP96" s="230">
        <v>15125250</v>
      </c>
      <c r="BQ96" s="230">
        <v>12312750</v>
      </c>
      <c r="BR96" s="230">
        <v>2812500</v>
      </c>
      <c r="BS96" s="229">
        <v>0.22839999999999999</v>
      </c>
      <c r="BT96" s="230">
        <v>442522</v>
      </c>
      <c r="BU96" s="230">
        <v>797534</v>
      </c>
      <c r="BV96" s="230">
        <v>-355012</v>
      </c>
      <c r="BW96" s="229">
        <v>-0.4451</v>
      </c>
      <c r="BX96" s="230">
        <v>7956000</v>
      </c>
      <c r="BY96" s="230">
        <v>7809000</v>
      </c>
      <c r="BZ96" s="230">
        <v>147000</v>
      </c>
      <c r="CA96" s="229">
        <v>1.8800000000000001E-2</v>
      </c>
      <c r="CB96" s="230">
        <v>5069550</v>
      </c>
      <c r="CC96" s="230">
        <v>6817650</v>
      </c>
      <c r="CD96" s="230">
        <v>-1748100</v>
      </c>
      <c r="CE96" s="229">
        <v>-0.25640000000000002</v>
      </c>
      <c r="CF96" s="230">
        <v>2841150</v>
      </c>
      <c r="CG96" s="230">
        <v>949350</v>
      </c>
      <c r="CH96" s="230">
        <v>1891800</v>
      </c>
      <c r="CI96" s="229">
        <v>1.9926999999999999</v>
      </c>
      <c r="CJ96" s="230">
        <v>45300</v>
      </c>
      <c r="CK96" s="230">
        <v>42000</v>
      </c>
      <c r="CL96" s="230">
        <v>3300</v>
      </c>
      <c r="CM96" s="229">
        <v>7.8600000000000003E-2</v>
      </c>
      <c r="CN96" s="230">
        <v>3648000</v>
      </c>
      <c r="CO96" s="230">
        <v>3905100</v>
      </c>
      <c r="CP96" s="230">
        <v>-257100</v>
      </c>
      <c r="CQ96" s="229">
        <v>-6.5799999999999997E-2</v>
      </c>
      <c r="CR96" s="230">
        <v>2172750</v>
      </c>
      <c r="CS96" s="230">
        <v>2248200</v>
      </c>
      <c r="CT96" s="230">
        <v>-75450</v>
      </c>
      <c r="CU96" s="229">
        <v>-3.3599999999999998E-2</v>
      </c>
      <c r="CV96" s="230">
        <v>13776750</v>
      </c>
      <c r="CW96" s="230">
        <v>13962300</v>
      </c>
      <c r="CX96" s="230">
        <v>-185550</v>
      </c>
      <c r="CY96" s="229">
        <v>-1.3299999999999999E-2</v>
      </c>
      <c r="CZ96" s="228">
        <v>20.3</v>
      </c>
      <c r="DA96" s="228">
        <v>22.3</v>
      </c>
      <c r="DB96" s="228">
        <v>-2</v>
      </c>
      <c r="DC96" s="228">
        <v>-2</v>
      </c>
      <c r="DD96" s="228">
        <v>32.03</v>
      </c>
      <c r="DE96" s="228">
        <v>32.11</v>
      </c>
      <c r="DF96" s="228">
        <v>-11.73</v>
      </c>
      <c r="DG96" s="228">
        <v>-0.08</v>
      </c>
      <c r="DH96" s="228">
        <v>20.16</v>
      </c>
      <c r="DI96" s="228">
        <v>22.43</v>
      </c>
      <c r="DJ96" s="228">
        <v>-2.27</v>
      </c>
      <c r="DK96" s="228">
        <v>-2.27</v>
      </c>
      <c r="DL96" s="228">
        <v>20.52</v>
      </c>
      <c r="DM96" s="228">
        <v>22.08</v>
      </c>
      <c r="DN96" s="228">
        <v>-1.56</v>
      </c>
      <c r="DO96" s="228">
        <v>-1.56</v>
      </c>
      <c r="DP96" s="228">
        <v>0.6</v>
      </c>
      <c r="DQ96" s="228">
        <v>0.57999999999999996</v>
      </c>
      <c r="DR96" s="228">
        <v>0.02</v>
      </c>
      <c r="DS96" s="229">
        <v>3.4500000000000003E-2</v>
      </c>
      <c r="DT96" s="231">
        <v>5900</v>
      </c>
      <c r="DU96" s="231">
        <v>6000</v>
      </c>
      <c r="DV96" s="228">
        <v>0.46</v>
      </c>
      <c r="DW96" s="228">
        <v>0.57999999999999996</v>
      </c>
      <c r="DX96" s="228">
        <v>-0.12</v>
      </c>
      <c r="DY96" s="229">
        <v>-0.2069</v>
      </c>
      <c r="DZ96" s="229">
        <v>0.36280000000000001</v>
      </c>
      <c r="EA96" s="230">
        <v>991350</v>
      </c>
      <c r="EB96" s="229">
        <v>6.0000000000000001E-3</v>
      </c>
      <c r="EC96" s="229">
        <v>0.36280000000000001</v>
      </c>
      <c r="ED96" s="228">
        <v>32.17</v>
      </c>
      <c r="EE96" s="229">
        <v>5.4999999999999997E-3</v>
      </c>
      <c r="EF96" s="230">
        <v>269848</v>
      </c>
      <c r="EG96" s="230">
        <v>547648</v>
      </c>
      <c r="EH96" s="229">
        <v>-0.50729999999999997</v>
      </c>
      <c r="EI96" s="229">
        <v>0.60980000000000001</v>
      </c>
      <c r="EJ96" s="231">
        <v>408718.07</v>
      </c>
      <c r="EK96" s="231">
        <v>180788.1</v>
      </c>
      <c r="EL96" s="231">
        <v>296733.65000000002</v>
      </c>
      <c r="EM96" s="231">
        <v>7991</v>
      </c>
      <c r="EN96" s="231">
        <v>886239.82</v>
      </c>
      <c r="EO96" s="231">
        <v>717227.79</v>
      </c>
      <c r="EP96" s="231">
        <v>169012.03</v>
      </c>
      <c r="EQ96" s="229">
        <v>0.2356</v>
      </c>
      <c r="ER96" s="231">
        <v>218052</v>
      </c>
      <c r="ES96" s="231">
        <v>122613</v>
      </c>
      <c r="ET96" s="231">
        <v>461505</v>
      </c>
      <c r="EU96" s="231">
        <v>32732860</v>
      </c>
      <c r="EV96" s="231">
        <v>802170</v>
      </c>
      <c r="EW96" s="231">
        <v>810485</v>
      </c>
      <c r="EX96" s="231">
        <v>-8315</v>
      </c>
      <c r="EY96" s="229">
        <v>-1.03E-2</v>
      </c>
      <c r="EZ96" s="229">
        <v>0.4209</v>
      </c>
      <c r="FA96" s="227" t="s">
        <v>555</v>
      </c>
      <c r="FB96" s="161">
        <f t="shared" si="1"/>
        <v>2886450</v>
      </c>
    </row>
    <row r="97" spans="1:158" ht="17.25" hidden="1" thickBot="1" x14ac:dyDescent="0.3">
      <c r="A97" s="226">
        <v>45981</v>
      </c>
      <c r="B97" s="227" t="s">
        <v>172</v>
      </c>
      <c r="C97" s="227" t="s">
        <v>239</v>
      </c>
      <c r="D97" s="228">
        <v>700</v>
      </c>
      <c r="E97" s="228">
        <v>830.05</v>
      </c>
      <c r="F97" s="228">
        <v>840.7</v>
      </c>
      <c r="G97" s="228">
        <v>-10.65</v>
      </c>
      <c r="H97" s="229">
        <v>-1.2699999999999999E-2</v>
      </c>
      <c r="I97" s="228">
        <v>829.4</v>
      </c>
      <c r="J97" s="228">
        <v>839.6</v>
      </c>
      <c r="K97" s="228">
        <v>-10.199999999999999</v>
      </c>
      <c r="L97" s="229">
        <v>-1.21E-2</v>
      </c>
      <c r="M97" s="228">
        <v>830.05</v>
      </c>
      <c r="N97" s="228">
        <v>840.7</v>
      </c>
      <c r="O97" s="228">
        <v>-10.65</v>
      </c>
      <c r="P97" s="229">
        <v>-1.2699999999999999E-2</v>
      </c>
      <c r="Q97" s="228">
        <v>835.6</v>
      </c>
      <c r="R97" s="228">
        <v>846.45</v>
      </c>
      <c r="S97" s="228">
        <v>-10.85</v>
      </c>
      <c r="T97" s="229">
        <v>-1.2800000000000001E-2</v>
      </c>
      <c r="U97" s="228">
        <v>841.1</v>
      </c>
      <c r="V97" s="228">
        <v>851.2</v>
      </c>
      <c r="W97" s="228">
        <v>-10.1</v>
      </c>
      <c r="X97" s="229">
        <v>-1.1900000000000001E-2</v>
      </c>
      <c r="Y97" s="228">
        <v>0.65</v>
      </c>
      <c r="Z97" s="228">
        <v>1.1000000000000001</v>
      </c>
      <c r="AA97" s="228">
        <v>-0.45</v>
      </c>
      <c r="AB97" s="229">
        <v>8.0000000000000004E-4</v>
      </c>
      <c r="AC97" s="228">
        <v>0.65</v>
      </c>
      <c r="AD97" s="228">
        <v>1.1000000000000001</v>
      </c>
      <c r="AE97" s="228">
        <v>-0.45</v>
      </c>
      <c r="AF97" s="229">
        <v>8.0000000000000004E-4</v>
      </c>
      <c r="AG97" s="228">
        <v>6.2</v>
      </c>
      <c r="AH97" s="228">
        <v>6.85</v>
      </c>
      <c r="AI97" s="228">
        <v>-0.65</v>
      </c>
      <c r="AJ97" s="229">
        <v>7.4999999999999997E-3</v>
      </c>
      <c r="AK97" s="228">
        <v>11.7</v>
      </c>
      <c r="AL97" s="228">
        <v>11.6</v>
      </c>
      <c r="AM97" s="228">
        <v>0.1</v>
      </c>
      <c r="AN97" s="229">
        <v>1.41E-2</v>
      </c>
      <c r="AO97" s="228">
        <v>833.14</v>
      </c>
      <c r="AP97" s="228">
        <v>838.49</v>
      </c>
      <c r="AQ97" s="228">
        <v>0</v>
      </c>
      <c r="AR97" s="230">
        <v>25120200</v>
      </c>
      <c r="AS97" s="230">
        <v>14533400</v>
      </c>
      <c r="AT97" s="230">
        <v>10586800</v>
      </c>
      <c r="AU97" s="229">
        <v>0.72840000000000005</v>
      </c>
      <c r="AV97" s="230">
        <v>13348300</v>
      </c>
      <c r="AW97" s="230">
        <v>8751400</v>
      </c>
      <c r="AX97" s="230">
        <v>4596900</v>
      </c>
      <c r="AY97" s="229">
        <v>0.52529999999999999</v>
      </c>
      <c r="AZ97" s="230">
        <v>11610200</v>
      </c>
      <c r="BA97" s="230">
        <v>5629400</v>
      </c>
      <c r="BB97" s="230">
        <v>5980800</v>
      </c>
      <c r="BC97" s="229">
        <v>1.0624</v>
      </c>
      <c r="BD97" s="230">
        <v>161700</v>
      </c>
      <c r="BE97" s="230">
        <v>152600</v>
      </c>
      <c r="BF97" s="230">
        <v>9100</v>
      </c>
      <c r="BG97" s="229">
        <v>5.96E-2</v>
      </c>
      <c r="BH97" s="230">
        <v>27472900</v>
      </c>
      <c r="BI97" s="230">
        <v>23556400</v>
      </c>
      <c r="BJ97" s="230">
        <v>3916500</v>
      </c>
      <c r="BK97" s="229">
        <v>0.1663</v>
      </c>
      <c r="BL97" s="230">
        <v>13335000</v>
      </c>
      <c r="BM97" s="230">
        <v>15292200</v>
      </c>
      <c r="BN97" s="230">
        <v>-1957200</v>
      </c>
      <c r="BO97" s="229">
        <v>-0.128</v>
      </c>
      <c r="BP97" s="230">
        <v>65928100</v>
      </c>
      <c r="BQ97" s="230">
        <v>53382000</v>
      </c>
      <c r="BR97" s="230">
        <v>12546100</v>
      </c>
      <c r="BS97" s="229">
        <v>0.23499999999999999</v>
      </c>
      <c r="BT97" s="230">
        <v>5217700</v>
      </c>
      <c r="BU97" s="230">
        <v>2418050</v>
      </c>
      <c r="BV97" s="230">
        <v>2799650</v>
      </c>
      <c r="BW97" s="229">
        <v>1.1577999999999999</v>
      </c>
      <c r="BX97" s="230">
        <v>47874400</v>
      </c>
      <c r="BY97" s="230">
        <v>47224100</v>
      </c>
      <c r="BZ97" s="230">
        <v>650300</v>
      </c>
      <c r="CA97" s="229">
        <v>1.38E-2</v>
      </c>
      <c r="CB97" s="230">
        <v>29488200</v>
      </c>
      <c r="CC97" s="230">
        <v>38236800</v>
      </c>
      <c r="CD97" s="230">
        <v>-8748600</v>
      </c>
      <c r="CE97" s="229">
        <v>-0.2288</v>
      </c>
      <c r="CF97" s="230">
        <v>17255700</v>
      </c>
      <c r="CG97" s="230">
        <v>7928200</v>
      </c>
      <c r="CH97" s="230">
        <v>9327500</v>
      </c>
      <c r="CI97" s="229">
        <v>1.1765000000000001</v>
      </c>
      <c r="CJ97" s="230">
        <v>1130500</v>
      </c>
      <c r="CK97" s="230">
        <v>1059100</v>
      </c>
      <c r="CL97" s="230">
        <v>71400</v>
      </c>
      <c r="CM97" s="229">
        <v>6.7400000000000002E-2</v>
      </c>
      <c r="CN97" s="230">
        <v>18829300</v>
      </c>
      <c r="CO97" s="230">
        <v>18558400</v>
      </c>
      <c r="CP97" s="230">
        <v>270900</v>
      </c>
      <c r="CQ97" s="229">
        <v>1.46E-2</v>
      </c>
      <c r="CR97" s="230">
        <v>13692000</v>
      </c>
      <c r="CS97" s="230">
        <v>13559700</v>
      </c>
      <c r="CT97" s="230">
        <v>132300</v>
      </c>
      <c r="CU97" s="229">
        <v>9.7999999999999997E-3</v>
      </c>
      <c r="CV97" s="230">
        <v>80395700</v>
      </c>
      <c r="CW97" s="230">
        <v>79342200</v>
      </c>
      <c r="CX97" s="230">
        <v>1053500</v>
      </c>
      <c r="CY97" s="229">
        <v>1.3299999999999999E-2</v>
      </c>
      <c r="CZ97" s="228">
        <v>27.4</v>
      </c>
      <c r="DA97" s="228">
        <v>28.52</v>
      </c>
      <c r="DB97" s="228">
        <v>-1.1200000000000001</v>
      </c>
      <c r="DC97" s="228">
        <v>-1.1200000000000001</v>
      </c>
      <c r="DD97" s="228">
        <v>45.82</v>
      </c>
      <c r="DE97" s="228">
        <v>45.9</v>
      </c>
      <c r="DF97" s="228">
        <v>-18.420000000000002</v>
      </c>
      <c r="DG97" s="228">
        <v>-0.08</v>
      </c>
      <c r="DH97" s="228">
        <v>27.71</v>
      </c>
      <c r="DI97" s="228">
        <v>28.06</v>
      </c>
      <c r="DJ97" s="228">
        <v>-0.35</v>
      </c>
      <c r="DK97" s="228">
        <v>-0.35</v>
      </c>
      <c r="DL97" s="228">
        <v>26.68</v>
      </c>
      <c r="DM97" s="228">
        <v>29.22</v>
      </c>
      <c r="DN97" s="228">
        <v>-2.54</v>
      </c>
      <c r="DO97" s="228">
        <v>-2.54</v>
      </c>
      <c r="DP97" s="228">
        <v>0.73</v>
      </c>
      <c r="DQ97" s="228">
        <v>0.73</v>
      </c>
      <c r="DR97" s="228">
        <v>0</v>
      </c>
      <c r="DS97" s="229">
        <v>0</v>
      </c>
      <c r="DT97" s="228">
        <v>900</v>
      </c>
      <c r="DU97" s="228">
        <v>800</v>
      </c>
      <c r="DV97" s="228">
        <v>0.49</v>
      </c>
      <c r="DW97" s="228">
        <v>0.65</v>
      </c>
      <c r="DX97" s="228">
        <v>-0.16</v>
      </c>
      <c r="DY97" s="229">
        <v>-0.2462</v>
      </c>
      <c r="DZ97" s="229">
        <v>0.3841</v>
      </c>
      <c r="EA97" s="230">
        <v>8987300</v>
      </c>
      <c r="EB97" s="229">
        <v>6.7000000000000002E-3</v>
      </c>
      <c r="EC97" s="229">
        <v>0.3841</v>
      </c>
      <c r="ED97" s="228">
        <v>5.35</v>
      </c>
      <c r="EE97" s="229">
        <v>6.4000000000000003E-3</v>
      </c>
      <c r="EF97" s="230">
        <v>3326975</v>
      </c>
      <c r="EG97" s="230">
        <v>1209744</v>
      </c>
      <c r="EH97" s="229">
        <v>1.7501</v>
      </c>
      <c r="EI97" s="229">
        <v>0.63759999999999994</v>
      </c>
      <c r="EJ97" s="231">
        <v>238737.01</v>
      </c>
      <c r="EK97" s="231">
        <v>109971.23</v>
      </c>
      <c r="EL97" s="231">
        <v>209924.98</v>
      </c>
      <c r="EM97" s="231">
        <v>17633</v>
      </c>
      <c r="EN97" s="231">
        <v>558633.22</v>
      </c>
      <c r="EO97" s="231">
        <v>455215.8</v>
      </c>
      <c r="EP97" s="231">
        <v>103417.42</v>
      </c>
      <c r="EQ97" s="229">
        <v>0.22720000000000001</v>
      </c>
      <c r="ER97" s="231">
        <v>160711</v>
      </c>
      <c r="ES97" s="231">
        <v>109716</v>
      </c>
      <c r="ET97" s="231">
        <v>398464</v>
      </c>
      <c r="EU97" s="231">
        <v>93805784</v>
      </c>
      <c r="EV97" s="231">
        <v>668891</v>
      </c>
      <c r="EW97" s="231">
        <v>664467</v>
      </c>
      <c r="EX97" s="231">
        <v>4424</v>
      </c>
      <c r="EY97" s="229">
        <v>6.7000000000000002E-3</v>
      </c>
      <c r="EZ97" s="229">
        <v>0.85699999999999998</v>
      </c>
      <c r="FA97" s="227" t="s">
        <v>567</v>
      </c>
      <c r="FB97" s="161">
        <f t="shared" si="1"/>
        <v>18386200</v>
      </c>
    </row>
    <row r="98" spans="1:158" ht="17.25" hidden="1" thickBot="1" x14ac:dyDescent="0.3">
      <c r="A98" s="226">
        <v>45981</v>
      </c>
      <c r="B98" s="227" t="s">
        <v>188</v>
      </c>
      <c r="C98" s="227" t="s">
        <v>473</v>
      </c>
      <c r="D98" s="228">
        <v>1700</v>
      </c>
      <c r="E98" s="228">
        <v>400.7</v>
      </c>
      <c r="F98" s="228">
        <v>404.15</v>
      </c>
      <c r="G98" s="228">
        <v>-3.45</v>
      </c>
      <c r="H98" s="229">
        <v>-8.5000000000000006E-3</v>
      </c>
      <c r="I98" s="228">
        <v>400.5</v>
      </c>
      <c r="J98" s="228">
        <v>403.25</v>
      </c>
      <c r="K98" s="228">
        <v>-2.75</v>
      </c>
      <c r="L98" s="229">
        <v>-6.7999999999999996E-3</v>
      </c>
      <c r="M98" s="228">
        <v>400.7</v>
      </c>
      <c r="N98" s="228">
        <v>404.15</v>
      </c>
      <c r="O98" s="228">
        <v>-3.45</v>
      </c>
      <c r="P98" s="229">
        <v>-8.5000000000000006E-3</v>
      </c>
      <c r="Q98" s="228">
        <v>403.45</v>
      </c>
      <c r="R98" s="228">
        <v>406.8</v>
      </c>
      <c r="S98" s="228">
        <v>-3.35</v>
      </c>
      <c r="T98" s="229">
        <v>-8.2000000000000007E-3</v>
      </c>
      <c r="U98" s="228">
        <v>406.25</v>
      </c>
      <c r="V98" s="228">
        <v>409.45</v>
      </c>
      <c r="W98" s="228">
        <v>-3.2</v>
      </c>
      <c r="X98" s="229">
        <v>-7.7999999999999996E-3</v>
      </c>
      <c r="Y98" s="228">
        <v>0.2</v>
      </c>
      <c r="Z98" s="228">
        <v>0.9</v>
      </c>
      <c r="AA98" s="228">
        <v>-0.7</v>
      </c>
      <c r="AB98" s="229">
        <v>5.0000000000000001E-4</v>
      </c>
      <c r="AC98" s="228">
        <v>0.2</v>
      </c>
      <c r="AD98" s="228">
        <v>0.9</v>
      </c>
      <c r="AE98" s="228">
        <v>-0.7</v>
      </c>
      <c r="AF98" s="229">
        <v>5.0000000000000001E-4</v>
      </c>
      <c r="AG98" s="228">
        <v>2.95</v>
      </c>
      <c r="AH98" s="228">
        <v>3.55</v>
      </c>
      <c r="AI98" s="228">
        <v>-0.6</v>
      </c>
      <c r="AJ98" s="229">
        <v>7.4000000000000003E-3</v>
      </c>
      <c r="AK98" s="228">
        <v>5.75</v>
      </c>
      <c r="AL98" s="228">
        <v>6.2</v>
      </c>
      <c r="AM98" s="228">
        <v>-0.45</v>
      </c>
      <c r="AN98" s="229">
        <v>1.44E-2</v>
      </c>
      <c r="AO98" s="228">
        <v>402.79</v>
      </c>
      <c r="AP98" s="228">
        <v>405.61</v>
      </c>
      <c r="AQ98" s="228">
        <v>0</v>
      </c>
      <c r="AR98" s="230">
        <v>31560500</v>
      </c>
      <c r="AS98" s="230">
        <v>20325200</v>
      </c>
      <c r="AT98" s="230">
        <v>11235300</v>
      </c>
      <c r="AU98" s="229">
        <v>0.55279999999999996</v>
      </c>
      <c r="AV98" s="230">
        <v>16444100</v>
      </c>
      <c r="AW98" s="230">
        <v>11391700</v>
      </c>
      <c r="AX98" s="230">
        <v>5052400</v>
      </c>
      <c r="AY98" s="229">
        <v>0.44350000000000001</v>
      </c>
      <c r="AZ98" s="230">
        <v>15048400</v>
      </c>
      <c r="BA98" s="230">
        <v>8863800</v>
      </c>
      <c r="BB98" s="230">
        <v>6184600</v>
      </c>
      <c r="BC98" s="229">
        <v>0.69769999999999999</v>
      </c>
      <c r="BD98" s="230">
        <v>68000</v>
      </c>
      <c r="BE98" s="230">
        <v>69700</v>
      </c>
      <c r="BF98" s="230">
        <v>-1700</v>
      </c>
      <c r="BG98" s="229">
        <v>-2.4400000000000002E-2</v>
      </c>
      <c r="BH98" s="230">
        <v>23485500</v>
      </c>
      <c r="BI98" s="230">
        <v>19816900</v>
      </c>
      <c r="BJ98" s="230">
        <v>3668600</v>
      </c>
      <c r="BK98" s="229">
        <v>0.18509999999999999</v>
      </c>
      <c r="BL98" s="230">
        <v>14847800</v>
      </c>
      <c r="BM98" s="230">
        <v>12733000</v>
      </c>
      <c r="BN98" s="230">
        <v>2114800</v>
      </c>
      <c r="BO98" s="229">
        <v>0.1661</v>
      </c>
      <c r="BP98" s="230">
        <v>69893800</v>
      </c>
      <c r="BQ98" s="230">
        <v>52875100</v>
      </c>
      <c r="BR98" s="230">
        <v>17018700</v>
      </c>
      <c r="BS98" s="229">
        <v>0.32190000000000002</v>
      </c>
      <c r="BT98" s="230">
        <v>3882978</v>
      </c>
      <c r="BU98" s="230">
        <v>4700906</v>
      </c>
      <c r="BV98" s="230">
        <v>-817928</v>
      </c>
      <c r="BW98" s="229">
        <v>-0.17399999999999999</v>
      </c>
      <c r="BX98" s="230">
        <v>94044000</v>
      </c>
      <c r="BY98" s="230">
        <v>94015100</v>
      </c>
      <c r="BZ98" s="230">
        <v>28900</v>
      </c>
      <c r="CA98" s="229">
        <v>2.9999999999999997E-4</v>
      </c>
      <c r="CB98" s="230">
        <v>64042400</v>
      </c>
      <c r="CC98" s="230">
        <v>76143000</v>
      </c>
      <c r="CD98" s="230">
        <v>-12100600</v>
      </c>
      <c r="CE98" s="229">
        <v>-0.15890000000000001</v>
      </c>
      <c r="CF98" s="230">
        <v>29750000</v>
      </c>
      <c r="CG98" s="230">
        <v>17640900</v>
      </c>
      <c r="CH98" s="230">
        <v>12109100</v>
      </c>
      <c r="CI98" s="229">
        <v>0.68640000000000001</v>
      </c>
      <c r="CJ98" s="230">
        <v>251600</v>
      </c>
      <c r="CK98" s="230">
        <v>231200</v>
      </c>
      <c r="CL98" s="230">
        <v>20400</v>
      </c>
      <c r="CM98" s="229">
        <v>8.8200000000000001E-2</v>
      </c>
      <c r="CN98" s="230">
        <v>27038500</v>
      </c>
      <c r="CO98" s="230">
        <v>28039800</v>
      </c>
      <c r="CP98" s="230">
        <v>-1001300</v>
      </c>
      <c r="CQ98" s="229">
        <v>-3.5700000000000003E-2</v>
      </c>
      <c r="CR98" s="230">
        <v>19988600</v>
      </c>
      <c r="CS98" s="230">
        <v>20791000</v>
      </c>
      <c r="CT98" s="230">
        <v>-802400</v>
      </c>
      <c r="CU98" s="229">
        <v>-3.8600000000000002E-2</v>
      </c>
      <c r="CV98" s="230">
        <v>141071100</v>
      </c>
      <c r="CW98" s="230">
        <v>142845900</v>
      </c>
      <c r="CX98" s="230">
        <v>-1774800</v>
      </c>
      <c r="CY98" s="229">
        <v>-1.24E-2</v>
      </c>
      <c r="CZ98" s="228">
        <v>25.13</v>
      </c>
      <c r="DA98" s="228">
        <v>28.79</v>
      </c>
      <c r="DB98" s="228">
        <v>-3.66</v>
      </c>
      <c r="DC98" s="228">
        <v>-3.66</v>
      </c>
      <c r="DD98" s="228">
        <v>39.68</v>
      </c>
      <c r="DE98" s="228">
        <v>39.770000000000003</v>
      </c>
      <c r="DF98" s="228">
        <v>-14.55</v>
      </c>
      <c r="DG98" s="228">
        <v>-0.09</v>
      </c>
      <c r="DH98" s="228">
        <v>25.17</v>
      </c>
      <c r="DI98" s="228">
        <v>27.38</v>
      </c>
      <c r="DJ98" s="228">
        <v>-2.21</v>
      </c>
      <c r="DK98" s="228">
        <v>-2.21</v>
      </c>
      <c r="DL98" s="228">
        <v>25.06</v>
      </c>
      <c r="DM98" s="228">
        <v>30.99</v>
      </c>
      <c r="DN98" s="228">
        <v>-5.93</v>
      </c>
      <c r="DO98" s="228">
        <v>-5.93</v>
      </c>
      <c r="DP98" s="228">
        <v>0.74</v>
      </c>
      <c r="DQ98" s="228">
        <v>0.74</v>
      </c>
      <c r="DR98" s="228">
        <v>0</v>
      </c>
      <c r="DS98" s="229">
        <v>0</v>
      </c>
      <c r="DT98" s="228">
        <v>410</v>
      </c>
      <c r="DU98" s="228">
        <v>400</v>
      </c>
      <c r="DV98" s="228">
        <v>0.63</v>
      </c>
      <c r="DW98" s="228">
        <v>0.64</v>
      </c>
      <c r="DX98" s="228">
        <v>-0.01</v>
      </c>
      <c r="DY98" s="229">
        <v>-1.5599999999999999E-2</v>
      </c>
      <c r="DZ98" s="229">
        <v>0.31900000000000001</v>
      </c>
      <c r="EA98" s="230">
        <v>17872100</v>
      </c>
      <c r="EB98" s="229">
        <v>6.8999999999999999E-3</v>
      </c>
      <c r="EC98" s="229">
        <v>0.31900000000000001</v>
      </c>
      <c r="ED98" s="228">
        <v>2.82</v>
      </c>
      <c r="EE98" s="229">
        <v>7.0000000000000001E-3</v>
      </c>
      <c r="EF98" s="230">
        <v>2154654</v>
      </c>
      <c r="EG98" s="230">
        <v>3193497</v>
      </c>
      <c r="EH98" s="229">
        <v>-0.32529999999999998</v>
      </c>
      <c r="EI98" s="229">
        <v>0.55489999999999995</v>
      </c>
      <c r="EJ98" s="231">
        <v>97586.09</v>
      </c>
      <c r="EK98" s="231">
        <v>58665.5</v>
      </c>
      <c r="EL98" s="231">
        <v>127550.86</v>
      </c>
      <c r="EM98" s="231">
        <v>8807</v>
      </c>
      <c r="EN98" s="231">
        <v>283802.45</v>
      </c>
      <c r="EO98" s="231">
        <v>215329.37</v>
      </c>
      <c r="EP98" s="231">
        <v>68473.08</v>
      </c>
      <c r="EQ98" s="229">
        <v>0.318</v>
      </c>
      <c r="ER98" s="231">
        <v>109027</v>
      </c>
      <c r="ES98" s="231">
        <v>76012</v>
      </c>
      <c r="ET98" s="231">
        <v>377666</v>
      </c>
      <c r="EU98" s="231">
        <v>197705578</v>
      </c>
      <c r="EV98" s="231">
        <v>562706</v>
      </c>
      <c r="EW98" s="231">
        <v>572650</v>
      </c>
      <c r="EX98" s="231">
        <v>-9944</v>
      </c>
      <c r="EY98" s="229">
        <v>-1.7399999999999999E-2</v>
      </c>
      <c r="EZ98" s="229">
        <v>0.71350000000000002</v>
      </c>
      <c r="FA98" s="227" t="s">
        <v>567</v>
      </c>
      <c r="FB98" s="161">
        <f t="shared" si="1"/>
        <v>30001600</v>
      </c>
    </row>
    <row r="99" spans="1:158" ht="17.25" hidden="1" thickBot="1" x14ac:dyDescent="0.3">
      <c r="A99" s="226">
        <v>45981</v>
      </c>
      <c r="B99" s="227" t="s">
        <v>221</v>
      </c>
      <c r="C99" s="227" t="s">
        <v>240</v>
      </c>
      <c r="D99" s="228">
        <v>400</v>
      </c>
      <c r="E99" s="231">
        <v>1539.2</v>
      </c>
      <c r="F99" s="231">
        <v>1542.1</v>
      </c>
      <c r="G99" s="228">
        <v>-2.9</v>
      </c>
      <c r="H99" s="229">
        <v>-1.9E-3</v>
      </c>
      <c r="I99" s="231">
        <v>1536.5</v>
      </c>
      <c r="J99" s="231">
        <v>1541.1</v>
      </c>
      <c r="K99" s="228">
        <v>-4.5999999999999996</v>
      </c>
      <c r="L99" s="229">
        <v>-3.0000000000000001E-3</v>
      </c>
      <c r="M99" s="231">
        <v>1539.2</v>
      </c>
      <c r="N99" s="231">
        <v>1542.1</v>
      </c>
      <c r="O99" s="228">
        <v>-2.9</v>
      </c>
      <c r="P99" s="229">
        <v>-1.9E-3</v>
      </c>
      <c r="Q99" s="231">
        <v>1539.2</v>
      </c>
      <c r="R99" s="231">
        <v>1544</v>
      </c>
      <c r="S99" s="228">
        <v>-4.8</v>
      </c>
      <c r="T99" s="229">
        <v>-3.0999999999999999E-3</v>
      </c>
      <c r="U99" s="231">
        <v>1546.9</v>
      </c>
      <c r="V99" s="231">
        <v>1549.3</v>
      </c>
      <c r="W99" s="228">
        <v>-2.4</v>
      </c>
      <c r="X99" s="229">
        <v>-1.5E-3</v>
      </c>
      <c r="Y99" s="228">
        <v>2.7</v>
      </c>
      <c r="Z99" s="228">
        <v>1</v>
      </c>
      <c r="AA99" s="228">
        <v>1.7</v>
      </c>
      <c r="AB99" s="229">
        <v>1.8E-3</v>
      </c>
      <c r="AC99" s="228">
        <v>2.7</v>
      </c>
      <c r="AD99" s="228">
        <v>1</v>
      </c>
      <c r="AE99" s="228">
        <v>1.7</v>
      </c>
      <c r="AF99" s="229">
        <v>1.8E-3</v>
      </c>
      <c r="AG99" s="228">
        <v>2.7</v>
      </c>
      <c r="AH99" s="228">
        <v>2.9</v>
      </c>
      <c r="AI99" s="228">
        <v>-0.2</v>
      </c>
      <c r="AJ99" s="229">
        <v>1.8E-3</v>
      </c>
      <c r="AK99" s="228">
        <v>10.4</v>
      </c>
      <c r="AL99" s="228">
        <v>8.1999999999999993</v>
      </c>
      <c r="AM99" s="228">
        <v>2.2000000000000002</v>
      </c>
      <c r="AN99" s="229">
        <v>6.7999999999999996E-3</v>
      </c>
      <c r="AO99" s="231">
        <v>1540.62</v>
      </c>
      <c r="AP99" s="231">
        <v>1540.42</v>
      </c>
      <c r="AQ99" s="228">
        <v>0</v>
      </c>
      <c r="AR99" s="230">
        <v>42502000</v>
      </c>
      <c r="AS99" s="230">
        <v>20098400</v>
      </c>
      <c r="AT99" s="230">
        <v>22403600</v>
      </c>
      <c r="AU99" s="229">
        <v>1.1147</v>
      </c>
      <c r="AV99" s="230">
        <v>21850800</v>
      </c>
      <c r="AW99" s="230">
        <v>15265600</v>
      </c>
      <c r="AX99" s="230">
        <v>6585200</v>
      </c>
      <c r="AY99" s="229">
        <v>0.43140000000000001</v>
      </c>
      <c r="AZ99" s="230">
        <v>20547200</v>
      </c>
      <c r="BA99" s="230">
        <v>4478400</v>
      </c>
      <c r="BB99" s="230">
        <v>16068800</v>
      </c>
      <c r="BC99" s="229">
        <v>3.5880999999999998</v>
      </c>
      <c r="BD99" s="230">
        <v>104000</v>
      </c>
      <c r="BE99" s="230">
        <v>354400</v>
      </c>
      <c r="BF99" s="230">
        <v>-250400</v>
      </c>
      <c r="BG99" s="229">
        <v>-0.70650000000000002</v>
      </c>
      <c r="BH99" s="230">
        <v>49425600</v>
      </c>
      <c r="BI99" s="230">
        <v>137664000</v>
      </c>
      <c r="BJ99" s="230">
        <v>-88238400</v>
      </c>
      <c r="BK99" s="229">
        <v>-0.64100000000000001</v>
      </c>
      <c r="BL99" s="230">
        <v>29926800</v>
      </c>
      <c r="BM99" s="230">
        <v>56141600</v>
      </c>
      <c r="BN99" s="230">
        <v>-26214800</v>
      </c>
      <c r="BO99" s="229">
        <v>-0.46689999999999998</v>
      </c>
      <c r="BP99" s="230">
        <v>121854400</v>
      </c>
      <c r="BQ99" s="230">
        <v>213904000</v>
      </c>
      <c r="BR99" s="230">
        <v>-92049600</v>
      </c>
      <c r="BS99" s="229">
        <v>-0.43030000000000002</v>
      </c>
      <c r="BT99" s="230">
        <v>8319817</v>
      </c>
      <c r="BU99" s="230">
        <v>11396251</v>
      </c>
      <c r="BV99" s="230">
        <v>-3076434</v>
      </c>
      <c r="BW99" s="229">
        <v>-0.27</v>
      </c>
      <c r="BX99" s="230">
        <v>75855600</v>
      </c>
      <c r="BY99" s="230">
        <v>73547600</v>
      </c>
      <c r="BZ99" s="230">
        <v>2308000</v>
      </c>
      <c r="CA99" s="229">
        <v>3.1399999999999997E-2</v>
      </c>
      <c r="CB99" s="230">
        <v>38884800</v>
      </c>
      <c r="CC99" s="230">
        <v>53840800</v>
      </c>
      <c r="CD99" s="230">
        <v>-14956000</v>
      </c>
      <c r="CE99" s="229">
        <v>-0.27779999999999999</v>
      </c>
      <c r="CF99" s="230">
        <v>36488400</v>
      </c>
      <c r="CG99" s="230">
        <v>19237200</v>
      </c>
      <c r="CH99" s="230">
        <v>17251200</v>
      </c>
      <c r="CI99" s="229">
        <v>0.89680000000000004</v>
      </c>
      <c r="CJ99" s="230">
        <v>482400</v>
      </c>
      <c r="CK99" s="230">
        <v>469600</v>
      </c>
      <c r="CL99" s="230">
        <v>12800</v>
      </c>
      <c r="CM99" s="229">
        <v>2.7300000000000001E-2</v>
      </c>
      <c r="CN99" s="230">
        <v>25319600</v>
      </c>
      <c r="CO99" s="230">
        <v>25704800</v>
      </c>
      <c r="CP99" s="230">
        <v>-385200</v>
      </c>
      <c r="CQ99" s="229">
        <v>-1.4999999999999999E-2</v>
      </c>
      <c r="CR99" s="230">
        <v>18820800</v>
      </c>
      <c r="CS99" s="230">
        <v>19730400</v>
      </c>
      <c r="CT99" s="230">
        <v>-909600</v>
      </c>
      <c r="CU99" s="229">
        <v>-4.6100000000000002E-2</v>
      </c>
      <c r="CV99" s="230">
        <v>119996000</v>
      </c>
      <c r="CW99" s="230">
        <v>118982800</v>
      </c>
      <c r="CX99" s="230">
        <v>1013200</v>
      </c>
      <c r="CY99" s="229">
        <v>8.5000000000000006E-3</v>
      </c>
      <c r="CZ99" s="228">
        <v>22.81</v>
      </c>
      <c r="DA99" s="228">
        <v>25.99</v>
      </c>
      <c r="DB99" s="228">
        <v>-3.18</v>
      </c>
      <c r="DC99" s="228">
        <v>-3.18</v>
      </c>
      <c r="DD99" s="228">
        <v>29.37</v>
      </c>
      <c r="DE99" s="228">
        <v>29.44</v>
      </c>
      <c r="DF99" s="228">
        <v>-6.56</v>
      </c>
      <c r="DG99" s="228">
        <v>-7.0000000000000007E-2</v>
      </c>
      <c r="DH99" s="228">
        <v>22.7</v>
      </c>
      <c r="DI99" s="228">
        <v>25.63</v>
      </c>
      <c r="DJ99" s="228">
        <v>-2.93</v>
      </c>
      <c r="DK99" s="228">
        <v>-2.93</v>
      </c>
      <c r="DL99" s="228">
        <v>23</v>
      </c>
      <c r="DM99" s="228">
        <v>26.88</v>
      </c>
      <c r="DN99" s="228">
        <v>-3.88</v>
      </c>
      <c r="DO99" s="228">
        <v>-3.88</v>
      </c>
      <c r="DP99" s="228">
        <v>0.74</v>
      </c>
      <c r="DQ99" s="228">
        <v>0.77</v>
      </c>
      <c r="DR99" s="228">
        <v>-0.03</v>
      </c>
      <c r="DS99" s="229">
        <v>-3.9E-2</v>
      </c>
      <c r="DT99" s="231">
        <v>1600</v>
      </c>
      <c r="DU99" s="231">
        <v>1500</v>
      </c>
      <c r="DV99" s="228">
        <v>0.61</v>
      </c>
      <c r="DW99" s="228">
        <v>0.41</v>
      </c>
      <c r="DX99" s="228">
        <v>0.2</v>
      </c>
      <c r="DY99" s="229">
        <v>0.48780000000000001</v>
      </c>
      <c r="DZ99" s="229">
        <v>0.4874</v>
      </c>
      <c r="EA99" s="230">
        <v>19706800</v>
      </c>
      <c r="EB99" s="229">
        <v>0</v>
      </c>
      <c r="EC99" s="229">
        <v>0.4874</v>
      </c>
      <c r="ED99" s="228">
        <v>-0.2</v>
      </c>
      <c r="EE99" s="229">
        <v>-1E-4</v>
      </c>
      <c r="EF99" s="230">
        <v>3876897</v>
      </c>
      <c r="EG99" s="230">
        <v>5603118</v>
      </c>
      <c r="EH99" s="229">
        <v>-0.30809999999999998</v>
      </c>
      <c r="EI99" s="229">
        <v>0.46600000000000003</v>
      </c>
      <c r="EJ99" s="231">
        <v>787162.36</v>
      </c>
      <c r="EK99" s="231">
        <v>453152.19</v>
      </c>
      <c r="EL99" s="231">
        <v>654762.78</v>
      </c>
      <c r="EM99" s="231">
        <v>38111</v>
      </c>
      <c r="EN99" s="231">
        <v>1895077.33</v>
      </c>
      <c r="EO99" s="231">
        <v>3323198.84</v>
      </c>
      <c r="EP99" s="231">
        <v>-1428121.51</v>
      </c>
      <c r="EQ99" s="229">
        <v>-0.42970000000000003</v>
      </c>
      <c r="ER99" s="231">
        <v>399585</v>
      </c>
      <c r="ES99" s="231">
        <v>276912</v>
      </c>
      <c r="ET99" s="231">
        <v>1167607</v>
      </c>
      <c r="EU99" s="231">
        <v>341789333</v>
      </c>
      <c r="EV99" s="231">
        <v>1844104</v>
      </c>
      <c r="EW99" s="231">
        <v>1829644</v>
      </c>
      <c r="EX99" s="231">
        <v>14460</v>
      </c>
      <c r="EY99" s="229">
        <v>7.9000000000000008E-3</v>
      </c>
      <c r="EZ99" s="229">
        <v>0.35110000000000002</v>
      </c>
      <c r="FA99" s="227" t="s">
        <v>567</v>
      </c>
      <c r="FB99" s="161">
        <f t="shared" si="1"/>
        <v>36970800</v>
      </c>
    </row>
    <row r="100" spans="1:158" ht="17.25" hidden="1" thickBot="1" x14ac:dyDescent="0.3">
      <c r="A100" s="226">
        <v>45981</v>
      </c>
      <c r="B100" s="227" t="s">
        <v>161</v>
      </c>
      <c r="C100" s="227" t="s">
        <v>670</v>
      </c>
      <c r="D100" s="228">
        <v>3272</v>
      </c>
      <c r="E100" s="228">
        <v>138.38999999999999</v>
      </c>
      <c r="F100" s="228">
        <v>139.79</v>
      </c>
      <c r="G100" s="228">
        <v>-1.4</v>
      </c>
      <c r="H100" s="229">
        <v>-0.01</v>
      </c>
      <c r="I100" s="228">
        <v>138.08000000000001</v>
      </c>
      <c r="J100" s="228">
        <v>139.68</v>
      </c>
      <c r="K100" s="228">
        <v>-1.6</v>
      </c>
      <c r="L100" s="229">
        <v>-1.15E-2</v>
      </c>
      <c r="M100" s="228">
        <v>138.38999999999999</v>
      </c>
      <c r="N100" s="228">
        <v>139.79</v>
      </c>
      <c r="O100" s="228">
        <v>-1.4</v>
      </c>
      <c r="P100" s="229">
        <v>-0.01</v>
      </c>
      <c r="Q100" s="228">
        <v>139.11000000000001</v>
      </c>
      <c r="R100" s="228">
        <v>140.84</v>
      </c>
      <c r="S100" s="228">
        <v>-1.73</v>
      </c>
      <c r="T100" s="229">
        <v>-1.23E-2</v>
      </c>
      <c r="U100" s="228">
        <v>139.99</v>
      </c>
      <c r="V100" s="228">
        <v>142.51</v>
      </c>
      <c r="W100" s="228">
        <v>-2.52</v>
      </c>
      <c r="X100" s="229">
        <v>-1.77E-2</v>
      </c>
      <c r="Y100" s="228">
        <v>0.31</v>
      </c>
      <c r="Z100" s="228">
        <v>0.11</v>
      </c>
      <c r="AA100" s="228">
        <v>0.2</v>
      </c>
      <c r="AB100" s="229">
        <v>2.2000000000000001E-3</v>
      </c>
      <c r="AC100" s="228">
        <v>0.31</v>
      </c>
      <c r="AD100" s="228">
        <v>0.11</v>
      </c>
      <c r="AE100" s="228">
        <v>0.2</v>
      </c>
      <c r="AF100" s="229">
        <v>2.2000000000000001E-3</v>
      </c>
      <c r="AG100" s="228">
        <v>1.03</v>
      </c>
      <c r="AH100" s="228">
        <v>1.1599999999999999</v>
      </c>
      <c r="AI100" s="228">
        <v>-0.13</v>
      </c>
      <c r="AJ100" s="229">
        <v>7.4999999999999997E-3</v>
      </c>
      <c r="AK100" s="228">
        <v>1.91</v>
      </c>
      <c r="AL100" s="228">
        <v>2.83</v>
      </c>
      <c r="AM100" s="228">
        <v>-0.92</v>
      </c>
      <c r="AN100" s="229">
        <v>1.38E-2</v>
      </c>
      <c r="AO100" s="228">
        <v>139.28</v>
      </c>
      <c r="AP100" s="228">
        <v>140.07</v>
      </c>
      <c r="AQ100" s="228">
        <v>0</v>
      </c>
      <c r="AR100" s="230">
        <v>47414552</v>
      </c>
      <c r="AS100" s="230">
        <v>24157176</v>
      </c>
      <c r="AT100" s="230">
        <v>23257376</v>
      </c>
      <c r="AU100" s="229">
        <v>0.96279999999999999</v>
      </c>
      <c r="AV100" s="230">
        <v>24798488</v>
      </c>
      <c r="AW100" s="230">
        <v>14138312</v>
      </c>
      <c r="AX100" s="230">
        <v>10660176</v>
      </c>
      <c r="AY100" s="229">
        <v>0.754</v>
      </c>
      <c r="AZ100" s="230">
        <v>22282320</v>
      </c>
      <c r="BA100" s="230">
        <v>9590232</v>
      </c>
      <c r="BB100" s="230">
        <v>12692088</v>
      </c>
      <c r="BC100" s="229">
        <v>1.3233999999999999</v>
      </c>
      <c r="BD100" s="230">
        <v>333744</v>
      </c>
      <c r="BE100" s="230">
        <v>428632</v>
      </c>
      <c r="BF100" s="230">
        <v>-94888</v>
      </c>
      <c r="BG100" s="229">
        <v>-0.22140000000000001</v>
      </c>
      <c r="BH100" s="230">
        <v>47931528</v>
      </c>
      <c r="BI100" s="230">
        <v>57394152</v>
      </c>
      <c r="BJ100" s="230">
        <v>-9462624</v>
      </c>
      <c r="BK100" s="229">
        <v>-0.16489999999999999</v>
      </c>
      <c r="BL100" s="230">
        <v>11939528</v>
      </c>
      <c r="BM100" s="230">
        <v>14557128</v>
      </c>
      <c r="BN100" s="230">
        <v>-2617600</v>
      </c>
      <c r="BO100" s="229">
        <v>-0.17979999999999999</v>
      </c>
      <c r="BP100" s="230">
        <v>107285608</v>
      </c>
      <c r="BQ100" s="230">
        <v>96108456</v>
      </c>
      <c r="BR100" s="230">
        <v>11177152</v>
      </c>
      <c r="BS100" s="229">
        <v>0.1163</v>
      </c>
      <c r="BT100" s="230">
        <v>12433216</v>
      </c>
      <c r="BU100" s="230">
        <v>11311132</v>
      </c>
      <c r="BV100" s="230">
        <v>1122084</v>
      </c>
      <c r="BW100" s="229">
        <v>9.9199999999999997E-2</v>
      </c>
      <c r="BX100" s="230">
        <v>82183688</v>
      </c>
      <c r="BY100" s="230">
        <v>86056825</v>
      </c>
      <c r="BZ100" s="230">
        <v>-3873137</v>
      </c>
      <c r="CA100" s="229">
        <v>-4.4999999999999998E-2</v>
      </c>
      <c r="CB100" s="230">
        <v>46704528</v>
      </c>
      <c r="CC100" s="230">
        <v>62815856</v>
      </c>
      <c r="CD100" s="230">
        <v>-16111328</v>
      </c>
      <c r="CE100" s="229">
        <v>-0.25650000000000001</v>
      </c>
      <c r="CF100" s="230">
        <v>33963360</v>
      </c>
      <c r="CG100" s="230">
        <v>21928944</v>
      </c>
      <c r="CH100" s="230">
        <v>12034416</v>
      </c>
      <c r="CI100" s="229">
        <v>0.54879999999999995</v>
      </c>
      <c r="CJ100" s="230">
        <v>1515800</v>
      </c>
      <c r="CK100" s="230">
        <v>1312025</v>
      </c>
      <c r="CL100" s="230">
        <v>203775</v>
      </c>
      <c r="CM100" s="229">
        <v>0.15529999999999999</v>
      </c>
      <c r="CN100" s="230">
        <v>47931286</v>
      </c>
      <c r="CO100" s="230">
        <v>49933750</v>
      </c>
      <c r="CP100" s="230">
        <v>-2002464</v>
      </c>
      <c r="CQ100" s="229">
        <v>-4.0099999999999997E-2</v>
      </c>
      <c r="CR100" s="230">
        <v>19470340</v>
      </c>
      <c r="CS100" s="230">
        <v>18937004</v>
      </c>
      <c r="CT100" s="230">
        <v>533336</v>
      </c>
      <c r="CU100" s="229">
        <v>2.8199999999999999E-2</v>
      </c>
      <c r="CV100" s="230">
        <v>149585314</v>
      </c>
      <c r="CW100" s="230">
        <v>154927579</v>
      </c>
      <c r="CX100" s="230">
        <v>-5342265</v>
      </c>
      <c r="CY100" s="229">
        <v>-3.4500000000000003E-2</v>
      </c>
      <c r="CZ100" s="228">
        <v>35.119999999999997</v>
      </c>
      <c r="DA100" s="228">
        <v>40.520000000000003</v>
      </c>
      <c r="DB100" s="228">
        <v>-5.4</v>
      </c>
      <c r="DC100" s="228">
        <v>-5.4</v>
      </c>
      <c r="DD100" s="228">
        <v>54.48</v>
      </c>
      <c r="DE100" s="228">
        <v>54.6</v>
      </c>
      <c r="DF100" s="228">
        <v>-19.36</v>
      </c>
      <c r="DG100" s="228">
        <v>-0.12</v>
      </c>
      <c r="DH100" s="228">
        <v>35.28</v>
      </c>
      <c r="DI100" s="228">
        <v>41.63</v>
      </c>
      <c r="DJ100" s="228">
        <v>-6.35</v>
      </c>
      <c r="DK100" s="228">
        <v>-6.35</v>
      </c>
      <c r="DL100" s="228">
        <v>34.82</v>
      </c>
      <c r="DM100" s="228">
        <v>36.15</v>
      </c>
      <c r="DN100" s="228">
        <v>-1.33</v>
      </c>
      <c r="DO100" s="228">
        <v>-1.33</v>
      </c>
      <c r="DP100" s="228">
        <v>0.41</v>
      </c>
      <c r="DQ100" s="228">
        <v>0.38</v>
      </c>
      <c r="DR100" s="228">
        <v>0.03</v>
      </c>
      <c r="DS100" s="229">
        <v>7.8899999999999998E-2</v>
      </c>
      <c r="DT100" s="228">
        <v>150</v>
      </c>
      <c r="DU100" s="228">
        <v>150</v>
      </c>
      <c r="DV100" s="228">
        <v>0.25</v>
      </c>
      <c r="DW100" s="228">
        <v>0.25</v>
      </c>
      <c r="DX100" s="228">
        <v>0</v>
      </c>
      <c r="DY100" s="229">
        <v>0</v>
      </c>
      <c r="DZ100" s="229">
        <v>0.43169999999999997</v>
      </c>
      <c r="EA100" s="230">
        <v>23240969</v>
      </c>
      <c r="EB100" s="229">
        <v>5.1999999999999998E-3</v>
      </c>
      <c r="EC100" s="229">
        <v>0.43169999999999997</v>
      </c>
      <c r="ED100" s="228">
        <v>0.79</v>
      </c>
      <c r="EE100" s="229">
        <v>5.7000000000000002E-3</v>
      </c>
      <c r="EF100" s="230">
        <v>6466207</v>
      </c>
      <c r="EG100" s="230">
        <v>5121965</v>
      </c>
      <c r="EH100" s="229">
        <v>0.26240000000000002</v>
      </c>
      <c r="EI100" s="229">
        <v>0.52010000000000001</v>
      </c>
      <c r="EJ100" s="231">
        <v>71485.17</v>
      </c>
      <c r="EK100" s="231">
        <v>16816.05</v>
      </c>
      <c r="EL100" s="231">
        <v>66265.259999999995</v>
      </c>
      <c r="EM100" s="231">
        <v>7711</v>
      </c>
      <c r="EN100" s="231">
        <v>154566.48000000001</v>
      </c>
      <c r="EO100" s="231">
        <v>141000.81</v>
      </c>
      <c r="EP100" s="231">
        <v>13565.67</v>
      </c>
      <c r="EQ100" s="229">
        <v>9.6199999999999994E-2</v>
      </c>
      <c r="ER100" s="231">
        <v>73715</v>
      </c>
      <c r="ES100" s="231">
        <v>27806</v>
      </c>
      <c r="ET100" s="231">
        <v>114003</v>
      </c>
      <c r="EU100" s="231">
        <v>144708707</v>
      </c>
      <c r="EV100" s="231">
        <v>215524</v>
      </c>
      <c r="EW100" s="231">
        <v>224700</v>
      </c>
      <c r="EX100" s="231">
        <v>-9176</v>
      </c>
      <c r="EY100" s="229">
        <v>-4.0800000000000003E-2</v>
      </c>
      <c r="EZ100" s="229">
        <v>1.0337000000000001</v>
      </c>
      <c r="FA100" s="227" t="s">
        <v>568</v>
      </c>
      <c r="FB100" s="161">
        <f t="shared" si="1"/>
        <v>35479160</v>
      </c>
    </row>
    <row r="101" spans="1:158" ht="17.25" hidden="1" thickBot="1" x14ac:dyDescent="0.3">
      <c r="A101" s="226">
        <v>45981</v>
      </c>
      <c r="B101" s="227" t="s">
        <v>193</v>
      </c>
      <c r="C101" s="227" t="s">
        <v>241</v>
      </c>
      <c r="D101" s="228">
        <v>4875</v>
      </c>
      <c r="E101" s="228">
        <v>168.58</v>
      </c>
      <c r="F101" s="228">
        <v>169.55</v>
      </c>
      <c r="G101" s="228">
        <v>-0.97</v>
      </c>
      <c r="H101" s="229">
        <v>-5.7000000000000002E-3</v>
      </c>
      <c r="I101" s="228">
        <v>168.7</v>
      </c>
      <c r="J101" s="228">
        <v>169.33</v>
      </c>
      <c r="K101" s="228">
        <v>-0.63</v>
      </c>
      <c r="L101" s="229">
        <v>-3.7000000000000002E-3</v>
      </c>
      <c r="M101" s="228">
        <v>168.58</v>
      </c>
      <c r="N101" s="228">
        <v>169.55</v>
      </c>
      <c r="O101" s="228">
        <v>-0.97</v>
      </c>
      <c r="P101" s="229">
        <v>-5.7000000000000002E-3</v>
      </c>
      <c r="Q101" s="228">
        <v>169.63</v>
      </c>
      <c r="R101" s="228">
        <v>170.16</v>
      </c>
      <c r="S101" s="228">
        <v>-0.53</v>
      </c>
      <c r="T101" s="229">
        <v>-3.0999999999999999E-3</v>
      </c>
      <c r="U101" s="228">
        <v>170.19</v>
      </c>
      <c r="V101" s="228">
        <v>171.04</v>
      </c>
      <c r="W101" s="228">
        <v>-0.85</v>
      </c>
      <c r="X101" s="229">
        <v>-5.0000000000000001E-3</v>
      </c>
      <c r="Y101" s="228">
        <v>-0.12</v>
      </c>
      <c r="Z101" s="228">
        <v>0.22</v>
      </c>
      <c r="AA101" s="228">
        <v>-0.34</v>
      </c>
      <c r="AB101" s="229">
        <v>-6.9999999999999999E-4</v>
      </c>
      <c r="AC101" s="228">
        <v>-0.12</v>
      </c>
      <c r="AD101" s="228">
        <v>0.22</v>
      </c>
      <c r="AE101" s="228">
        <v>-0.34</v>
      </c>
      <c r="AF101" s="229">
        <v>-6.9999999999999999E-4</v>
      </c>
      <c r="AG101" s="228">
        <v>0.93</v>
      </c>
      <c r="AH101" s="228">
        <v>0.83</v>
      </c>
      <c r="AI101" s="228">
        <v>0.1</v>
      </c>
      <c r="AJ101" s="229">
        <v>5.4999999999999997E-3</v>
      </c>
      <c r="AK101" s="228">
        <v>1.49</v>
      </c>
      <c r="AL101" s="228">
        <v>1.71</v>
      </c>
      <c r="AM101" s="228">
        <v>-0.22</v>
      </c>
      <c r="AN101" s="229">
        <v>8.8000000000000005E-3</v>
      </c>
      <c r="AO101" s="228">
        <v>169.15</v>
      </c>
      <c r="AP101" s="228">
        <v>169.94</v>
      </c>
      <c r="AQ101" s="228">
        <v>0</v>
      </c>
      <c r="AR101" s="230">
        <v>54946125</v>
      </c>
      <c r="AS101" s="230">
        <v>15970500</v>
      </c>
      <c r="AT101" s="230">
        <v>38975625</v>
      </c>
      <c r="AU101" s="229">
        <v>2.4405000000000001</v>
      </c>
      <c r="AV101" s="230">
        <v>27621750</v>
      </c>
      <c r="AW101" s="230">
        <v>11339250</v>
      </c>
      <c r="AX101" s="230">
        <v>16282500</v>
      </c>
      <c r="AY101" s="229">
        <v>1.4359</v>
      </c>
      <c r="AZ101" s="230">
        <v>27041625</v>
      </c>
      <c r="BA101" s="230">
        <v>4216875</v>
      </c>
      <c r="BB101" s="230">
        <v>22824750</v>
      </c>
      <c r="BC101" s="229">
        <v>5.4127000000000001</v>
      </c>
      <c r="BD101" s="230">
        <v>282750</v>
      </c>
      <c r="BE101" s="230">
        <v>414375</v>
      </c>
      <c r="BF101" s="230">
        <v>-131625</v>
      </c>
      <c r="BG101" s="229">
        <v>-0.31759999999999999</v>
      </c>
      <c r="BH101" s="230">
        <v>59489625</v>
      </c>
      <c r="BI101" s="230">
        <v>58909500</v>
      </c>
      <c r="BJ101" s="230">
        <v>580125</v>
      </c>
      <c r="BK101" s="229">
        <v>9.7999999999999997E-3</v>
      </c>
      <c r="BL101" s="230">
        <v>35402250</v>
      </c>
      <c r="BM101" s="230">
        <v>37488750</v>
      </c>
      <c r="BN101" s="230">
        <v>-2086500</v>
      </c>
      <c r="BO101" s="229">
        <v>-5.57E-2</v>
      </c>
      <c r="BP101" s="230">
        <v>149838000</v>
      </c>
      <c r="BQ101" s="230">
        <v>112368750</v>
      </c>
      <c r="BR101" s="230">
        <v>37469250</v>
      </c>
      <c r="BS101" s="229">
        <v>0.33339999999999997</v>
      </c>
      <c r="BT101" s="230">
        <v>10039087</v>
      </c>
      <c r="BU101" s="230">
        <v>10807168</v>
      </c>
      <c r="BV101" s="230">
        <v>-768081</v>
      </c>
      <c r="BW101" s="229">
        <v>-7.1099999999999997E-2</v>
      </c>
      <c r="BX101" s="230">
        <v>99844875</v>
      </c>
      <c r="BY101" s="230">
        <v>96915000</v>
      </c>
      <c r="BZ101" s="230">
        <v>2929875</v>
      </c>
      <c r="CA101" s="229">
        <v>3.0200000000000001E-2</v>
      </c>
      <c r="CB101" s="230">
        <v>72671625</v>
      </c>
      <c r="CC101" s="230">
        <v>88442250</v>
      </c>
      <c r="CD101" s="230">
        <v>-15770625</v>
      </c>
      <c r="CE101" s="229">
        <v>-0.17829999999999999</v>
      </c>
      <c r="CF101" s="230">
        <v>26461500</v>
      </c>
      <c r="CG101" s="230">
        <v>7829250</v>
      </c>
      <c r="CH101" s="230">
        <v>18632250</v>
      </c>
      <c r="CI101" s="229">
        <v>2.3797999999999999</v>
      </c>
      <c r="CJ101" s="230">
        <v>711750</v>
      </c>
      <c r="CK101" s="230">
        <v>643500</v>
      </c>
      <c r="CL101" s="230">
        <v>68250</v>
      </c>
      <c r="CM101" s="229">
        <v>0.1061</v>
      </c>
      <c r="CN101" s="230">
        <v>58524375</v>
      </c>
      <c r="CO101" s="230">
        <v>62180625</v>
      </c>
      <c r="CP101" s="230">
        <v>-3656250</v>
      </c>
      <c r="CQ101" s="229">
        <v>-5.8799999999999998E-2</v>
      </c>
      <c r="CR101" s="230">
        <v>51431250</v>
      </c>
      <c r="CS101" s="230">
        <v>54497625</v>
      </c>
      <c r="CT101" s="230">
        <v>-3066375</v>
      </c>
      <c r="CU101" s="229">
        <v>-5.6300000000000003E-2</v>
      </c>
      <c r="CV101" s="230">
        <v>209800500</v>
      </c>
      <c r="CW101" s="230">
        <v>213593250</v>
      </c>
      <c r="CX101" s="230">
        <v>-3792750</v>
      </c>
      <c r="CY101" s="229">
        <v>-1.78E-2</v>
      </c>
      <c r="CZ101" s="228">
        <v>21.37</v>
      </c>
      <c r="DA101" s="228">
        <v>24.37</v>
      </c>
      <c r="DB101" s="228">
        <v>-3</v>
      </c>
      <c r="DC101" s="228">
        <v>-3</v>
      </c>
      <c r="DD101" s="228">
        <v>31.81</v>
      </c>
      <c r="DE101" s="228">
        <v>31.88</v>
      </c>
      <c r="DF101" s="228">
        <v>-10.44</v>
      </c>
      <c r="DG101" s="228">
        <v>-7.0000000000000007E-2</v>
      </c>
      <c r="DH101" s="228">
        <v>21.03</v>
      </c>
      <c r="DI101" s="228">
        <v>23.89</v>
      </c>
      <c r="DJ101" s="228">
        <v>-2.86</v>
      </c>
      <c r="DK101" s="228">
        <v>-2.86</v>
      </c>
      <c r="DL101" s="228">
        <v>21.92</v>
      </c>
      <c r="DM101" s="228">
        <v>25.11</v>
      </c>
      <c r="DN101" s="228">
        <v>-3.19</v>
      </c>
      <c r="DO101" s="228">
        <v>-3.19</v>
      </c>
      <c r="DP101" s="228">
        <v>0.88</v>
      </c>
      <c r="DQ101" s="228">
        <v>0.88</v>
      </c>
      <c r="DR101" s="228">
        <v>0</v>
      </c>
      <c r="DS101" s="229">
        <v>0</v>
      </c>
      <c r="DT101" s="228">
        <v>175</v>
      </c>
      <c r="DU101" s="228">
        <v>160</v>
      </c>
      <c r="DV101" s="228">
        <v>0.6</v>
      </c>
      <c r="DW101" s="228">
        <v>0.64</v>
      </c>
      <c r="DX101" s="228">
        <v>-0.04</v>
      </c>
      <c r="DY101" s="229">
        <v>-6.25E-2</v>
      </c>
      <c r="DZ101" s="229">
        <v>0.2722</v>
      </c>
      <c r="EA101" s="230">
        <v>8472750</v>
      </c>
      <c r="EB101" s="229">
        <v>6.1999999999999998E-3</v>
      </c>
      <c r="EC101" s="229">
        <v>0.2722</v>
      </c>
      <c r="ED101" s="228">
        <v>0.79</v>
      </c>
      <c r="EE101" s="229">
        <v>4.7000000000000002E-3</v>
      </c>
      <c r="EF101" s="230">
        <v>5380866</v>
      </c>
      <c r="EG101" s="230">
        <v>6522074</v>
      </c>
      <c r="EH101" s="229">
        <v>-0.17499999999999999</v>
      </c>
      <c r="EI101" s="229">
        <v>0.53600000000000003</v>
      </c>
      <c r="EJ101" s="231">
        <v>104243.94</v>
      </c>
      <c r="EK101" s="231">
        <v>58561.1</v>
      </c>
      <c r="EL101" s="231">
        <v>93160.23</v>
      </c>
      <c r="EM101" s="231">
        <v>3055</v>
      </c>
      <c r="EN101" s="231">
        <v>255965.27</v>
      </c>
      <c r="EO101" s="231">
        <v>193454.11</v>
      </c>
      <c r="EP101" s="231">
        <v>62511.16</v>
      </c>
      <c r="EQ101" s="229">
        <v>0.3231</v>
      </c>
      <c r="ER101" s="231">
        <v>99970</v>
      </c>
      <c r="ES101" s="231">
        <v>82391</v>
      </c>
      <c r="ET101" s="231">
        <v>168608</v>
      </c>
      <c r="EU101" s="231">
        <v>684903861</v>
      </c>
      <c r="EV101" s="231">
        <v>350969</v>
      </c>
      <c r="EW101" s="231">
        <v>358029</v>
      </c>
      <c r="EX101" s="231">
        <v>-7060</v>
      </c>
      <c r="EY101" s="229">
        <v>-1.9699999999999999E-2</v>
      </c>
      <c r="EZ101" s="229">
        <v>0.30630000000000002</v>
      </c>
      <c r="FA101" s="227" t="s">
        <v>567</v>
      </c>
      <c r="FB101" s="161">
        <f t="shared" si="1"/>
        <v>27173250</v>
      </c>
    </row>
    <row r="102" spans="1:158" ht="17.25" hidden="1" thickBot="1" x14ac:dyDescent="0.3">
      <c r="A102" s="226">
        <v>45981</v>
      </c>
      <c r="B102" s="227" t="s">
        <v>215</v>
      </c>
      <c r="C102" s="227" t="s">
        <v>490</v>
      </c>
      <c r="D102" s="228">
        <v>875</v>
      </c>
      <c r="E102" s="228">
        <v>698.95</v>
      </c>
      <c r="F102" s="228">
        <v>699.35</v>
      </c>
      <c r="G102" s="228">
        <v>-0.4</v>
      </c>
      <c r="H102" s="229">
        <v>-5.9999999999999995E-4</v>
      </c>
      <c r="I102" s="228">
        <v>703</v>
      </c>
      <c r="J102" s="228">
        <v>705</v>
      </c>
      <c r="K102" s="228">
        <v>-2</v>
      </c>
      <c r="L102" s="229">
        <v>-2.8E-3</v>
      </c>
      <c r="M102" s="228">
        <v>698.95</v>
      </c>
      <c r="N102" s="228">
        <v>699.35</v>
      </c>
      <c r="O102" s="228">
        <v>-0.4</v>
      </c>
      <c r="P102" s="229">
        <v>-5.9999999999999995E-4</v>
      </c>
      <c r="Q102" s="228">
        <v>700.85</v>
      </c>
      <c r="R102" s="228">
        <v>703.95</v>
      </c>
      <c r="S102" s="228">
        <v>-3.1</v>
      </c>
      <c r="T102" s="229">
        <v>-4.4000000000000003E-3</v>
      </c>
      <c r="U102" s="228">
        <v>705.65</v>
      </c>
      <c r="V102" s="228">
        <v>708.55</v>
      </c>
      <c r="W102" s="228">
        <v>-2.9</v>
      </c>
      <c r="X102" s="229">
        <v>-4.1000000000000003E-3</v>
      </c>
      <c r="Y102" s="228">
        <v>-4.05</v>
      </c>
      <c r="Z102" s="228">
        <v>-5.65</v>
      </c>
      <c r="AA102" s="228">
        <v>1.6</v>
      </c>
      <c r="AB102" s="229">
        <v>-5.7999999999999996E-3</v>
      </c>
      <c r="AC102" s="228">
        <v>-4.05</v>
      </c>
      <c r="AD102" s="228">
        <v>-5.65</v>
      </c>
      <c r="AE102" s="228">
        <v>1.6</v>
      </c>
      <c r="AF102" s="229">
        <v>-5.7999999999999996E-3</v>
      </c>
      <c r="AG102" s="228">
        <v>-2.15</v>
      </c>
      <c r="AH102" s="228">
        <v>-1.05</v>
      </c>
      <c r="AI102" s="228">
        <v>-1.1000000000000001</v>
      </c>
      <c r="AJ102" s="229">
        <v>-3.0999999999999999E-3</v>
      </c>
      <c r="AK102" s="228">
        <v>2.65</v>
      </c>
      <c r="AL102" s="228">
        <v>3.55</v>
      </c>
      <c r="AM102" s="228">
        <v>-0.9</v>
      </c>
      <c r="AN102" s="229">
        <v>3.8E-3</v>
      </c>
      <c r="AO102" s="228">
        <v>702.15</v>
      </c>
      <c r="AP102" s="228">
        <v>704.58</v>
      </c>
      <c r="AQ102" s="228">
        <v>0</v>
      </c>
      <c r="AR102" s="230">
        <v>15765750</v>
      </c>
      <c r="AS102" s="230">
        <v>3855250</v>
      </c>
      <c r="AT102" s="230">
        <v>11910500</v>
      </c>
      <c r="AU102" s="229">
        <v>3.0893999999999999</v>
      </c>
      <c r="AV102" s="230">
        <v>7885500</v>
      </c>
      <c r="AW102" s="230">
        <v>2119250</v>
      </c>
      <c r="AX102" s="230">
        <v>5766250</v>
      </c>
      <c r="AY102" s="229">
        <v>2.7208999999999999</v>
      </c>
      <c r="AZ102" s="230">
        <v>7775250</v>
      </c>
      <c r="BA102" s="230">
        <v>1520750</v>
      </c>
      <c r="BB102" s="230">
        <v>6254500</v>
      </c>
      <c r="BC102" s="229">
        <v>4.1128</v>
      </c>
      <c r="BD102" s="230">
        <v>105000</v>
      </c>
      <c r="BE102" s="230">
        <v>215250</v>
      </c>
      <c r="BF102" s="230">
        <v>-110250</v>
      </c>
      <c r="BG102" s="229">
        <v>-0.51219999999999999</v>
      </c>
      <c r="BH102" s="230">
        <v>11994500</v>
      </c>
      <c r="BI102" s="230">
        <v>14117250</v>
      </c>
      <c r="BJ102" s="230">
        <v>-2122750</v>
      </c>
      <c r="BK102" s="229">
        <v>-0.15040000000000001</v>
      </c>
      <c r="BL102" s="230">
        <v>4807250</v>
      </c>
      <c r="BM102" s="230">
        <v>4489625</v>
      </c>
      <c r="BN102" s="230">
        <v>317625</v>
      </c>
      <c r="BO102" s="229">
        <v>7.0699999999999999E-2</v>
      </c>
      <c r="BP102" s="230">
        <v>32567500</v>
      </c>
      <c r="BQ102" s="230">
        <v>22462125</v>
      </c>
      <c r="BR102" s="230">
        <v>10105375</v>
      </c>
      <c r="BS102" s="229">
        <v>0.44990000000000002</v>
      </c>
      <c r="BT102" s="230">
        <v>888576</v>
      </c>
      <c r="BU102" s="230">
        <v>715223</v>
      </c>
      <c r="BV102" s="230">
        <v>173353</v>
      </c>
      <c r="BW102" s="229">
        <v>0.2424</v>
      </c>
      <c r="BX102" s="230">
        <v>19031250</v>
      </c>
      <c r="BY102" s="230">
        <v>19458250</v>
      </c>
      <c r="BZ102" s="230">
        <v>-427000</v>
      </c>
      <c r="CA102" s="229">
        <v>-2.1899999999999999E-2</v>
      </c>
      <c r="CB102" s="230">
        <v>10875375</v>
      </c>
      <c r="CC102" s="230">
        <v>15575875</v>
      </c>
      <c r="CD102" s="230">
        <v>-4700500</v>
      </c>
      <c r="CE102" s="229">
        <v>-0.30180000000000001</v>
      </c>
      <c r="CF102" s="230">
        <v>7701750</v>
      </c>
      <c r="CG102" s="230">
        <v>3481625</v>
      </c>
      <c r="CH102" s="230">
        <v>4220125</v>
      </c>
      <c r="CI102" s="229">
        <v>1.2121</v>
      </c>
      <c r="CJ102" s="230">
        <v>454125</v>
      </c>
      <c r="CK102" s="230">
        <v>400750</v>
      </c>
      <c r="CL102" s="230">
        <v>53375</v>
      </c>
      <c r="CM102" s="229">
        <v>0.13320000000000001</v>
      </c>
      <c r="CN102" s="230">
        <v>12379500</v>
      </c>
      <c r="CO102" s="230">
        <v>12967500</v>
      </c>
      <c r="CP102" s="230">
        <v>-588000</v>
      </c>
      <c r="CQ102" s="229">
        <v>-4.53E-2</v>
      </c>
      <c r="CR102" s="230">
        <v>7876750</v>
      </c>
      <c r="CS102" s="230">
        <v>8020250</v>
      </c>
      <c r="CT102" s="230">
        <v>-143500</v>
      </c>
      <c r="CU102" s="229">
        <v>-1.7899999999999999E-2</v>
      </c>
      <c r="CV102" s="230">
        <v>39287500</v>
      </c>
      <c r="CW102" s="230">
        <v>40446000</v>
      </c>
      <c r="CX102" s="230">
        <v>-1158500</v>
      </c>
      <c r="CY102" s="229">
        <v>-2.86E-2</v>
      </c>
      <c r="CZ102" s="228">
        <v>20.010000000000002</v>
      </c>
      <c r="DA102" s="228">
        <v>21.99</v>
      </c>
      <c r="DB102" s="228">
        <v>-1.98</v>
      </c>
      <c r="DC102" s="228">
        <v>-1.98</v>
      </c>
      <c r="DD102" s="228">
        <v>30.02</v>
      </c>
      <c r="DE102" s="228">
        <v>30.1</v>
      </c>
      <c r="DF102" s="228">
        <v>-10.01</v>
      </c>
      <c r="DG102" s="228">
        <v>-0.08</v>
      </c>
      <c r="DH102" s="228">
        <v>20.100000000000001</v>
      </c>
      <c r="DI102" s="228">
        <v>22.43</v>
      </c>
      <c r="DJ102" s="228">
        <v>-2.33</v>
      </c>
      <c r="DK102" s="228">
        <v>-2.33</v>
      </c>
      <c r="DL102" s="228">
        <v>19.87</v>
      </c>
      <c r="DM102" s="228">
        <v>20.61</v>
      </c>
      <c r="DN102" s="228">
        <v>-0.74</v>
      </c>
      <c r="DO102" s="228">
        <v>-0.74</v>
      </c>
      <c r="DP102" s="228">
        <v>0.64</v>
      </c>
      <c r="DQ102" s="228">
        <v>0.62</v>
      </c>
      <c r="DR102" s="228">
        <v>0.02</v>
      </c>
      <c r="DS102" s="229">
        <v>3.2300000000000002E-2</v>
      </c>
      <c r="DT102" s="228">
        <v>730</v>
      </c>
      <c r="DU102" s="228">
        <v>700</v>
      </c>
      <c r="DV102" s="228">
        <v>0.4</v>
      </c>
      <c r="DW102" s="228">
        <v>0.32</v>
      </c>
      <c r="DX102" s="228">
        <v>0.08</v>
      </c>
      <c r="DY102" s="229">
        <v>0.25</v>
      </c>
      <c r="DZ102" s="229">
        <v>0.42859999999999998</v>
      </c>
      <c r="EA102" s="230">
        <v>3882375</v>
      </c>
      <c r="EB102" s="229">
        <v>2.7000000000000001E-3</v>
      </c>
      <c r="EC102" s="229">
        <v>0.42859999999999998</v>
      </c>
      <c r="ED102" s="228">
        <v>2.4300000000000002</v>
      </c>
      <c r="EE102" s="229">
        <v>3.5000000000000001E-3</v>
      </c>
      <c r="EF102" s="230">
        <v>510860</v>
      </c>
      <c r="EG102" s="230">
        <v>349452</v>
      </c>
      <c r="EH102" s="229">
        <v>0.46189999999999998</v>
      </c>
      <c r="EI102" s="229">
        <v>0.57489999999999997</v>
      </c>
      <c r="EJ102" s="231">
        <v>86867.24</v>
      </c>
      <c r="EK102" s="231">
        <v>34476.92</v>
      </c>
      <c r="EL102" s="231">
        <v>110896.11</v>
      </c>
      <c r="EM102" s="231">
        <v>4182</v>
      </c>
      <c r="EN102" s="231">
        <v>232240.27</v>
      </c>
      <c r="EO102" s="231">
        <v>161100.68</v>
      </c>
      <c r="EP102" s="231">
        <v>71139.59</v>
      </c>
      <c r="EQ102" s="229">
        <v>0.44159999999999999</v>
      </c>
      <c r="ER102" s="231">
        <v>91823</v>
      </c>
      <c r="ES102" s="231">
        <v>55660</v>
      </c>
      <c r="ET102" s="231">
        <v>133196</v>
      </c>
      <c r="EU102" s="231">
        <v>30082783</v>
      </c>
      <c r="EV102" s="231">
        <v>280678</v>
      </c>
      <c r="EW102" s="231">
        <v>289072</v>
      </c>
      <c r="EX102" s="231">
        <v>-8394</v>
      </c>
      <c r="EY102" s="229">
        <v>-2.9000000000000001E-2</v>
      </c>
      <c r="EZ102" s="229">
        <v>1.306</v>
      </c>
      <c r="FA102" s="227" t="s">
        <v>568</v>
      </c>
      <c r="FB102" s="161">
        <f t="shared" si="1"/>
        <v>8155875</v>
      </c>
    </row>
    <row r="103" spans="1:158" ht="17.25" hidden="1" thickBot="1" x14ac:dyDescent="0.3">
      <c r="A103" s="226">
        <v>45981</v>
      </c>
      <c r="B103" s="227" t="s">
        <v>175</v>
      </c>
      <c r="C103" s="227" t="s">
        <v>665</v>
      </c>
      <c r="D103" s="228">
        <v>3450</v>
      </c>
      <c r="E103" s="228">
        <v>146.76</v>
      </c>
      <c r="F103" s="228">
        <v>147.36000000000001</v>
      </c>
      <c r="G103" s="228">
        <v>-0.6</v>
      </c>
      <c r="H103" s="229">
        <v>-4.1000000000000003E-3</v>
      </c>
      <c r="I103" s="228">
        <v>146.63999999999999</v>
      </c>
      <c r="J103" s="228">
        <v>147.1</v>
      </c>
      <c r="K103" s="228">
        <v>-0.46</v>
      </c>
      <c r="L103" s="229">
        <v>-3.0999999999999999E-3</v>
      </c>
      <c r="M103" s="228">
        <v>146.76</v>
      </c>
      <c r="N103" s="228">
        <v>147.36000000000001</v>
      </c>
      <c r="O103" s="228">
        <v>-0.6</v>
      </c>
      <c r="P103" s="229">
        <v>-4.1000000000000003E-3</v>
      </c>
      <c r="Q103" s="228">
        <v>147.38</v>
      </c>
      <c r="R103" s="228">
        <v>147.97999999999999</v>
      </c>
      <c r="S103" s="228">
        <v>-0.6</v>
      </c>
      <c r="T103" s="229">
        <v>-4.1000000000000003E-3</v>
      </c>
      <c r="U103" s="228">
        <v>148.19999999999999</v>
      </c>
      <c r="V103" s="228">
        <v>148.82</v>
      </c>
      <c r="W103" s="228">
        <v>-0.62</v>
      </c>
      <c r="X103" s="229">
        <v>-4.1999999999999997E-3</v>
      </c>
      <c r="Y103" s="228">
        <v>0.12</v>
      </c>
      <c r="Z103" s="228">
        <v>0.26</v>
      </c>
      <c r="AA103" s="228">
        <v>-0.14000000000000001</v>
      </c>
      <c r="AB103" s="229">
        <v>8.0000000000000004E-4</v>
      </c>
      <c r="AC103" s="228">
        <v>0.12</v>
      </c>
      <c r="AD103" s="228">
        <v>0.26</v>
      </c>
      <c r="AE103" s="228">
        <v>-0.14000000000000001</v>
      </c>
      <c r="AF103" s="229">
        <v>8.0000000000000004E-4</v>
      </c>
      <c r="AG103" s="228">
        <v>0.74</v>
      </c>
      <c r="AH103" s="228">
        <v>0.88</v>
      </c>
      <c r="AI103" s="228">
        <v>-0.14000000000000001</v>
      </c>
      <c r="AJ103" s="229">
        <v>5.0000000000000001E-3</v>
      </c>
      <c r="AK103" s="228">
        <v>1.56</v>
      </c>
      <c r="AL103" s="228">
        <v>1.72</v>
      </c>
      <c r="AM103" s="228">
        <v>-0.16</v>
      </c>
      <c r="AN103" s="229">
        <v>1.06E-2</v>
      </c>
      <c r="AO103" s="228">
        <v>147.34</v>
      </c>
      <c r="AP103" s="228">
        <v>147.88</v>
      </c>
      <c r="AQ103" s="228">
        <v>0</v>
      </c>
      <c r="AR103" s="230">
        <v>22031700</v>
      </c>
      <c r="AS103" s="230">
        <v>10836450</v>
      </c>
      <c r="AT103" s="230">
        <v>11195250</v>
      </c>
      <c r="AU103" s="229">
        <v>1.0330999999999999</v>
      </c>
      <c r="AV103" s="230">
        <v>10060200</v>
      </c>
      <c r="AW103" s="230">
        <v>5699400</v>
      </c>
      <c r="AX103" s="230">
        <v>4360800</v>
      </c>
      <c r="AY103" s="229">
        <v>0.7651</v>
      </c>
      <c r="AZ103" s="230">
        <v>11547150</v>
      </c>
      <c r="BA103" s="230">
        <v>4433250</v>
      </c>
      <c r="BB103" s="230">
        <v>7113900</v>
      </c>
      <c r="BC103" s="229">
        <v>1.6047</v>
      </c>
      <c r="BD103" s="230">
        <v>424350</v>
      </c>
      <c r="BE103" s="230">
        <v>703800</v>
      </c>
      <c r="BF103" s="230">
        <v>-279450</v>
      </c>
      <c r="BG103" s="229">
        <v>-0.39710000000000001</v>
      </c>
      <c r="BH103" s="230">
        <v>19078500</v>
      </c>
      <c r="BI103" s="230">
        <v>29076600</v>
      </c>
      <c r="BJ103" s="230">
        <v>-9998100</v>
      </c>
      <c r="BK103" s="229">
        <v>-0.34389999999999998</v>
      </c>
      <c r="BL103" s="230">
        <v>4350450</v>
      </c>
      <c r="BM103" s="230">
        <v>9225300</v>
      </c>
      <c r="BN103" s="230">
        <v>-4874850</v>
      </c>
      <c r="BO103" s="229">
        <v>-0.52839999999999998</v>
      </c>
      <c r="BP103" s="230">
        <v>45460650</v>
      </c>
      <c r="BQ103" s="230">
        <v>49138350</v>
      </c>
      <c r="BR103" s="230">
        <v>-3677700</v>
      </c>
      <c r="BS103" s="229">
        <v>-7.4800000000000005E-2</v>
      </c>
      <c r="BT103" s="230">
        <v>3324546</v>
      </c>
      <c r="BU103" s="230">
        <v>3851533</v>
      </c>
      <c r="BV103" s="230">
        <v>-526987</v>
      </c>
      <c r="BW103" s="229">
        <v>-0.1368</v>
      </c>
      <c r="BX103" s="230">
        <v>47137350</v>
      </c>
      <c r="BY103" s="230">
        <v>49407450</v>
      </c>
      <c r="BZ103" s="230">
        <v>-2270100</v>
      </c>
      <c r="CA103" s="229">
        <v>-4.5900000000000003E-2</v>
      </c>
      <c r="CB103" s="230">
        <v>30170250</v>
      </c>
      <c r="CC103" s="230">
        <v>36804600</v>
      </c>
      <c r="CD103" s="230">
        <v>-6634350</v>
      </c>
      <c r="CE103" s="229">
        <v>-0.18029999999999999</v>
      </c>
      <c r="CF103" s="230">
        <v>14238150</v>
      </c>
      <c r="CG103" s="230">
        <v>10094700</v>
      </c>
      <c r="CH103" s="230">
        <v>4143450</v>
      </c>
      <c r="CI103" s="229">
        <v>0.41049999999999998</v>
      </c>
      <c r="CJ103" s="230">
        <v>2728950</v>
      </c>
      <c r="CK103" s="230">
        <v>2508150</v>
      </c>
      <c r="CL103" s="230">
        <v>220800</v>
      </c>
      <c r="CM103" s="229">
        <v>8.7999999999999995E-2</v>
      </c>
      <c r="CN103" s="230">
        <v>26820300</v>
      </c>
      <c r="CO103" s="230">
        <v>29304300</v>
      </c>
      <c r="CP103" s="230">
        <v>-2484000</v>
      </c>
      <c r="CQ103" s="229">
        <v>-8.48E-2</v>
      </c>
      <c r="CR103" s="230">
        <v>15042000</v>
      </c>
      <c r="CS103" s="230">
        <v>14852250</v>
      </c>
      <c r="CT103" s="230">
        <v>189750</v>
      </c>
      <c r="CU103" s="229">
        <v>1.2800000000000001E-2</v>
      </c>
      <c r="CV103" s="230">
        <v>88999650</v>
      </c>
      <c r="CW103" s="230">
        <v>93564000</v>
      </c>
      <c r="CX103" s="230">
        <v>-4564350</v>
      </c>
      <c r="CY103" s="229">
        <v>-4.8800000000000003E-2</v>
      </c>
      <c r="CZ103" s="228">
        <v>29.59</v>
      </c>
      <c r="DA103" s="228">
        <v>34.06</v>
      </c>
      <c r="DB103" s="228">
        <v>-4.47</v>
      </c>
      <c r="DC103" s="228">
        <v>-4.47</v>
      </c>
      <c r="DD103" s="228">
        <v>50.12</v>
      </c>
      <c r="DE103" s="228">
        <v>50.24</v>
      </c>
      <c r="DF103" s="228">
        <v>-20.53</v>
      </c>
      <c r="DG103" s="228">
        <v>-0.12</v>
      </c>
      <c r="DH103" s="228">
        <v>29.75</v>
      </c>
      <c r="DI103" s="228">
        <v>34.61</v>
      </c>
      <c r="DJ103" s="228">
        <v>-4.8600000000000003</v>
      </c>
      <c r="DK103" s="228">
        <v>-4.8600000000000003</v>
      </c>
      <c r="DL103" s="228">
        <v>29.19</v>
      </c>
      <c r="DM103" s="228">
        <v>32.299999999999997</v>
      </c>
      <c r="DN103" s="228">
        <v>-3.11</v>
      </c>
      <c r="DO103" s="228">
        <v>-3.11</v>
      </c>
      <c r="DP103" s="228">
        <v>0.56000000000000005</v>
      </c>
      <c r="DQ103" s="228">
        <v>0.51</v>
      </c>
      <c r="DR103" s="228">
        <v>0.05</v>
      </c>
      <c r="DS103" s="229">
        <v>9.8000000000000004E-2</v>
      </c>
      <c r="DT103" s="228">
        <v>160</v>
      </c>
      <c r="DU103" s="228">
        <v>150</v>
      </c>
      <c r="DV103" s="228">
        <v>0.23</v>
      </c>
      <c r="DW103" s="228">
        <v>0.32</v>
      </c>
      <c r="DX103" s="228">
        <v>-0.09</v>
      </c>
      <c r="DY103" s="229">
        <v>-0.28129999999999999</v>
      </c>
      <c r="DZ103" s="229">
        <v>0.36</v>
      </c>
      <c r="EA103" s="230">
        <v>12602850</v>
      </c>
      <c r="EB103" s="229">
        <v>4.1999999999999997E-3</v>
      </c>
      <c r="EC103" s="229">
        <v>0.36</v>
      </c>
      <c r="ED103" s="228">
        <v>0.54</v>
      </c>
      <c r="EE103" s="229">
        <v>3.7000000000000002E-3</v>
      </c>
      <c r="EF103" s="230">
        <v>1256926</v>
      </c>
      <c r="EG103" s="230">
        <v>1526025</v>
      </c>
      <c r="EH103" s="229">
        <v>-0.17630000000000001</v>
      </c>
      <c r="EI103" s="229">
        <v>0.37809999999999999</v>
      </c>
      <c r="EJ103" s="231">
        <v>29555.47</v>
      </c>
      <c r="EK103" s="231">
        <v>6481.78</v>
      </c>
      <c r="EL103" s="231">
        <v>32529.18</v>
      </c>
      <c r="EM103" s="231">
        <v>3235</v>
      </c>
      <c r="EN103" s="231">
        <v>68566.429999999993</v>
      </c>
      <c r="EO103" s="231">
        <v>74838.86</v>
      </c>
      <c r="EP103" s="231">
        <v>-6272.43</v>
      </c>
      <c r="EQ103" s="229">
        <v>-8.3799999999999999E-2</v>
      </c>
      <c r="ER103" s="231">
        <v>42177</v>
      </c>
      <c r="ES103" s="231">
        <v>22058</v>
      </c>
      <c r="ET103" s="231">
        <v>69306</v>
      </c>
      <c r="EU103" s="231">
        <v>119011160</v>
      </c>
      <c r="EV103" s="231">
        <v>133541</v>
      </c>
      <c r="EW103" s="231">
        <v>140811</v>
      </c>
      <c r="EX103" s="231">
        <v>-7270</v>
      </c>
      <c r="EY103" s="229">
        <v>-5.16E-2</v>
      </c>
      <c r="EZ103" s="229">
        <v>0.74780000000000002</v>
      </c>
      <c r="FA103" s="227" t="s">
        <v>568</v>
      </c>
      <c r="FB103" s="161">
        <f t="shared" si="1"/>
        <v>16967100</v>
      </c>
    </row>
    <row r="104" spans="1:158" ht="17.25" hidden="1" thickBot="1" x14ac:dyDescent="0.3">
      <c r="A104" s="226">
        <v>45981</v>
      </c>
      <c r="B104" s="227" t="s">
        <v>215</v>
      </c>
      <c r="C104" s="227" t="s">
        <v>592</v>
      </c>
      <c r="D104" s="228">
        <v>4250</v>
      </c>
      <c r="E104" s="228">
        <v>120.02</v>
      </c>
      <c r="F104" s="228">
        <v>121.08</v>
      </c>
      <c r="G104" s="228">
        <v>-1.06</v>
      </c>
      <c r="H104" s="229">
        <v>-8.8000000000000005E-3</v>
      </c>
      <c r="I104" s="228">
        <v>120.08</v>
      </c>
      <c r="J104" s="228">
        <v>120.85</v>
      </c>
      <c r="K104" s="228">
        <v>-0.77</v>
      </c>
      <c r="L104" s="229">
        <v>-6.4000000000000003E-3</v>
      </c>
      <c r="M104" s="228">
        <v>120.02</v>
      </c>
      <c r="N104" s="228">
        <v>121.08</v>
      </c>
      <c r="O104" s="228">
        <v>-1.06</v>
      </c>
      <c r="P104" s="229">
        <v>-8.8000000000000005E-3</v>
      </c>
      <c r="Q104" s="228">
        <v>120.79</v>
      </c>
      <c r="R104" s="228">
        <v>121.84</v>
      </c>
      <c r="S104" s="228">
        <v>-1.05</v>
      </c>
      <c r="T104" s="229">
        <v>-8.6E-3</v>
      </c>
      <c r="U104" s="228">
        <v>121.62</v>
      </c>
      <c r="V104" s="228">
        <v>122.55</v>
      </c>
      <c r="W104" s="228">
        <v>-0.93</v>
      </c>
      <c r="X104" s="229">
        <v>-7.6E-3</v>
      </c>
      <c r="Y104" s="228">
        <v>-0.06</v>
      </c>
      <c r="Z104" s="228">
        <v>0.23</v>
      </c>
      <c r="AA104" s="228">
        <v>-0.28999999999999998</v>
      </c>
      <c r="AB104" s="229">
        <v>-5.0000000000000001E-4</v>
      </c>
      <c r="AC104" s="228">
        <v>-0.06</v>
      </c>
      <c r="AD104" s="228">
        <v>0.23</v>
      </c>
      <c r="AE104" s="228">
        <v>-0.28999999999999998</v>
      </c>
      <c r="AF104" s="229">
        <v>-5.0000000000000001E-4</v>
      </c>
      <c r="AG104" s="228">
        <v>0.71</v>
      </c>
      <c r="AH104" s="228">
        <v>0.99</v>
      </c>
      <c r="AI104" s="228">
        <v>-0.28000000000000003</v>
      </c>
      <c r="AJ104" s="229">
        <v>5.8999999999999999E-3</v>
      </c>
      <c r="AK104" s="228">
        <v>1.54</v>
      </c>
      <c r="AL104" s="228">
        <v>1.7</v>
      </c>
      <c r="AM104" s="228">
        <v>-0.16</v>
      </c>
      <c r="AN104" s="229">
        <v>1.2800000000000001E-2</v>
      </c>
      <c r="AO104" s="228">
        <v>120.72</v>
      </c>
      <c r="AP104" s="228">
        <v>121.49</v>
      </c>
      <c r="AQ104" s="228">
        <v>0</v>
      </c>
      <c r="AR104" s="230">
        <v>20710250</v>
      </c>
      <c r="AS104" s="230">
        <v>7263250</v>
      </c>
      <c r="AT104" s="230">
        <v>13447000</v>
      </c>
      <c r="AU104" s="229">
        <v>1.8513999999999999</v>
      </c>
      <c r="AV104" s="230">
        <v>10748250</v>
      </c>
      <c r="AW104" s="230">
        <v>4585750</v>
      </c>
      <c r="AX104" s="230">
        <v>6162500</v>
      </c>
      <c r="AY104" s="229">
        <v>1.3438000000000001</v>
      </c>
      <c r="AZ104" s="230">
        <v>9787750</v>
      </c>
      <c r="BA104" s="230">
        <v>2520250</v>
      </c>
      <c r="BB104" s="230">
        <v>7267500</v>
      </c>
      <c r="BC104" s="229">
        <v>2.8835999999999999</v>
      </c>
      <c r="BD104" s="230">
        <v>174250</v>
      </c>
      <c r="BE104" s="230">
        <v>157250</v>
      </c>
      <c r="BF104" s="230">
        <v>17000</v>
      </c>
      <c r="BG104" s="229">
        <v>0.1081</v>
      </c>
      <c r="BH104" s="230">
        <v>20791000</v>
      </c>
      <c r="BI104" s="230">
        <v>26634750</v>
      </c>
      <c r="BJ104" s="230">
        <v>-5843750</v>
      </c>
      <c r="BK104" s="229">
        <v>-0.21940000000000001</v>
      </c>
      <c r="BL104" s="230">
        <v>7076250</v>
      </c>
      <c r="BM104" s="230">
        <v>6783000</v>
      </c>
      <c r="BN104" s="230">
        <v>293250</v>
      </c>
      <c r="BO104" s="229">
        <v>4.3200000000000002E-2</v>
      </c>
      <c r="BP104" s="230">
        <v>48577500</v>
      </c>
      <c r="BQ104" s="230">
        <v>40681000</v>
      </c>
      <c r="BR104" s="230">
        <v>7896500</v>
      </c>
      <c r="BS104" s="229">
        <v>0.19409999999999999</v>
      </c>
      <c r="BT104" s="230">
        <v>5426281</v>
      </c>
      <c r="BU104" s="230">
        <v>5050126</v>
      </c>
      <c r="BV104" s="230">
        <v>376155</v>
      </c>
      <c r="BW104" s="229">
        <v>7.4499999999999997E-2</v>
      </c>
      <c r="BX104" s="230">
        <v>46282500</v>
      </c>
      <c r="BY104" s="230">
        <v>48156750</v>
      </c>
      <c r="BZ104" s="230">
        <v>-1874250</v>
      </c>
      <c r="CA104" s="229">
        <v>-3.8899999999999997E-2</v>
      </c>
      <c r="CB104" s="230">
        <v>32074750</v>
      </c>
      <c r="CC104" s="230">
        <v>39125500</v>
      </c>
      <c r="CD104" s="230">
        <v>-7050750</v>
      </c>
      <c r="CE104" s="229">
        <v>-0.1802</v>
      </c>
      <c r="CF104" s="230">
        <v>13234500</v>
      </c>
      <c r="CG104" s="230">
        <v>8143000</v>
      </c>
      <c r="CH104" s="230">
        <v>5091500</v>
      </c>
      <c r="CI104" s="229">
        <v>0.62529999999999997</v>
      </c>
      <c r="CJ104" s="230">
        <v>973250</v>
      </c>
      <c r="CK104" s="230">
        <v>888250</v>
      </c>
      <c r="CL104" s="230">
        <v>85000</v>
      </c>
      <c r="CM104" s="229">
        <v>9.5699999999999993E-2</v>
      </c>
      <c r="CN104" s="230">
        <v>36996250</v>
      </c>
      <c r="CO104" s="230">
        <v>38148000</v>
      </c>
      <c r="CP104" s="230">
        <v>-1151750</v>
      </c>
      <c r="CQ104" s="229">
        <v>-3.0200000000000001E-2</v>
      </c>
      <c r="CR104" s="230">
        <v>18279250</v>
      </c>
      <c r="CS104" s="230">
        <v>18164500</v>
      </c>
      <c r="CT104" s="230">
        <v>114750</v>
      </c>
      <c r="CU104" s="229">
        <v>6.3E-3</v>
      </c>
      <c r="CV104" s="230">
        <v>101558000</v>
      </c>
      <c r="CW104" s="230">
        <v>104469250</v>
      </c>
      <c r="CX104" s="230">
        <v>-2911250</v>
      </c>
      <c r="CY104" s="229">
        <v>-2.7900000000000001E-2</v>
      </c>
      <c r="CZ104" s="228">
        <v>25.93</v>
      </c>
      <c r="DA104" s="228">
        <v>27.91</v>
      </c>
      <c r="DB104" s="228">
        <v>-1.98</v>
      </c>
      <c r="DC104" s="228">
        <v>-1.98</v>
      </c>
      <c r="DD104" s="228">
        <v>45.41</v>
      </c>
      <c r="DE104" s="228">
        <v>45.5</v>
      </c>
      <c r="DF104" s="228">
        <v>-19.48</v>
      </c>
      <c r="DG104" s="228">
        <v>-0.09</v>
      </c>
      <c r="DH104" s="228">
        <v>26.2</v>
      </c>
      <c r="DI104" s="228">
        <v>28.23</v>
      </c>
      <c r="DJ104" s="228">
        <v>-2.0299999999999998</v>
      </c>
      <c r="DK104" s="228">
        <v>-2.0299999999999998</v>
      </c>
      <c r="DL104" s="228">
        <v>25.4</v>
      </c>
      <c r="DM104" s="228">
        <v>26.65</v>
      </c>
      <c r="DN104" s="228">
        <v>-1.25</v>
      </c>
      <c r="DO104" s="228">
        <v>-1.25</v>
      </c>
      <c r="DP104" s="228">
        <v>0.49</v>
      </c>
      <c r="DQ104" s="228">
        <v>0.48</v>
      </c>
      <c r="DR104" s="228">
        <v>0.01</v>
      </c>
      <c r="DS104" s="229">
        <v>2.0799999999999999E-2</v>
      </c>
      <c r="DT104" s="228">
        <v>125</v>
      </c>
      <c r="DU104" s="228">
        <v>125</v>
      </c>
      <c r="DV104" s="228">
        <v>0.34</v>
      </c>
      <c r="DW104" s="228">
        <v>0.25</v>
      </c>
      <c r="DX104" s="228">
        <v>0.09</v>
      </c>
      <c r="DY104" s="229">
        <v>0.36</v>
      </c>
      <c r="DZ104" s="229">
        <v>0.307</v>
      </c>
      <c r="EA104" s="230">
        <v>9031250</v>
      </c>
      <c r="EB104" s="229">
        <v>6.4000000000000003E-3</v>
      </c>
      <c r="EC104" s="229">
        <v>0.307</v>
      </c>
      <c r="ED104" s="228">
        <v>0.77</v>
      </c>
      <c r="EE104" s="229">
        <v>6.4000000000000003E-3</v>
      </c>
      <c r="EF104" s="230">
        <v>2484463</v>
      </c>
      <c r="EG104" s="230">
        <v>1947664</v>
      </c>
      <c r="EH104" s="229">
        <v>0.27560000000000001</v>
      </c>
      <c r="EI104" s="229">
        <v>0.45789999999999997</v>
      </c>
      <c r="EJ104" s="231">
        <v>26267.33</v>
      </c>
      <c r="EK104" s="231">
        <v>8538.64</v>
      </c>
      <c r="EL104" s="231">
        <v>25079.93</v>
      </c>
      <c r="EM104" s="231">
        <v>1661</v>
      </c>
      <c r="EN104" s="231">
        <v>59885.9</v>
      </c>
      <c r="EO104" s="231">
        <v>50558.14</v>
      </c>
      <c r="EP104" s="231">
        <v>9327.76</v>
      </c>
      <c r="EQ104" s="229">
        <v>0.1845</v>
      </c>
      <c r="ER104" s="231">
        <v>47287</v>
      </c>
      <c r="ES104" s="231">
        <v>22122</v>
      </c>
      <c r="ET104" s="231">
        <v>55666</v>
      </c>
      <c r="EU104" s="231">
        <v>226853356</v>
      </c>
      <c r="EV104" s="231">
        <v>125075</v>
      </c>
      <c r="EW104" s="231">
        <v>129262</v>
      </c>
      <c r="EX104" s="231">
        <v>-4187</v>
      </c>
      <c r="EY104" s="229">
        <v>-3.2399999999999998E-2</v>
      </c>
      <c r="EZ104" s="229">
        <v>0.44769999999999999</v>
      </c>
      <c r="FA104" s="227" t="s">
        <v>568</v>
      </c>
      <c r="FB104" s="161">
        <f t="shared" si="1"/>
        <v>14207750</v>
      </c>
    </row>
    <row r="105" spans="1:158" ht="17.25" hidden="1" thickBot="1" x14ac:dyDescent="0.3">
      <c r="A105" s="226">
        <v>45981</v>
      </c>
      <c r="B105" s="227" t="s">
        <v>168</v>
      </c>
      <c r="C105" s="227" t="s">
        <v>242</v>
      </c>
      <c r="D105" s="228">
        <v>1600</v>
      </c>
      <c r="E105" s="228">
        <v>405.85</v>
      </c>
      <c r="F105" s="228">
        <v>404.25</v>
      </c>
      <c r="G105" s="228">
        <v>1.6</v>
      </c>
      <c r="H105" s="229">
        <v>4.0000000000000001E-3</v>
      </c>
      <c r="I105" s="228">
        <v>405.45</v>
      </c>
      <c r="J105" s="228">
        <v>403.55</v>
      </c>
      <c r="K105" s="228">
        <v>1.9</v>
      </c>
      <c r="L105" s="229">
        <v>4.7000000000000002E-3</v>
      </c>
      <c r="M105" s="228">
        <v>405.85</v>
      </c>
      <c r="N105" s="228">
        <v>404.25</v>
      </c>
      <c r="O105" s="228">
        <v>1.6</v>
      </c>
      <c r="P105" s="229">
        <v>4.0000000000000001E-3</v>
      </c>
      <c r="Q105" s="228">
        <v>408.6</v>
      </c>
      <c r="R105" s="228">
        <v>406.95</v>
      </c>
      <c r="S105" s="228">
        <v>1.65</v>
      </c>
      <c r="T105" s="229">
        <v>4.1000000000000003E-3</v>
      </c>
      <c r="U105" s="228">
        <v>411.05</v>
      </c>
      <c r="V105" s="228">
        <v>409.4</v>
      </c>
      <c r="W105" s="228">
        <v>1.65</v>
      </c>
      <c r="X105" s="229">
        <v>4.0000000000000001E-3</v>
      </c>
      <c r="Y105" s="228">
        <v>0.4</v>
      </c>
      <c r="Z105" s="228">
        <v>0.7</v>
      </c>
      <c r="AA105" s="228">
        <v>-0.3</v>
      </c>
      <c r="AB105" s="229">
        <v>1E-3</v>
      </c>
      <c r="AC105" s="228">
        <v>0.4</v>
      </c>
      <c r="AD105" s="228">
        <v>0.7</v>
      </c>
      <c r="AE105" s="228">
        <v>-0.3</v>
      </c>
      <c r="AF105" s="229">
        <v>1E-3</v>
      </c>
      <c r="AG105" s="228">
        <v>3.15</v>
      </c>
      <c r="AH105" s="228">
        <v>3.4</v>
      </c>
      <c r="AI105" s="228">
        <v>-0.25</v>
      </c>
      <c r="AJ105" s="229">
        <v>7.7999999999999996E-3</v>
      </c>
      <c r="AK105" s="228">
        <v>5.6</v>
      </c>
      <c r="AL105" s="228">
        <v>5.85</v>
      </c>
      <c r="AM105" s="228">
        <v>-0.25</v>
      </c>
      <c r="AN105" s="229">
        <v>1.38E-2</v>
      </c>
      <c r="AO105" s="228">
        <v>405.94</v>
      </c>
      <c r="AP105" s="228">
        <v>408.67</v>
      </c>
      <c r="AQ105" s="228">
        <v>0</v>
      </c>
      <c r="AR105" s="230">
        <v>76886400</v>
      </c>
      <c r="AS105" s="230">
        <v>16096000</v>
      </c>
      <c r="AT105" s="230">
        <v>60790400</v>
      </c>
      <c r="AU105" s="229">
        <v>3.7766999999999999</v>
      </c>
      <c r="AV105" s="230">
        <v>39236800</v>
      </c>
      <c r="AW105" s="230">
        <v>8809600</v>
      </c>
      <c r="AX105" s="230">
        <v>30427200</v>
      </c>
      <c r="AY105" s="229">
        <v>3.4539</v>
      </c>
      <c r="AZ105" s="230">
        <v>37292800</v>
      </c>
      <c r="BA105" s="230">
        <v>6590400</v>
      </c>
      <c r="BB105" s="230">
        <v>30702400</v>
      </c>
      <c r="BC105" s="229">
        <v>4.6586999999999996</v>
      </c>
      <c r="BD105" s="230">
        <v>356800</v>
      </c>
      <c r="BE105" s="230">
        <v>696000</v>
      </c>
      <c r="BF105" s="230">
        <v>-339200</v>
      </c>
      <c r="BG105" s="229">
        <v>-0.4874</v>
      </c>
      <c r="BH105" s="230">
        <v>51296000</v>
      </c>
      <c r="BI105" s="230">
        <v>51592000</v>
      </c>
      <c r="BJ105" s="230">
        <v>-296000</v>
      </c>
      <c r="BK105" s="229">
        <v>-5.7000000000000002E-3</v>
      </c>
      <c r="BL105" s="230">
        <v>23113600</v>
      </c>
      <c r="BM105" s="230">
        <v>20467200</v>
      </c>
      <c r="BN105" s="230">
        <v>2646400</v>
      </c>
      <c r="BO105" s="229">
        <v>0.1293</v>
      </c>
      <c r="BP105" s="230">
        <v>151296000</v>
      </c>
      <c r="BQ105" s="230">
        <v>88155200</v>
      </c>
      <c r="BR105" s="230">
        <v>63140800</v>
      </c>
      <c r="BS105" s="229">
        <v>0.71619999999999995</v>
      </c>
      <c r="BT105" s="230">
        <v>7872851</v>
      </c>
      <c r="BU105" s="230">
        <v>8049048</v>
      </c>
      <c r="BV105" s="230">
        <v>-176197</v>
      </c>
      <c r="BW105" s="229">
        <v>-2.1899999999999999E-2</v>
      </c>
      <c r="BX105" s="230">
        <v>174758400</v>
      </c>
      <c r="BY105" s="230">
        <v>175307200</v>
      </c>
      <c r="BZ105" s="230">
        <v>-548800</v>
      </c>
      <c r="CA105" s="229">
        <v>-3.0999999999999999E-3</v>
      </c>
      <c r="CB105" s="230">
        <v>116472000</v>
      </c>
      <c r="CC105" s="230">
        <v>151707200</v>
      </c>
      <c r="CD105" s="230">
        <v>-35235200</v>
      </c>
      <c r="CE105" s="229">
        <v>-0.23230000000000001</v>
      </c>
      <c r="CF105" s="230">
        <v>56081600</v>
      </c>
      <c r="CG105" s="230">
        <v>21558400</v>
      </c>
      <c r="CH105" s="230">
        <v>34523200</v>
      </c>
      <c r="CI105" s="229">
        <v>1.6013999999999999</v>
      </c>
      <c r="CJ105" s="230">
        <v>2204800</v>
      </c>
      <c r="CK105" s="230">
        <v>2041600</v>
      </c>
      <c r="CL105" s="230">
        <v>163200</v>
      </c>
      <c r="CM105" s="229">
        <v>7.9899999999999999E-2</v>
      </c>
      <c r="CN105" s="230">
        <v>69395200</v>
      </c>
      <c r="CO105" s="230">
        <v>73953600</v>
      </c>
      <c r="CP105" s="230">
        <v>-4558400</v>
      </c>
      <c r="CQ105" s="229">
        <v>-6.1600000000000002E-2</v>
      </c>
      <c r="CR105" s="230">
        <v>31897600</v>
      </c>
      <c r="CS105" s="230">
        <v>33662400</v>
      </c>
      <c r="CT105" s="230">
        <v>-1764800</v>
      </c>
      <c r="CU105" s="229">
        <v>-5.2400000000000002E-2</v>
      </c>
      <c r="CV105" s="230">
        <v>276051200</v>
      </c>
      <c r="CW105" s="230">
        <v>282923200</v>
      </c>
      <c r="CX105" s="230">
        <v>-6872000</v>
      </c>
      <c r="CY105" s="229">
        <v>-2.4299999999999999E-2</v>
      </c>
      <c r="CZ105" s="228">
        <v>13.88</v>
      </c>
      <c r="DA105" s="228">
        <v>15.37</v>
      </c>
      <c r="DB105" s="228">
        <v>-1.49</v>
      </c>
      <c r="DC105" s="228">
        <v>-1.49</v>
      </c>
      <c r="DD105" s="228">
        <v>19.11</v>
      </c>
      <c r="DE105" s="228">
        <v>19.14</v>
      </c>
      <c r="DF105" s="228">
        <v>-5.23</v>
      </c>
      <c r="DG105" s="228">
        <v>-0.03</v>
      </c>
      <c r="DH105" s="228">
        <v>14.18</v>
      </c>
      <c r="DI105" s="228">
        <v>15.9</v>
      </c>
      <c r="DJ105" s="228">
        <v>-1.72</v>
      </c>
      <c r="DK105" s="228">
        <v>-1.72</v>
      </c>
      <c r="DL105" s="228">
        <v>13.21</v>
      </c>
      <c r="DM105" s="228">
        <v>14.04</v>
      </c>
      <c r="DN105" s="228">
        <v>-0.83</v>
      </c>
      <c r="DO105" s="228">
        <v>-0.83</v>
      </c>
      <c r="DP105" s="228">
        <v>0.46</v>
      </c>
      <c r="DQ105" s="228">
        <v>0.46</v>
      </c>
      <c r="DR105" s="228">
        <v>0</v>
      </c>
      <c r="DS105" s="229">
        <v>0</v>
      </c>
      <c r="DT105" s="228">
        <v>420</v>
      </c>
      <c r="DU105" s="228">
        <v>420</v>
      </c>
      <c r="DV105" s="228">
        <v>0.45</v>
      </c>
      <c r="DW105" s="228">
        <v>0.4</v>
      </c>
      <c r="DX105" s="228">
        <v>0.05</v>
      </c>
      <c r="DY105" s="229">
        <v>0.125</v>
      </c>
      <c r="DZ105" s="229">
        <v>0.33350000000000002</v>
      </c>
      <c r="EA105" s="230">
        <v>23600000</v>
      </c>
      <c r="EB105" s="229">
        <v>6.7999999999999996E-3</v>
      </c>
      <c r="EC105" s="229">
        <v>0.33350000000000002</v>
      </c>
      <c r="ED105" s="228">
        <v>2.73</v>
      </c>
      <c r="EE105" s="229">
        <v>6.7000000000000002E-3</v>
      </c>
      <c r="EF105" s="230">
        <v>4154359</v>
      </c>
      <c r="EG105" s="230">
        <v>5151356</v>
      </c>
      <c r="EH105" s="229">
        <v>-0.19350000000000001</v>
      </c>
      <c r="EI105" s="229">
        <v>0.52769999999999995</v>
      </c>
      <c r="EJ105" s="231">
        <v>212723.68</v>
      </c>
      <c r="EK105" s="231">
        <v>94321.66</v>
      </c>
      <c r="EL105" s="231">
        <v>313149.84999999998</v>
      </c>
      <c r="EM105" s="231">
        <v>8029</v>
      </c>
      <c r="EN105" s="231">
        <v>620195.18999999994</v>
      </c>
      <c r="EO105" s="231">
        <v>362956.06</v>
      </c>
      <c r="EP105" s="231">
        <v>257239.13</v>
      </c>
      <c r="EQ105" s="229">
        <v>0.7087</v>
      </c>
      <c r="ER105" s="231">
        <v>294576</v>
      </c>
      <c r="ES105" s="231">
        <v>129838</v>
      </c>
      <c r="ET105" s="231">
        <v>710914</v>
      </c>
      <c r="EU105" s="231">
        <v>1251412841</v>
      </c>
      <c r="EV105" s="231">
        <v>1135328</v>
      </c>
      <c r="EW105" s="231">
        <v>1159687</v>
      </c>
      <c r="EX105" s="231">
        <v>-24359</v>
      </c>
      <c r="EY105" s="229">
        <v>-2.1000000000000001E-2</v>
      </c>
      <c r="EZ105" s="229">
        <v>0.22059999999999999</v>
      </c>
      <c r="FA105" s="227" t="s">
        <v>556</v>
      </c>
      <c r="FB105" s="161">
        <f t="shared" si="1"/>
        <v>58286400</v>
      </c>
    </row>
    <row r="106" spans="1:158" ht="17.25" hidden="1" thickBot="1" x14ac:dyDescent="0.3">
      <c r="A106" s="226">
        <v>45981</v>
      </c>
      <c r="B106" s="227" t="s">
        <v>227</v>
      </c>
      <c r="C106" s="227" t="s">
        <v>243</v>
      </c>
      <c r="D106" s="228">
        <v>625</v>
      </c>
      <c r="E106" s="231">
        <v>1070.4000000000001</v>
      </c>
      <c r="F106" s="231">
        <v>1069.9000000000001</v>
      </c>
      <c r="G106" s="228">
        <v>0.5</v>
      </c>
      <c r="H106" s="229">
        <v>5.0000000000000001E-4</v>
      </c>
      <c r="I106" s="231">
        <v>1069.4000000000001</v>
      </c>
      <c r="J106" s="231">
        <v>1071</v>
      </c>
      <c r="K106" s="228">
        <v>-1.6</v>
      </c>
      <c r="L106" s="229">
        <v>-1.5E-3</v>
      </c>
      <c r="M106" s="231">
        <v>1070.4000000000001</v>
      </c>
      <c r="N106" s="231">
        <v>1069.9000000000001</v>
      </c>
      <c r="O106" s="228">
        <v>0.5</v>
      </c>
      <c r="P106" s="229">
        <v>5.0000000000000001E-4</v>
      </c>
      <c r="Q106" s="231">
        <v>1077.5</v>
      </c>
      <c r="R106" s="231">
        <v>1076.5</v>
      </c>
      <c r="S106" s="228">
        <v>1</v>
      </c>
      <c r="T106" s="229">
        <v>8.9999999999999998E-4</v>
      </c>
      <c r="U106" s="231">
        <v>1083.5</v>
      </c>
      <c r="V106" s="231">
        <v>1082.4000000000001</v>
      </c>
      <c r="W106" s="228">
        <v>1.1000000000000001</v>
      </c>
      <c r="X106" s="229">
        <v>1E-3</v>
      </c>
      <c r="Y106" s="228">
        <v>1</v>
      </c>
      <c r="Z106" s="228">
        <v>-1.1000000000000001</v>
      </c>
      <c r="AA106" s="228">
        <v>2.1</v>
      </c>
      <c r="AB106" s="229">
        <v>8.9999999999999998E-4</v>
      </c>
      <c r="AC106" s="228">
        <v>1</v>
      </c>
      <c r="AD106" s="228">
        <v>-1.1000000000000001</v>
      </c>
      <c r="AE106" s="228">
        <v>2.1</v>
      </c>
      <c r="AF106" s="229">
        <v>8.9999999999999998E-4</v>
      </c>
      <c r="AG106" s="228">
        <v>8.1</v>
      </c>
      <c r="AH106" s="228">
        <v>5.5</v>
      </c>
      <c r="AI106" s="228">
        <v>2.6</v>
      </c>
      <c r="AJ106" s="229">
        <v>7.6E-3</v>
      </c>
      <c r="AK106" s="228">
        <v>14.1</v>
      </c>
      <c r="AL106" s="228">
        <v>11.4</v>
      </c>
      <c r="AM106" s="228">
        <v>2.7</v>
      </c>
      <c r="AN106" s="229">
        <v>1.32E-2</v>
      </c>
      <c r="AO106" s="231">
        <v>1072.17</v>
      </c>
      <c r="AP106" s="231">
        <v>1079.1500000000001</v>
      </c>
      <c r="AQ106" s="228">
        <v>0</v>
      </c>
      <c r="AR106" s="230">
        <v>6466250</v>
      </c>
      <c r="AS106" s="230">
        <v>2502500</v>
      </c>
      <c r="AT106" s="230">
        <v>3963750</v>
      </c>
      <c r="AU106" s="229">
        <v>1.5839000000000001</v>
      </c>
      <c r="AV106" s="230">
        <v>3598750</v>
      </c>
      <c r="AW106" s="230">
        <v>1870625</v>
      </c>
      <c r="AX106" s="230">
        <v>1728125</v>
      </c>
      <c r="AY106" s="229">
        <v>0.92379999999999995</v>
      </c>
      <c r="AZ106" s="230">
        <v>2850625</v>
      </c>
      <c r="BA106" s="230">
        <v>610625</v>
      </c>
      <c r="BB106" s="230">
        <v>2240000</v>
      </c>
      <c r="BC106" s="229">
        <v>3.6684000000000001</v>
      </c>
      <c r="BD106" s="230">
        <v>16875</v>
      </c>
      <c r="BE106" s="230">
        <v>21250</v>
      </c>
      <c r="BF106" s="230">
        <v>-4375</v>
      </c>
      <c r="BG106" s="229">
        <v>-0.2059</v>
      </c>
      <c r="BH106" s="230">
        <v>5678125</v>
      </c>
      <c r="BI106" s="230">
        <v>7398750</v>
      </c>
      <c r="BJ106" s="230">
        <v>-1720625</v>
      </c>
      <c r="BK106" s="229">
        <v>-0.2326</v>
      </c>
      <c r="BL106" s="230">
        <v>3162500</v>
      </c>
      <c r="BM106" s="230">
        <v>4050625</v>
      </c>
      <c r="BN106" s="230">
        <v>-888125</v>
      </c>
      <c r="BO106" s="229">
        <v>-0.21929999999999999</v>
      </c>
      <c r="BP106" s="230">
        <v>15306875</v>
      </c>
      <c r="BQ106" s="230">
        <v>13951875</v>
      </c>
      <c r="BR106" s="230">
        <v>1355000</v>
      </c>
      <c r="BS106" s="229">
        <v>9.7100000000000006E-2</v>
      </c>
      <c r="BT106" s="230">
        <v>850436</v>
      </c>
      <c r="BU106" s="230">
        <v>954199</v>
      </c>
      <c r="BV106" s="230">
        <v>-103763</v>
      </c>
      <c r="BW106" s="229">
        <v>-0.1087</v>
      </c>
      <c r="BX106" s="230">
        <v>13206875</v>
      </c>
      <c r="BY106" s="230">
        <v>13458125</v>
      </c>
      <c r="BZ106" s="230">
        <v>-251250</v>
      </c>
      <c r="CA106" s="229">
        <v>-1.8700000000000001E-2</v>
      </c>
      <c r="CB106" s="230">
        <v>8323750</v>
      </c>
      <c r="CC106" s="230">
        <v>10803750</v>
      </c>
      <c r="CD106" s="230">
        <v>-2480000</v>
      </c>
      <c r="CE106" s="229">
        <v>-0.22950000000000001</v>
      </c>
      <c r="CF106" s="230">
        <v>4839375</v>
      </c>
      <c r="CG106" s="230">
        <v>2618125</v>
      </c>
      <c r="CH106" s="230">
        <v>2221250</v>
      </c>
      <c r="CI106" s="229">
        <v>0.84840000000000004</v>
      </c>
      <c r="CJ106" s="230">
        <v>43750</v>
      </c>
      <c r="CK106" s="230">
        <v>36250</v>
      </c>
      <c r="CL106" s="230">
        <v>7500</v>
      </c>
      <c r="CM106" s="229">
        <v>0.2069</v>
      </c>
      <c r="CN106" s="230">
        <v>5850625</v>
      </c>
      <c r="CO106" s="230">
        <v>6220625</v>
      </c>
      <c r="CP106" s="230">
        <v>-370000</v>
      </c>
      <c r="CQ106" s="229">
        <v>-5.9499999999999997E-2</v>
      </c>
      <c r="CR106" s="230">
        <v>5031250</v>
      </c>
      <c r="CS106" s="230">
        <v>5355625</v>
      </c>
      <c r="CT106" s="230">
        <v>-324375</v>
      </c>
      <c r="CU106" s="229">
        <v>-6.0600000000000001E-2</v>
      </c>
      <c r="CV106" s="230">
        <v>24088750</v>
      </c>
      <c r="CW106" s="230">
        <v>25034375</v>
      </c>
      <c r="CX106" s="230">
        <v>-945625</v>
      </c>
      <c r="CY106" s="229">
        <v>-3.78E-2</v>
      </c>
      <c r="CZ106" s="228">
        <v>25.78</v>
      </c>
      <c r="DA106" s="228">
        <v>28.18</v>
      </c>
      <c r="DB106" s="228">
        <v>-2.4</v>
      </c>
      <c r="DC106" s="228">
        <v>-2.4</v>
      </c>
      <c r="DD106" s="228">
        <v>35.24</v>
      </c>
      <c r="DE106" s="228">
        <v>35.33</v>
      </c>
      <c r="DF106" s="228">
        <v>-9.4600000000000009</v>
      </c>
      <c r="DG106" s="228">
        <v>-0.09</v>
      </c>
      <c r="DH106" s="228">
        <v>25.64</v>
      </c>
      <c r="DI106" s="228">
        <v>28.84</v>
      </c>
      <c r="DJ106" s="228">
        <v>-3.2</v>
      </c>
      <c r="DK106" s="228">
        <v>-3.2</v>
      </c>
      <c r="DL106" s="228">
        <v>26.11</v>
      </c>
      <c r="DM106" s="228">
        <v>26.97</v>
      </c>
      <c r="DN106" s="228">
        <v>-0.86</v>
      </c>
      <c r="DO106" s="228">
        <v>-0.86</v>
      </c>
      <c r="DP106" s="228">
        <v>0.86</v>
      </c>
      <c r="DQ106" s="228">
        <v>0.86</v>
      </c>
      <c r="DR106" s="228">
        <v>0</v>
      </c>
      <c r="DS106" s="229">
        <v>0</v>
      </c>
      <c r="DT106" s="231">
        <v>1100</v>
      </c>
      <c r="DU106" s="231">
        <v>1060</v>
      </c>
      <c r="DV106" s="228">
        <v>0.56000000000000005</v>
      </c>
      <c r="DW106" s="228">
        <v>0.55000000000000004</v>
      </c>
      <c r="DX106" s="228">
        <v>0.01</v>
      </c>
      <c r="DY106" s="229">
        <v>1.8200000000000001E-2</v>
      </c>
      <c r="DZ106" s="229">
        <v>0.36969999999999997</v>
      </c>
      <c r="EA106" s="230">
        <v>2654375</v>
      </c>
      <c r="EB106" s="229">
        <v>6.6E-3</v>
      </c>
      <c r="EC106" s="229">
        <v>0.36969999999999997</v>
      </c>
      <c r="ED106" s="228">
        <v>6.98</v>
      </c>
      <c r="EE106" s="229">
        <v>6.4999999999999997E-3</v>
      </c>
      <c r="EF106" s="230">
        <v>333554</v>
      </c>
      <c r="EG106" s="230">
        <v>420649</v>
      </c>
      <c r="EH106" s="229">
        <v>-0.20699999999999999</v>
      </c>
      <c r="EI106" s="229">
        <v>0.39219999999999999</v>
      </c>
      <c r="EJ106" s="231">
        <v>63041.27</v>
      </c>
      <c r="EK106" s="231">
        <v>33463.93</v>
      </c>
      <c r="EL106" s="231">
        <v>69530.63</v>
      </c>
      <c r="EM106" s="231">
        <v>6155</v>
      </c>
      <c r="EN106" s="231">
        <v>166035.82999999999</v>
      </c>
      <c r="EO106" s="231">
        <v>151350.12</v>
      </c>
      <c r="EP106" s="231">
        <v>14685.71</v>
      </c>
      <c r="EQ106" s="229">
        <v>9.7000000000000003E-2</v>
      </c>
      <c r="ER106" s="231">
        <v>65442</v>
      </c>
      <c r="ES106" s="231">
        <v>51951</v>
      </c>
      <c r="ET106" s="231">
        <v>141716</v>
      </c>
      <c r="EU106" s="231">
        <v>54776702</v>
      </c>
      <c r="EV106" s="231">
        <v>259109</v>
      </c>
      <c r="EW106" s="231">
        <v>268930</v>
      </c>
      <c r="EX106" s="231">
        <v>-9821</v>
      </c>
      <c r="EY106" s="229">
        <v>-3.6499999999999998E-2</v>
      </c>
      <c r="EZ106" s="229">
        <v>0.43980000000000002</v>
      </c>
      <c r="FA106" s="227" t="s">
        <v>556</v>
      </c>
      <c r="FB106" s="161">
        <f t="shared" si="1"/>
        <v>4883125</v>
      </c>
    </row>
    <row r="107" spans="1:158" ht="17.25" hidden="1" thickBot="1" x14ac:dyDescent="0.3">
      <c r="A107" s="226">
        <v>45981</v>
      </c>
      <c r="B107" s="227" t="s">
        <v>175</v>
      </c>
      <c r="C107" s="227" t="s">
        <v>570</v>
      </c>
      <c r="D107" s="228">
        <v>2350</v>
      </c>
      <c r="E107" s="228">
        <v>308.8</v>
      </c>
      <c r="F107" s="228">
        <v>304.7</v>
      </c>
      <c r="G107" s="228">
        <v>4.0999999999999996</v>
      </c>
      <c r="H107" s="229">
        <v>1.35E-2</v>
      </c>
      <c r="I107" s="228">
        <v>308.35000000000002</v>
      </c>
      <c r="J107" s="228">
        <v>304.45</v>
      </c>
      <c r="K107" s="228">
        <v>3.9</v>
      </c>
      <c r="L107" s="229">
        <v>1.2800000000000001E-2</v>
      </c>
      <c r="M107" s="228">
        <v>308.8</v>
      </c>
      <c r="N107" s="228">
        <v>304.7</v>
      </c>
      <c r="O107" s="228">
        <v>4.0999999999999996</v>
      </c>
      <c r="P107" s="229">
        <v>1.35E-2</v>
      </c>
      <c r="Q107" s="228">
        <v>310.85000000000002</v>
      </c>
      <c r="R107" s="228">
        <v>306.8</v>
      </c>
      <c r="S107" s="228">
        <v>4.05</v>
      </c>
      <c r="T107" s="229">
        <v>1.32E-2</v>
      </c>
      <c r="U107" s="228">
        <v>312.75</v>
      </c>
      <c r="V107" s="228">
        <v>308.8</v>
      </c>
      <c r="W107" s="228">
        <v>3.95</v>
      </c>
      <c r="X107" s="229">
        <v>1.2800000000000001E-2</v>
      </c>
      <c r="Y107" s="228">
        <v>0.45</v>
      </c>
      <c r="Z107" s="228">
        <v>0.25</v>
      </c>
      <c r="AA107" s="228">
        <v>0.2</v>
      </c>
      <c r="AB107" s="229">
        <v>1.5E-3</v>
      </c>
      <c r="AC107" s="228">
        <v>0.45</v>
      </c>
      <c r="AD107" s="228">
        <v>0.25</v>
      </c>
      <c r="AE107" s="228">
        <v>0.2</v>
      </c>
      <c r="AF107" s="229">
        <v>1.5E-3</v>
      </c>
      <c r="AG107" s="228">
        <v>2.5</v>
      </c>
      <c r="AH107" s="228">
        <v>2.35</v>
      </c>
      <c r="AI107" s="228">
        <v>0.15</v>
      </c>
      <c r="AJ107" s="229">
        <v>8.0999999999999996E-3</v>
      </c>
      <c r="AK107" s="228">
        <v>4.4000000000000004</v>
      </c>
      <c r="AL107" s="228">
        <v>4.3499999999999996</v>
      </c>
      <c r="AM107" s="228">
        <v>0.05</v>
      </c>
      <c r="AN107" s="229">
        <v>1.43E-2</v>
      </c>
      <c r="AO107" s="228">
        <v>308.02</v>
      </c>
      <c r="AP107" s="228">
        <v>310.08999999999997</v>
      </c>
      <c r="AQ107" s="228">
        <v>0</v>
      </c>
      <c r="AR107" s="230">
        <v>54470650</v>
      </c>
      <c r="AS107" s="230">
        <v>19991450</v>
      </c>
      <c r="AT107" s="230">
        <v>34479200</v>
      </c>
      <c r="AU107" s="229">
        <v>1.7246999999999999</v>
      </c>
      <c r="AV107" s="230">
        <v>27816950</v>
      </c>
      <c r="AW107" s="230">
        <v>11609000</v>
      </c>
      <c r="AX107" s="230">
        <v>16207950</v>
      </c>
      <c r="AY107" s="229">
        <v>1.3962000000000001</v>
      </c>
      <c r="AZ107" s="230">
        <v>26150800</v>
      </c>
      <c r="BA107" s="230">
        <v>7745600</v>
      </c>
      <c r="BB107" s="230">
        <v>18405200</v>
      </c>
      <c r="BC107" s="229">
        <v>2.3761999999999999</v>
      </c>
      <c r="BD107" s="230">
        <v>502900</v>
      </c>
      <c r="BE107" s="230">
        <v>636850</v>
      </c>
      <c r="BF107" s="230">
        <v>-133950</v>
      </c>
      <c r="BG107" s="229">
        <v>-0.21029999999999999</v>
      </c>
      <c r="BH107" s="230">
        <v>81704800</v>
      </c>
      <c r="BI107" s="230">
        <v>68925500</v>
      </c>
      <c r="BJ107" s="230">
        <v>12779300</v>
      </c>
      <c r="BK107" s="229">
        <v>0.18540000000000001</v>
      </c>
      <c r="BL107" s="230">
        <v>28479650</v>
      </c>
      <c r="BM107" s="230">
        <v>27713550</v>
      </c>
      <c r="BN107" s="230">
        <v>766100</v>
      </c>
      <c r="BO107" s="229">
        <v>2.76E-2</v>
      </c>
      <c r="BP107" s="230">
        <v>164655100</v>
      </c>
      <c r="BQ107" s="230">
        <v>116630500</v>
      </c>
      <c r="BR107" s="230">
        <v>48024600</v>
      </c>
      <c r="BS107" s="229">
        <v>0.4118</v>
      </c>
      <c r="BT107" s="230">
        <v>8876604</v>
      </c>
      <c r="BU107" s="230">
        <v>6489103</v>
      </c>
      <c r="BV107" s="230">
        <v>2387501</v>
      </c>
      <c r="BW107" s="229">
        <v>0.3679</v>
      </c>
      <c r="BX107" s="230">
        <v>152122550</v>
      </c>
      <c r="BY107" s="230">
        <v>152684200</v>
      </c>
      <c r="BZ107" s="230">
        <v>-561650</v>
      </c>
      <c r="CA107" s="229">
        <v>-3.7000000000000002E-3</v>
      </c>
      <c r="CB107" s="230">
        <v>95442900</v>
      </c>
      <c r="CC107" s="230">
        <v>116280350</v>
      </c>
      <c r="CD107" s="230">
        <v>-20837450</v>
      </c>
      <c r="CE107" s="229">
        <v>-0.1792</v>
      </c>
      <c r="CF107" s="230">
        <v>53521250</v>
      </c>
      <c r="CG107" s="230">
        <v>33257200</v>
      </c>
      <c r="CH107" s="230">
        <v>20264050</v>
      </c>
      <c r="CI107" s="229">
        <v>0.60929999999999995</v>
      </c>
      <c r="CJ107" s="230">
        <v>3158400</v>
      </c>
      <c r="CK107" s="230">
        <v>3146650</v>
      </c>
      <c r="CL107" s="230">
        <v>11750</v>
      </c>
      <c r="CM107" s="229">
        <v>3.7000000000000002E-3</v>
      </c>
      <c r="CN107" s="230">
        <v>72455200</v>
      </c>
      <c r="CO107" s="230">
        <v>75944950</v>
      </c>
      <c r="CP107" s="230">
        <v>-3489750</v>
      </c>
      <c r="CQ107" s="229">
        <v>-4.5999999999999999E-2</v>
      </c>
      <c r="CR107" s="230">
        <v>43930900</v>
      </c>
      <c r="CS107" s="230">
        <v>44168250</v>
      </c>
      <c r="CT107" s="230">
        <v>-237350</v>
      </c>
      <c r="CU107" s="229">
        <v>-5.4000000000000003E-3</v>
      </c>
      <c r="CV107" s="230">
        <v>268508650</v>
      </c>
      <c r="CW107" s="230">
        <v>272797400</v>
      </c>
      <c r="CX107" s="230">
        <v>-4288750</v>
      </c>
      <c r="CY107" s="229">
        <v>-1.5699999999999999E-2</v>
      </c>
      <c r="CZ107" s="228">
        <v>23.52</v>
      </c>
      <c r="DA107" s="228">
        <v>26.16</v>
      </c>
      <c r="DB107" s="228">
        <v>-2.64</v>
      </c>
      <c r="DC107" s="228">
        <v>-2.64</v>
      </c>
      <c r="DD107" s="228">
        <v>34.770000000000003</v>
      </c>
      <c r="DE107" s="228">
        <v>34.81</v>
      </c>
      <c r="DF107" s="228">
        <v>-11.25</v>
      </c>
      <c r="DG107" s="228">
        <v>-0.04</v>
      </c>
      <c r="DH107" s="228">
        <v>23.56</v>
      </c>
      <c r="DI107" s="228">
        <v>27.19</v>
      </c>
      <c r="DJ107" s="228">
        <v>-3.63</v>
      </c>
      <c r="DK107" s="228">
        <v>-3.63</v>
      </c>
      <c r="DL107" s="228">
        <v>23.45</v>
      </c>
      <c r="DM107" s="228">
        <v>23.59</v>
      </c>
      <c r="DN107" s="228">
        <v>-0.14000000000000001</v>
      </c>
      <c r="DO107" s="228">
        <v>-0.14000000000000001</v>
      </c>
      <c r="DP107" s="228">
        <v>0.61</v>
      </c>
      <c r="DQ107" s="228">
        <v>0.57999999999999996</v>
      </c>
      <c r="DR107" s="228">
        <v>0.03</v>
      </c>
      <c r="DS107" s="229">
        <v>5.1700000000000003E-2</v>
      </c>
      <c r="DT107" s="228">
        <v>310</v>
      </c>
      <c r="DU107" s="228">
        <v>310</v>
      </c>
      <c r="DV107" s="228">
        <v>0.35</v>
      </c>
      <c r="DW107" s="228">
        <v>0.4</v>
      </c>
      <c r="DX107" s="228">
        <v>-0.05</v>
      </c>
      <c r="DY107" s="229">
        <v>-0.125</v>
      </c>
      <c r="DZ107" s="229">
        <v>0.37259999999999999</v>
      </c>
      <c r="EA107" s="230">
        <v>36403850</v>
      </c>
      <c r="EB107" s="229">
        <v>6.6E-3</v>
      </c>
      <c r="EC107" s="229">
        <v>0.37259999999999999</v>
      </c>
      <c r="ED107" s="228">
        <v>2.0699999999999998</v>
      </c>
      <c r="EE107" s="229">
        <v>6.7000000000000002E-3</v>
      </c>
      <c r="EF107" s="230">
        <v>4448090</v>
      </c>
      <c r="EG107" s="230">
        <v>2850306</v>
      </c>
      <c r="EH107" s="229">
        <v>0.56059999999999999</v>
      </c>
      <c r="EI107" s="229">
        <v>0.50109999999999999</v>
      </c>
      <c r="EJ107" s="231">
        <v>262194.28999999998</v>
      </c>
      <c r="EK107" s="231">
        <v>87996.36</v>
      </c>
      <c r="EL107" s="231">
        <v>168341.25</v>
      </c>
      <c r="EM107" s="231">
        <v>10705</v>
      </c>
      <c r="EN107" s="231">
        <v>518531.9</v>
      </c>
      <c r="EO107" s="231">
        <v>366665.9</v>
      </c>
      <c r="EP107" s="231">
        <v>151866</v>
      </c>
      <c r="EQ107" s="229">
        <v>0.41420000000000001</v>
      </c>
      <c r="ER107" s="231">
        <v>234544</v>
      </c>
      <c r="ES107" s="231">
        <v>134732</v>
      </c>
      <c r="ET107" s="231">
        <v>470976</v>
      </c>
      <c r="EU107" s="231">
        <v>446457456</v>
      </c>
      <c r="EV107" s="231">
        <v>840252</v>
      </c>
      <c r="EW107" s="231">
        <v>847015</v>
      </c>
      <c r="EX107" s="231">
        <v>-6763</v>
      </c>
      <c r="EY107" s="229">
        <v>-8.0000000000000002E-3</v>
      </c>
      <c r="EZ107" s="229">
        <v>0.60140000000000005</v>
      </c>
      <c r="FA107" s="227" t="s">
        <v>556</v>
      </c>
      <c r="FB107" s="161">
        <f t="shared" si="1"/>
        <v>56679650</v>
      </c>
    </row>
    <row r="108" spans="1:158" ht="17.25" hidden="1" thickBot="1" x14ac:dyDescent="0.3">
      <c r="A108" s="226">
        <v>45981</v>
      </c>
      <c r="B108" s="227" t="s">
        <v>161</v>
      </c>
      <c r="C108" s="227" t="s">
        <v>580</v>
      </c>
      <c r="D108" s="228">
        <v>1000</v>
      </c>
      <c r="E108" s="228">
        <v>504.8</v>
      </c>
      <c r="F108" s="228">
        <v>513.5</v>
      </c>
      <c r="G108" s="228">
        <v>-8.6999999999999993</v>
      </c>
      <c r="H108" s="229">
        <v>-1.6899999999999998E-2</v>
      </c>
      <c r="I108" s="228">
        <v>504.85</v>
      </c>
      <c r="J108" s="228">
        <v>513.65</v>
      </c>
      <c r="K108" s="228">
        <v>-8.8000000000000007</v>
      </c>
      <c r="L108" s="229">
        <v>-1.7100000000000001E-2</v>
      </c>
      <c r="M108" s="228">
        <v>504.8</v>
      </c>
      <c r="N108" s="228">
        <v>513.5</v>
      </c>
      <c r="O108" s="228">
        <v>-8.6999999999999993</v>
      </c>
      <c r="P108" s="229">
        <v>-1.6899999999999998E-2</v>
      </c>
      <c r="Q108" s="228">
        <v>508.15</v>
      </c>
      <c r="R108" s="228">
        <v>516.95000000000005</v>
      </c>
      <c r="S108" s="228">
        <v>-8.8000000000000007</v>
      </c>
      <c r="T108" s="229">
        <v>-1.7000000000000001E-2</v>
      </c>
      <c r="U108" s="228">
        <v>511.55</v>
      </c>
      <c r="V108" s="228">
        <v>522.1</v>
      </c>
      <c r="W108" s="228">
        <v>-10.55</v>
      </c>
      <c r="X108" s="229">
        <v>-2.0199999999999999E-2</v>
      </c>
      <c r="Y108" s="228">
        <v>-0.05</v>
      </c>
      <c r="Z108" s="228">
        <v>-0.15</v>
      </c>
      <c r="AA108" s="228">
        <v>0.1</v>
      </c>
      <c r="AB108" s="229">
        <v>-1E-4</v>
      </c>
      <c r="AC108" s="228">
        <v>-0.05</v>
      </c>
      <c r="AD108" s="228">
        <v>-0.15</v>
      </c>
      <c r="AE108" s="228">
        <v>0.1</v>
      </c>
      <c r="AF108" s="229">
        <v>-1E-4</v>
      </c>
      <c r="AG108" s="228">
        <v>3.3</v>
      </c>
      <c r="AH108" s="228">
        <v>3.3</v>
      </c>
      <c r="AI108" s="228">
        <v>0</v>
      </c>
      <c r="AJ108" s="229">
        <v>6.4999999999999997E-3</v>
      </c>
      <c r="AK108" s="228">
        <v>6.7</v>
      </c>
      <c r="AL108" s="228">
        <v>8.4499999999999993</v>
      </c>
      <c r="AM108" s="228">
        <v>-1.75</v>
      </c>
      <c r="AN108" s="229">
        <v>1.3299999999999999E-2</v>
      </c>
      <c r="AO108" s="228">
        <v>509.92</v>
      </c>
      <c r="AP108" s="228">
        <v>513.29999999999995</v>
      </c>
      <c r="AQ108" s="228">
        <v>0</v>
      </c>
      <c r="AR108" s="230">
        <v>18756000</v>
      </c>
      <c r="AS108" s="230">
        <v>7447000</v>
      </c>
      <c r="AT108" s="230">
        <v>11309000</v>
      </c>
      <c r="AU108" s="229">
        <v>1.5185999999999999</v>
      </c>
      <c r="AV108" s="230">
        <v>10110000</v>
      </c>
      <c r="AW108" s="230">
        <v>4752000</v>
      </c>
      <c r="AX108" s="230">
        <v>5358000</v>
      </c>
      <c r="AY108" s="229">
        <v>1.1274999999999999</v>
      </c>
      <c r="AZ108" s="230">
        <v>8543000</v>
      </c>
      <c r="BA108" s="230">
        <v>2652000</v>
      </c>
      <c r="BB108" s="230">
        <v>5891000</v>
      </c>
      <c r="BC108" s="229">
        <v>2.2212999999999998</v>
      </c>
      <c r="BD108" s="230">
        <v>103000</v>
      </c>
      <c r="BE108" s="230">
        <v>43000</v>
      </c>
      <c r="BF108" s="230">
        <v>60000</v>
      </c>
      <c r="BG108" s="229">
        <v>1.3953</v>
      </c>
      <c r="BH108" s="230">
        <v>17971000</v>
      </c>
      <c r="BI108" s="230">
        <v>15166000</v>
      </c>
      <c r="BJ108" s="230">
        <v>2805000</v>
      </c>
      <c r="BK108" s="229">
        <v>0.185</v>
      </c>
      <c r="BL108" s="230">
        <v>8162000</v>
      </c>
      <c r="BM108" s="230">
        <v>6760000</v>
      </c>
      <c r="BN108" s="230">
        <v>1402000</v>
      </c>
      <c r="BO108" s="229">
        <v>0.2074</v>
      </c>
      <c r="BP108" s="230">
        <v>44889000</v>
      </c>
      <c r="BQ108" s="230">
        <v>29373000</v>
      </c>
      <c r="BR108" s="230">
        <v>15516000</v>
      </c>
      <c r="BS108" s="229">
        <v>0.5282</v>
      </c>
      <c r="BT108" s="230">
        <v>3590708</v>
      </c>
      <c r="BU108" s="230">
        <v>2981520</v>
      </c>
      <c r="BV108" s="230">
        <v>609188</v>
      </c>
      <c r="BW108" s="229">
        <v>0.20430000000000001</v>
      </c>
      <c r="BX108" s="230">
        <v>42164000</v>
      </c>
      <c r="BY108" s="230">
        <v>41798000</v>
      </c>
      <c r="BZ108" s="230">
        <v>366000</v>
      </c>
      <c r="CA108" s="229">
        <v>8.8000000000000005E-3</v>
      </c>
      <c r="CB108" s="230">
        <v>31852000</v>
      </c>
      <c r="CC108" s="230">
        <v>38420000</v>
      </c>
      <c r="CD108" s="230">
        <v>-6568000</v>
      </c>
      <c r="CE108" s="229">
        <v>-0.17100000000000001</v>
      </c>
      <c r="CF108" s="230">
        <v>10151000</v>
      </c>
      <c r="CG108" s="230">
        <v>3274000</v>
      </c>
      <c r="CH108" s="230">
        <v>6877000</v>
      </c>
      <c r="CI108" s="229">
        <v>2.1004999999999998</v>
      </c>
      <c r="CJ108" s="230">
        <v>161000</v>
      </c>
      <c r="CK108" s="230">
        <v>104000</v>
      </c>
      <c r="CL108" s="230">
        <v>57000</v>
      </c>
      <c r="CM108" s="229">
        <v>0.54810000000000003</v>
      </c>
      <c r="CN108" s="230">
        <v>14222000</v>
      </c>
      <c r="CO108" s="230">
        <v>13234000</v>
      </c>
      <c r="CP108" s="230">
        <v>988000</v>
      </c>
      <c r="CQ108" s="229">
        <v>7.4700000000000003E-2</v>
      </c>
      <c r="CR108" s="230">
        <v>6287000</v>
      </c>
      <c r="CS108" s="230">
        <v>5486000</v>
      </c>
      <c r="CT108" s="230">
        <v>801000</v>
      </c>
      <c r="CU108" s="229">
        <v>0.14599999999999999</v>
      </c>
      <c r="CV108" s="230">
        <v>62673000</v>
      </c>
      <c r="CW108" s="230">
        <v>60518000</v>
      </c>
      <c r="CX108" s="230">
        <v>2155000</v>
      </c>
      <c r="CY108" s="229">
        <v>3.56E-2</v>
      </c>
      <c r="CZ108" s="228">
        <v>26.13</v>
      </c>
      <c r="DA108" s="228">
        <v>28.73</v>
      </c>
      <c r="DB108" s="228">
        <v>-2.6</v>
      </c>
      <c r="DC108" s="228">
        <v>-2.6</v>
      </c>
      <c r="DD108" s="228">
        <v>43.49</v>
      </c>
      <c r="DE108" s="228">
        <v>43.54</v>
      </c>
      <c r="DF108" s="228">
        <v>-17.36</v>
      </c>
      <c r="DG108" s="228">
        <v>-0.05</v>
      </c>
      <c r="DH108" s="228">
        <v>26.39</v>
      </c>
      <c r="DI108" s="228">
        <v>29.95</v>
      </c>
      <c r="DJ108" s="228">
        <v>-3.56</v>
      </c>
      <c r="DK108" s="228">
        <v>-3.56</v>
      </c>
      <c r="DL108" s="228">
        <v>25.62</v>
      </c>
      <c r="DM108" s="228">
        <v>25.98</v>
      </c>
      <c r="DN108" s="228">
        <v>-0.36</v>
      </c>
      <c r="DO108" s="228">
        <v>-0.36</v>
      </c>
      <c r="DP108" s="228">
        <v>0.44</v>
      </c>
      <c r="DQ108" s="228">
        <v>0.41</v>
      </c>
      <c r="DR108" s="228">
        <v>0.03</v>
      </c>
      <c r="DS108" s="229">
        <v>7.3200000000000001E-2</v>
      </c>
      <c r="DT108" s="228">
        <v>600</v>
      </c>
      <c r="DU108" s="228">
        <v>530</v>
      </c>
      <c r="DV108" s="228">
        <v>0.45</v>
      </c>
      <c r="DW108" s="228">
        <v>0.45</v>
      </c>
      <c r="DX108" s="228">
        <v>0</v>
      </c>
      <c r="DY108" s="229">
        <v>0</v>
      </c>
      <c r="DZ108" s="229">
        <v>0.24460000000000001</v>
      </c>
      <c r="EA108" s="230">
        <v>3378000</v>
      </c>
      <c r="EB108" s="229">
        <v>6.6E-3</v>
      </c>
      <c r="EC108" s="229">
        <v>0.24460000000000001</v>
      </c>
      <c r="ED108" s="228">
        <v>3.38</v>
      </c>
      <c r="EE108" s="229">
        <v>6.6E-3</v>
      </c>
      <c r="EF108" s="230">
        <v>1971380</v>
      </c>
      <c r="EG108" s="230">
        <v>1703337</v>
      </c>
      <c r="EH108" s="229">
        <v>0.15740000000000001</v>
      </c>
      <c r="EI108" s="229">
        <v>0.54900000000000004</v>
      </c>
      <c r="EJ108" s="231">
        <v>96124.94</v>
      </c>
      <c r="EK108" s="231">
        <v>41712.410000000003</v>
      </c>
      <c r="EL108" s="231">
        <v>95934.99</v>
      </c>
      <c r="EM108" s="231">
        <v>4427</v>
      </c>
      <c r="EN108" s="231">
        <v>233772.34</v>
      </c>
      <c r="EO108" s="231">
        <v>155989.68</v>
      </c>
      <c r="EP108" s="231">
        <v>77782.66</v>
      </c>
      <c r="EQ108" s="229">
        <v>0.49859999999999999</v>
      </c>
      <c r="ER108" s="231">
        <v>78473</v>
      </c>
      <c r="ES108" s="231">
        <v>32476</v>
      </c>
      <c r="ET108" s="231">
        <v>213195</v>
      </c>
      <c r="EU108" s="231">
        <v>80203755</v>
      </c>
      <c r="EV108" s="231">
        <v>324144</v>
      </c>
      <c r="EW108" s="231">
        <v>317193</v>
      </c>
      <c r="EX108" s="231">
        <v>6951</v>
      </c>
      <c r="EY108" s="229">
        <v>2.1899999999999999E-2</v>
      </c>
      <c r="EZ108" s="229">
        <v>0.78139999999999998</v>
      </c>
      <c r="FA108" s="227" t="s">
        <v>567</v>
      </c>
      <c r="FB108" s="161">
        <f t="shared" si="1"/>
        <v>10312000</v>
      </c>
    </row>
    <row r="109" spans="1:158" ht="17.25" hidden="1" thickBot="1" x14ac:dyDescent="0.3">
      <c r="A109" s="226">
        <v>45981</v>
      </c>
      <c r="B109" s="227" t="s">
        <v>227</v>
      </c>
      <c r="C109" s="227" t="s">
        <v>244</v>
      </c>
      <c r="D109" s="228">
        <v>675</v>
      </c>
      <c r="E109" s="231">
        <v>1172</v>
      </c>
      <c r="F109" s="231">
        <v>1165.0999999999999</v>
      </c>
      <c r="G109" s="228">
        <v>6.9</v>
      </c>
      <c r="H109" s="229">
        <v>5.8999999999999999E-3</v>
      </c>
      <c r="I109" s="231">
        <v>1170</v>
      </c>
      <c r="J109" s="231">
        <v>1164.9000000000001</v>
      </c>
      <c r="K109" s="228">
        <v>5.0999999999999996</v>
      </c>
      <c r="L109" s="229">
        <v>4.4000000000000003E-3</v>
      </c>
      <c r="M109" s="231">
        <v>1172</v>
      </c>
      <c r="N109" s="231">
        <v>1165.0999999999999</v>
      </c>
      <c r="O109" s="228">
        <v>6.9</v>
      </c>
      <c r="P109" s="229">
        <v>5.8999999999999999E-3</v>
      </c>
      <c r="Q109" s="231">
        <v>1180</v>
      </c>
      <c r="R109" s="231">
        <v>1172.5999999999999</v>
      </c>
      <c r="S109" s="228">
        <v>7.4</v>
      </c>
      <c r="T109" s="229">
        <v>6.3E-3</v>
      </c>
      <c r="U109" s="231">
        <v>1186.7</v>
      </c>
      <c r="V109" s="231">
        <v>1179.2</v>
      </c>
      <c r="W109" s="228">
        <v>7.5</v>
      </c>
      <c r="X109" s="229">
        <v>6.4000000000000003E-3</v>
      </c>
      <c r="Y109" s="228">
        <v>2</v>
      </c>
      <c r="Z109" s="228">
        <v>0.2</v>
      </c>
      <c r="AA109" s="228">
        <v>1.8</v>
      </c>
      <c r="AB109" s="229">
        <v>1.6999999999999999E-3</v>
      </c>
      <c r="AC109" s="228">
        <v>2</v>
      </c>
      <c r="AD109" s="228">
        <v>0.2</v>
      </c>
      <c r="AE109" s="228">
        <v>1.8</v>
      </c>
      <c r="AF109" s="229">
        <v>1.6999999999999999E-3</v>
      </c>
      <c r="AG109" s="228">
        <v>10</v>
      </c>
      <c r="AH109" s="228">
        <v>7.7</v>
      </c>
      <c r="AI109" s="228">
        <v>2.2999999999999998</v>
      </c>
      <c r="AJ109" s="229">
        <v>8.5000000000000006E-3</v>
      </c>
      <c r="AK109" s="228">
        <v>16.7</v>
      </c>
      <c r="AL109" s="228">
        <v>14.3</v>
      </c>
      <c r="AM109" s="228">
        <v>2.4</v>
      </c>
      <c r="AN109" s="229">
        <v>1.43E-2</v>
      </c>
      <c r="AO109" s="231">
        <v>1170.81</v>
      </c>
      <c r="AP109" s="231">
        <v>1178.77</v>
      </c>
      <c r="AQ109" s="228">
        <v>0</v>
      </c>
      <c r="AR109" s="230">
        <v>25440075</v>
      </c>
      <c r="AS109" s="230">
        <v>7673400</v>
      </c>
      <c r="AT109" s="230">
        <v>17766675</v>
      </c>
      <c r="AU109" s="229">
        <v>2.3153999999999999</v>
      </c>
      <c r="AV109" s="230">
        <v>13027500</v>
      </c>
      <c r="AW109" s="230">
        <v>4413150</v>
      </c>
      <c r="AX109" s="230">
        <v>8614350</v>
      </c>
      <c r="AY109" s="229">
        <v>1.952</v>
      </c>
      <c r="AZ109" s="230">
        <v>12380850</v>
      </c>
      <c r="BA109" s="230">
        <v>3238650</v>
      </c>
      <c r="BB109" s="230">
        <v>9142200</v>
      </c>
      <c r="BC109" s="229">
        <v>2.8228</v>
      </c>
      <c r="BD109" s="230">
        <v>31725</v>
      </c>
      <c r="BE109" s="230">
        <v>21600</v>
      </c>
      <c r="BF109" s="230">
        <v>10125</v>
      </c>
      <c r="BG109" s="229">
        <v>0.46879999999999999</v>
      </c>
      <c r="BH109" s="230">
        <v>7651125</v>
      </c>
      <c r="BI109" s="230">
        <v>7349400</v>
      </c>
      <c r="BJ109" s="230">
        <v>301725</v>
      </c>
      <c r="BK109" s="229">
        <v>4.1099999999999998E-2</v>
      </c>
      <c r="BL109" s="230">
        <v>3810375</v>
      </c>
      <c r="BM109" s="230">
        <v>2910600</v>
      </c>
      <c r="BN109" s="230">
        <v>899775</v>
      </c>
      <c r="BO109" s="229">
        <v>0.30909999999999999</v>
      </c>
      <c r="BP109" s="230">
        <v>36901575</v>
      </c>
      <c r="BQ109" s="230">
        <v>17933400</v>
      </c>
      <c r="BR109" s="230">
        <v>18968175</v>
      </c>
      <c r="BS109" s="229">
        <v>1.0577000000000001</v>
      </c>
      <c r="BT109" s="230">
        <v>919209</v>
      </c>
      <c r="BU109" s="230">
        <v>531830</v>
      </c>
      <c r="BV109" s="230">
        <v>387379</v>
      </c>
      <c r="BW109" s="229">
        <v>0.72840000000000005</v>
      </c>
      <c r="BX109" s="230">
        <v>45245250</v>
      </c>
      <c r="BY109" s="230">
        <v>45052875</v>
      </c>
      <c r="BZ109" s="230">
        <v>192375</v>
      </c>
      <c r="CA109" s="229">
        <v>4.3E-3</v>
      </c>
      <c r="CB109" s="230">
        <v>28624725</v>
      </c>
      <c r="CC109" s="230">
        <v>39947850</v>
      </c>
      <c r="CD109" s="230">
        <v>-11323125</v>
      </c>
      <c r="CE109" s="229">
        <v>-0.28339999999999999</v>
      </c>
      <c r="CF109" s="230">
        <v>16546275</v>
      </c>
      <c r="CG109" s="230">
        <v>5037525</v>
      </c>
      <c r="CH109" s="230">
        <v>11508750</v>
      </c>
      <c r="CI109" s="229">
        <v>2.2846000000000002</v>
      </c>
      <c r="CJ109" s="230">
        <v>74250</v>
      </c>
      <c r="CK109" s="230">
        <v>67500</v>
      </c>
      <c r="CL109" s="230">
        <v>6750</v>
      </c>
      <c r="CM109" s="229">
        <v>0.1</v>
      </c>
      <c r="CN109" s="230">
        <v>8662275</v>
      </c>
      <c r="CO109" s="230">
        <v>9224550</v>
      </c>
      <c r="CP109" s="230">
        <v>-562275</v>
      </c>
      <c r="CQ109" s="229">
        <v>-6.0999999999999999E-2</v>
      </c>
      <c r="CR109" s="230">
        <v>5017275</v>
      </c>
      <c r="CS109" s="230">
        <v>5094225</v>
      </c>
      <c r="CT109" s="230">
        <v>-76950</v>
      </c>
      <c r="CU109" s="229">
        <v>-1.5100000000000001E-2</v>
      </c>
      <c r="CV109" s="230">
        <v>58924800</v>
      </c>
      <c r="CW109" s="230">
        <v>59371650</v>
      </c>
      <c r="CX109" s="230">
        <v>-446850</v>
      </c>
      <c r="CY109" s="229">
        <v>-7.4999999999999997E-3</v>
      </c>
      <c r="CZ109" s="228">
        <v>21.52</v>
      </c>
      <c r="DA109" s="228">
        <v>24.13</v>
      </c>
      <c r="DB109" s="228">
        <v>-2.61</v>
      </c>
      <c r="DC109" s="228">
        <v>-2.61</v>
      </c>
      <c r="DD109" s="228">
        <v>28.68</v>
      </c>
      <c r="DE109" s="228">
        <v>28.74</v>
      </c>
      <c r="DF109" s="228">
        <v>-7.16</v>
      </c>
      <c r="DG109" s="228">
        <v>-0.06</v>
      </c>
      <c r="DH109" s="228">
        <v>21.35</v>
      </c>
      <c r="DI109" s="228">
        <v>24.76</v>
      </c>
      <c r="DJ109" s="228">
        <v>-3.41</v>
      </c>
      <c r="DK109" s="228">
        <v>-3.41</v>
      </c>
      <c r="DL109" s="228">
        <v>21.84</v>
      </c>
      <c r="DM109" s="228">
        <v>22.53</v>
      </c>
      <c r="DN109" s="228">
        <v>-0.69</v>
      </c>
      <c r="DO109" s="228">
        <v>-0.69</v>
      </c>
      <c r="DP109" s="228">
        <v>0.57999999999999996</v>
      </c>
      <c r="DQ109" s="228">
        <v>0.55000000000000004</v>
      </c>
      <c r="DR109" s="228">
        <v>0.03</v>
      </c>
      <c r="DS109" s="229">
        <v>5.45E-2</v>
      </c>
      <c r="DT109" s="231">
        <v>1220</v>
      </c>
      <c r="DU109" s="231">
        <v>1150</v>
      </c>
      <c r="DV109" s="228">
        <v>0.5</v>
      </c>
      <c r="DW109" s="228">
        <v>0.4</v>
      </c>
      <c r="DX109" s="228">
        <v>0.1</v>
      </c>
      <c r="DY109" s="229">
        <v>0.25</v>
      </c>
      <c r="DZ109" s="229">
        <v>0.36730000000000002</v>
      </c>
      <c r="EA109" s="230">
        <v>5105025</v>
      </c>
      <c r="EB109" s="229">
        <v>6.7999999999999996E-3</v>
      </c>
      <c r="EC109" s="229">
        <v>0.36730000000000002</v>
      </c>
      <c r="ED109" s="228">
        <v>7.96</v>
      </c>
      <c r="EE109" s="229">
        <v>6.7999999999999996E-3</v>
      </c>
      <c r="EF109" s="230">
        <v>509217</v>
      </c>
      <c r="EG109" s="230">
        <v>228971</v>
      </c>
      <c r="EH109" s="229">
        <v>1.2239</v>
      </c>
      <c r="EI109" s="229">
        <v>0.55400000000000005</v>
      </c>
      <c r="EJ109" s="231">
        <v>92229.08</v>
      </c>
      <c r="EK109" s="231">
        <v>44249.59</v>
      </c>
      <c r="EL109" s="231">
        <v>298846.63</v>
      </c>
      <c r="EM109" s="231">
        <v>7787</v>
      </c>
      <c r="EN109" s="231">
        <v>435325.3</v>
      </c>
      <c r="EO109" s="231">
        <v>212220.7</v>
      </c>
      <c r="EP109" s="231">
        <v>223104.6</v>
      </c>
      <c r="EQ109" s="229">
        <v>1.0512999999999999</v>
      </c>
      <c r="ER109" s="231">
        <v>106563</v>
      </c>
      <c r="ES109" s="231">
        <v>57237</v>
      </c>
      <c r="ET109" s="231">
        <v>531609</v>
      </c>
      <c r="EU109" s="231">
        <v>133166619</v>
      </c>
      <c r="EV109" s="231">
        <v>695409</v>
      </c>
      <c r="EW109" s="231">
        <v>696713</v>
      </c>
      <c r="EX109" s="231">
        <v>-1304</v>
      </c>
      <c r="EY109" s="229">
        <v>-1.9E-3</v>
      </c>
      <c r="EZ109" s="229">
        <v>0.4425</v>
      </c>
      <c r="FA109" s="227" t="s">
        <v>555</v>
      </c>
      <c r="FB109" s="161">
        <f t="shared" si="1"/>
        <v>16620525</v>
      </c>
    </row>
    <row r="110" spans="1:158" ht="17.25" hidden="1" thickBot="1" x14ac:dyDescent="0.3">
      <c r="A110" s="226">
        <v>45981</v>
      </c>
      <c r="B110" s="227" t="s">
        <v>168</v>
      </c>
      <c r="C110" s="227" t="s">
        <v>245</v>
      </c>
      <c r="D110" s="228">
        <v>1250</v>
      </c>
      <c r="E110" s="228">
        <v>592.1</v>
      </c>
      <c r="F110" s="228">
        <v>595.45000000000005</v>
      </c>
      <c r="G110" s="228">
        <v>-3.35</v>
      </c>
      <c r="H110" s="229">
        <v>-5.5999999999999999E-3</v>
      </c>
      <c r="I110" s="228">
        <v>591.15</v>
      </c>
      <c r="J110" s="228">
        <v>595.15</v>
      </c>
      <c r="K110" s="228">
        <v>-4</v>
      </c>
      <c r="L110" s="229">
        <v>-6.7000000000000002E-3</v>
      </c>
      <c r="M110" s="228">
        <v>592.1</v>
      </c>
      <c r="N110" s="228">
        <v>595.45000000000005</v>
      </c>
      <c r="O110" s="228">
        <v>-3.35</v>
      </c>
      <c r="P110" s="229">
        <v>-5.5999999999999999E-3</v>
      </c>
      <c r="Q110" s="228">
        <v>595.29999999999995</v>
      </c>
      <c r="R110" s="228">
        <v>599.04999999999995</v>
      </c>
      <c r="S110" s="228">
        <v>-3.75</v>
      </c>
      <c r="T110" s="229">
        <v>-6.3E-3</v>
      </c>
      <c r="U110" s="228">
        <v>599</v>
      </c>
      <c r="V110" s="228">
        <v>603</v>
      </c>
      <c r="W110" s="228">
        <v>-4</v>
      </c>
      <c r="X110" s="229">
        <v>-6.6E-3</v>
      </c>
      <c r="Y110" s="228">
        <v>0.95</v>
      </c>
      <c r="Z110" s="228">
        <v>0.3</v>
      </c>
      <c r="AA110" s="228">
        <v>0.65</v>
      </c>
      <c r="AB110" s="229">
        <v>1.6000000000000001E-3</v>
      </c>
      <c r="AC110" s="228">
        <v>0.95</v>
      </c>
      <c r="AD110" s="228">
        <v>0.3</v>
      </c>
      <c r="AE110" s="228">
        <v>0.65</v>
      </c>
      <c r="AF110" s="229">
        <v>1.6000000000000001E-3</v>
      </c>
      <c r="AG110" s="228">
        <v>4.1500000000000004</v>
      </c>
      <c r="AH110" s="228">
        <v>3.9</v>
      </c>
      <c r="AI110" s="228">
        <v>0.25</v>
      </c>
      <c r="AJ110" s="229">
        <v>7.0000000000000001E-3</v>
      </c>
      <c r="AK110" s="228">
        <v>7.85</v>
      </c>
      <c r="AL110" s="228">
        <v>7.85</v>
      </c>
      <c r="AM110" s="228">
        <v>0</v>
      </c>
      <c r="AN110" s="229">
        <v>1.3299999999999999E-2</v>
      </c>
      <c r="AO110" s="228">
        <v>592.27</v>
      </c>
      <c r="AP110" s="228">
        <v>595.83000000000004</v>
      </c>
      <c r="AQ110" s="228">
        <v>0</v>
      </c>
      <c r="AR110" s="230">
        <v>18365000</v>
      </c>
      <c r="AS110" s="230">
        <v>4202500</v>
      </c>
      <c r="AT110" s="230">
        <v>14162500</v>
      </c>
      <c r="AU110" s="229">
        <v>3.37</v>
      </c>
      <c r="AV110" s="230">
        <v>9482500</v>
      </c>
      <c r="AW110" s="230">
        <v>2616250</v>
      </c>
      <c r="AX110" s="230">
        <v>6866250</v>
      </c>
      <c r="AY110" s="229">
        <v>2.6244999999999998</v>
      </c>
      <c r="AZ110" s="230">
        <v>8827500</v>
      </c>
      <c r="BA110" s="230">
        <v>1546250</v>
      </c>
      <c r="BB110" s="230">
        <v>7281250</v>
      </c>
      <c r="BC110" s="229">
        <v>4.7089999999999996</v>
      </c>
      <c r="BD110" s="230">
        <v>55000</v>
      </c>
      <c r="BE110" s="230">
        <v>40000</v>
      </c>
      <c r="BF110" s="230">
        <v>15000</v>
      </c>
      <c r="BG110" s="229">
        <v>0.375</v>
      </c>
      <c r="BH110" s="230">
        <v>17686250</v>
      </c>
      <c r="BI110" s="230">
        <v>17330000</v>
      </c>
      <c r="BJ110" s="230">
        <v>356250</v>
      </c>
      <c r="BK110" s="229">
        <v>2.06E-2</v>
      </c>
      <c r="BL110" s="230">
        <v>6970000</v>
      </c>
      <c r="BM110" s="230">
        <v>8545000</v>
      </c>
      <c r="BN110" s="230">
        <v>-1575000</v>
      </c>
      <c r="BO110" s="229">
        <v>-0.18429999999999999</v>
      </c>
      <c r="BP110" s="230">
        <v>43021250</v>
      </c>
      <c r="BQ110" s="230">
        <v>30077500</v>
      </c>
      <c r="BR110" s="230">
        <v>12943750</v>
      </c>
      <c r="BS110" s="229">
        <v>0.43030000000000002</v>
      </c>
      <c r="BT110" s="230">
        <v>2708903</v>
      </c>
      <c r="BU110" s="230">
        <v>1234427</v>
      </c>
      <c r="BV110" s="230">
        <v>1474476</v>
      </c>
      <c r="BW110" s="229">
        <v>1.1944999999999999</v>
      </c>
      <c r="BX110" s="230">
        <v>22897500</v>
      </c>
      <c r="BY110" s="230">
        <v>23126250</v>
      </c>
      <c r="BZ110" s="230">
        <v>-228750</v>
      </c>
      <c r="CA110" s="229">
        <v>-9.9000000000000008E-3</v>
      </c>
      <c r="CB110" s="230">
        <v>15193750</v>
      </c>
      <c r="CC110" s="230">
        <v>20368750</v>
      </c>
      <c r="CD110" s="230">
        <v>-5175000</v>
      </c>
      <c r="CE110" s="229">
        <v>-0.25409999999999999</v>
      </c>
      <c r="CF110" s="230">
        <v>7435000</v>
      </c>
      <c r="CG110" s="230">
        <v>2515000</v>
      </c>
      <c r="CH110" s="230">
        <v>4920000</v>
      </c>
      <c r="CI110" s="229">
        <v>1.9562999999999999</v>
      </c>
      <c r="CJ110" s="230">
        <v>268750</v>
      </c>
      <c r="CK110" s="230">
        <v>242500</v>
      </c>
      <c r="CL110" s="230">
        <v>26250</v>
      </c>
      <c r="CM110" s="229">
        <v>0.1082</v>
      </c>
      <c r="CN110" s="230">
        <v>12040000</v>
      </c>
      <c r="CO110" s="230">
        <v>12628750</v>
      </c>
      <c r="CP110" s="230">
        <v>-588750</v>
      </c>
      <c r="CQ110" s="229">
        <v>-4.6600000000000003E-2</v>
      </c>
      <c r="CR110" s="230">
        <v>7832500</v>
      </c>
      <c r="CS110" s="230">
        <v>8160000</v>
      </c>
      <c r="CT110" s="230">
        <v>-327500</v>
      </c>
      <c r="CU110" s="229">
        <v>-4.0099999999999997E-2</v>
      </c>
      <c r="CV110" s="230">
        <v>42770000</v>
      </c>
      <c r="CW110" s="230">
        <v>43915000</v>
      </c>
      <c r="CX110" s="230">
        <v>-1145000</v>
      </c>
      <c r="CY110" s="229">
        <v>-2.6100000000000002E-2</v>
      </c>
      <c r="CZ110" s="228">
        <v>24.36</v>
      </c>
      <c r="DA110" s="228">
        <v>27.74</v>
      </c>
      <c r="DB110" s="228">
        <v>-3.38</v>
      </c>
      <c r="DC110" s="228">
        <v>-3.38</v>
      </c>
      <c r="DD110" s="228">
        <v>34.36</v>
      </c>
      <c r="DE110" s="228">
        <v>34.43</v>
      </c>
      <c r="DF110" s="228">
        <v>-10</v>
      </c>
      <c r="DG110" s="228">
        <v>-7.0000000000000007E-2</v>
      </c>
      <c r="DH110" s="228">
        <v>24.77</v>
      </c>
      <c r="DI110" s="228">
        <v>28.88</v>
      </c>
      <c r="DJ110" s="228">
        <v>-4.1100000000000003</v>
      </c>
      <c r="DK110" s="228">
        <v>-4.1100000000000003</v>
      </c>
      <c r="DL110" s="228">
        <v>23.45</v>
      </c>
      <c r="DM110" s="228">
        <v>25.42</v>
      </c>
      <c r="DN110" s="228">
        <v>-1.97</v>
      </c>
      <c r="DO110" s="228">
        <v>-1.97</v>
      </c>
      <c r="DP110" s="228">
        <v>0.65</v>
      </c>
      <c r="DQ110" s="228">
        <v>0.65</v>
      </c>
      <c r="DR110" s="228">
        <v>0</v>
      </c>
      <c r="DS110" s="229">
        <v>0</v>
      </c>
      <c r="DT110" s="228">
        <v>600</v>
      </c>
      <c r="DU110" s="228">
        <v>580</v>
      </c>
      <c r="DV110" s="228">
        <v>0.39</v>
      </c>
      <c r="DW110" s="228">
        <v>0.49</v>
      </c>
      <c r="DX110" s="228">
        <v>-0.1</v>
      </c>
      <c r="DY110" s="229">
        <v>-0.2041</v>
      </c>
      <c r="DZ110" s="229">
        <v>0.33639999999999998</v>
      </c>
      <c r="EA110" s="230">
        <v>2757500</v>
      </c>
      <c r="EB110" s="229">
        <v>5.4000000000000003E-3</v>
      </c>
      <c r="EC110" s="229">
        <v>0.33639999999999998</v>
      </c>
      <c r="ED110" s="228">
        <v>3.56</v>
      </c>
      <c r="EE110" s="229">
        <v>6.0000000000000001E-3</v>
      </c>
      <c r="EF110" s="230">
        <v>1647803</v>
      </c>
      <c r="EG110" s="230">
        <v>766671</v>
      </c>
      <c r="EH110" s="229">
        <v>1.1493</v>
      </c>
      <c r="EI110" s="229">
        <v>0.60829999999999995</v>
      </c>
      <c r="EJ110" s="231">
        <v>109790.9</v>
      </c>
      <c r="EK110" s="231">
        <v>41365.68</v>
      </c>
      <c r="EL110" s="231">
        <v>109088.54</v>
      </c>
      <c r="EM110" s="231">
        <v>6639</v>
      </c>
      <c r="EN110" s="231">
        <v>260245.12</v>
      </c>
      <c r="EO110" s="231">
        <v>184363.65</v>
      </c>
      <c r="EP110" s="231">
        <v>75881.47</v>
      </c>
      <c r="EQ110" s="229">
        <v>0.41160000000000002</v>
      </c>
      <c r="ER110" s="231">
        <v>75575</v>
      </c>
      <c r="ES110" s="231">
        <v>45755</v>
      </c>
      <c r="ET110" s="231">
        <v>135833</v>
      </c>
      <c r="EU110" s="231">
        <v>48884739</v>
      </c>
      <c r="EV110" s="231">
        <v>257163</v>
      </c>
      <c r="EW110" s="231">
        <v>264931</v>
      </c>
      <c r="EX110" s="231">
        <v>-7768</v>
      </c>
      <c r="EY110" s="229">
        <v>-2.93E-2</v>
      </c>
      <c r="EZ110" s="229">
        <v>0.87490000000000001</v>
      </c>
      <c r="FA110" s="227" t="s">
        <v>568</v>
      </c>
      <c r="FB110" s="161">
        <f t="shared" si="1"/>
        <v>7703750</v>
      </c>
    </row>
    <row r="111" spans="1:158" ht="17.25" hidden="1" thickBot="1" x14ac:dyDescent="0.3">
      <c r="A111" s="226">
        <v>45981</v>
      </c>
      <c r="B111" s="227" t="s">
        <v>168</v>
      </c>
      <c r="C111" s="227" t="s">
        <v>582</v>
      </c>
      <c r="D111" s="228">
        <v>1175</v>
      </c>
      <c r="E111" s="228">
        <v>504.85</v>
      </c>
      <c r="F111" s="228">
        <v>500.8</v>
      </c>
      <c r="G111" s="228">
        <v>4.05</v>
      </c>
      <c r="H111" s="229">
        <v>8.0999999999999996E-3</v>
      </c>
      <c r="I111" s="228">
        <v>504.1</v>
      </c>
      <c r="J111" s="228">
        <v>499.6</v>
      </c>
      <c r="K111" s="228">
        <v>4.5</v>
      </c>
      <c r="L111" s="229">
        <v>8.9999999999999993E-3</v>
      </c>
      <c r="M111" s="228">
        <v>504.85</v>
      </c>
      <c r="N111" s="228">
        <v>500.8</v>
      </c>
      <c r="O111" s="228">
        <v>4.05</v>
      </c>
      <c r="P111" s="229">
        <v>8.0999999999999996E-3</v>
      </c>
      <c r="Q111" s="228">
        <v>508.3</v>
      </c>
      <c r="R111" s="228">
        <v>504.15</v>
      </c>
      <c r="S111" s="228">
        <v>4.1500000000000004</v>
      </c>
      <c r="T111" s="229">
        <v>8.2000000000000007E-3</v>
      </c>
      <c r="U111" s="228">
        <v>511.45</v>
      </c>
      <c r="V111" s="228">
        <v>507.5</v>
      </c>
      <c r="W111" s="228">
        <v>3.95</v>
      </c>
      <c r="X111" s="229">
        <v>7.7999999999999996E-3</v>
      </c>
      <c r="Y111" s="228">
        <v>0.75</v>
      </c>
      <c r="Z111" s="228">
        <v>1.2</v>
      </c>
      <c r="AA111" s="228">
        <v>-0.45</v>
      </c>
      <c r="AB111" s="229">
        <v>1.5E-3</v>
      </c>
      <c r="AC111" s="228">
        <v>0.75</v>
      </c>
      <c r="AD111" s="228">
        <v>1.2</v>
      </c>
      <c r="AE111" s="228">
        <v>-0.45</v>
      </c>
      <c r="AF111" s="229">
        <v>1.5E-3</v>
      </c>
      <c r="AG111" s="228">
        <v>4.2</v>
      </c>
      <c r="AH111" s="228">
        <v>4.55</v>
      </c>
      <c r="AI111" s="228">
        <v>-0.35</v>
      </c>
      <c r="AJ111" s="229">
        <v>8.3000000000000001E-3</v>
      </c>
      <c r="AK111" s="228">
        <v>7.35</v>
      </c>
      <c r="AL111" s="228">
        <v>7.9</v>
      </c>
      <c r="AM111" s="228">
        <v>-0.55000000000000004</v>
      </c>
      <c r="AN111" s="229">
        <v>1.46E-2</v>
      </c>
      <c r="AO111" s="228">
        <v>507.95</v>
      </c>
      <c r="AP111" s="228">
        <v>511.38</v>
      </c>
      <c r="AQ111" s="228">
        <v>0</v>
      </c>
      <c r="AR111" s="230">
        <v>21309800</v>
      </c>
      <c r="AS111" s="230">
        <v>4839825</v>
      </c>
      <c r="AT111" s="230">
        <v>16469975</v>
      </c>
      <c r="AU111" s="229">
        <v>3.403</v>
      </c>
      <c r="AV111" s="230">
        <v>11156625</v>
      </c>
      <c r="AW111" s="230">
        <v>3779975</v>
      </c>
      <c r="AX111" s="230">
        <v>7376650</v>
      </c>
      <c r="AY111" s="229">
        <v>1.9515</v>
      </c>
      <c r="AZ111" s="230">
        <v>10020400</v>
      </c>
      <c r="BA111" s="230">
        <v>989350</v>
      </c>
      <c r="BB111" s="230">
        <v>9031050</v>
      </c>
      <c r="BC111" s="229">
        <v>9.1282999999999994</v>
      </c>
      <c r="BD111" s="230">
        <v>132775</v>
      </c>
      <c r="BE111" s="230">
        <v>70500</v>
      </c>
      <c r="BF111" s="230">
        <v>62275</v>
      </c>
      <c r="BG111" s="229">
        <v>0.88329999999999997</v>
      </c>
      <c r="BH111" s="230">
        <v>37132350</v>
      </c>
      <c r="BI111" s="230">
        <v>25660825</v>
      </c>
      <c r="BJ111" s="230">
        <v>11471525</v>
      </c>
      <c r="BK111" s="229">
        <v>0.44700000000000001</v>
      </c>
      <c r="BL111" s="230">
        <v>13810950</v>
      </c>
      <c r="BM111" s="230">
        <v>9049850</v>
      </c>
      <c r="BN111" s="230">
        <v>4761100</v>
      </c>
      <c r="BO111" s="229">
        <v>0.52610000000000001</v>
      </c>
      <c r="BP111" s="230">
        <v>72253100</v>
      </c>
      <c r="BQ111" s="230">
        <v>39550500</v>
      </c>
      <c r="BR111" s="230">
        <v>32702600</v>
      </c>
      <c r="BS111" s="229">
        <v>0.82689999999999997</v>
      </c>
      <c r="BT111" s="230">
        <v>3495416</v>
      </c>
      <c r="BU111" s="230">
        <v>2533127</v>
      </c>
      <c r="BV111" s="230">
        <v>962289</v>
      </c>
      <c r="BW111" s="229">
        <v>0.37990000000000002</v>
      </c>
      <c r="BX111" s="230">
        <v>31438300</v>
      </c>
      <c r="BY111" s="230">
        <v>32233775</v>
      </c>
      <c r="BZ111" s="230">
        <v>-795475</v>
      </c>
      <c r="CA111" s="229">
        <v>-2.47E-2</v>
      </c>
      <c r="CB111" s="230">
        <v>22181650</v>
      </c>
      <c r="CC111" s="230">
        <v>30503000</v>
      </c>
      <c r="CD111" s="230">
        <v>-8321350</v>
      </c>
      <c r="CE111" s="229">
        <v>-0.27279999999999999</v>
      </c>
      <c r="CF111" s="230">
        <v>9041625</v>
      </c>
      <c r="CG111" s="230">
        <v>1532200</v>
      </c>
      <c r="CH111" s="230">
        <v>7509425</v>
      </c>
      <c r="CI111" s="229">
        <v>4.9010999999999996</v>
      </c>
      <c r="CJ111" s="230">
        <v>215025</v>
      </c>
      <c r="CK111" s="230">
        <v>198575</v>
      </c>
      <c r="CL111" s="230">
        <v>16450</v>
      </c>
      <c r="CM111" s="229">
        <v>8.2799999999999999E-2</v>
      </c>
      <c r="CN111" s="230">
        <v>11332875</v>
      </c>
      <c r="CO111" s="230">
        <v>12907375</v>
      </c>
      <c r="CP111" s="230">
        <v>-1574500</v>
      </c>
      <c r="CQ111" s="229">
        <v>-0.122</v>
      </c>
      <c r="CR111" s="230">
        <v>5929050</v>
      </c>
      <c r="CS111" s="230">
        <v>6180500</v>
      </c>
      <c r="CT111" s="230">
        <v>-251450</v>
      </c>
      <c r="CU111" s="229">
        <v>-4.07E-2</v>
      </c>
      <c r="CV111" s="230">
        <v>48700225</v>
      </c>
      <c r="CW111" s="230">
        <v>51321650</v>
      </c>
      <c r="CX111" s="230">
        <v>-2621425</v>
      </c>
      <c r="CY111" s="229">
        <v>-5.11E-2</v>
      </c>
      <c r="CZ111" s="228">
        <v>31.53</v>
      </c>
      <c r="DA111" s="228">
        <v>31.27</v>
      </c>
      <c r="DB111" s="228">
        <v>0.26</v>
      </c>
      <c r="DC111" s="228">
        <v>0.26</v>
      </c>
      <c r="DD111" s="228">
        <v>49.34</v>
      </c>
      <c r="DE111" s="228">
        <v>49.44</v>
      </c>
      <c r="DF111" s="228">
        <v>-17.809999999999999</v>
      </c>
      <c r="DG111" s="228">
        <v>-0.1</v>
      </c>
      <c r="DH111" s="228">
        <v>31.36</v>
      </c>
      <c r="DI111" s="228">
        <v>31.55</v>
      </c>
      <c r="DJ111" s="228">
        <v>-0.19</v>
      </c>
      <c r="DK111" s="228">
        <v>-0.19</v>
      </c>
      <c r="DL111" s="228">
        <v>31.92</v>
      </c>
      <c r="DM111" s="228">
        <v>30.48</v>
      </c>
      <c r="DN111" s="228">
        <v>1.44</v>
      </c>
      <c r="DO111" s="228">
        <v>1.44</v>
      </c>
      <c r="DP111" s="228">
        <v>0.52</v>
      </c>
      <c r="DQ111" s="228">
        <v>0.48</v>
      </c>
      <c r="DR111" s="228">
        <v>0.04</v>
      </c>
      <c r="DS111" s="229">
        <v>8.3299999999999999E-2</v>
      </c>
      <c r="DT111" s="228">
        <v>520</v>
      </c>
      <c r="DU111" s="228">
        <v>500</v>
      </c>
      <c r="DV111" s="228">
        <v>0.37</v>
      </c>
      <c r="DW111" s="228">
        <v>0.35</v>
      </c>
      <c r="DX111" s="228">
        <v>0.02</v>
      </c>
      <c r="DY111" s="229">
        <v>5.7099999999999998E-2</v>
      </c>
      <c r="DZ111" s="229">
        <v>0.2944</v>
      </c>
      <c r="EA111" s="230">
        <v>1730775</v>
      </c>
      <c r="EB111" s="229">
        <v>6.7999999999999996E-3</v>
      </c>
      <c r="EC111" s="229">
        <v>0.2944</v>
      </c>
      <c r="ED111" s="228">
        <v>3.43</v>
      </c>
      <c r="EE111" s="229">
        <v>6.7999999999999996E-3</v>
      </c>
      <c r="EF111" s="230">
        <v>1146165</v>
      </c>
      <c r="EG111" s="230">
        <v>661869</v>
      </c>
      <c r="EH111" s="229">
        <v>0.73170000000000002</v>
      </c>
      <c r="EI111" s="229">
        <v>0.32790000000000002</v>
      </c>
      <c r="EJ111" s="231">
        <v>195639.06</v>
      </c>
      <c r="EK111" s="231">
        <v>68945.570000000007</v>
      </c>
      <c r="EL111" s="231">
        <v>108594.75</v>
      </c>
      <c r="EM111" s="231">
        <v>3045</v>
      </c>
      <c r="EN111" s="231">
        <v>373179.38</v>
      </c>
      <c r="EO111" s="231">
        <v>201437.13</v>
      </c>
      <c r="EP111" s="231">
        <v>171742.25</v>
      </c>
      <c r="EQ111" s="229">
        <v>0.85260000000000002</v>
      </c>
      <c r="ER111" s="231">
        <v>60179</v>
      </c>
      <c r="ES111" s="231">
        <v>29228</v>
      </c>
      <c r="ET111" s="231">
        <v>159042</v>
      </c>
      <c r="EU111" s="231">
        <v>57552009</v>
      </c>
      <c r="EV111" s="231">
        <v>248449</v>
      </c>
      <c r="EW111" s="231">
        <v>260277</v>
      </c>
      <c r="EX111" s="231">
        <v>-11828</v>
      </c>
      <c r="EY111" s="229">
        <v>-4.5400000000000003E-2</v>
      </c>
      <c r="EZ111" s="229">
        <v>0.84619999999999995</v>
      </c>
      <c r="FA111" s="227" t="s">
        <v>556</v>
      </c>
      <c r="FB111" s="161">
        <f t="shared" si="1"/>
        <v>9256650</v>
      </c>
    </row>
    <row r="112" spans="1:158" ht="17.25" hidden="1" thickBot="1" x14ac:dyDescent="0.3">
      <c r="A112" s="226">
        <v>45981</v>
      </c>
      <c r="B112" s="227" t="s">
        <v>184</v>
      </c>
      <c r="C112" s="227" t="s">
        <v>677</v>
      </c>
      <c r="D112" s="228">
        <v>100</v>
      </c>
      <c r="E112" s="231">
        <v>5978.5</v>
      </c>
      <c r="F112" s="231">
        <v>5982.5</v>
      </c>
      <c r="G112" s="228">
        <v>-4</v>
      </c>
      <c r="H112" s="229">
        <v>-6.9999999999999999E-4</v>
      </c>
      <c r="I112" s="231">
        <v>5967.5</v>
      </c>
      <c r="J112" s="231">
        <v>5974</v>
      </c>
      <c r="K112" s="228">
        <v>-6.5</v>
      </c>
      <c r="L112" s="229">
        <v>-1.1000000000000001E-3</v>
      </c>
      <c r="M112" s="231">
        <v>5978.5</v>
      </c>
      <c r="N112" s="231">
        <v>5982.5</v>
      </c>
      <c r="O112" s="228">
        <v>-4</v>
      </c>
      <c r="P112" s="229">
        <v>-6.9999999999999999E-4</v>
      </c>
      <c r="Q112" s="231">
        <v>5985</v>
      </c>
      <c r="R112" s="231">
        <v>5973</v>
      </c>
      <c r="S112" s="228">
        <v>12</v>
      </c>
      <c r="T112" s="229">
        <v>2E-3</v>
      </c>
      <c r="U112" s="231">
        <v>5999.5</v>
      </c>
      <c r="V112" s="231">
        <v>5985.5</v>
      </c>
      <c r="W112" s="228">
        <v>14</v>
      </c>
      <c r="X112" s="229">
        <v>2.3E-3</v>
      </c>
      <c r="Y112" s="228">
        <v>11</v>
      </c>
      <c r="Z112" s="228">
        <v>8.5</v>
      </c>
      <c r="AA112" s="228">
        <v>2.5</v>
      </c>
      <c r="AB112" s="229">
        <v>1.8E-3</v>
      </c>
      <c r="AC112" s="228">
        <v>11</v>
      </c>
      <c r="AD112" s="228">
        <v>8.5</v>
      </c>
      <c r="AE112" s="228">
        <v>2.5</v>
      </c>
      <c r="AF112" s="229">
        <v>1.8E-3</v>
      </c>
      <c r="AG112" s="228">
        <v>17.5</v>
      </c>
      <c r="AH112" s="228">
        <v>-1</v>
      </c>
      <c r="AI112" s="228">
        <v>18.5</v>
      </c>
      <c r="AJ112" s="229">
        <v>2.8999999999999998E-3</v>
      </c>
      <c r="AK112" s="228">
        <v>32</v>
      </c>
      <c r="AL112" s="228">
        <v>11.5</v>
      </c>
      <c r="AM112" s="228">
        <v>20.5</v>
      </c>
      <c r="AN112" s="229">
        <v>5.4000000000000003E-3</v>
      </c>
      <c r="AO112" s="231">
        <v>5986.29</v>
      </c>
      <c r="AP112" s="231">
        <v>5980.43</v>
      </c>
      <c r="AQ112" s="228">
        <v>0</v>
      </c>
      <c r="AR112" s="230">
        <v>1015500</v>
      </c>
      <c r="AS112" s="230">
        <v>972500</v>
      </c>
      <c r="AT112" s="230">
        <v>43000</v>
      </c>
      <c r="AU112" s="229">
        <v>4.4200000000000003E-2</v>
      </c>
      <c r="AV112" s="230">
        <v>582500</v>
      </c>
      <c r="AW112" s="230">
        <v>665200</v>
      </c>
      <c r="AX112" s="230">
        <v>-82700</v>
      </c>
      <c r="AY112" s="229">
        <v>-0.12429999999999999</v>
      </c>
      <c r="AZ112" s="230">
        <v>424700</v>
      </c>
      <c r="BA112" s="230">
        <v>296800</v>
      </c>
      <c r="BB112" s="230">
        <v>127900</v>
      </c>
      <c r="BC112" s="229">
        <v>0.43090000000000001</v>
      </c>
      <c r="BD112" s="230">
        <v>8300</v>
      </c>
      <c r="BE112" s="230">
        <v>10500</v>
      </c>
      <c r="BF112" s="230">
        <v>-2200</v>
      </c>
      <c r="BG112" s="229">
        <v>-0.20949999999999999</v>
      </c>
      <c r="BH112" s="230">
        <v>5673700</v>
      </c>
      <c r="BI112" s="230">
        <v>11527200</v>
      </c>
      <c r="BJ112" s="230">
        <v>-5853500</v>
      </c>
      <c r="BK112" s="229">
        <v>-0.50780000000000003</v>
      </c>
      <c r="BL112" s="230">
        <v>1805800</v>
      </c>
      <c r="BM112" s="230">
        <v>3507700</v>
      </c>
      <c r="BN112" s="230">
        <v>-1701900</v>
      </c>
      <c r="BO112" s="229">
        <v>-0.48520000000000002</v>
      </c>
      <c r="BP112" s="230">
        <v>8495000</v>
      </c>
      <c r="BQ112" s="230">
        <v>16007400</v>
      </c>
      <c r="BR112" s="230">
        <v>-7512400</v>
      </c>
      <c r="BS112" s="229">
        <v>-0.46929999999999999</v>
      </c>
      <c r="BT112" s="230">
        <v>364429</v>
      </c>
      <c r="BU112" s="230">
        <v>758082</v>
      </c>
      <c r="BV112" s="230">
        <v>-393653</v>
      </c>
      <c r="BW112" s="229">
        <v>-0.51929999999999998</v>
      </c>
      <c r="BX112" s="230">
        <v>2233100</v>
      </c>
      <c r="BY112" s="230">
        <v>2438700</v>
      </c>
      <c r="BZ112" s="230">
        <v>-205600</v>
      </c>
      <c r="CA112" s="229">
        <v>-8.43E-2</v>
      </c>
      <c r="CB112" s="230">
        <v>1441500</v>
      </c>
      <c r="CC112" s="230">
        <v>1749500</v>
      </c>
      <c r="CD112" s="230">
        <v>-308000</v>
      </c>
      <c r="CE112" s="229">
        <v>-0.17610000000000001</v>
      </c>
      <c r="CF112" s="230">
        <v>738100</v>
      </c>
      <c r="CG112" s="230">
        <v>638000</v>
      </c>
      <c r="CH112" s="230">
        <v>100100</v>
      </c>
      <c r="CI112" s="229">
        <v>0.15690000000000001</v>
      </c>
      <c r="CJ112" s="230">
        <v>53500</v>
      </c>
      <c r="CK112" s="230">
        <v>51200</v>
      </c>
      <c r="CL112" s="230">
        <v>2300</v>
      </c>
      <c r="CM112" s="229">
        <v>4.4900000000000002E-2</v>
      </c>
      <c r="CN112" s="230">
        <v>3496100</v>
      </c>
      <c r="CO112" s="230">
        <v>3877000</v>
      </c>
      <c r="CP112" s="230">
        <v>-380900</v>
      </c>
      <c r="CQ112" s="229">
        <v>-9.8199999999999996E-2</v>
      </c>
      <c r="CR112" s="230">
        <v>1145500</v>
      </c>
      <c r="CS112" s="230">
        <v>1216600</v>
      </c>
      <c r="CT112" s="230">
        <v>-71100</v>
      </c>
      <c r="CU112" s="229">
        <v>-5.8400000000000001E-2</v>
      </c>
      <c r="CV112" s="230">
        <v>6874700</v>
      </c>
      <c r="CW112" s="230">
        <v>7532300</v>
      </c>
      <c r="CX112" s="230">
        <v>-657600</v>
      </c>
      <c r="CY112" s="229">
        <v>-8.7300000000000003E-2</v>
      </c>
      <c r="CZ112" s="228">
        <v>31.91</v>
      </c>
      <c r="DA112" s="228">
        <v>37.18</v>
      </c>
      <c r="DB112" s="228">
        <v>-5.27</v>
      </c>
      <c r="DC112" s="228">
        <v>-5.27</v>
      </c>
      <c r="DD112" s="228">
        <v>54.26</v>
      </c>
      <c r="DE112" s="228">
        <v>54.4</v>
      </c>
      <c r="DF112" s="228">
        <v>-22.35</v>
      </c>
      <c r="DG112" s="228">
        <v>-0.14000000000000001</v>
      </c>
      <c r="DH112" s="228">
        <v>32.03</v>
      </c>
      <c r="DI112" s="228">
        <v>37.380000000000003</v>
      </c>
      <c r="DJ112" s="228">
        <v>-5.35</v>
      </c>
      <c r="DK112" s="228">
        <v>-5.35</v>
      </c>
      <c r="DL112" s="228">
        <v>31.5</v>
      </c>
      <c r="DM112" s="228">
        <v>36.51</v>
      </c>
      <c r="DN112" s="228">
        <v>-5.01</v>
      </c>
      <c r="DO112" s="228">
        <v>-5.01</v>
      </c>
      <c r="DP112" s="228">
        <v>0.33</v>
      </c>
      <c r="DQ112" s="228">
        <v>0.31</v>
      </c>
      <c r="DR112" s="228">
        <v>0.02</v>
      </c>
      <c r="DS112" s="229">
        <v>6.4500000000000002E-2</v>
      </c>
      <c r="DT112" s="231">
        <v>7000</v>
      </c>
      <c r="DU112" s="231">
        <v>5900</v>
      </c>
      <c r="DV112" s="228">
        <v>0.32</v>
      </c>
      <c r="DW112" s="228">
        <v>0.3</v>
      </c>
      <c r="DX112" s="228">
        <v>0.02</v>
      </c>
      <c r="DY112" s="229">
        <v>6.6699999999999995E-2</v>
      </c>
      <c r="DZ112" s="229">
        <v>0.35449999999999998</v>
      </c>
      <c r="EA112" s="230">
        <v>689200</v>
      </c>
      <c r="EB112" s="229">
        <v>1.1000000000000001E-3</v>
      </c>
      <c r="EC112" s="229">
        <v>0.35449999999999998</v>
      </c>
      <c r="ED112" s="228">
        <v>-5.86</v>
      </c>
      <c r="EE112" s="229">
        <v>-1E-3</v>
      </c>
      <c r="EF112" s="230">
        <v>151865</v>
      </c>
      <c r="EG112" s="230">
        <v>210997</v>
      </c>
      <c r="EH112" s="229">
        <v>-0.28029999999999999</v>
      </c>
      <c r="EI112" s="229">
        <v>0.41670000000000001</v>
      </c>
      <c r="EJ112" s="231">
        <v>364272.67</v>
      </c>
      <c r="EK112" s="231">
        <v>104999.5</v>
      </c>
      <c r="EL112" s="231">
        <v>60767.48</v>
      </c>
      <c r="EM112" s="231">
        <v>10299</v>
      </c>
      <c r="EN112" s="231">
        <v>530039.65</v>
      </c>
      <c r="EO112" s="231">
        <v>991565.88</v>
      </c>
      <c r="EP112" s="231">
        <v>-461526.23</v>
      </c>
      <c r="EQ112" s="229">
        <v>-0.46550000000000002</v>
      </c>
      <c r="ER112" s="231">
        <v>230864</v>
      </c>
      <c r="ES112" s="231">
        <v>69765</v>
      </c>
      <c r="ET112" s="231">
        <v>133565</v>
      </c>
      <c r="EU112" s="231">
        <v>4667784</v>
      </c>
      <c r="EV112" s="231">
        <v>434194</v>
      </c>
      <c r="EW112" s="231">
        <v>475888</v>
      </c>
      <c r="EX112" s="231">
        <v>-41694</v>
      </c>
      <c r="EY112" s="229">
        <v>-8.7599999999999997E-2</v>
      </c>
      <c r="EZ112" s="229">
        <v>1.4728000000000001</v>
      </c>
      <c r="FA112" s="227" t="s">
        <v>568</v>
      </c>
      <c r="FB112" s="161">
        <f t="shared" si="1"/>
        <v>791600</v>
      </c>
    </row>
    <row r="113" spans="1:158" ht="17.25" hidden="1" thickBot="1" x14ac:dyDescent="0.3">
      <c r="A113" s="226">
        <v>45981</v>
      </c>
      <c r="B113" s="227" t="s">
        <v>161</v>
      </c>
      <c r="C113" s="227" t="s">
        <v>610</v>
      </c>
      <c r="D113" s="228">
        <v>175</v>
      </c>
      <c r="E113" s="231">
        <v>4165.8999999999996</v>
      </c>
      <c r="F113" s="231">
        <v>4122.7</v>
      </c>
      <c r="G113" s="228">
        <v>43.2</v>
      </c>
      <c r="H113" s="229">
        <v>1.0500000000000001E-2</v>
      </c>
      <c r="I113" s="231">
        <v>4167.3</v>
      </c>
      <c r="J113" s="231">
        <v>4119.1000000000004</v>
      </c>
      <c r="K113" s="228">
        <v>48.2</v>
      </c>
      <c r="L113" s="229">
        <v>1.17E-2</v>
      </c>
      <c r="M113" s="231">
        <v>4165.8999999999996</v>
      </c>
      <c r="N113" s="231">
        <v>4122.7</v>
      </c>
      <c r="O113" s="228">
        <v>43.2</v>
      </c>
      <c r="P113" s="229">
        <v>1.0500000000000001E-2</v>
      </c>
      <c r="Q113" s="231">
        <v>4170.5</v>
      </c>
      <c r="R113" s="231">
        <v>4117.1000000000004</v>
      </c>
      <c r="S113" s="228">
        <v>53.4</v>
      </c>
      <c r="T113" s="229">
        <v>1.2999999999999999E-2</v>
      </c>
      <c r="U113" s="231">
        <v>4174</v>
      </c>
      <c r="V113" s="231">
        <v>4128.7</v>
      </c>
      <c r="W113" s="228">
        <v>45.3</v>
      </c>
      <c r="X113" s="229">
        <v>1.0999999999999999E-2</v>
      </c>
      <c r="Y113" s="228">
        <v>-1.4</v>
      </c>
      <c r="Z113" s="228">
        <v>3.6</v>
      </c>
      <c r="AA113" s="228">
        <v>-5</v>
      </c>
      <c r="AB113" s="229">
        <v>-2.9999999999999997E-4</v>
      </c>
      <c r="AC113" s="228">
        <v>-1.4</v>
      </c>
      <c r="AD113" s="228">
        <v>3.6</v>
      </c>
      <c r="AE113" s="228">
        <v>-5</v>
      </c>
      <c r="AF113" s="229">
        <v>-2.9999999999999997E-4</v>
      </c>
      <c r="AG113" s="228">
        <v>3.2</v>
      </c>
      <c r="AH113" s="228">
        <v>-2</v>
      </c>
      <c r="AI113" s="228">
        <v>5.2</v>
      </c>
      <c r="AJ113" s="229">
        <v>8.0000000000000004E-4</v>
      </c>
      <c r="AK113" s="228">
        <v>6.7</v>
      </c>
      <c r="AL113" s="228">
        <v>9.6</v>
      </c>
      <c r="AM113" s="228">
        <v>-2.9</v>
      </c>
      <c r="AN113" s="229">
        <v>1.6000000000000001E-3</v>
      </c>
      <c r="AO113" s="231">
        <v>4154.57</v>
      </c>
      <c r="AP113" s="231">
        <v>4150.3900000000003</v>
      </c>
      <c r="AQ113" s="228">
        <v>0</v>
      </c>
      <c r="AR113" s="230">
        <v>910525</v>
      </c>
      <c r="AS113" s="230">
        <v>163100</v>
      </c>
      <c r="AT113" s="230">
        <v>747425</v>
      </c>
      <c r="AU113" s="229">
        <v>4.5826000000000002</v>
      </c>
      <c r="AV113" s="230">
        <v>465150</v>
      </c>
      <c r="AW113" s="230">
        <v>126875</v>
      </c>
      <c r="AX113" s="230">
        <v>338275</v>
      </c>
      <c r="AY113" s="229">
        <v>2.6661999999999999</v>
      </c>
      <c r="AZ113" s="230">
        <v>444675</v>
      </c>
      <c r="BA113" s="230">
        <v>34475</v>
      </c>
      <c r="BB113" s="230">
        <v>410200</v>
      </c>
      <c r="BC113" s="229">
        <v>11.8985</v>
      </c>
      <c r="BD113" s="228">
        <v>700</v>
      </c>
      <c r="BE113" s="230">
        <v>1750</v>
      </c>
      <c r="BF113" s="230">
        <v>-1050</v>
      </c>
      <c r="BG113" s="229">
        <v>-0.6</v>
      </c>
      <c r="BH113" s="230">
        <v>847350</v>
      </c>
      <c r="BI113" s="230">
        <v>377650</v>
      </c>
      <c r="BJ113" s="230">
        <v>469700</v>
      </c>
      <c r="BK113" s="229">
        <v>1.2437</v>
      </c>
      <c r="BL113" s="230">
        <v>242200</v>
      </c>
      <c r="BM113" s="230">
        <v>195300</v>
      </c>
      <c r="BN113" s="230">
        <v>46900</v>
      </c>
      <c r="BO113" s="229">
        <v>0.24010000000000001</v>
      </c>
      <c r="BP113" s="230">
        <v>2000075</v>
      </c>
      <c r="BQ113" s="230">
        <v>736050</v>
      </c>
      <c r="BR113" s="230">
        <v>1264025</v>
      </c>
      <c r="BS113" s="229">
        <v>1.7173</v>
      </c>
      <c r="BT113" s="230">
        <v>146949</v>
      </c>
      <c r="BU113" s="230">
        <v>61774</v>
      </c>
      <c r="BV113" s="230">
        <v>85175</v>
      </c>
      <c r="BW113" s="229">
        <v>1.3788</v>
      </c>
      <c r="BX113" s="230">
        <v>1060325</v>
      </c>
      <c r="BY113" s="230">
        <v>1084475</v>
      </c>
      <c r="BZ113" s="230">
        <v>-24150</v>
      </c>
      <c r="CA113" s="229">
        <v>-2.23E-2</v>
      </c>
      <c r="CB113" s="230">
        <v>747425</v>
      </c>
      <c r="CC113" s="230">
        <v>996625</v>
      </c>
      <c r="CD113" s="230">
        <v>-249200</v>
      </c>
      <c r="CE113" s="229">
        <v>-0.25</v>
      </c>
      <c r="CF113" s="230">
        <v>308525</v>
      </c>
      <c r="CG113" s="230">
        <v>83650</v>
      </c>
      <c r="CH113" s="230">
        <v>224875</v>
      </c>
      <c r="CI113" s="229">
        <v>2.6882999999999999</v>
      </c>
      <c r="CJ113" s="230">
        <v>4375</v>
      </c>
      <c r="CK113" s="230">
        <v>4200</v>
      </c>
      <c r="CL113" s="228">
        <v>175</v>
      </c>
      <c r="CM113" s="229">
        <v>4.1700000000000001E-2</v>
      </c>
      <c r="CN113" s="230">
        <v>590800</v>
      </c>
      <c r="CO113" s="230">
        <v>668850</v>
      </c>
      <c r="CP113" s="230">
        <v>-78050</v>
      </c>
      <c r="CQ113" s="229">
        <v>-0.1167</v>
      </c>
      <c r="CR113" s="230">
        <v>352800</v>
      </c>
      <c r="CS113" s="230">
        <v>351750</v>
      </c>
      <c r="CT113" s="230">
        <v>1050</v>
      </c>
      <c r="CU113" s="229">
        <v>3.0000000000000001E-3</v>
      </c>
      <c r="CV113" s="230">
        <v>2003925</v>
      </c>
      <c r="CW113" s="230">
        <v>2105075</v>
      </c>
      <c r="CX113" s="230">
        <v>-101150</v>
      </c>
      <c r="CY113" s="229">
        <v>-4.8099999999999997E-2</v>
      </c>
      <c r="CZ113" s="228">
        <v>27.49</v>
      </c>
      <c r="DA113" s="228">
        <v>24.51</v>
      </c>
      <c r="DB113" s="228">
        <v>2.98</v>
      </c>
      <c r="DC113" s="228">
        <v>2.98</v>
      </c>
      <c r="DD113" s="228">
        <v>46.63</v>
      </c>
      <c r="DE113" s="228">
        <v>46.73</v>
      </c>
      <c r="DF113" s="228">
        <v>-19.14</v>
      </c>
      <c r="DG113" s="228">
        <v>-0.1</v>
      </c>
      <c r="DH113" s="228">
        <v>28.02</v>
      </c>
      <c r="DI113" s="228">
        <v>23.97</v>
      </c>
      <c r="DJ113" s="228">
        <v>4.05</v>
      </c>
      <c r="DK113" s="228">
        <v>4.05</v>
      </c>
      <c r="DL113" s="228">
        <v>26.76</v>
      </c>
      <c r="DM113" s="228">
        <v>25.56</v>
      </c>
      <c r="DN113" s="228">
        <v>1.2</v>
      </c>
      <c r="DO113" s="228">
        <v>1.2</v>
      </c>
      <c r="DP113" s="228">
        <v>0.6</v>
      </c>
      <c r="DQ113" s="228">
        <v>0.53</v>
      </c>
      <c r="DR113" s="228">
        <v>7.0000000000000007E-2</v>
      </c>
      <c r="DS113" s="229">
        <v>0.1321</v>
      </c>
      <c r="DT113" s="231">
        <v>4300</v>
      </c>
      <c r="DU113" s="231">
        <v>4300</v>
      </c>
      <c r="DV113" s="228">
        <v>0.28999999999999998</v>
      </c>
      <c r="DW113" s="228">
        <v>0.52</v>
      </c>
      <c r="DX113" s="228">
        <v>-0.23</v>
      </c>
      <c r="DY113" s="229">
        <v>-0.44230000000000003</v>
      </c>
      <c r="DZ113" s="229">
        <v>0.29509999999999997</v>
      </c>
      <c r="EA113" s="230">
        <v>87850</v>
      </c>
      <c r="EB113" s="229">
        <v>1.1000000000000001E-3</v>
      </c>
      <c r="EC113" s="229">
        <v>0.29509999999999997</v>
      </c>
      <c r="ED113" s="228">
        <v>-4.18</v>
      </c>
      <c r="EE113" s="229">
        <v>-1E-3</v>
      </c>
      <c r="EF113" s="230">
        <v>94335</v>
      </c>
      <c r="EG113" s="230">
        <v>24514</v>
      </c>
      <c r="EH113" s="229">
        <v>2.8481999999999998</v>
      </c>
      <c r="EI113" s="229">
        <v>0.64200000000000002</v>
      </c>
      <c r="EJ113" s="231">
        <v>36246.589999999997</v>
      </c>
      <c r="EK113" s="231">
        <v>9827.36</v>
      </c>
      <c r="EL113" s="231">
        <v>37809.910000000003</v>
      </c>
      <c r="EM113" s="231">
        <v>1203</v>
      </c>
      <c r="EN113" s="231">
        <v>83883.86</v>
      </c>
      <c r="EO113" s="231">
        <v>30517.85</v>
      </c>
      <c r="EP113" s="231">
        <v>53366.01</v>
      </c>
      <c r="EQ113" s="229">
        <v>1.7486999999999999</v>
      </c>
      <c r="ER113" s="231">
        <v>25120</v>
      </c>
      <c r="ES113" s="231">
        <v>14242</v>
      </c>
      <c r="ET113" s="231">
        <v>44187</v>
      </c>
      <c r="EU113" s="231">
        <v>9313740</v>
      </c>
      <c r="EV113" s="231">
        <v>83548</v>
      </c>
      <c r="EW113" s="231">
        <v>87236</v>
      </c>
      <c r="EX113" s="231">
        <v>-3688</v>
      </c>
      <c r="EY113" s="229">
        <v>-4.2299999999999997E-2</v>
      </c>
      <c r="EZ113" s="229">
        <v>0.2152</v>
      </c>
      <c r="FA113" s="227" t="s">
        <v>556</v>
      </c>
      <c r="FB113" s="161">
        <f t="shared" si="1"/>
        <v>312900</v>
      </c>
    </row>
    <row r="114" spans="1:158" ht="17.25" hidden="1" thickBot="1" x14ac:dyDescent="0.3">
      <c r="A114" s="226">
        <v>45981</v>
      </c>
      <c r="B114" s="227" t="s">
        <v>175</v>
      </c>
      <c r="C114" s="227" t="s">
        <v>684</v>
      </c>
      <c r="D114" s="228">
        <v>450</v>
      </c>
      <c r="E114" s="231">
        <v>1081.8</v>
      </c>
      <c r="F114" s="231">
        <v>1085.8</v>
      </c>
      <c r="G114" s="228">
        <v>-4</v>
      </c>
      <c r="H114" s="229">
        <v>-3.7000000000000002E-3</v>
      </c>
      <c r="I114" s="231">
        <v>1080.4000000000001</v>
      </c>
      <c r="J114" s="231">
        <v>1081.9000000000001</v>
      </c>
      <c r="K114" s="228">
        <v>-1.5</v>
      </c>
      <c r="L114" s="229">
        <v>-1.4E-3</v>
      </c>
      <c r="M114" s="231">
        <v>1081.8</v>
      </c>
      <c r="N114" s="231">
        <v>1085.8</v>
      </c>
      <c r="O114" s="228">
        <v>-4</v>
      </c>
      <c r="P114" s="229">
        <v>-3.7000000000000002E-3</v>
      </c>
      <c r="Q114" s="231">
        <v>1075.3</v>
      </c>
      <c r="R114" s="231">
        <v>1073.5</v>
      </c>
      <c r="S114" s="228">
        <v>1.8</v>
      </c>
      <c r="T114" s="229">
        <v>1.6999999999999999E-3</v>
      </c>
      <c r="U114" s="231">
        <v>1073.9000000000001</v>
      </c>
      <c r="V114" s="231">
        <v>1072.8</v>
      </c>
      <c r="W114" s="228">
        <v>1.1000000000000001</v>
      </c>
      <c r="X114" s="229">
        <v>1E-3</v>
      </c>
      <c r="Y114" s="228">
        <v>1.4</v>
      </c>
      <c r="Z114" s="228">
        <v>3.9</v>
      </c>
      <c r="AA114" s="228">
        <v>-2.5</v>
      </c>
      <c r="AB114" s="229">
        <v>1.2999999999999999E-3</v>
      </c>
      <c r="AC114" s="228">
        <v>1.4</v>
      </c>
      <c r="AD114" s="228">
        <v>3.9</v>
      </c>
      <c r="AE114" s="228">
        <v>-2.5</v>
      </c>
      <c r="AF114" s="229">
        <v>1.2999999999999999E-3</v>
      </c>
      <c r="AG114" s="228">
        <v>-5.0999999999999996</v>
      </c>
      <c r="AH114" s="228">
        <v>-8.4</v>
      </c>
      <c r="AI114" s="228">
        <v>3.3</v>
      </c>
      <c r="AJ114" s="229">
        <v>-4.7000000000000002E-3</v>
      </c>
      <c r="AK114" s="228">
        <v>-6.5</v>
      </c>
      <c r="AL114" s="228">
        <v>-9.1</v>
      </c>
      <c r="AM114" s="228">
        <v>2.6</v>
      </c>
      <c r="AN114" s="229">
        <v>-6.0000000000000001E-3</v>
      </c>
      <c r="AO114" s="231">
        <v>1090.3</v>
      </c>
      <c r="AP114" s="231">
        <v>1081.7</v>
      </c>
      <c r="AQ114" s="228">
        <v>0</v>
      </c>
      <c r="AR114" s="230">
        <v>3510450</v>
      </c>
      <c r="AS114" s="230">
        <v>1525500</v>
      </c>
      <c r="AT114" s="230">
        <v>1984950</v>
      </c>
      <c r="AU114" s="229">
        <v>1.3011999999999999</v>
      </c>
      <c r="AV114" s="230">
        <v>1791900</v>
      </c>
      <c r="AW114" s="230">
        <v>887850</v>
      </c>
      <c r="AX114" s="230">
        <v>904050</v>
      </c>
      <c r="AY114" s="229">
        <v>1.0182</v>
      </c>
      <c r="AZ114" s="230">
        <v>1706850</v>
      </c>
      <c r="BA114" s="230">
        <v>629550</v>
      </c>
      <c r="BB114" s="230">
        <v>1077300</v>
      </c>
      <c r="BC114" s="229">
        <v>1.7112000000000001</v>
      </c>
      <c r="BD114" s="230">
        <v>11700</v>
      </c>
      <c r="BE114" s="230">
        <v>8100</v>
      </c>
      <c r="BF114" s="230">
        <v>3600</v>
      </c>
      <c r="BG114" s="229">
        <v>0.44440000000000002</v>
      </c>
      <c r="BH114" s="230">
        <v>2948850</v>
      </c>
      <c r="BI114" s="230">
        <v>2884050</v>
      </c>
      <c r="BJ114" s="230">
        <v>64800</v>
      </c>
      <c r="BK114" s="229">
        <v>2.2499999999999999E-2</v>
      </c>
      <c r="BL114" s="230">
        <v>1039050</v>
      </c>
      <c r="BM114" s="230">
        <v>1037250</v>
      </c>
      <c r="BN114" s="230">
        <v>1800</v>
      </c>
      <c r="BO114" s="229">
        <v>1.6999999999999999E-3</v>
      </c>
      <c r="BP114" s="230">
        <v>7498350</v>
      </c>
      <c r="BQ114" s="230">
        <v>5446800</v>
      </c>
      <c r="BR114" s="230">
        <v>2051550</v>
      </c>
      <c r="BS114" s="229">
        <v>0.37669999999999998</v>
      </c>
      <c r="BT114" s="230">
        <v>739542</v>
      </c>
      <c r="BU114" s="230">
        <v>484239</v>
      </c>
      <c r="BV114" s="230">
        <v>255303</v>
      </c>
      <c r="BW114" s="229">
        <v>0.5272</v>
      </c>
      <c r="BX114" s="230">
        <v>4298350</v>
      </c>
      <c r="BY114" s="230">
        <v>4626200</v>
      </c>
      <c r="BZ114" s="230">
        <v>-327850</v>
      </c>
      <c r="CA114" s="229">
        <v>-7.0900000000000005E-2</v>
      </c>
      <c r="CB114" s="230">
        <v>2565000</v>
      </c>
      <c r="CC114" s="230">
        <v>3370950</v>
      </c>
      <c r="CD114" s="230">
        <v>-805950</v>
      </c>
      <c r="CE114" s="229">
        <v>-0.23910000000000001</v>
      </c>
      <c r="CF114" s="230">
        <v>1643850</v>
      </c>
      <c r="CG114" s="230">
        <v>1172250</v>
      </c>
      <c r="CH114" s="230">
        <v>471600</v>
      </c>
      <c r="CI114" s="229">
        <v>0.40229999999999999</v>
      </c>
      <c r="CJ114" s="230">
        <v>89500</v>
      </c>
      <c r="CK114" s="230">
        <v>83000</v>
      </c>
      <c r="CL114" s="230">
        <v>6500</v>
      </c>
      <c r="CM114" s="229">
        <v>7.8299999999999995E-2</v>
      </c>
      <c r="CN114" s="230">
        <v>3920300</v>
      </c>
      <c r="CO114" s="230">
        <v>4317150</v>
      </c>
      <c r="CP114" s="230">
        <v>-396850</v>
      </c>
      <c r="CQ114" s="229">
        <v>-9.1899999999999996E-2</v>
      </c>
      <c r="CR114" s="230">
        <v>1842700</v>
      </c>
      <c r="CS114" s="230">
        <v>1888250</v>
      </c>
      <c r="CT114" s="230">
        <v>-45550</v>
      </c>
      <c r="CU114" s="229">
        <v>-2.41E-2</v>
      </c>
      <c r="CV114" s="230">
        <v>10061350</v>
      </c>
      <c r="CW114" s="230">
        <v>10831600</v>
      </c>
      <c r="CX114" s="230">
        <v>-770250</v>
      </c>
      <c r="CY114" s="229">
        <v>-7.1099999999999997E-2</v>
      </c>
      <c r="CZ114" s="228">
        <v>31.02</v>
      </c>
      <c r="DA114" s="228">
        <v>33.36</v>
      </c>
      <c r="DB114" s="228">
        <v>-2.34</v>
      </c>
      <c r="DC114" s="228">
        <v>-2.34</v>
      </c>
      <c r="DD114" s="228">
        <v>54.15</v>
      </c>
      <c r="DE114" s="228">
        <v>54.29</v>
      </c>
      <c r="DF114" s="228">
        <v>-23.13</v>
      </c>
      <c r="DG114" s="228">
        <v>-0.14000000000000001</v>
      </c>
      <c r="DH114" s="228">
        <v>31.37</v>
      </c>
      <c r="DI114" s="228">
        <v>34.799999999999997</v>
      </c>
      <c r="DJ114" s="228">
        <v>-3.43</v>
      </c>
      <c r="DK114" s="228">
        <v>-3.43</v>
      </c>
      <c r="DL114" s="228">
        <v>30.39</v>
      </c>
      <c r="DM114" s="228">
        <v>29.38</v>
      </c>
      <c r="DN114" s="228">
        <v>1.01</v>
      </c>
      <c r="DO114" s="228">
        <v>1.01</v>
      </c>
      <c r="DP114" s="228">
        <v>0.47</v>
      </c>
      <c r="DQ114" s="228">
        <v>0.44</v>
      </c>
      <c r="DR114" s="228">
        <v>0.03</v>
      </c>
      <c r="DS114" s="229">
        <v>6.8199999999999997E-2</v>
      </c>
      <c r="DT114" s="231">
        <v>1200</v>
      </c>
      <c r="DU114" s="231">
        <v>1040</v>
      </c>
      <c r="DV114" s="228">
        <v>0.35</v>
      </c>
      <c r="DW114" s="228">
        <v>0.36</v>
      </c>
      <c r="DX114" s="228">
        <v>-0.01</v>
      </c>
      <c r="DY114" s="229">
        <v>-2.7799999999999998E-2</v>
      </c>
      <c r="DZ114" s="229">
        <v>0.40329999999999999</v>
      </c>
      <c r="EA114" s="230">
        <v>1255250</v>
      </c>
      <c r="EB114" s="229">
        <v>-6.0000000000000001E-3</v>
      </c>
      <c r="EC114" s="229">
        <v>0.40329999999999999</v>
      </c>
      <c r="ED114" s="228">
        <v>-8.6</v>
      </c>
      <c r="EE114" s="229">
        <v>-7.9000000000000008E-3</v>
      </c>
      <c r="EF114" s="230">
        <v>369089</v>
      </c>
      <c r="EG114" s="230">
        <v>199673</v>
      </c>
      <c r="EH114" s="229">
        <v>0.84850000000000003</v>
      </c>
      <c r="EI114" s="229">
        <v>0.49909999999999999</v>
      </c>
      <c r="EJ114" s="231">
        <v>34095.269999999997</v>
      </c>
      <c r="EK114" s="231">
        <v>11112.88</v>
      </c>
      <c r="EL114" s="231">
        <v>38140.519999999997</v>
      </c>
      <c r="EM114" s="231">
        <v>2376</v>
      </c>
      <c r="EN114" s="231">
        <v>83348.67</v>
      </c>
      <c r="EO114" s="231">
        <v>60690.07</v>
      </c>
      <c r="EP114" s="231">
        <v>22658.6</v>
      </c>
      <c r="EQ114" s="229">
        <v>0.37330000000000002</v>
      </c>
      <c r="ER114" s="231">
        <v>45976</v>
      </c>
      <c r="ES114" s="231">
        <v>19756</v>
      </c>
      <c r="ET114" s="231">
        <v>46386</v>
      </c>
      <c r="EU114" s="231">
        <v>19911179</v>
      </c>
      <c r="EV114" s="231">
        <v>112118</v>
      </c>
      <c r="EW114" s="231">
        <v>121098</v>
      </c>
      <c r="EX114" s="231">
        <v>-8980</v>
      </c>
      <c r="EY114" s="229">
        <v>-7.4200000000000002E-2</v>
      </c>
      <c r="EZ114" s="229">
        <v>0.50529999999999997</v>
      </c>
      <c r="FA114" s="227" t="s">
        <v>568</v>
      </c>
      <c r="FB114" s="161">
        <f t="shared" si="1"/>
        <v>1733350</v>
      </c>
    </row>
    <row r="115" spans="1:158" ht="17.25" hidden="1" thickBot="1" x14ac:dyDescent="0.3">
      <c r="A115" s="226">
        <v>45981</v>
      </c>
      <c r="B115" s="227" t="s">
        <v>172</v>
      </c>
      <c r="C115" s="227" t="s">
        <v>246</v>
      </c>
      <c r="D115" s="228">
        <v>400</v>
      </c>
      <c r="E115" s="231">
        <v>2097.1</v>
      </c>
      <c r="F115" s="231">
        <v>2105.1</v>
      </c>
      <c r="G115" s="228">
        <v>-8</v>
      </c>
      <c r="H115" s="229">
        <v>-3.8E-3</v>
      </c>
      <c r="I115" s="231">
        <v>2098.6999999999998</v>
      </c>
      <c r="J115" s="231">
        <v>2105.9</v>
      </c>
      <c r="K115" s="228">
        <v>-7.2</v>
      </c>
      <c r="L115" s="229">
        <v>-3.3999999999999998E-3</v>
      </c>
      <c r="M115" s="231">
        <v>2097.1</v>
      </c>
      <c r="N115" s="231">
        <v>2105.1</v>
      </c>
      <c r="O115" s="228">
        <v>-8</v>
      </c>
      <c r="P115" s="229">
        <v>-3.8E-3</v>
      </c>
      <c r="Q115" s="231">
        <v>2111.3000000000002</v>
      </c>
      <c r="R115" s="231">
        <v>2119.3000000000002</v>
      </c>
      <c r="S115" s="228">
        <v>-8</v>
      </c>
      <c r="T115" s="229">
        <v>-3.8E-3</v>
      </c>
      <c r="U115" s="231">
        <v>2123.9</v>
      </c>
      <c r="V115" s="231">
        <v>2133.9</v>
      </c>
      <c r="W115" s="228">
        <v>-10</v>
      </c>
      <c r="X115" s="229">
        <v>-4.7000000000000002E-3</v>
      </c>
      <c r="Y115" s="228">
        <v>-1.6</v>
      </c>
      <c r="Z115" s="228">
        <v>-0.8</v>
      </c>
      <c r="AA115" s="228">
        <v>-0.8</v>
      </c>
      <c r="AB115" s="229">
        <v>-8.0000000000000004E-4</v>
      </c>
      <c r="AC115" s="228">
        <v>-1.6</v>
      </c>
      <c r="AD115" s="228">
        <v>-0.8</v>
      </c>
      <c r="AE115" s="228">
        <v>-0.8</v>
      </c>
      <c r="AF115" s="229">
        <v>-8.0000000000000004E-4</v>
      </c>
      <c r="AG115" s="228">
        <v>12.6</v>
      </c>
      <c r="AH115" s="228">
        <v>13.4</v>
      </c>
      <c r="AI115" s="228">
        <v>-0.8</v>
      </c>
      <c r="AJ115" s="229">
        <v>6.0000000000000001E-3</v>
      </c>
      <c r="AK115" s="228">
        <v>25.2</v>
      </c>
      <c r="AL115" s="228">
        <v>28</v>
      </c>
      <c r="AM115" s="228">
        <v>-2.8</v>
      </c>
      <c r="AN115" s="229">
        <v>1.2E-2</v>
      </c>
      <c r="AO115" s="231">
        <v>2101.9899999999998</v>
      </c>
      <c r="AP115" s="231">
        <v>2115.88</v>
      </c>
      <c r="AQ115" s="228">
        <v>0</v>
      </c>
      <c r="AR115" s="230">
        <v>19728000</v>
      </c>
      <c r="AS115" s="230">
        <v>7798800</v>
      </c>
      <c r="AT115" s="230">
        <v>11929200</v>
      </c>
      <c r="AU115" s="229">
        <v>1.5296000000000001</v>
      </c>
      <c r="AV115" s="230">
        <v>10735600</v>
      </c>
      <c r="AW115" s="230">
        <v>4799600</v>
      </c>
      <c r="AX115" s="230">
        <v>5936000</v>
      </c>
      <c r="AY115" s="229">
        <v>1.2367999999999999</v>
      </c>
      <c r="AZ115" s="230">
        <v>8940800</v>
      </c>
      <c r="BA115" s="230">
        <v>2983200</v>
      </c>
      <c r="BB115" s="230">
        <v>5957600</v>
      </c>
      <c r="BC115" s="229">
        <v>1.9971000000000001</v>
      </c>
      <c r="BD115" s="230">
        <v>51600</v>
      </c>
      <c r="BE115" s="230">
        <v>16000</v>
      </c>
      <c r="BF115" s="230">
        <v>35600</v>
      </c>
      <c r="BG115" s="229">
        <v>2.2250000000000001</v>
      </c>
      <c r="BH115" s="230">
        <v>24715200</v>
      </c>
      <c r="BI115" s="230">
        <v>18607600</v>
      </c>
      <c r="BJ115" s="230">
        <v>6107600</v>
      </c>
      <c r="BK115" s="229">
        <v>0.32819999999999999</v>
      </c>
      <c r="BL115" s="230">
        <v>10837200</v>
      </c>
      <c r="BM115" s="230">
        <v>7614800</v>
      </c>
      <c r="BN115" s="230">
        <v>3222400</v>
      </c>
      <c r="BO115" s="229">
        <v>0.42320000000000002</v>
      </c>
      <c r="BP115" s="230">
        <v>55280400</v>
      </c>
      <c r="BQ115" s="230">
        <v>34021200</v>
      </c>
      <c r="BR115" s="230">
        <v>21259200</v>
      </c>
      <c r="BS115" s="229">
        <v>0.62490000000000001</v>
      </c>
      <c r="BT115" s="230">
        <v>7637132</v>
      </c>
      <c r="BU115" s="230">
        <v>2526129</v>
      </c>
      <c r="BV115" s="230">
        <v>5111003</v>
      </c>
      <c r="BW115" s="229">
        <v>2.0232999999999999</v>
      </c>
      <c r="BX115" s="230">
        <v>36570800</v>
      </c>
      <c r="BY115" s="230">
        <v>36630800</v>
      </c>
      <c r="BZ115" s="230">
        <v>-60000</v>
      </c>
      <c r="CA115" s="229">
        <v>-1.6000000000000001E-3</v>
      </c>
      <c r="CB115" s="230">
        <v>23024800</v>
      </c>
      <c r="CC115" s="230">
        <v>30853200</v>
      </c>
      <c r="CD115" s="230">
        <v>-7828400</v>
      </c>
      <c r="CE115" s="229">
        <v>-0.25369999999999998</v>
      </c>
      <c r="CF115" s="230">
        <v>13381600</v>
      </c>
      <c r="CG115" s="230">
        <v>5646800</v>
      </c>
      <c r="CH115" s="230">
        <v>7734800</v>
      </c>
      <c r="CI115" s="229">
        <v>1.3697999999999999</v>
      </c>
      <c r="CJ115" s="230">
        <v>164400</v>
      </c>
      <c r="CK115" s="230">
        <v>130800</v>
      </c>
      <c r="CL115" s="230">
        <v>33600</v>
      </c>
      <c r="CM115" s="229">
        <v>0.25690000000000002</v>
      </c>
      <c r="CN115" s="230">
        <v>14040000</v>
      </c>
      <c r="CO115" s="230">
        <v>14968800</v>
      </c>
      <c r="CP115" s="230">
        <v>-928800</v>
      </c>
      <c r="CQ115" s="229">
        <v>-6.2E-2</v>
      </c>
      <c r="CR115" s="230">
        <v>7238800</v>
      </c>
      <c r="CS115" s="230">
        <v>7434800</v>
      </c>
      <c r="CT115" s="230">
        <v>-196000</v>
      </c>
      <c r="CU115" s="229">
        <v>-2.64E-2</v>
      </c>
      <c r="CV115" s="230">
        <v>57849600</v>
      </c>
      <c r="CW115" s="230">
        <v>59034400</v>
      </c>
      <c r="CX115" s="230">
        <v>-1184800</v>
      </c>
      <c r="CY115" s="229">
        <v>-2.01E-2</v>
      </c>
      <c r="CZ115" s="228">
        <v>17.72</v>
      </c>
      <c r="DA115" s="228">
        <v>18.3</v>
      </c>
      <c r="DB115" s="228">
        <v>-0.57999999999999996</v>
      </c>
      <c r="DC115" s="228">
        <v>-0.57999999999999996</v>
      </c>
      <c r="DD115" s="228">
        <v>26.59</v>
      </c>
      <c r="DE115" s="228">
        <v>26.65</v>
      </c>
      <c r="DF115" s="228">
        <v>-8.8699999999999992</v>
      </c>
      <c r="DG115" s="228">
        <v>-0.06</v>
      </c>
      <c r="DH115" s="228">
        <v>17.920000000000002</v>
      </c>
      <c r="DI115" s="228">
        <v>18.7</v>
      </c>
      <c r="DJ115" s="228">
        <v>-0.78</v>
      </c>
      <c r="DK115" s="228">
        <v>-0.78</v>
      </c>
      <c r="DL115" s="228">
        <v>17.420000000000002</v>
      </c>
      <c r="DM115" s="228">
        <v>17.329999999999998</v>
      </c>
      <c r="DN115" s="228">
        <v>0.09</v>
      </c>
      <c r="DO115" s="228">
        <v>0.09</v>
      </c>
      <c r="DP115" s="228">
        <v>0.52</v>
      </c>
      <c r="DQ115" s="228">
        <v>0.5</v>
      </c>
      <c r="DR115" s="228">
        <v>0.02</v>
      </c>
      <c r="DS115" s="229">
        <v>0.04</v>
      </c>
      <c r="DT115" s="231">
        <v>2200</v>
      </c>
      <c r="DU115" s="231">
        <v>2100</v>
      </c>
      <c r="DV115" s="228">
        <v>0.44</v>
      </c>
      <c r="DW115" s="228">
        <v>0.41</v>
      </c>
      <c r="DX115" s="228">
        <v>0.03</v>
      </c>
      <c r="DY115" s="229">
        <v>7.3200000000000001E-2</v>
      </c>
      <c r="DZ115" s="229">
        <v>0.37040000000000001</v>
      </c>
      <c r="EA115" s="230">
        <v>5777600</v>
      </c>
      <c r="EB115" s="229">
        <v>6.7999999999999996E-3</v>
      </c>
      <c r="EC115" s="229">
        <v>0.37040000000000001</v>
      </c>
      <c r="ED115" s="228">
        <v>13.89</v>
      </c>
      <c r="EE115" s="229">
        <v>6.6E-3</v>
      </c>
      <c r="EF115" s="230">
        <v>6034531</v>
      </c>
      <c r="EG115" s="230">
        <v>2027008</v>
      </c>
      <c r="EH115" s="229">
        <v>1.9771000000000001</v>
      </c>
      <c r="EI115" s="229">
        <v>0.79020000000000001</v>
      </c>
      <c r="EJ115" s="231">
        <v>534517.66</v>
      </c>
      <c r="EK115" s="231">
        <v>227555.51</v>
      </c>
      <c r="EL115" s="231">
        <v>415935.86</v>
      </c>
      <c r="EM115" s="231">
        <v>12602</v>
      </c>
      <c r="EN115" s="231">
        <v>1178009.03</v>
      </c>
      <c r="EO115" s="231">
        <v>726163.64</v>
      </c>
      <c r="EP115" s="231">
        <v>451845.39</v>
      </c>
      <c r="EQ115" s="229">
        <v>0.62219999999999998</v>
      </c>
      <c r="ER115" s="231">
        <v>308149</v>
      </c>
      <c r="ES115" s="231">
        <v>150216</v>
      </c>
      <c r="ET115" s="231">
        <v>768870</v>
      </c>
      <c r="EU115" s="231">
        <v>215751979</v>
      </c>
      <c r="EV115" s="231">
        <v>1227235</v>
      </c>
      <c r="EW115" s="231">
        <v>1255786</v>
      </c>
      <c r="EX115" s="231">
        <v>-28551</v>
      </c>
      <c r="EY115" s="229">
        <v>-2.2700000000000001E-2</v>
      </c>
      <c r="EZ115" s="229">
        <v>0.2681</v>
      </c>
      <c r="FA115" s="227" t="s">
        <v>568</v>
      </c>
      <c r="FB115" s="161">
        <f t="shared" si="1"/>
        <v>13546000</v>
      </c>
    </row>
    <row r="116" spans="1:158" ht="17.25" hidden="1" thickBot="1" x14ac:dyDescent="0.3">
      <c r="A116" s="226">
        <v>45981</v>
      </c>
      <c r="B116" s="227" t="s">
        <v>221</v>
      </c>
      <c r="C116" s="227" t="s">
        <v>577</v>
      </c>
      <c r="D116" s="228">
        <v>400</v>
      </c>
      <c r="E116" s="231">
        <v>1200.5</v>
      </c>
      <c r="F116" s="231">
        <v>1207.3</v>
      </c>
      <c r="G116" s="228">
        <v>-6.8</v>
      </c>
      <c r="H116" s="229">
        <v>-5.5999999999999999E-3</v>
      </c>
      <c r="I116" s="231">
        <v>1196.5999999999999</v>
      </c>
      <c r="J116" s="231">
        <v>1203.0999999999999</v>
      </c>
      <c r="K116" s="228">
        <v>-6.5</v>
      </c>
      <c r="L116" s="229">
        <v>-5.4000000000000003E-3</v>
      </c>
      <c r="M116" s="231">
        <v>1200.5</v>
      </c>
      <c r="N116" s="231">
        <v>1207.3</v>
      </c>
      <c r="O116" s="228">
        <v>-6.8</v>
      </c>
      <c r="P116" s="229">
        <v>-5.5999999999999999E-3</v>
      </c>
      <c r="Q116" s="231">
        <v>1204.5999999999999</v>
      </c>
      <c r="R116" s="231">
        <v>1211.5999999999999</v>
      </c>
      <c r="S116" s="228">
        <v>-7</v>
      </c>
      <c r="T116" s="229">
        <v>-5.7999999999999996E-3</v>
      </c>
      <c r="U116" s="231">
        <v>1210</v>
      </c>
      <c r="V116" s="231">
        <v>1216.5999999999999</v>
      </c>
      <c r="W116" s="228">
        <v>-6.6</v>
      </c>
      <c r="X116" s="229">
        <v>-5.4000000000000003E-3</v>
      </c>
      <c r="Y116" s="228">
        <v>3.9</v>
      </c>
      <c r="Z116" s="228">
        <v>4.2</v>
      </c>
      <c r="AA116" s="228">
        <v>-0.3</v>
      </c>
      <c r="AB116" s="229">
        <v>3.3E-3</v>
      </c>
      <c r="AC116" s="228">
        <v>3.9</v>
      </c>
      <c r="AD116" s="228">
        <v>4.2</v>
      </c>
      <c r="AE116" s="228">
        <v>-0.3</v>
      </c>
      <c r="AF116" s="229">
        <v>3.3E-3</v>
      </c>
      <c r="AG116" s="228">
        <v>8</v>
      </c>
      <c r="AH116" s="228">
        <v>8.5</v>
      </c>
      <c r="AI116" s="228">
        <v>-0.5</v>
      </c>
      <c r="AJ116" s="229">
        <v>6.7000000000000002E-3</v>
      </c>
      <c r="AK116" s="228">
        <v>13.4</v>
      </c>
      <c r="AL116" s="228">
        <v>13.5</v>
      </c>
      <c r="AM116" s="228">
        <v>-0.1</v>
      </c>
      <c r="AN116" s="229">
        <v>1.12E-2</v>
      </c>
      <c r="AO116" s="231">
        <v>1212.67</v>
      </c>
      <c r="AP116" s="231">
        <v>1215.3399999999999</v>
      </c>
      <c r="AQ116" s="228">
        <v>0</v>
      </c>
      <c r="AR116" s="230">
        <v>2006800</v>
      </c>
      <c r="AS116" s="230">
        <v>1252000</v>
      </c>
      <c r="AT116" s="230">
        <v>754800</v>
      </c>
      <c r="AU116" s="229">
        <v>0.60289999999999999</v>
      </c>
      <c r="AV116" s="230">
        <v>1093600</v>
      </c>
      <c r="AW116" s="230">
        <v>824000</v>
      </c>
      <c r="AX116" s="230">
        <v>269600</v>
      </c>
      <c r="AY116" s="229">
        <v>0.32719999999999999</v>
      </c>
      <c r="AZ116" s="230">
        <v>904400</v>
      </c>
      <c r="BA116" s="230">
        <v>397600</v>
      </c>
      <c r="BB116" s="230">
        <v>506800</v>
      </c>
      <c r="BC116" s="229">
        <v>1.2746</v>
      </c>
      <c r="BD116" s="230">
        <v>8800</v>
      </c>
      <c r="BE116" s="230">
        <v>30400</v>
      </c>
      <c r="BF116" s="230">
        <v>-21600</v>
      </c>
      <c r="BG116" s="229">
        <v>-0.71050000000000002</v>
      </c>
      <c r="BH116" s="230">
        <v>4850400</v>
      </c>
      <c r="BI116" s="230">
        <v>4437200</v>
      </c>
      <c r="BJ116" s="230">
        <v>413200</v>
      </c>
      <c r="BK116" s="229">
        <v>9.3100000000000002E-2</v>
      </c>
      <c r="BL116" s="230">
        <v>999600</v>
      </c>
      <c r="BM116" s="230">
        <v>1442800</v>
      </c>
      <c r="BN116" s="230">
        <v>-443200</v>
      </c>
      <c r="BO116" s="229">
        <v>-0.30719999999999997</v>
      </c>
      <c r="BP116" s="230">
        <v>7856800</v>
      </c>
      <c r="BQ116" s="230">
        <v>7132000</v>
      </c>
      <c r="BR116" s="230">
        <v>724800</v>
      </c>
      <c r="BS116" s="229">
        <v>0.1016</v>
      </c>
      <c r="BT116" s="230">
        <v>1007743</v>
      </c>
      <c r="BU116" s="230">
        <v>900531</v>
      </c>
      <c r="BV116" s="230">
        <v>107212</v>
      </c>
      <c r="BW116" s="229">
        <v>0.1191</v>
      </c>
      <c r="BX116" s="230">
        <v>3290650</v>
      </c>
      <c r="BY116" s="230">
        <v>3540675</v>
      </c>
      <c r="BZ116" s="230">
        <v>-250025</v>
      </c>
      <c r="CA116" s="229">
        <v>-7.0599999999999996E-2</v>
      </c>
      <c r="CB116" s="230">
        <v>2266800</v>
      </c>
      <c r="CC116" s="230">
        <v>2814800</v>
      </c>
      <c r="CD116" s="230">
        <v>-548000</v>
      </c>
      <c r="CE116" s="229">
        <v>-0.19470000000000001</v>
      </c>
      <c r="CF116" s="230">
        <v>958400</v>
      </c>
      <c r="CG116" s="230">
        <v>666800</v>
      </c>
      <c r="CH116" s="230">
        <v>291600</v>
      </c>
      <c r="CI116" s="229">
        <v>0.43730000000000002</v>
      </c>
      <c r="CJ116" s="230">
        <v>65450</v>
      </c>
      <c r="CK116" s="230">
        <v>59075</v>
      </c>
      <c r="CL116" s="230">
        <v>6375</v>
      </c>
      <c r="CM116" s="229">
        <v>0.1079</v>
      </c>
      <c r="CN116" s="230">
        <v>2057375</v>
      </c>
      <c r="CO116" s="230">
        <v>1999375</v>
      </c>
      <c r="CP116" s="230">
        <v>58000</v>
      </c>
      <c r="CQ116" s="229">
        <v>2.9000000000000001E-2</v>
      </c>
      <c r="CR116" s="230">
        <v>1624150</v>
      </c>
      <c r="CS116" s="230">
        <v>1644950</v>
      </c>
      <c r="CT116" s="230">
        <v>-20800</v>
      </c>
      <c r="CU116" s="229">
        <v>-1.26E-2</v>
      </c>
      <c r="CV116" s="230">
        <v>6972175</v>
      </c>
      <c r="CW116" s="230">
        <v>7185000</v>
      </c>
      <c r="CX116" s="230">
        <v>-212825</v>
      </c>
      <c r="CY116" s="229">
        <v>-2.9600000000000001E-2</v>
      </c>
      <c r="CZ116" s="228">
        <v>29.42</v>
      </c>
      <c r="DA116" s="228">
        <v>28.39</v>
      </c>
      <c r="DB116" s="228">
        <v>1.03</v>
      </c>
      <c r="DC116" s="228">
        <v>1.03</v>
      </c>
      <c r="DD116" s="228">
        <v>43.27</v>
      </c>
      <c r="DE116" s="228">
        <v>43.38</v>
      </c>
      <c r="DF116" s="228">
        <v>-13.85</v>
      </c>
      <c r="DG116" s="228">
        <v>-0.11</v>
      </c>
      <c r="DH116" s="228">
        <v>29.47</v>
      </c>
      <c r="DI116" s="228">
        <v>28.21</v>
      </c>
      <c r="DJ116" s="228">
        <v>1.26</v>
      </c>
      <c r="DK116" s="228">
        <v>1.26</v>
      </c>
      <c r="DL116" s="228">
        <v>29.28</v>
      </c>
      <c r="DM116" s="228">
        <v>28.95</v>
      </c>
      <c r="DN116" s="228">
        <v>0.33</v>
      </c>
      <c r="DO116" s="228">
        <v>0.33</v>
      </c>
      <c r="DP116" s="228">
        <v>0.79</v>
      </c>
      <c r="DQ116" s="228">
        <v>0.82</v>
      </c>
      <c r="DR116" s="228">
        <v>-0.03</v>
      </c>
      <c r="DS116" s="229">
        <v>-3.6600000000000001E-2</v>
      </c>
      <c r="DT116" s="231">
        <v>1240</v>
      </c>
      <c r="DU116" s="231">
        <v>1160</v>
      </c>
      <c r="DV116" s="228">
        <v>0.21</v>
      </c>
      <c r="DW116" s="228">
        <v>0.33</v>
      </c>
      <c r="DX116" s="228">
        <v>-0.12</v>
      </c>
      <c r="DY116" s="229">
        <v>-0.36359999999999998</v>
      </c>
      <c r="DZ116" s="229">
        <v>0.31109999999999999</v>
      </c>
      <c r="EA116" s="230">
        <v>725875</v>
      </c>
      <c r="EB116" s="229">
        <v>3.3999999999999998E-3</v>
      </c>
      <c r="EC116" s="229">
        <v>0.31109999999999999</v>
      </c>
      <c r="ED116" s="228">
        <v>2.67</v>
      </c>
      <c r="EE116" s="229">
        <v>2.2000000000000001E-3</v>
      </c>
      <c r="EF116" s="230">
        <v>492103</v>
      </c>
      <c r="EG116" s="230">
        <v>478227</v>
      </c>
      <c r="EH116" s="229">
        <v>2.9000000000000001E-2</v>
      </c>
      <c r="EI116" s="229">
        <v>0.48830000000000001</v>
      </c>
      <c r="EJ116" s="231">
        <v>60519.63</v>
      </c>
      <c r="EK116" s="231">
        <v>11861.22</v>
      </c>
      <c r="EL116" s="231">
        <v>24367.42</v>
      </c>
      <c r="EM116" s="231">
        <v>1987</v>
      </c>
      <c r="EN116" s="231">
        <v>96748.27</v>
      </c>
      <c r="EO116" s="231">
        <v>87717.759999999995</v>
      </c>
      <c r="EP116" s="231">
        <v>9030.51</v>
      </c>
      <c r="EQ116" s="229">
        <v>0.10290000000000001</v>
      </c>
      <c r="ER116" s="231">
        <v>25676</v>
      </c>
      <c r="ES116" s="231">
        <v>18693</v>
      </c>
      <c r="ET116" s="231">
        <v>39550</v>
      </c>
      <c r="EU116" s="231">
        <v>24568295</v>
      </c>
      <c r="EV116" s="231">
        <v>83919</v>
      </c>
      <c r="EW116" s="231">
        <v>86717</v>
      </c>
      <c r="EX116" s="231">
        <v>-2798</v>
      </c>
      <c r="EY116" s="229">
        <v>-3.2300000000000002E-2</v>
      </c>
      <c r="EZ116" s="229">
        <v>0.2838</v>
      </c>
      <c r="FA116" s="227" t="s">
        <v>568</v>
      </c>
      <c r="FB116" s="161">
        <f t="shared" si="1"/>
        <v>1023850</v>
      </c>
    </row>
    <row r="117" spans="1:158" ht="17.25" hidden="1" thickBot="1" x14ac:dyDescent="0.3">
      <c r="A117" s="226">
        <v>45981</v>
      </c>
      <c r="B117" s="227" t="s">
        <v>170</v>
      </c>
      <c r="C117" s="227" t="s">
        <v>535</v>
      </c>
      <c r="D117" s="228">
        <v>850</v>
      </c>
      <c r="E117" s="228">
        <v>987.2</v>
      </c>
      <c r="F117" s="228">
        <v>986.65</v>
      </c>
      <c r="G117" s="228">
        <v>0.55000000000000004</v>
      </c>
      <c r="H117" s="229">
        <v>5.9999999999999995E-4</v>
      </c>
      <c r="I117" s="228">
        <v>987.1</v>
      </c>
      <c r="J117" s="228">
        <v>987.5</v>
      </c>
      <c r="K117" s="228">
        <v>-0.4</v>
      </c>
      <c r="L117" s="229">
        <v>-4.0000000000000002E-4</v>
      </c>
      <c r="M117" s="228">
        <v>987.2</v>
      </c>
      <c r="N117" s="228">
        <v>986.65</v>
      </c>
      <c r="O117" s="228">
        <v>0.55000000000000004</v>
      </c>
      <c r="P117" s="229">
        <v>5.9999999999999995E-4</v>
      </c>
      <c r="Q117" s="228">
        <v>992.7</v>
      </c>
      <c r="R117" s="228">
        <v>993.9</v>
      </c>
      <c r="S117" s="228">
        <v>-1.2</v>
      </c>
      <c r="T117" s="229">
        <v>-1.1999999999999999E-3</v>
      </c>
      <c r="U117" s="231">
        <v>1001.1</v>
      </c>
      <c r="V117" s="231">
        <v>1000.2</v>
      </c>
      <c r="W117" s="228">
        <v>0.9</v>
      </c>
      <c r="X117" s="229">
        <v>8.9999999999999998E-4</v>
      </c>
      <c r="Y117" s="228">
        <v>0.1</v>
      </c>
      <c r="Z117" s="228">
        <v>-0.85</v>
      </c>
      <c r="AA117" s="228">
        <v>0.95</v>
      </c>
      <c r="AB117" s="229">
        <v>1E-4</v>
      </c>
      <c r="AC117" s="228">
        <v>0.1</v>
      </c>
      <c r="AD117" s="228">
        <v>-0.85</v>
      </c>
      <c r="AE117" s="228">
        <v>0.95</v>
      </c>
      <c r="AF117" s="229">
        <v>1E-4</v>
      </c>
      <c r="AG117" s="228">
        <v>5.6</v>
      </c>
      <c r="AH117" s="228">
        <v>6.4</v>
      </c>
      <c r="AI117" s="228">
        <v>-0.8</v>
      </c>
      <c r="AJ117" s="229">
        <v>5.7000000000000002E-3</v>
      </c>
      <c r="AK117" s="228">
        <v>14</v>
      </c>
      <c r="AL117" s="228">
        <v>12.7</v>
      </c>
      <c r="AM117" s="228">
        <v>1.3</v>
      </c>
      <c r="AN117" s="229">
        <v>1.4200000000000001E-2</v>
      </c>
      <c r="AO117" s="228">
        <v>983.87</v>
      </c>
      <c r="AP117" s="228">
        <v>991.05</v>
      </c>
      <c r="AQ117" s="228">
        <v>0</v>
      </c>
      <c r="AR117" s="230">
        <v>9651750</v>
      </c>
      <c r="AS117" s="230">
        <v>5748550</v>
      </c>
      <c r="AT117" s="230">
        <v>3903200</v>
      </c>
      <c r="AU117" s="229">
        <v>0.67900000000000005</v>
      </c>
      <c r="AV117" s="230">
        <v>5553050</v>
      </c>
      <c r="AW117" s="230">
        <v>4191350</v>
      </c>
      <c r="AX117" s="230">
        <v>1361700</v>
      </c>
      <c r="AY117" s="229">
        <v>0.32490000000000002</v>
      </c>
      <c r="AZ117" s="230">
        <v>4051950</v>
      </c>
      <c r="BA117" s="230">
        <v>1412700</v>
      </c>
      <c r="BB117" s="230">
        <v>2639250</v>
      </c>
      <c r="BC117" s="229">
        <v>1.8682000000000001</v>
      </c>
      <c r="BD117" s="230">
        <v>46750</v>
      </c>
      <c r="BE117" s="230">
        <v>144500</v>
      </c>
      <c r="BF117" s="230">
        <v>-97750</v>
      </c>
      <c r="BG117" s="229">
        <v>-0.67649999999999999</v>
      </c>
      <c r="BH117" s="230">
        <v>20672000</v>
      </c>
      <c r="BI117" s="230">
        <v>28380650</v>
      </c>
      <c r="BJ117" s="230">
        <v>-7708650</v>
      </c>
      <c r="BK117" s="229">
        <v>-0.27160000000000001</v>
      </c>
      <c r="BL117" s="230">
        <v>13618700</v>
      </c>
      <c r="BM117" s="230">
        <v>18698300</v>
      </c>
      <c r="BN117" s="230">
        <v>-5079600</v>
      </c>
      <c r="BO117" s="229">
        <v>-0.2717</v>
      </c>
      <c r="BP117" s="230">
        <v>43942450</v>
      </c>
      <c r="BQ117" s="230">
        <v>52827500</v>
      </c>
      <c r="BR117" s="230">
        <v>-8885050</v>
      </c>
      <c r="BS117" s="229">
        <v>-0.16819999999999999</v>
      </c>
      <c r="BT117" s="230">
        <v>1393536</v>
      </c>
      <c r="BU117" s="230">
        <v>1342373</v>
      </c>
      <c r="BV117" s="230">
        <v>51163</v>
      </c>
      <c r="BW117" s="229">
        <v>3.8100000000000002E-2</v>
      </c>
      <c r="BX117" s="230">
        <v>16892900</v>
      </c>
      <c r="BY117" s="230">
        <v>17486200</v>
      </c>
      <c r="BZ117" s="230">
        <v>-593300</v>
      </c>
      <c r="CA117" s="229">
        <v>-3.39E-2</v>
      </c>
      <c r="CB117" s="230">
        <v>12063200</v>
      </c>
      <c r="CC117" s="230">
        <v>14278300</v>
      </c>
      <c r="CD117" s="230">
        <v>-2215100</v>
      </c>
      <c r="CE117" s="229">
        <v>-0.15509999999999999</v>
      </c>
      <c r="CF117" s="230">
        <v>4619750</v>
      </c>
      <c r="CG117" s="230">
        <v>3013250</v>
      </c>
      <c r="CH117" s="230">
        <v>1606500</v>
      </c>
      <c r="CI117" s="229">
        <v>0.53310000000000002</v>
      </c>
      <c r="CJ117" s="230">
        <v>209950</v>
      </c>
      <c r="CK117" s="230">
        <v>194650</v>
      </c>
      <c r="CL117" s="230">
        <v>15300</v>
      </c>
      <c r="CM117" s="229">
        <v>7.8600000000000003E-2</v>
      </c>
      <c r="CN117" s="230">
        <v>12208550</v>
      </c>
      <c r="CO117" s="230">
        <v>12670950</v>
      </c>
      <c r="CP117" s="230">
        <v>-462400</v>
      </c>
      <c r="CQ117" s="229">
        <v>-3.6499999999999998E-2</v>
      </c>
      <c r="CR117" s="230">
        <v>8523800</v>
      </c>
      <c r="CS117" s="230">
        <v>9018500</v>
      </c>
      <c r="CT117" s="230">
        <v>-494700</v>
      </c>
      <c r="CU117" s="229">
        <v>-5.4899999999999997E-2</v>
      </c>
      <c r="CV117" s="230">
        <v>37625250</v>
      </c>
      <c r="CW117" s="230">
        <v>39175650</v>
      </c>
      <c r="CX117" s="230">
        <v>-1550400</v>
      </c>
      <c r="CY117" s="229">
        <v>-3.9600000000000003E-2</v>
      </c>
      <c r="CZ117" s="228">
        <v>27.98</v>
      </c>
      <c r="DA117" s="228">
        <v>29.49</v>
      </c>
      <c r="DB117" s="228">
        <v>-1.51</v>
      </c>
      <c r="DC117" s="228">
        <v>-1.51</v>
      </c>
      <c r="DD117" s="228">
        <v>39.630000000000003</v>
      </c>
      <c r="DE117" s="228">
        <v>39.729999999999997</v>
      </c>
      <c r="DF117" s="228">
        <v>-11.65</v>
      </c>
      <c r="DG117" s="228">
        <v>-0.1</v>
      </c>
      <c r="DH117" s="228">
        <v>27.82</v>
      </c>
      <c r="DI117" s="228">
        <v>29.02</v>
      </c>
      <c r="DJ117" s="228">
        <v>-1.2</v>
      </c>
      <c r="DK117" s="228">
        <v>-1.2</v>
      </c>
      <c r="DL117" s="228">
        <v>28.32</v>
      </c>
      <c r="DM117" s="228">
        <v>30.2</v>
      </c>
      <c r="DN117" s="228">
        <v>-1.88</v>
      </c>
      <c r="DO117" s="228">
        <v>-1.88</v>
      </c>
      <c r="DP117" s="228">
        <v>0.7</v>
      </c>
      <c r="DQ117" s="228">
        <v>0.71</v>
      </c>
      <c r="DR117" s="228">
        <v>-0.01</v>
      </c>
      <c r="DS117" s="229">
        <v>-1.41E-2</v>
      </c>
      <c r="DT117" s="231">
        <v>1010</v>
      </c>
      <c r="DU117" s="228">
        <v>950</v>
      </c>
      <c r="DV117" s="228">
        <v>0.66</v>
      </c>
      <c r="DW117" s="228">
        <v>0.66</v>
      </c>
      <c r="DX117" s="228">
        <v>0</v>
      </c>
      <c r="DY117" s="229">
        <v>0</v>
      </c>
      <c r="DZ117" s="229">
        <v>0.28589999999999999</v>
      </c>
      <c r="EA117" s="230">
        <v>3207900</v>
      </c>
      <c r="EB117" s="229">
        <v>5.5999999999999999E-3</v>
      </c>
      <c r="EC117" s="229">
        <v>0.28589999999999999</v>
      </c>
      <c r="ED117" s="228">
        <v>7.18</v>
      </c>
      <c r="EE117" s="229">
        <v>7.3000000000000001E-3</v>
      </c>
      <c r="EF117" s="230">
        <v>644329</v>
      </c>
      <c r="EG117" s="230">
        <v>576332</v>
      </c>
      <c r="EH117" s="229">
        <v>0.11799999999999999</v>
      </c>
      <c r="EI117" s="229">
        <v>0.46239999999999998</v>
      </c>
      <c r="EJ117" s="231">
        <v>211198.71</v>
      </c>
      <c r="EK117" s="231">
        <v>131693.71</v>
      </c>
      <c r="EL117" s="231">
        <v>95258.01</v>
      </c>
      <c r="EM117" s="231">
        <v>5829</v>
      </c>
      <c r="EN117" s="231">
        <v>438150.43</v>
      </c>
      <c r="EO117" s="231">
        <v>530692.56999999995</v>
      </c>
      <c r="EP117" s="231">
        <v>-92542.14</v>
      </c>
      <c r="EQ117" s="229">
        <v>-0.1744</v>
      </c>
      <c r="ER117" s="231">
        <v>123486</v>
      </c>
      <c r="ES117" s="231">
        <v>80399</v>
      </c>
      <c r="ET117" s="231">
        <v>167050</v>
      </c>
      <c r="EU117" s="231">
        <v>58629477</v>
      </c>
      <c r="EV117" s="231">
        <v>370936</v>
      </c>
      <c r="EW117" s="231">
        <v>386050</v>
      </c>
      <c r="EX117" s="231">
        <v>-15114</v>
      </c>
      <c r="EY117" s="229">
        <v>-3.9199999999999999E-2</v>
      </c>
      <c r="EZ117" s="229">
        <v>0.64170000000000005</v>
      </c>
      <c r="FA117" s="227" t="s">
        <v>556</v>
      </c>
      <c r="FB117" s="161">
        <f t="shared" si="1"/>
        <v>4829700</v>
      </c>
    </row>
    <row r="118" spans="1:158" ht="17.25" hidden="1" thickBot="1" x14ac:dyDescent="0.3">
      <c r="A118" s="226">
        <v>45981</v>
      </c>
      <c r="B118" s="227" t="s">
        <v>175</v>
      </c>
      <c r="C118" s="227" t="s">
        <v>248</v>
      </c>
      <c r="D118" s="228">
        <v>1000</v>
      </c>
      <c r="E118" s="228">
        <v>555.4</v>
      </c>
      <c r="F118" s="228">
        <v>563.70000000000005</v>
      </c>
      <c r="G118" s="228">
        <v>-8.3000000000000007</v>
      </c>
      <c r="H118" s="229">
        <v>-1.47E-2</v>
      </c>
      <c r="I118" s="228">
        <v>554.79999999999995</v>
      </c>
      <c r="J118" s="228">
        <v>563.6</v>
      </c>
      <c r="K118" s="228">
        <v>-8.8000000000000007</v>
      </c>
      <c r="L118" s="229">
        <v>-1.5599999999999999E-2</v>
      </c>
      <c r="M118" s="228">
        <v>555.4</v>
      </c>
      <c r="N118" s="228">
        <v>563.70000000000005</v>
      </c>
      <c r="O118" s="228">
        <v>-8.3000000000000007</v>
      </c>
      <c r="P118" s="229">
        <v>-1.47E-2</v>
      </c>
      <c r="Q118" s="228">
        <v>559</v>
      </c>
      <c r="R118" s="228">
        <v>567.45000000000005</v>
      </c>
      <c r="S118" s="228">
        <v>-8.4499999999999993</v>
      </c>
      <c r="T118" s="229">
        <v>-1.49E-2</v>
      </c>
      <c r="U118" s="228">
        <v>562.29999999999995</v>
      </c>
      <c r="V118" s="228">
        <v>571.5</v>
      </c>
      <c r="W118" s="228">
        <v>-9.1999999999999993</v>
      </c>
      <c r="X118" s="229">
        <v>-1.61E-2</v>
      </c>
      <c r="Y118" s="228">
        <v>0.6</v>
      </c>
      <c r="Z118" s="228">
        <v>0.1</v>
      </c>
      <c r="AA118" s="228">
        <v>0.5</v>
      </c>
      <c r="AB118" s="229">
        <v>1.1000000000000001E-3</v>
      </c>
      <c r="AC118" s="228">
        <v>0.6</v>
      </c>
      <c r="AD118" s="228">
        <v>0.1</v>
      </c>
      <c r="AE118" s="228">
        <v>0.5</v>
      </c>
      <c r="AF118" s="229">
        <v>1.1000000000000001E-3</v>
      </c>
      <c r="AG118" s="228">
        <v>4.2</v>
      </c>
      <c r="AH118" s="228">
        <v>3.85</v>
      </c>
      <c r="AI118" s="228">
        <v>0.35</v>
      </c>
      <c r="AJ118" s="229">
        <v>7.6E-3</v>
      </c>
      <c r="AK118" s="228">
        <v>7.5</v>
      </c>
      <c r="AL118" s="228">
        <v>7.9</v>
      </c>
      <c r="AM118" s="228">
        <v>-0.4</v>
      </c>
      <c r="AN118" s="229">
        <v>1.35E-2</v>
      </c>
      <c r="AO118" s="228">
        <v>559.73</v>
      </c>
      <c r="AP118" s="228">
        <v>563.47</v>
      </c>
      <c r="AQ118" s="228">
        <v>0</v>
      </c>
      <c r="AR118" s="230">
        <v>15510000</v>
      </c>
      <c r="AS118" s="230">
        <v>5165000</v>
      </c>
      <c r="AT118" s="230">
        <v>10345000</v>
      </c>
      <c r="AU118" s="229">
        <v>2.0028999999999999</v>
      </c>
      <c r="AV118" s="230">
        <v>8635000</v>
      </c>
      <c r="AW118" s="230">
        <v>3063000</v>
      </c>
      <c r="AX118" s="230">
        <v>5572000</v>
      </c>
      <c r="AY118" s="229">
        <v>1.8190999999999999</v>
      </c>
      <c r="AZ118" s="230">
        <v>6714000</v>
      </c>
      <c r="BA118" s="230">
        <v>2009000</v>
      </c>
      <c r="BB118" s="230">
        <v>4705000</v>
      </c>
      <c r="BC118" s="229">
        <v>2.3420000000000001</v>
      </c>
      <c r="BD118" s="230">
        <v>161000</v>
      </c>
      <c r="BE118" s="230">
        <v>93000</v>
      </c>
      <c r="BF118" s="230">
        <v>68000</v>
      </c>
      <c r="BG118" s="229">
        <v>0.73119999999999996</v>
      </c>
      <c r="BH118" s="230">
        <v>9012000</v>
      </c>
      <c r="BI118" s="230">
        <v>10495000</v>
      </c>
      <c r="BJ118" s="230">
        <v>-1483000</v>
      </c>
      <c r="BK118" s="229">
        <v>-0.14130000000000001</v>
      </c>
      <c r="BL118" s="230">
        <v>4515000</v>
      </c>
      <c r="BM118" s="230">
        <v>3664000</v>
      </c>
      <c r="BN118" s="230">
        <v>851000</v>
      </c>
      <c r="BO118" s="229">
        <v>0.23230000000000001</v>
      </c>
      <c r="BP118" s="230">
        <v>29037000</v>
      </c>
      <c r="BQ118" s="230">
        <v>19324000</v>
      </c>
      <c r="BR118" s="230">
        <v>9713000</v>
      </c>
      <c r="BS118" s="229">
        <v>0.50260000000000005</v>
      </c>
      <c r="BT118" s="230">
        <v>900510</v>
      </c>
      <c r="BU118" s="230">
        <v>1042489</v>
      </c>
      <c r="BV118" s="230">
        <v>-141979</v>
      </c>
      <c r="BW118" s="229">
        <v>-0.13619999999999999</v>
      </c>
      <c r="BX118" s="230">
        <v>33845000</v>
      </c>
      <c r="BY118" s="230">
        <v>32248000</v>
      </c>
      <c r="BZ118" s="230">
        <v>1597000</v>
      </c>
      <c r="CA118" s="229">
        <v>4.9500000000000002E-2</v>
      </c>
      <c r="CB118" s="230">
        <v>25142000</v>
      </c>
      <c r="CC118" s="230">
        <v>28268000</v>
      </c>
      <c r="CD118" s="230">
        <v>-3126000</v>
      </c>
      <c r="CE118" s="229">
        <v>-0.1106</v>
      </c>
      <c r="CF118" s="230">
        <v>8385000</v>
      </c>
      <c r="CG118" s="230">
        <v>3757000</v>
      </c>
      <c r="CH118" s="230">
        <v>4628000</v>
      </c>
      <c r="CI118" s="229">
        <v>1.2318</v>
      </c>
      <c r="CJ118" s="230">
        <v>318000</v>
      </c>
      <c r="CK118" s="230">
        <v>223000</v>
      </c>
      <c r="CL118" s="230">
        <v>95000</v>
      </c>
      <c r="CM118" s="229">
        <v>0.42599999999999999</v>
      </c>
      <c r="CN118" s="230">
        <v>12732000</v>
      </c>
      <c r="CO118" s="230">
        <v>12463000</v>
      </c>
      <c r="CP118" s="230">
        <v>269000</v>
      </c>
      <c r="CQ118" s="229">
        <v>2.1600000000000001E-2</v>
      </c>
      <c r="CR118" s="230">
        <v>8864000</v>
      </c>
      <c r="CS118" s="230">
        <v>8238000</v>
      </c>
      <c r="CT118" s="230">
        <v>626000</v>
      </c>
      <c r="CU118" s="229">
        <v>7.5999999999999998E-2</v>
      </c>
      <c r="CV118" s="230">
        <v>55441000</v>
      </c>
      <c r="CW118" s="230">
        <v>52949000</v>
      </c>
      <c r="CX118" s="230">
        <v>2492000</v>
      </c>
      <c r="CY118" s="229">
        <v>4.7100000000000003E-2</v>
      </c>
      <c r="CZ118" s="228">
        <v>18.27</v>
      </c>
      <c r="DA118" s="228">
        <v>20.63</v>
      </c>
      <c r="DB118" s="228">
        <v>-2.36</v>
      </c>
      <c r="DC118" s="228">
        <v>-2.36</v>
      </c>
      <c r="DD118" s="228">
        <v>33.47</v>
      </c>
      <c r="DE118" s="228">
        <v>33.49</v>
      </c>
      <c r="DF118" s="228">
        <v>-15.2</v>
      </c>
      <c r="DG118" s="228">
        <v>-0.02</v>
      </c>
      <c r="DH118" s="228">
        <v>18.600000000000001</v>
      </c>
      <c r="DI118" s="228">
        <v>21.29</v>
      </c>
      <c r="DJ118" s="228">
        <v>-2.69</v>
      </c>
      <c r="DK118" s="228">
        <v>-2.69</v>
      </c>
      <c r="DL118" s="228">
        <v>17.920000000000002</v>
      </c>
      <c r="DM118" s="228">
        <v>18.72</v>
      </c>
      <c r="DN118" s="228">
        <v>-0.8</v>
      </c>
      <c r="DO118" s="228">
        <v>-0.8</v>
      </c>
      <c r="DP118" s="228">
        <v>0.7</v>
      </c>
      <c r="DQ118" s="228">
        <v>0.66</v>
      </c>
      <c r="DR118" s="228">
        <v>0.04</v>
      </c>
      <c r="DS118" s="229">
        <v>6.0600000000000001E-2</v>
      </c>
      <c r="DT118" s="228">
        <v>600</v>
      </c>
      <c r="DU118" s="228">
        <v>560</v>
      </c>
      <c r="DV118" s="228">
        <v>0.5</v>
      </c>
      <c r="DW118" s="228">
        <v>0.35</v>
      </c>
      <c r="DX118" s="228">
        <v>0.15</v>
      </c>
      <c r="DY118" s="229">
        <v>0.42859999999999998</v>
      </c>
      <c r="DZ118" s="229">
        <v>0.2571</v>
      </c>
      <c r="EA118" s="230">
        <v>3980000</v>
      </c>
      <c r="EB118" s="229">
        <v>6.4999999999999997E-3</v>
      </c>
      <c r="EC118" s="229">
        <v>0.2571</v>
      </c>
      <c r="ED118" s="228">
        <v>3.74</v>
      </c>
      <c r="EE118" s="229">
        <v>6.7000000000000002E-3</v>
      </c>
      <c r="EF118" s="230">
        <v>577352</v>
      </c>
      <c r="EG118" s="230">
        <v>416515</v>
      </c>
      <c r="EH118" s="229">
        <v>0.3861</v>
      </c>
      <c r="EI118" s="229">
        <v>0.6411</v>
      </c>
      <c r="EJ118" s="231">
        <v>52342.55</v>
      </c>
      <c r="EK118" s="231">
        <v>25797.01</v>
      </c>
      <c r="EL118" s="231">
        <v>87074.86</v>
      </c>
      <c r="EM118" s="231">
        <v>2606</v>
      </c>
      <c r="EN118" s="231">
        <v>165214.42000000001</v>
      </c>
      <c r="EO118" s="231">
        <v>111283.26</v>
      </c>
      <c r="EP118" s="231">
        <v>53931.16</v>
      </c>
      <c r="EQ118" s="229">
        <v>0.48459999999999998</v>
      </c>
      <c r="ER118" s="231">
        <v>75331</v>
      </c>
      <c r="ES118" s="231">
        <v>50625</v>
      </c>
      <c r="ET118" s="231">
        <v>188299</v>
      </c>
      <c r="EU118" s="231">
        <v>45183075</v>
      </c>
      <c r="EV118" s="231">
        <v>314255</v>
      </c>
      <c r="EW118" s="231">
        <v>303137</v>
      </c>
      <c r="EX118" s="231">
        <v>11118</v>
      </c>
      <c r="EY118" s="229">
        <v>3.6700000000000003E-2</v>
      </c>
      <c r="EZ118" s="229">
        <v>1.2270000000000001</v>
      </c>
      <c r="FA118" s="227" t="s">
        <v>567</v>
      </c>
      <c r="FB118" s="161">
        <f t="shared" si="1"/>
        <v>8703000</v>
      </c>
    </row>
    <row r="119" spans="1:158" ht="17.25" hidden="1" thickBot="1" x14ac:dyDescent="0.3">
      <c r="A119" s="226">
        <v>45981</v>
      </c>
      <c r="B119" s="227" t="s">
        <v>175</v>
      </c>
      <c r="C119" s="227" t="s">
        <v>607</v>
      </c>
      <c r="D119" s="228">
        <v>700</v>
      </c>
      <c r="E119" s="228">
        <v>908.05</v>
      </c>
      <c r="F119" s="228">
        <v>913.95</v>
      </c>
      <c r="G119" s="228">
        <v>-5.9</v>
      </c>
      <c r="H119" s="229">
        <v>-6.4999999999999997E-3</v>
      </c>
      <c r="I119" s="228">
        <v>908.3</v>
      </c>
      <c r="J119" s="228">
        <v>914.05</v>
      </c>
      <c r="K119" s="228">
        <v>-5.75</v>
      </c>
      <c r="L119" s="229">
        <v>-6.3E-3</v>
      </c>
      <c r="M119" s="228">
        <v>908.05</v>
      </c>
      <c r="N119" s="228">
        <v>913.95</v>
      </c>
      <c r="O119" s="228">
        <v>-5.9</v>
      </c>
      <c r="P119" s="229">
        <v>-6.4999999999999997E-3</v>
      </c>
      <c r="Q119" s="228">
        <v>913.95</v>
      </c>
      <c r="R119" s="228">
        <v>920.5</v>
      </c>
      <c r="S119" s="228">
        <v>-6.55</v>
      </c>
      <c r="T119" s="229">
        <v>-7.1000000000000004E-3</v>
      </c>
      <c r="U119" s="228">
        <v>920.45</v>
      </c>
      <c r="V119" s="228">
        <v>926.1</v>
      </c>
      <c r="W119" s="228">
        <v>-5.65</v>
      </c>
      <c r="X119" s="229">
        <v>-6.1000000000000004E-3</v>
      </c>
      <c r="Y119" s="228">
        <v>-0.25</v>
      </c>
      <c r="Z119" s="228">
        <v>-0.1</v>
      </c>
      <c r="AA119" s="228">
        <v>-0.15</v>
      </c>
      <c r="AB119" s="229">
        <v>-2.9999999999999997E-4</v>
      </c>
      <c r="AC119" s="228">
        <v>-0.25</v>
      </c>
      <c r="AD119" s="228">
        <v>-0.1</v>
      </c>
      <c r="AE119" s="228">
        <v>-0.15</v>
      </c>
      <c r="AF119" s="229">
        <v>-2.9999999999999997E-4</v>
      </c>
      <c r="AG119" s="228">
        <v>5.65</v>
      </c>
      <c r="AH119" s="228">
        <v>6.45</v>
      </c>
      <c r="AI119" s="228">
        <v>-0.8</v>
      </c>
      <c r="AJ119" s="229">
        <v>6.1999999999999998E-3</v>
      </c>
      <c r="AK119" s="228">
        <v>12.15</v>
      </c>
      <c r="AL119" s="228">
        <v>12.05</v>
      </c>
      <c r="AM119" s="228">
        <v>0.1</v>
      </c>
      <c r="AN119" s="229">
        <v>1.34E-2</v>
      </c>
      <c r="AO119" s="228">
        <v>912.1</v>
      </c>
      <c r="AP119" s="228">
        <v>918</v>
      </c>
      <c r="AQ119" s="228">
        <v>0</v>
      </c>
      <c r="AR119" s="230">
        <v>4540900</v>
      </c>
      <c r="AS119" s="230">
        <v>2332400</v>
      </c>
      <c r="AT119" s="230">
        <v>2208500</v>
      </c>
      <c r="AU119" s="229">
        <v>0.94689999999999996</v>
      </c>
      <c r="AV119" s="230">
        <v>2348500</v>
      </c>
      <c r="AW119" s="230">
        <v>1365700</v>
      </c>
      <c r="AX119" s="230">
        <v>982800</v>
      </c>
      <c r="AY119" s="229">
        <v>0.71960000000000002</v>
      </c>
      <c r="AZ119" s="230">
        <v>2149700</v>
      </c>
      <c r="BA119" s="230">
        <v>920500</v>
      </c>
      <c r="BB119" s="230">
        <v>1229200</v>
      </c>
      <c r="BC119" s="229">
        <v>1.3353999999999999</v>
      </c>
      <c r="BD119" s="230">
        <v>42700</v>
      </c>
      <c r="BE119" s="230">
        <v>46200</v>
      </c>
      <c r="BF119" s="230">
        <v>-3500</v>
      </c>
      <c r="BG119" s="229">
        <v>-7.5800000000000006E-2</v>
      </c>
      <c r="BH119" s="230">
        <v>7407400</v>
      </c>
      <c r="BI119" s="230">
        <v>8717100</v>
      </c>
      <c r="BJ119" s="230">
        <v>-1309700</v>
      </c>
      <c r="BK119" s="229">
        <v>-0.1502</v>
      </c>
      <c r="BL119" s="230">
        <v>2531200</v>
      </c>
      <c r="BM119" s="230">
        <v>2881200</v>
      </c>
      <c r="BN119" s="230">
        <v>-350000</v>
      </c>
      <c r="BO119" s="229">
        <v>-0.1215</v>
      </c>
      <c r="BP119" s="230">
        <v>14479500</v>
      </c>
      <c r="BQ119" s="230">
        <v>13930700</v>
      </c>
      <c r="BR119" s="230">
        <v>548800</v>
      </c>
      <c r="BS119" s="229">
        <v>3.9399999999999998E-2</v>
      </c>
      <c r="BT119" s="230">
        <v>1347097</v>
      </c>
      <c r="BU119" s="230">
        <v>963842</v>
      </c>
      <c r="BV119" s="230">
        <v>383255</v>
      </c>
      <c r="BW119" s="229">
        <v>0.39760000000000001</v>
      </c>
      <c r="BX119" s="230">
        <v>10854900</v>
      </c>
      <c r="BY119" s="230">
        <v>11146800</v>
      </c>
      <c r="BZ119" s="230">
        <v>-291900</v>
      </c>
      <c r="CA119" s="229">
        <v>-2.6200000000000001E-2</v>
      </c>
      <c r="CB119" s="230">
        <v>7590100</v>
      </c>
      <c r="CC119" s="230">
        <v>9287600</v>
      </c>
      <c r="CD119" s="230">
        <v>-1697500</v>
      </c>
      <c r="CE119" s="229">
        <v>-0.18279999999999999</v>
      </c>
      <c r="CF119" s="230">
        <v>3128300</v>
      </c>
      <c r="CG119" s="230">
        <v>1742300</v>
      </c>
      <c r="CH119" s="230">
        <v>1386000</v>
      </c>
      <c r="CI119" s="229">
        <v>0.79549999999999998</v>
      </c>
      <c r="CJ119" s="230">
        <v>136500</v>
      </c>
      <c r="CK119" s="230">
        <v>116900</v>
      </c>
      <c r="CL119" s="230">
        <v>19600</v>
      </c>
      <c r="CM119" s="229">
        <v>0.16769999999999999</v>
      </c>
      <c r="CN119" s="230">
        <v>8239700</v>
      </c>
      <c r="CO119" s="230">
        <v>8537200</v>
      </c>
      <c r="CP119" s="230">
        <v>-297500</v>
      </c>
      <c r="CQ119" s="229">
        <v>-3.4799999999999998E-2</v>
      </c>
      <c r="CR119" s="230">
        <v>4201400</v>
      </c>
      <c r="CS119" s="230">
        <v>4379200</v>
      </c>
      <c r="CT119" s="230">
        <v>-177800</v>
      </c>
      <c r="CU119" s="229">
        <v>-4.0599999999999997E-2</v>
      </c>
      <c r="CV119" s="230">
        <v>23296000</v>
      </c>
      <c r="CW119" s="230">
        <v>24063200</v>
      </c>
      <c r="CX119" s="230">
        <v>-767200</v>
      </c>
      <c r="CY119" s="229">
        <v>-3.1899999999999998E-2</v>
      </c>
      <c r="CZ119" s="228">
        <v>21.31</v>
      </c>
      <c r="DA119" s="228">
        <v>23.42</v>
      </c>
      <c r="DB119" s="228">
        <v>-2.11</v>
      </c>
      <c r="DC119" s="228">
        <v>-2.11</v>
      </c>
      <c r="DD119" s="228">
        <v>31.58</v>
      </c>
      <c r="DE119" s="228">
        <v>31.64</v>
      </c>
      <c r="DF119" s="228">
        <v>-10.27</v>
      </c>
      <c r="DG119" s="228">
        <v>-0.06</v>
      </c>
      <c r="DH119" s="228">
        <v>21.5</v>
      </c>
      <c r="DI119" s="228">
        <v>23.89</v>
      </c>
      <c r="DJ119" s="228">
        <v>-2.39</v>
      </c>
      <c r="DK119" s="228">
        <v>-2.39</v>
      </c>
      <c r="DL119" s="228">
        <v>20.94</v>
      </c>
      <c r="DM119" s="228">
        <v>22.01</v>
      </c>
      <c r="DN119" s="228">
        <v>-1.07</v>
      </c>
      <c r="DO119" s="228">
        <v>-1.07</v>
      </c>
      <c r="DP119" s="228">
        <v>0.51</v>
      </c>
      <c r="DQ119" s="228">
        <v>0.51</v>
      </c>
      <c r="DR119" s="228">
        <v>0</v>
      </c>
      <c r="DS119" s="229">
        <v>0</v>
      </c>
      <c r="DT119" s="228">
        <v>920</v>
      </c>
      <c r="DU119" s="228">
        <v>900</v>
      </c>
      <c r="DV119" s="228">
        <v>0.34</v>
      </c>
      <c r="DW119" s="228">
        <v>0.33</v>
      </c>
      <c r="DX119" s="228">
        <v>0.01</v>
      </c>
      <c r="DY119" s="229">
        <v>3.0300000000000001E-2</v>
      </c>
      <c r="DZ119" s="229">
        <v>0.30080000000000001</v>
      </c>
      <c r="EA119" s="230">
        <v>1859200</v>
      </c>
      <c r="EB119" s="229">
        <v>6.4999999999999997E-3</v>
      </c>
      <c r="EC119" s="229">
        <v>0.30080000000000001</v>
      </c>
      <c r="ED119" s="228">
        <v>5.9</v>
      </c>
      <c r="EE119" s="229">
        <v>6.4999999999999997E-3</v>
      </c>
      <c r="EF119" s="230">
        <v>821481</v>
      </c>
      <c r="EG119" s="230">
        <v>519693</v>
      </c>
      <c r="EH119" s="229">
        <v>0.58069999999999999</v>
      </c>
      <c r="EI119" s="229">
        <v>0.60980000000000001</v>
      </c>
      <c r="EJ119" s="231">
        <v>69598.84</v>
      </c>
      <c r="EK119" s="231">
        <v>22863.08</v>
      </c>
      <c r="EL119" s="231">
        <v>41549.58</v>
      </c>
      <c r="EM119" s="231">
        <v>3012</v>
      </c>
      <c r="EN119" s="231">
        <v>134011.5</v>
      </c>
      <c r="EO119" s="231">
        <v>130000.62</v>
      </c>
      <c r="EP119" s="231">
        <v>4010.88</v>
      </c>
      <c r="EQ119" s="229">
        <v>3.09E-2</v>
      </c>
      <c r="ER119" s="231">
        <v>78036</v>
      </c>
      <c r="ES119" s="231">
        <v>37067</v>
      </c>
      <c r="ET119" s="231">
        <v>98769</v>
      </c>
      <c r="EU119" s="231">
        <v>32057152</v>
      </c>
      <c r="EV119" s="231">
        <v>213872</v>
      </c>
      <c r="EW119" s="231">
        <v>221584</v>
      </c>
      <c r="EX119" s="231">
        <v>-7712</v>
      </c>
      <c r="EY119" s="229">
        <v>-3.4799999999999998E-2</v>
      </c>
      <c r="EZ119" s="229">
        <v>0.72670000000000001</v>
      </c>
      <c r="FA119" s="227" t="s">
        <v>568</v>
      </c>
      <c r="FB119" s="161">
        <f t="shared" si="1"/>
        <v>3264800</v>
      </c>
    </row>
    <row r="120" spans="1:158" ht="17.25" hidden="1" thickBot="1" x14ac:dyDescent="0.3">
      <c r="A120" s="226">
        <v>45981</v>
      </c>
      <c r="B120" s="227" t="s">
        <v>206</v>
      </c>
      <c r="C120" s="227" t="s">
        <v>588</v>
      </c>
      <c r="D120" s="228">
        <v>450</v>
      </c>
      <c r="E120" s="231">
        <v>1203.4000000000001</v>
      </c>
      <c r="F120" s="231">
        <v>1201.4000000000001</v>
      </c>
      <c r="G120" s="228">
        <v>2</v>
      </c>
      <c r="H120" s="229">
        <v>1.6999999999999999E-3</v>
      </c>
      <c r="I120" s="231">
        <v>1200.8</v>
      </c>
      <c r="J120" s="231">
        <v>1202</v>
      </c>
      <c r="K120" s="228">
        <v>-1.2</v>
      </c>
      <c r="L120" s="229">
        <v>-1E-3</v>
      </c>
      <c r="M120" s="231">
        <v>1203.4000000000001</v>
      </c>
      <c r="N120" s="231">
        <v>1201.4000000000001</v>
      </c>
      <c r="O120" s="228">
        <v>2</v>
      </c>
      <c r="P120" s="229">
        <v>1.6999999999999999E-3</v>
      </c>
      <c r="Q120" s="231">
        <v>1212.2</v>
      </c>
      <c r="R120" s="231">
        <v>1209.4000000000001</v>
      </c>
      <c r="S120" s="228">
        <v>2.8</v>
      </c>
      <c r="T120" s="229">
        <v>2.3E-3</v>
      </c>
      <c r="U120" s="231">
        <v>1219</v>
      </c>
      <c r="V120" s="231">
        <v>1218.2</v>
      </c>
      <c r="W120" s="228">
        <v>0.8</v>
      </c>
      <c r="X120" s="229">
        <v>6.9999999999999999E-4</v>
      </c>
      <c r="Y120" s="228">
        <v>2.6</v>
      </c>
      <c r="Z120" s="228">
        <v>-0.6</v>
      </c>
      <c r="AA120" s="228">
        <v>3.2</v>
      </c>
      <c r="AB120" s="229">
        <v>2.2000000000000001E-3</v>
      </c>
      <c r="AC120" s="228">
        <v>2.6</v>
      </c>
      <c r="AD120" s="228">
        <v>-0.6</v>
      </c>
      <c r="AE120" s="228">
        <v>3.2</v>
      </c>
      <c r="AF120" s="229">
        <v>2.2000000000000001E-3</v>
      </c>
      <c r="AG120" s="228">
        <v>11.4</v>
      </c>
      <c r="AH120" s="228">
        <v>7.4</v>
      </c>
      <c r="AI120" s="228">
        <v>4</v>
      </c>
      <c r="AJ120" s="229">
        <v>9.4999999999999998E-3</v>
      </c>
      <c r="AK120" s="228">
        <v>18.2</v>
      </c>
      <c r="AL120" s="228">
        <v>16.2</v>
      </c>
      <c r="AM120" s="228">
        <v>2</v>
      </c>
      <c r="AN120" s="229">
        <v>1.52E-2</v>
      </c>
      <c r="AO120" s="231">
        <v>1198.07</v>
      </c>
      <c r="AP120" s="231">
        <v>1205.97</v>
      </c>
      <c r="AQ120" s="228">
        <v>0</v>
      </c>
      <c r="AR120" s="230">
        <v>6952950</v>
      </c>
      <c r="AS120" s="230">
        <v>1377000</v>
      </c>
      <c r="AT120" s="230">
        <v>5575950</v>
      </c>
      <c r="AU120" s="229">
        <v>4.0492999999999997</v>
      </c>
      <c r="AV120" s="230">
        <v>3631950</v>
      </c>
      <c r="AW120" s="230">
        <v>1051650</v>
      </c>
      <c r="AX120" s="230">
        <v>2580300</v>
      </c>
      <c r="AY120" s="229">
        <v>2.4535999999999998</v>
      </c>
      <c r="AZ120" s="230">
        <v>3304350</v>
      </c>
      <c r="BA120" s="230">
        <v>313650</v>
      </c>
      <c r="BB120" s="230">
        <v>2990700</v>
      </c>
      <c r="BC120" s="229">
        <v>9.5351999999999997</v>
      </c>
      <c r="BD120" s="230">
        <v>16650</v>
      </c>
      <c r="BE120" s="230">
        <v>11700</v>
      </c>
      <c r="BF120" s="230">
        <v>4950</v>
      </c>
      <c r="BG120" s="229">
        <v>0.42309999999999998</v>
      </c>
      <c r="BH120" s="230">
        <v>3775050</v>
      </c>
      <c r="BI120" s="230">
        <v>5135400</v>
      </c>
      <c r="BJ120" s="230">
        <v>-1360350</v>
      </c>
      <c r="BK120" s="229">
        <v>-0.26490000000000002</v>
      </c>
      <c r="BL120" s="230">
        <v>1343700</v>
      </c>
      <c r="BM120" s="230">
        <v>1931400</v>
      </c>
      <c r="BN120" s="230">
        <v>-587700</v>
      </c>
      <c r="BO120" s="229">
        <v>-0.30430000000000001</v>
      </c>
      <c r="BP120" s="230">
        <v>12071700</v>
      </c>
      <c r="BQ120" s="230">
        <v>8443800</v>
      </c>
      <c r="BR120" s="230">
        <v>3627900</v>
      </c>
      <c r="BS120" s="229">
        <v>0.42970000000000003</v>
      </c>
      <c r="BT120" s="230">
        <v>740141</v>
      </c>
      <c r="BU120" s="230">
        <v>871118</v>
      </c>
      <c r="BV120" s="230">
        <v>-130977</v>
      </c>
      <c r="BW120" s="229">
        <v>-0.15040000000000001</v>
      </c>
      <c r="BX120" s="230">
        <v>10395000</v>
      </c>
      <c r="BY120" s="230">
        <v>10458900</v>
      </c>
      <c r="BZ120" s="230">
        <v>-63900</v>
      </c>
      <c r="CA120" s="229">
        <v>-6.1000000000000004E-3</v>
      </c>
      <c r="CB120" s="230">
        <v>6984450</v>
      </c>
      <c r="CC120" s="230">
        <v>9935100</v>
      </c>
      <c r="CD120" s="230">
        <v>-2950650</v>
      </c>
      <c r="CE120" s="229">
        <v>-0.29699999999999999</v>
      </c>
      <c r="CF120" s="230">
        <v>3366000</v>
      </c>
      <c r="CG120" s="230">
        <v>485100</v>
      </c>
      <c r="CH120" s="230">
        <v>2880900</v>
      </c>
      <c r="CI120" s="229">
        <v>5.9387999999999996</v>
      </c>
      <c r="CJ120" s="230">
        <v>44550</v>
      </c>
      <c r="CK120" s="230">
        <v>38700</v>
      </c>
      <c r="CL120" s="230">
        <v>5850</v>
      </c>
      <c r="CM120" s="229">
        <v>0.1512</v>
      </c>
      <c r="CN120" s="230">
        <v>2905200</v>
      </c>
      <c r="CO120" s="230">
        <v>2708100</v>
      </c>
      <c r="CP120" s="230">
        <v>197100</v>
      </c>
      <c r="CQ120" s="229">
        <v>7.2800000000000004E-2</v>
      </c>
      <c r="CR120" s="230">
        <v>1912950</v>
      </c>
      <c r="CS120" s="230">
        <v>1804950</v>
      </c>
      <c r="CT120" s="230">
        <v>108000</v>
      </c>
      <c r="CU120" s="229">
        <v>5.9799999999999999E-2</v>
      </c>
      <c r="CV120" s="230">
        <v>15213150</v>
      </c>
      <c r="CW120" s="230">
        <v>14971950</v>
      </c>
      <c r="CX120" s="230">
        <v>241200</v>
      </c>
      <c r="CY120" s="229">
        <v>1.61E-2</v>
      </c>
      <c r="CZ120" s="228">
        <v>28.59</v>
      </c>
      <c r="DA120" s="228">
        <v>28.81</v>
      </c>
      <c r="DB120" s="228">
        <v>-0.22</v>
      </c>
      <c r="DC120" s="228">
        <v>-0.22</v>
      </c>
      <c r="DD120" s="228">
        <v>45.51</v>
      </c>
      <c r="DE120" s="228">
        <v>45.62</v>
      </c>
      <c r="DF120" s="228">
        <v>-16.920000000000002</v>
      </c>
      <c r="DG120" s="228">
        <v>-0.11</v>
      </c>
      <c r="DH120" s="228">
        <v>27.97</v>
      </c>
      <c r="DI120" s="228">
        <v>28.66</v>
      </c>
      <c r="DJ120" s="228">
        <v>-0.69</v>
      </c>
      <c r="DK120" s="228">
        <v>-0.69</v>
      </c>
      <c r="DL120" s="228">
        <v>29.55</v>
      </c>
      <c r="DM120" s="228">
        <v>29.2</v>
      </c>
      <c r="DN120" s="228">
        <v>0.35</v>
      </c>
      <c r="DO120" s="228">
        <v>0.35</v>
      </c>
      <c r="DP120" s="228">
        <v>0.66</v>
      </c>
      <c r="DQ120" s="228">
        <v>0.67</v>
      </c>
      <c r="DR120" s="228">
        <v>-0.01</v>
      </c>
      <c r="DS120" s="229">
        <v>-1.49E-2</v>
      </c>
      <c r="DT120" s="231">
        <v>1240</v>
      </c>
      <c r="DU120" s="231">
        <v>1200</v>
      </c>
      <c r="DV120" s="228">
        <v>0.36</v>
      </c>
      <c r="DW120" s="228">
        <v>0.38</v>
      </c>
      <c r="DX120" s="228">
        <v>-0.02</v>
      </c>
      <c r="DY120" s="229">
        <v>-5.2600000000000001E-2</v>
      </c>
      <c r="DZ120" s="229">
        <v>0.3281</v>
      </c>
      <c r="EA120" s="230">
        <v>523800</v>
      </c>
      <c r="EB120" s="229">
        <v>7.3000000000000001E-3</v>
      </c>
      <c r="EC120" s="229">
        <v>0.3281</v>
      </c>
      <c r="ED120" s="228">
        <v>7.9</v>
      </c>
      <c r="EE120" s="229">
        <v>6.6E-3</v>
      </c>
      <c r="EF120" s="230">
        <v>447203</v>
      </c>
      <c r="EG120" s="230">
        <v>479472</v>
      </c>
      <c r="EH120" s="229">
        <v>-6.7299999999999999E-2</v>
      </c>
      <c r="EI120" s="229">
        <v>0.60419999999999996</v>
      </c>
      <c r="EJ120" s="231">
        <v>46627.18</v>
      </c>
      <c r="EK120" s="231">
        <v>15986.76</v>
      </c>
      <c r="EL120" s="231">
        <v>83564.899999999994</v>
      </c>
      <c r="EM120" s="231">
        <v>2503</v>
      </c>
      <c r="EN120" s="231">
        <v>146178.84</v>
      </c>
      <c r="EO120" s="231">
        <v>103302.76</v>
      </c>
      <c r="EP120" s="231">
        <v>42876.08</v>
      </c>
      <c r="EQ120" s="229">
        <v>0.41510000000000002</v>
      </c>
      <c r="ER120" s="231">
        <v>36151</v>
      </c>
      <c r="ES120" s="231">
        <v>22421</v>
      </c>
      <c r="ET120" s="231">
        <v>125397</v>
      </c>
      <c r="EU120" s="231">
        <v>42060143</v>
      </c>
      <c r="EV120" s="231">
        <v>183969</v>
      </c>
      <c r="EW120" s="231">
        <v>180721</v>
      </c>
      <c r="EX120" s="231">
        <v>3248</v>
      </c>
      <c r="EY120" s="229">
        <v>1.7999999999999999E-2</v>
      </c>
      <c r="EZ120" s="229">
        <v>0.36170000000000002</v>
      </c>
      <c r="FA120" s="227" t="s">
        <v>556</v>
      </c>
      <c r="FB120" s="161">
        <f t="shared" si="1"/>
        <v>3410550</v>
      </c>
    </row>
    <row r="121" spans="1:158" ht="17.25" hidden="1" thickBot="1" x14ac:dyDescent="0.3">
      <c r="A121" s="226">
        <v>45981</v>
      </c>
      <c r="B121" s="227" t="s">
        <v>184</v>
      </c>
      <c r="C121" s="227" t="s">
        <v>249</v>
      </c>
      <c r="D121" s="228">
        <v>175</v>
      </c>
      <c r="E121" s="231">
        <v>4040</v>
      </c>
      <c r="F121" s="231">
        <v>4017.5</v>
      </c>
      <c r="G121" s="228">
        <v>22.5</v>
      </c>
      <c r="H121" s="229">
        <v>5.5999999999999999E-3</v>
      </c>
      <c r="I121" s="231">
        <v>4037.4</v>
      </c>
      <c r="J121" s="231">
        <v>4019.6</v>
      </c>
      <c r="K121" s="228">
        <v>17.8</v>
      </c>
      <c r="L121" s="229">
        <v>4.4000000000000003E-3</v>
      </c>
      <c r="M121" s="231">
        <v>4040</v>
      </c>
      <c r="N121" s="231">
        <v>4017.5</v>
      </c>
      <c r="O121" s="228">
        <v>22.5</v>
      </c>
      <c r="P121" s="229">
        <v>5.5999999999999999E-3</v>
      </c>
      <c r="Q121" s="231">
        <v>4068.3</v>
      </c>
      <c r="R121" s="231">
        <v>4045.3</v>
      </c>
      <c r="S121" s="228">
        <v>23</v>
      </c>
      <c r="T121" s="229">
        <v>5.7000000000000002E-3</v>
      </c>
      <c r="U121" s="231">
        <v>4092.3</v>
      </c>
      <c r="V121" s="231">
        <v>4069.6</v>
      </c>
      <c r="W121" s="228">
        <v>22.7</v>
      </c>
      <c r="X121" s="229">
        <v>5.5999999999999999E-3</v>
      </c>
      <c r="Y121" s="228">
        <v>2.6</v>
      </c>
      <c r="Z121" s="228">
        <v>-2.1</v>
      </c>
      <c r="AA121" s="228">
        <v>4.7</v>
      </c>
      <c r="AB121" s="229">
        <v>5.9999999999999995E-4</v>
      </c>
      <c r="AC121" s="228">
        <v>2.6</v>
      </c>
      <c r="AD121" s="228">
        <v>-2.1</v>
      </c>
      <c r="AE121" s="228">
        <v>4.7</v>
      </c>
      <c r="AF121" s="229">
        <v>5.9999999999999995E-4</v>
      </c>
      <c r="AG121" s="228">
        <v>30.9</v>
      </c>
      <c r="AH121" s="228">
        <v>25.7</v>
      </c>
      <c r="AI121" s="228">
        <v>5.2</v>
      </c>
      <c r="AJ121" s="229">
        <v>7.7000000000000002E-3</v>
      </c>
      <c r="AK121" s="228">
        <v>54.9</v>
      </c>
      <c r="AL121" s="228">
        <v>50</v>
      </c>
      <c r="AM121" s="228">
        <v>4.9000000000000004</v>
      </c>
      <c r="AN121" s="229">
        <v>1.3599999999999999E-2</v>
      </c>
      <c r="AO121" s="231">
        <v>4031.28</v>
      </c>
      <c r="AP121" s="231">
        <v>4058.93</v>
      </c>
      <c r="AQ121" s="228">
        <v>0</v>
      </c>
      <c r="AR121" s="230">
        <v>8261050</v>
      </c>
      <c r="AS121" s="230">
        <v>1619625</v>
      </c>
      <c r="AT121" s="230">
        <v>6641425</v>
      </c>
      <c r="AU121" s="229">
        <v>4.1006</v>
      </c>
      <c r="AV121" s="230">
        <v>4297125</v>
      </c>
      <c r="AW121" s="230">
        <v>1078350</v>
      </c>
      <c r="AX121" s="230">
        <v>3218775</v>
      </c>
      <c r="AY121" s="229">
        <v>2.9849000000000001</v>
      </c>
      <c r="AZ121" s="230">
        <v>3946250</v>
      </c>
      <c r="BA121" s="230">
        <v>530425</v>
      </c>
      <c r="BB121" s="230">
        <v>3415825</v>
      </c>
      <c r="BC121" s="229">
        <v>6.4398</v>
      </c>
      <c r="BD121" s="230">
        <v>17675</v>
      </c>
      <c r="BE121" s="230">
        <v>10850</v>
      </c>
      <c r="BF121" s="230">
        <v>6825</v>
      </c>
      <c r="BG121" s="229">
        <v>0.629</v>
      </c>
      <c r="BH121" s="230">
        <v>11469850</v>
      </c>
      <c r="BI121" s="230">
        <v>7796425</v>
      </c>
      <c r="BJ121" s="230">
        <v>3673425</v>
      </c>
      <c r="BK121" s="229">
        <v>0.47120000000000001</v>
      </c>
      <c r="BL121" s="230">
        <v>5244925</v>
      </c>
      <c r="BM121" s="230">
        <v>3868725</v>
      </c>
      <c r="BN121" s="230">
        <v>1376200</v>
      </c>
      <c r="BO121" s="229">
        <v>0.35570000000000002</v>
      </c>
      <c r="BP121" s="230">
        <v>24975825</v>
      </c>
      <c r="BQ121" s="230">
        <v>13284775</v>
      </c>
      <c r="BR121" s="230">
        <v>11691050</v>
      </c>
      <c r="BS121" s="229">
        <v>0.88</v>
      </c>
      <c r="BT121" s="230">
        <v>1768251</v>
      </c>
      <c r="BU121" s="230">
        <v>972193</v>
      </c>
      <c r="BV121" s="230">
        <v>796058</v>
      </c>
      <c r="BW121" s="229">
        <v>0.81879999999999997</v>
      </c>
      <c r="BX121" s="230">
        <v>13295450</v>
      </c>
      <c r="BY121" s="230">
        <v>13157725</v>
      </c>
      <c r="BZ121" s="230">
        <v>137725</v>
      </c>
      <c r="CA121" s="229">
        <v>1.0500000000000001E-2</v>
      </c>
      <c r="CB121" s="230">
        <v>7732550</v>
      </c>
      <c r="CC121" s="230">
        <v>10870825</v>
      </c>
      <c r="CD121" s="230">
        <v>-3138275</v>
      </c>
      <c r="CE121" s="229">
        <v>-0.28870000000000001</v>
      </c>
      <c r="CF121" s="230">
        <v>5479950</v>
      </c>
      <c r="CG121" s="230">
        <v>2208850</v>
      </c>
      <c r="CH121" s="230">
        <v>3271100</v>
      </c>
      <c r="CI121" s="229">
        <v>1.4809000000000001</v>
      </c>
      <c r="CJ121" s="230">
        <v>82950</v>
      </c>
      <c r="CK121" s="230">
        <v>78050</v>
      </c>
      <c r="CL121" s="230">
        <v>4900</v>
      </c>
      <c r="CM121" s="229">
        <v>6.2799999999999995E-2</v>
      </c>
      <c r="CN121" s="230">
        <v>6524350</v>
      </c>
      <c r="CO121" s="230">
        <v>7027125</v>
      </c>
      <c r="CP121" s="230">
        <v>-502775</v>
      </c>
      <c r="CQ121" s="229">
        <v>-7.1499999999999994E-2</v>
      </c>
      <c r="CR121" s="230">
        <v>3840025</v>
      </c>
      <c r="CS121" s="230">
        <v>3627400</v>
      </c>
      <c r="CT121" s="230">
        <v>212625</v>
      </c>
      <c r="CU121" s="229">
        <v>5.8599999999999999E-2</v>
      </c>
      <c r="CV121" s="230">
        <v>23659825</v>
      </c>
      <c r="CW121" s="230">
        <v>23812250</v>
      </c>
      <c r="CX121" s="230">
        <v>-152425</v>
      </c>
      <c r="CY121" s="229">
        <v>-6.4000000000000003E-3</v>
      </c>
      <c r="CZ121" s="228">
        <v>16.760000000000002</v>
      </c>
      <c r="DA121" s="228">
        <v>15.93</v>
      </c>
      <c r="DB121" s="228">
        <v>0.83</v>
      </c>
      <c r="DC121" s="228">
        <v>0.83</v>
      </c>
      <c r="DD121" s="228">
        <v>26.92</v>
      </c>
      <c r="DE121" s="228">
        <v>26.98</v>
      </c>
      <c r="DF121" s="228">
        <v>-10.16</v>
      </c>
      <c r="DG121" s="228">
        <v>-0.06</v>
      </c>
      <c r="DH121" s="228">
        <v>16.57</v>
      </c>
      <c r="DI121" s="228">
        <v>15.64</v>
      </c>
      <c r="DJ121" s="228">
        <v>0.93</v>
      </c>
      <c r="DK121" s="228">
        <v>0.93</v>
      </c>
      <c r="DL121" s="228">
        <v>17.09</v>
      </c>
      <c r="DM121" s="228">
        <v>16.53</v>
      </c>
      <c r="DN121" s="228">
        <v>0.56000000000000005</v>
      </c>
      <c r="DO121" s="228">
        <v>0.56000000000000005</v>
      </c>
      <c r="DP121" s="228">
        <v>0.59</v>
      </c>
      <c r="DQ121" s="228">
        <v>0.52</v>
      </c>
      <c r="DR121" s="228">
        <v>7.0000000000000007E-2</v>
      </c>
      <c r="DS121" s="229">
        <v>0.1346</v>
      </c>
      <c r="DT121" s="231">
        <v>4100</v>
      </c>
      <c r="DU121" s="231">
        <v>4000</v>
      </c>
      <c r="DV121" s="228">
        <v>0.46</v>
      </c>
      <c r="DW121" s="228">
        <v>0.5</v>
      </c>
      <c r="DX121" s="228">
        <v>-0.04</v>
      </c>
      <c r="DY121" s="229">
        <v>-0.08</v>
      </c>
      <c r="DZ121" s="229">
        <v>0.41839999999999999</v>
      </c>
      <c r="EA121" s="230">
        <v>2286900</v>
      </c>
      <c r="EB121" s="229">
        <v>7.0000000000000001E-3</v>
      </c>
      <c r="EC121" s="229">
        <v>0.41839999999999999</v>
      </c>
      <c r="ED121" s="228">
        <v>27.65</v>
      </c>
      <c r="EE121" s="229">
        <v>6.8999999999999999E-3</v>
      </c>
      <c r="EF121" s="230">
        <v>697996</v>
      </c>
      <c r="EG121" s="230">
        <v>560006</v>
      </c>
      <c r="EH121" s="229">
        <v>0.24640000000000001</v>
      </c>
      <c r="EI121" s="229">
        <v>0.3947</v>
      </c>
      <c r="EJ121" s="231">
        <v>470429.1</v>
      </c>
      <c r="EK121" s="231">
        <v>209327.11</v>
      </c>
      <c r="EL121" s="231">
        <v>334127.08</v>
      </c>
      <c r="EM121" s="231">
        <v>11173</v>
      </c>
      <c r="EN121" s="231">
        <v>1013883.29</v>
      </c>
      <c r="EO121" s="231">
        <v>537308.64</v>
      </c>
      <c r="EP121" s="231">
        <v>476574.65</v>
      </c>
      <c r="EQ121" s="229">
        <v>0.88700000000000001</v>
      </c>
      <c r="ER121" s="231">
        <v>267930</v>
      </c>
      <c r="ES121" s="231">
        <v>148270</v>
      </c>
      <c r="ET121" s="231">
        <v>538730</v>
      </c>
      <c r="EU121" s="231">
        <v>136007303</v>
      </c>
      <c r="EV121" s="231">
        <v>954931</v>
      </c>
      <c r="EW121" s="231">
        <v>957160</v>
      </c>
      <c r="EX121" s="231">
        <v>-2229</v>
      </c>
      <c r="EY121" s="229">
        <v>-2.3E-3</v>
      </c>
      <c r="EZ121" s="229">
        <v>0.17399999999999999</v>
      </c>
      <c r="FA121" s="227" t="s">
        <v>555</v>
      </c>
      <c r="FB121" s="161">
        <f t="shared" si="1"/>
        <v>5562900</v>
      </c>
    </row>
    <row r="122" spans="1:158" ht="17.25" hidden="1" thickBot="1" x14ac:dyDescent="0.3">
      <c r="A122" s="226">
        <v>45981</v>
      </c>
      <c r="B122" s="227" t="s">
        <v>175</v>
      </c>
      <c r="C122" s="227" t="s">
        <v>565</v>
      </c>
      <c r="D122" s="228">
        <v>4462</v>
      </c>
      <c r="E122" s="228">
        <v>292.89999999999998</v>
      </c>
      <c r="F122" s="228">
        <v>297.85000000000002</v>
      </c>
      <c r="G122" s="228">
        <v>-4.95</v>
      </c>
      <c r="H122" s="229">
        <v>-1.66E-2</v>
      </c>
      <c r="I122" s="228">
        <v>292.3</v>
      </c>
      <c r="J122" s="228">
        <v>297.64999999999998</v>
      </c>
      <c r="K122" s="228">
        <v>-5.35</v>
      </c>
      <c r="L122" s="229">
        <v>-1.7999999999999999E-2</v>
      </c>
      <c r="M122" s="228">
        <v>292.89999999999998</v>
      </c>
      <c r="N122" s="228">
        <v>297.85000000000002</v>
      </c>
      <c r="O122" s="228">
        <v>-4.95</v>
      </c>
      <c r="P122" s="229">
        <v>-1.66E-2</v>
      </c>
      <c r="Q122" s="228">
        <v>294.7</v>
      </c>
      <c r="R122" s="228">
        <v>299.3</v>
      </c>
      <c r="S122" s="228">
        <v>-4.5999999999999996</v>
      </c>
      <c r="T122" s="229">
        <v>-1.54E-2</v>
      </c>
      <c r="U122" s="228">
        <v>296.5</v>
      </c>
      <c r="V122" s="228">
        <v>301</v>
      </c>
      <c r="W122" s="228">
        <v>-4.5</v>
      </c>
      <c r="X122" s="229">
        <v>-1.4999999999999999E-2</v>
      </c>
      <c r="Y122" s="228">
        <v>0.6</v>
      </c>
      <c r="Z122" s="228">
        <v>0.2</v>
      </c>
      <c r="AA122" s="228">
        <v>0.4</v>
      </c>
      <c r="AB122" s="229">
        <v>2.0999999999999999E-3</v>
      </c>
      <c r="AC122" s="228">
        <v>0.6</v>
      </c>
      <c r="AD122" s="228">
        <v>0.2</v>
      </c>
      <c r="AE122" s="228">
        <v>0.4</v>
      </c>
      <c r="AF122" s="229">
        <v>2.0999999999999999E-3</v>
      </c>
      <c r="AG122" s="228">
        <v>2.4</v>
      </c>
      <c r="AH122" s="228">
        <v>1.65</v>
      </c>
      <c r="AI122" s="228">
        <v>0.75</v>
      </c>
      <c r="AJ122" s="229">
        <v>8.2000000000000007E-3</v>
      </c>
      <c r="AK122" s="228">
        <v>4.2</v>
      </c>
      <c r="AL122" s="228">
        <v>3.35</v>
      </c>
      <c r="AM122" s="228">
        <v>0.85</v>
      </c>
      <c r="AN122" s="229">
        <v>1.44E-2</v>
      </c>
      <c r="AO122" s="228">
        <v>294.55</v>
      </c>
      <c r="AP122" s="228">
        <v>296.24</v>
      </c>
      <c r="AQ122" s="228">
        <v>0</v>
      </c>
      <c r="AR122" s="230">
        <v>31135836</v>
      </c>
      <c r="AS122" s="230">
        <v>10391998</v>
      </c>
      <c r="AT122" s="230">
        <v>20743838</v>
      </c>
      <c r="AU122" s="229">
        <v>1.9961</v>
      </c>
      <c r="AV122" s="230">
        <v>16982372</v>
      </c>
      <c r="AW122" s="230">
        <v>7536318</v>
      </c>
      <c r="AX122" s="230">
        <v>9446054</v>
      </c>
      <c r="AY122" s="229">
        <v>1.2534000000000001</v>
      </c>
      <c r="AZ122" s="230">
        <v>13890206</v>
      </c>
      <c r="BA122" s="230">
        <v>2766440</v>
      </c>
      <c r="BB122" s="230">
        <v>11123766</v>
      </c>
      <c r="BC122" s="229">
        <v>4.0209999999999999</v>
      </c>
      <c r="BD122" s="230">
        <v>263258</v>
      </c>
      <c r="BE122" s="230">
        <v>89240</v>
      </c>
      <c r="BF122" s="230">
        <v>174018</v>
      </c>
      <c r="BG122" s="229">
        <v>1.95</v>
      </c>
      <c r="BH122" s="230">
        <v>52990712</v>
      </c>
      <c r="BI122" s="230">
        <v>55043232</v>
      </c>
      <c r="BJ122" s="230">
        <v>-2052520</v>
      </c>
      <c r="BK122" s="229">
        <v>-3.73E-2</v>
      </c>
      <c r="BL122" s="230">
        <v>23608442</v>
      </c>
      <c r="BM122" s="230">
        <v>29453662</v>
      </c>
      <c r="BN122" s="230">
        <v>-5845220</v>
      </c>
      <c r="BO122" s="229">
        <v>-0.19850000000000001</v>
      </c>
      <c r="BP122" s="230">
        <v>107734990</v>
      </c>
      <c r="BQ122" s="230">
        <v>94888892</v>
      </c>
      <c r="BR122" s="230">
        <v>12846098</v>
      </c>
      <c r="BS122" s="229">
        <v>0.13539999999999999</v>
      </c>
      <c r="BT122" s="230">
        <v>4009166</v>
      </c>
      <c r="BU122" s="230">
        <v>4015553</v>
      </c>
      <c r="BV122" s="230">
        <v>-6387</v>
      </c>
      <c r="BW122" s="229">
        <v>-1.6000000000000001E-3</v>
      </c>
      <c r="BX122" s="230">
        <v>56117342</v>
      </c>
      <c r="BY122" s="230">
        <v>53954876</v>
      </c>
      <c r="BZ122" s="230">
        <v>2162466</v>
      </c>
      <c r="CA122" s="229">
        <v>4.0099999999999997E-2</v>
      </c>
      <c r="CB122" s="230">
        <v>42665644</v>
      </c>
      <c r="CC122" s="230">
        <v>48872286</v>
      </c>
      <c r="CD122" s="230">
        <v>-6206642</v>
      </c>
      <c r="CE122" s="229">
        <v>-0.127</v>
      </c>
      <c r="CF122" s="230">
        <v>13069198</v>
      </c>
      <c r="CG122" s="230">
        <v>4774340</v>
      </c>
      <c r="CH122" s="230">
        <v>8294858</v>
      </c>
      <c r="CI122" s="229">
        <v>1.7374000000000001</v>
      </c>
      <c r="CJ122" s="230">
        <v>382500</v>
      </c>
      <c r="CK122" s="230">
        <v>308250</v>
      </c>
      <c r="CL122" s="230">
        <v>74250</v>
      </c>
      <c r="CM122" s="229">
        <v>0.2409</v>
      </c>
      <c r="CN122" s="230">
        <v>39670342</v>
      </c>
      <c r="CO122" s="230">
        <v>40850522</v>
      </c>
      <c r="CP122" s="230">
        <v>-1180180</v>
      </c>
      <c r="CQ122" s="229">
        <v>-2.8899999999999999E-2</v>
      </c>
      <c r="CR122" s="230">
        <v>33313672</v>
      </c>
      <c r="CS122" s="230">
        <v>34056500</v>
      </c>
      <c r="CT122" s="230">
        <v>-742828</v>
      </c>
      <c r="CU122" s="229">
        <v>-2.18E-2</v>
      </c>
      <c r="CV122" s="230">
        <v>129101356</v>
      </c>
      <c r="CW122" s="230">
        <v>128861898</v>
      </c>
      <c r="CX122" s="230">
        <v>239458</v>
      </c>
      <c r="CY122" s="229">
        <v>1.9E-3</v>
      </c>
      <c r="CZ122" s="228">
        <v>25.89</v>
      </c>
      <c r="DA122" s="228">
        <v>28.99</v>
      </c>
      <c r="DB122" s="228">
        <v>-3.1</v>
      </c>
      <c r="DC122" s="228">
        <v>-3.1</v>
      </c>
      <c r="DD122" s="228">
        <v>39.5</v>
      </c>
      <c r="DE122" s="228">
        <v>39.54</v>
      </c>
      <c r="DF122" s="228">
        <v>-13.61</v>
      </c>
      <c r="DG122" s="228">
        <v>-0.04</v>
      </c>
      <c r="DH122" s="228">
        <v>26.06</v>
      </c>
      <c r="DI122" s="228">
        <v>28.39</v>
      </c>
      <c r="DJ122" s="228">
        <v>-2.33</v>
      </c>
      <c r="DK122" s="228">
        <v>-2.33</v>
      </c>
      <c r="DL122" s="228">
        <v>25.6</v>
      </c>
      <c r="DM122" s="228">
        <v>30.13</v>
      </c>
      <c r="DN122" s="228">
        <v>-4.53</v>
      </c>
      <c r="DO122" s="228">
        <v>-4.53</v>
      </c>
      <c r="DP122" s="228">
        <v>0.84</v>
      </c>
      <c r="DQ122" s="228">
        <v>0.83</v>
      </c>
      <c r="DR122" s="228">
        <v>0.01</v>
      </c>
      <c r="DS122" s="229">
        <v>1.2E-2</v>
      </c>
      <c r="DT122" s="228">
        <v>300</v>
      </c>
      <c r="DU122" s="228">
        <v>295</v>
      </c>
      <c r="DV122" s="228">
        <v>0.45</v>
      </c>
      <c r="DW122" s="228">
        <v>0.54</v>
      </c>
      <c r="DX122" s="228">
        <v>-0.09</v>
      </c>
      <c r="DY122" s="229">
        <v>-0.16669999999999999</v>
      </c>
      <c r="DZ122" s="229">
        <v>0.2397</v>
      </c>
      <c r="EA122" s="230">
        <v>5082590</v>
      </c>
      <c r="EB122" s="229">
        <v>6.1000000000000004E-3</v>
      </c>
      <c r="EC122" s="229">
        <v>0.2397</v>
      </c>
      <c r="ED122" s="228">
        <v>1.69</v>
      </c>
      <c r="EE122" s="229">
        <v>5.7000000000000002E-3</v>
      </c>
      <c r="EF122" s="230">
        <v>2019992</v>
      </c>
      <c r="EG122" s="230">
        <v>1853463</v>
      </c>
      <c r="EH122" s="229">
        <v>8.9800000000000005E-2</v>
      </c>
      <c r="EI122" s="229">
        <v>0.50380000000000003</v>
      </c>
      <c r="EJ122" s="231">
        <v>162020.18</v>
      </c>
      <c r="EK122" s="231">
        <v>68776.72</v>
      </c>
      <c r="EL122" s="231">
        <v>91566.13</v>
      </c>
      <c r="EM122" s="231">
        <v>2787</v>
      </c>
      <c r="EN122" s="231">
        <v>322363.03000000003</v>
      </c>
      <c r="EO122" s="231">
        <v>286360</v>
      </c>
      <c r="EP122" s="231">
        <v>36003.03</v>
      </c>
      <c r="EQ122" s="229">
        <v>0.12570000000000001</v>
      </c>
      <c r="ER122" s="231">
        <v>119698</v>
      </c>
      <c r="ES122" s="231">
        <v>92714</v>
      </c>
      <c r="ET122" s="231">
        <v>164617</v>
      </c>
      <c r="EU122" s="231">
        <v>126777205</v>
      </c>
      <c r="EV122" s="231">
        <v>377029</v>
      </c>
      <c r="EW122" s="231">
        <v>379324</v>
      </c>
      <c r="EX122" s="231">
        <v>-2295</v>
      </c>
      <c r="EY122" s="229">
        <v>-6.1000000000000004E-3</v>
      </c>
      <c r="EZ122" s="229">
        <v>1.0183</v>
      </c>
      <c r="FA122" s="227" t="s">
        <v>567</v>
      </c>
      <c r="FB122" s="161">
        <f t="shared" si="1"/>
        <v>13451698</v>
      </c>
    </row>
    <row r="123" spans="1:158" ht="17.25" hidden="1" thickBot="1" x14ac:dyDescent="0.3">
      <c r="A123" s="226">
        <v>45981</v>
      </c>
      <c r="B123" s="227" t="s">
        <v>221</v>
      </c>
      <c r="C123" s="227" t="s">
        <v>561</v>
      </c>
      <c r="D123" s="228">
        <v>150</v>
      </c>
      <c r="E123" s="231">
        <v>6036</v>
      </c>
      <c r="F123" s="231">
        <v>5983.5</v>
      </c>
      <c r="G123" s="228">
        <v>52.5</v>
      </c>
      <c r="H123" s="229">
        <v>8.8000000000000005E-3</v>
      </c>
      <c r="I123" s="231">
        <v>6027</v>
      </c>
      <c r="J123" s="231">
        <v>5972</v>
      </c>
      <c r="K123" s="228">
        <v>55</v>
      </c>
      <c r="L123" s="229">
        <v>9.1999999999999998E-3</v>
      </c>
      <c r="M123" s="231">
        <v>6036</v>
      </c>
      <c r="N123" s="231">
        <v>5983.5</v>
      </c>
      <c r="O123" s="228">
        <v>52.5</v>
      </c>
      <c r="P123" s="229">
        <v>8.8000000000000005E-3</v>
      </c>
      <c r="Q123" s="231">
        <v>6060.5</v>
      </c>
      <c r="R123" s="231">
        <v>6006.5</v>
      </c>
      <c r="S123" s="228">
        <v>54</v>
      </c>
      <c r="T123" s="229">
        <v>8.9999999999999993E-3</v>
      </c>
      <c r="U123" s="231">
        <v>6080</v>
      </c>
      <c r="V123" s="231">
        <v>6020</v>
      </c>
      <c r="W123" s="228">
        <v>60</v>
      </c>
      <c r="X123" s="229">
        <v>0.01</v>
      </c>
      <c r="Y123" s="228">
        <v>9</v>
      </c>
      <c r="Z123" s="228">
        <v>11.5</v>
      </c>
      <c r="AA123" s="228">
        <v>-2.5</v>
      </c>
      <c r="AB123" s="229">
        <v>1.5E-3</v>
      </c>
      <c r="AC123" s="228">
        <v>9</v>
      </c>
      <c r="AD123" s="228">
        <v>11.5</v>
      </c>
      <c r="AE123" s="228">
        <v>-2.5</v>
      </c>
      <c r="AF123" s="229">
        <v>1.5E-3</v>
      </c>
      <c r="AG123" s="228">
        <v>33.5</v>
      </c>
      <c r="AH123" s="228">
        <v>34.5</v>
      </c>
      <c r="AI123" s="228">
        <v>-1</v>
      </c>
      <c r="AJ123" s="229">
        <v>5.5999999999999999E-3</v>
      </c>
      <c r="AK123" s="228">
        <v>53</v>
      </c>
      <c r="AL123" s="228">
        <v>48</v>
      </c>
      <c r="AM123" s="228">
        <v>5</v>
      </c>
      <c r="AN123" s="229">
        <v>8.8000000000000005E-3</v>
      </c>
      <c r="AO123" s="231">
        <v>6047.44</v>
      </c>
      <c r="AP123" s="231">
        <v>6066.12</v>
      </c>
      <c r="AQ123" s="228">
        <v>0</v>
      </c>
      <c r="AR123" s="230">
        <v>2734800</v>
      </c>
      <c r="AS123" s="230">
        <v>1483200</v>
      </c>
      <c r="AT123" s="230">
        <v>1251600</v>
      </c>
      <c r="AU123" s="229">
        <v>0.84389999999999998</v>
      </c>
      <c r="AV123" s="230">
        <v>1453950</v>
      </c>
      <c r="AW123" s="230">
        <v>978900</v>
      </c>
      <c r="AX123" s="230">
        <v>475050</v>
      </c>
      <c r="AY123" s="229">
        <v>0.48530000000000001</v>
      </c>
      <c r="AZ123" s="230">
        <v>1277100</v>
      </c>
      <c r="BA123" s="230">
        <v>496800</v>
      </c>
      <c r="BB123" s="230">
        <v>780300</v>
      </c>
      <c r="BC123" s="229">
        <v>1.5707</v>
      </c>
      <c r="BD123" s="230">
        <v>3750</v>
      </c>
      <c r="BE123" s="230">
        <v>7500</v>
      </c>
      <c r="BF123" s="230">
        <v>-3750</v>
      </c>
      <c r="BG123" s="229">
        <v>-0.5</v>
      </c>
      <c r="BH123" s="230">
        <v>4954500</v>
      </c>
      <c r="BI123" s="230">
        <v>13252200</v>
      </c>
      <c r="BJ123" s="230">
        <v>-8297700</v>
      </c>
      <c r="BK123" s="229">
        <v>-0.62609999999999999</v>
      </c>
      <c r="BL123" s="230">
        <v>2257500</v>
      </c>
      <c r="BM123" s="230">
        <v>3651750</v>
      </c>
      <c r="BN123" s="230">
        <v>-1394250</v>
      </c>
      <c r="BO123" s="229">
        <v>-0.38179999999999997</v>
      </c>
      <c r="BP123" s="230">
        <v>9946800</v>
      </c>
      <c r="BQ123" s="230">
        <v>18387150</v>
      </c>
      <c r="BR123" s="230">
        <v>-8440350</v>
      </c>
      <c r="BS123" s="229">
        <v>-0.45900000000000002</v>
      </c>
      <c r="BT123" s="230">
        <v>418357</v>
      </c>
      <c r="BU123" s="230">
        <v>911185</v>
      </c>
      <c r="BV123" s="230">
        <v>-492828</v>
      </c>
      <c r="BW123" s="229">
        <v>-0.54090000000000005</v>
      </c>
      <c r="BX123" s="230">
        <v>2287050</v>
      </c>
      <c r="BY123" s="230">
        <v>2221950</v>
      </c>
      <c r="BZ123" s="230">
        <v>65100</v>
      </c>
      <c r="CA123" s="229">
        <v>2.93E-2</v>
      </c>
      <c r="CB123" s="230">
        <v>1050300</v>
      </c>
      <c r="CC123" s="230">
        <v>1926900</v>
      </c>
      <c r="CD123" s="230">
        <v>-876600</v>
      </c>
      <c r="CE123" s="229">
        <v>-0.45490000000000003</v>
      </c>
      <c r="CF123" s="230">
        <v>1228650</v>
      </c>
      <c r="CG123" s="230">
        <v>289050</v>
      </c>
      <c r="CH123" s="230">
        <v>939600</v>
      </c>
      <c r="CI123" s="229">
        <v>3.2505999999999999</v>
      </c>
      <c r="CJ123" s="230">
        <v>8100</v>
      </c>
      <c r="CK123" s="230">
        <v>6000</v>
      </c>
      <c r="CL123" s="230">
        <v>2100</v>
      </c>
      <c r="CM123" s="229">
        <v>0.35</v>
      </c>
      <c r="CN123" s="230">
        <v>1083300</v>
      </c>
      <c r="CO123" s="230">
        <v>1211100</v>
      </c>
      <c r="CP123" s="230">
        <v>-127800</v>
      </c>
      <c r="CQ123" s="229">
        <v>-0.1055</v>
      </c>
      <c r="CR123" s="230">
        <v>823650</v>
      </c>
      <c r="CS123" s="230">
        <v>790800</v>
      </c>
      <c r="CT123" s="230">
        <v>32850</v>
      </c>
      <c r="CU123" s="229">
        <v>4.1500000000000002E-2</v>
      </c>
      <c r="CV123" s="230">
        <v>4194000</v>
      </c>
      <c r="CW123" s="230">
        <v>4223850</v>
      </c>
      <c r="CX123" s="230">
        <v>-29850</v>
      </c>
      <c r="CY123" s="229">
        <v>-7.1000000000000004E-3</v>
      </c>
      <c r="CZ123" s="228">
        <v>23.89</v>
      </c>
      <c r="DA123" s="228">
        <v>26.89</v>
      </c>
      <c r="DB123" s="228">
        <v>-3</v>
      </c>
      <c r="DC123" s="228">
        <v>-3</v>
      </c>
      <c r="DD123" s="228">
        <v>33.21</v>
      </c>
      <c r="DE123" s="228">
        <v>33.270000000000003</v>
      </c>
      <c r="DF123" s="228">
        <v>-9.32</v>
      </c>
      <c r="DG123" s="228">
        <v>-0.06</v>
      </c>
      <c r="DH123" s="228">
        <v>23.55</v>
      </c>
      <c r="DI123" s="228">
        <v>26.74</v>
      </c>
      <c r="DJ123" s="228">
        <v>-3.19</v>
      </c>
      <c r="DK123" s="228">
        <v>-3.19</v>
      </c>
      <c r="DL123" s="228">
        <v>24.59</v>
      </c>
      <c r="DM123" s="228">
        <v>27.47</v>
      </c>
      <c r="DN123" s="228">
        <v>-2.88</v>
      </c>
      <c r="DO123" s="228">
        <v>-2.88</v>
      </c>
      <c r="DP123" s="228">
        <v>0.76</v>
      </c>
      <c r="DQ123" s="228">
        <v>0.65</v>
      </c>
      <c r="DR123" s="228">
        <v>0.11</v>
      </c>
      <c r="DS123" s="229">
        <v>0.16919999999999999</v>
      </c>
      <c r="DT123" s="231">
        <v>6400</v>
      </c>
      <c r="DU123" s="231">
        <v>5800</v>
      </c>
      <c r="DV123" s="228">
        <v>0.46</v>
      </c>
      <c r="DW123" s="228">
        <v>0.28000000000000003</v>
      </c>
      <c r="DX123" s="228">
        <v>0.18</v>
      </c>
      <c r="DY123" s="229">
        <v>0.64290000000000003</v>
      </c>
      <c r="DZ123" s="229">
        <v>0.54079999999999995</v>
      </c>
      <c r="EA123" s="230">
        <v>295050</v>
      </c>
      <c r="EB123" s="229">
        <v>4.1000000000000003E-3</v>
      </c>
      <c r="EC123" s="229">
        <v>0.54079999999999995</v>
      </c>
      <c r="ED123" s="228">
        <v>18.68</v>
      </c>
      <c r="EE123" s="229">
        <v>3.0999999999999999E-3</v>
      </c>
      <c r="EF123" s="230">
        <v>183394</v>
      </c>
      <c r="EG123" s="230">
        <v>335354</v>
      </c>
      <c r="EH123" s="229">
        <v>-0.4531</v>
      </c>
      <c r="EI123" s="229">
        <v>0.43840000000000001</v>
      </c>
      <c r="EJ123" s="231">
        <v>306334.25</v>
      </c>
      <c r="EK123" s="231">
        <v>134182.09</v>
      </c>
      <c r="EL123" s="231">
        <v>165626.43</v>
      </c>
      <c r="EM123" s="231">
        <v>3239</v>
      </c>
      <c r="EN123" s="231">
        <v>606142.77</v>
      </c>
      <c r="EO123" s="231">
        <v>1110839.1200000001</v>
      </c>
      <c r="EP123" s="231">
        <v>-504696.35</v>
      </c>
      <c r="EQ123" s="229">
        <v>-0.45429999999999998</v>
      </c>
      <c r="ER123" s="231">
        <v>66045</v>
      </c>
      <c r="ES123" s="231">
        <v>46584</v>
      </c>
      <c r="ET123" s="231">
        <v>138351</v>
      </c>
      <c r="EU123" s="231">
        <v>9315942</v>
      </c>
      <c r="EV123" s="231">
        <v>250979</v>
      </c>
      <c r="EW123" s="231">
        <v>251072</v>
      </c>
      <c r="EX123" s="228">
        <v>-93</v>
      </c>
      <c r="EY123" s="229">
        <v>-4.0000000000000002E-4</v>
      </c>
      <c r="EZ123" s="229">
        <v>0.45019999999999999</v>
      </c>
      <c r="FA123" s="227" t="s">
        <v>555</v>
      </c>
      <c r="FB123" s="161">
        <f t="shared" si="1"/>
        <v>1236750</v>
      </c>
    </row>
    <row r="124" spans="1:158" ht="17.25" hidden="1" thickBot="1" x14ac:dyDescent="0.3">
      <c r="A124" s="226">
        <v>45981</v>
      </c>
      <c r="B124" s="227" t="s">
        <v>170</v>
      </c>
      <c r="C124" s="227" t="s">
        <v>250</v>
      </c>
      <c r="D124" s="228">
        <v>425</v>
      </c>
      <c r="E124" s="231">
        <v>2028.8</v>
      </c>
      <c r="F124" s="231">
        <v>2029.1</v>
      </c>
      <c r="G124" s="228">
        <v>-0.3</v>
      </c>
      <c r="H124" s="229">
        <v>-1E-4</v>
      </c>
      <c r="I124" s="231">
        <v>2030.8</v>
      </c>
      <c r="J124" s="231">
        <v>2025.4</v>
      </c>
      <c r="K124" s="228">
        <v>5.4</v>
      </c>
      <c r="L124" s="229">
        <v>2.7000000000000001E-3</v>
      </c>
      <c r="M124" s="231">
        <v>2028.8</v>
      </c>
      <c r="N124" s="231">
        <v>2029.1</v>
      </c>
      <c r="O124" s="228">
        <v>-0.3</v>
      </c>
      <c r="P124" s="229">
        <v>-1E-4</v>
      </c>
      <c r="Q124" s="231">
        <v>2042.4</v>
      </c>
      <c r="R124" s="231">
        <v>2042.7</v>
      </c>
      <c r="S124" s="228">
        <v>-0.3</v>
      </c>
      <c r="T124" s="229">
        <v>-1E-4</v>
      </c>
      <c r="U124" s="231">
        <v>2058.6</v>
      </c>
      <c r="V124" s="231">
        <v>2053</v>
      </c>
      <c r="W124" s="228">
        <v>5.6</v>
      </c>
      <c r="X124" s="229">
        <v>2.7000000000000001E-3</v>
      </c>
      <c r="Y124" s="228">
        <v>-2</v>
      </c>
      <c r="Z124" s="228">
        <v>3.7</v>
      </c>
      <c r="AA124" s="228">
        <v>-5.7</v>
      </c>
      <c r="AB124" s="229">
        <v>-1E-3</v>
      </c>
      <c r="AC124" s="228">
        <v>-2</v>
      </c>
      <c r="AD124" s="228">
        <v>3.7</v>
      </c>
      <c r="AE124" s="228">
        <v>-5.7</v>
      </c>
      <c r="AF124" s="229">
        <v>-1E-3</v>
      </c>
      <c r="AG124" s="228">
        <v>11.6</v>
      </c>
      <c r="AH124" s="228">
        <v>17.3</v>
      </c>
      <c r="AI124" s="228">
        <v>-5.7</v>
      </c>
      <c r="AJ124" s="229">
        <v>5.7000000000000002E-3</v>
      </c>
      <c r="AK124" s="228">
        <v>27.8</v>
      </c>
      <c r="AL124" s="228">
        <v>27.6</v>
      </c>
      <c r="AM124" s="228">
        <v>0.2</v>
      </c>
      <c r="AN124" s="229">
        <v>1.37E-2</v>
      </c>
      <c r="AO124" s="231">
        <v>2033.31</v>
      </c>
      <c r="AP124" s="231">
        <v>2047.07</v>
      </c>
      <c r="AQ124" s="228">
        <v>0</v>
      </c>
      <c r="AR124" s="230">
        <v>4540275</v>
      </c>
      <c r="AS124" s="230">
        <v>1551675</v>
      </c>
      <c r="AT124" s="230">
        <v>2988600</v>
      </c>
      <c r="AU124" s="229">
        <v>1.9259999999999999</v>
      </c>
      <c r="AV124" s="230">
        <v>2365550</v>
      </c>
      <c r="AW124" s="230">
        <v>1012350</v>
      </c>
      <c r="AX124" s="230">
        <v>1353200</v>
      </c>
      <c r="AY124" s="229">
        <v>1.3367</v>
      </c>
      <c r="AZ124" s="230">
        <v>2166225</v>
      </c>
      <c r="BA124" s="230">
        <v>529125</v>
      </c>
      <c r="BB124" s="230">
        <v>1637100</v>
      </c>
      <c r="BC124" s="229">
        <v>3.0939999999999999</v>
      </c>
      <c r="BD124" s="230">
        <v>8500</v>
      </c>
      <c r="BE124" s="230">
        <v>10200</v>
      </c>
      <c r="BF124" s="230">
        <v>-1700</v>
      </c>
      <c r="BG124" s="229">
        <v>-0.16669999999999999</v>
      </c>
      <c r="BH124" s="230">
        <v>5131875</v>
      </c>
      <c r="BI124" s="230">
        <v>5195200</v>
      </c>
      <c r="BJ124" s="230">
        <v>-63325</v>
      </c>
      <c r="BK124" s="229">
        <v>-1.2200000000000001E-2</v>
      </c>
      <c r="BL124" s="230">
        <v>1921425</v>
      </c>
      <c r="BM124" s="230">
        <v>1799450</v>
      </c>
      <c r="BN124" s="230">
        <v>121975</v>
      </c>
      <c r="BO124" s="229">
        <v>6.7799999999999999E-2</v>
      </c>
      <c r="BP124" s="230">
        <v>11593575</v>
      </c>
      <c r="BQ124" s="230">
        <v>8546325</v>
      </c>
      <c r="BR124" s="230">
        <v>3047250</v>
      </c>
      <c r="BS124" s="229">
        <v>0.35659999999999997</v>
      </c>
      <c r="BT124" s="230">
        <v>613431</v>
      </c>
      <c r="BU124" s="230">
        <v>704615</v>
      </c>
      <c r="BV124" s="230">
        <v>-91184</v>
      </c>
      <c r="BW124" s="229">
        <v>-0.12939999999999999</v>
      </c>
      <c r="BX124" s="230">
        <v>10676850</v>
      </c>
      <c r="BY124" s="230">
        <v>10580375</v>
      </c>
      <c r="BZ124" s="230">
        <v>96475</v>
      </c>
      <c r="CA124" s="229">
        <v>9.1000000000000004E-3</v>
      </c>
      <c r="CB124" s="230">
        <v>8014225</v>
      </c>
      <c r="CC124" s="230">
        <v>9723150</v>
      </c>
      <c r="CD124" s="230">
        <v>-1708925</v>
      </c>
      <c r="CE124" s="229">
        <v>-0.17580000000000001</v>
      </c>
      <c r="CF124" s="230">
        <v>2618425</v>
      </c>
      <c r="CG124" s="230">
        <v>818975</v>
      </c>
      <c r="CH124" s="230">
        <v>1799450</v>
      </c>
      <c r="CI124" s="229">
        <v>2.1972</v>
      </c>
      <c r="CJ124" s="230">
        <v>44200</v>
      </c>
      <c r="CK124" s="230">
        <v>38250</v>
      </c>
      <c r="CL124" s="230">
        <v>5950</v>
      </c>
      <c r="CM124" s="229">
        <v>0.15559999999999999</v>
      </c>
      <c r="CN124" s="230">
        <v>4652475</v>
      </c>
      <c r="CO124" s="230">
        <v>4993750</v>
      </c>
      <c r="CP124" s="230">
        <v>-341275</v>
      </c>
      <c r="CQ124" s="229">
        <v>-6.83E-2</v>
      </c>
      <c r="CR124" s="230">
        <v>3108875</v>
      </c>
      <c r="CS124" s="230">
        <v>3246150</v>
      </c>
      <c r="CT124" s="230">
        <v>-137275</v>
      </c>
      <c r="CU124" s="229">
        <v>-4.2299999999999997E-2</v>
      </c>
      <c r="CV124" s="230">
        <v>18438200</v>
      </c>
      <c r="CW124" s="230">
        <v>18820275</v>
      </c>
      <c r="CX124" s="230">
        <v>-382075</v>
      </c>
      <c r="CY124" s="229">
        <v>-2.0299999999999999E-2</v>
      </c>
      <c r="CZ124" s="228">
        <v>22.55</v>
      </c>
      <c r="DA124" s="228">
        <v>23.75</v>
      </c>
      <c r="DB124" s="228">
        <v>-1.2</v>
      </c>
      <c r="DC124" s="228">
        <v>-1.2</v>
      </c>
      <c r="DD124" s="228">
        <v>31.27</v>
      </c>
      <c r="DE124" s="228">
        <v>31.35</v>
      </c>
      <c r="DF124" s="228">
        <v>-8.7200000000000006</v>
      </c>
      <c r="DG124" s="228">
        <v>-0.08</v>
      </c>
      <c r="DH124" s="228">
        <v>22.45</v>
      </c>
      <c r="DI124" s="228">
        <v>23.82</v>
      </c>
      <c r="DJ124" s="228">
        <v>-1.37</v>
      </c>
      <c r="DK124" s="228">
        <v>-1.37</v>
      </c>
      <c r="DL124" s="228">
        <v>22.69</v>
      </c>
      <c r="DM124" s="228">
        <v>23.53</v>
      </c>
      <c r="DN124" s="228">
        <v>-0.84</v>
      </c>
      <c r="DO124" s="228">
        <v>-0.84</v>
      </c>
      <c r="DP124" s="228">
        <v>0.67</v>
      </c>
      <c r="DQ124" s="228">
        <v>0.65</v>
      </c>
      <c r="DR124" s="228">
        <v>0.02</v>
      </c>
      <c r="DS124" s="229">
        <v>3.0800000000000001E-2</v>
      </c>
      <c r="DT124" s="231">
        <v>2060</v>
      </c>
      <c r="DU124" s="231">
        <v>2000</v>
      </c>
      <c r="DV124" s="228">
        <v>0.37</v>
      </c>
      <c r="DW124" s="228">
        <v>0.35</v>
      </c>
      <c r="DX124" s="228">
        <v>0.02</v>
      </c>
      <c r="DY124" s="229">
        <v>5.7099999999999998E-2</v>
      </c>
      <c r="DZ124" s="229">
        <v>0.24940000000000001</v>
      </c>
      <c r="EA124" s="230">
        <v>857225</v>
      </c>
      <c r="EB124" s="229">
        <v>6.7000000000000002E-3</v>
      </c>
      <c r="EC124" s="229">
        <v>0.24940000000000001</v>
      </c>
      <c r="ED124" s="228">
        <v>13.76</v>
      </c>
      <c r="EE124" s="229">
        <v>6.7999999999999996E-3</v>
      </c>
      <c r="EF124" s="230">
        <v>421254</v>
      </c>
      <c r="EG124" s="230">
        <v>496132</v>
      </c>
      <c r="EH124" s="229">
        <v>-0.15090000000000001</v>
      </c>
      <c r="EI124" s="229">
        <v>0.68669999999999998</v>
      </c>
      <c r="EJ124" s="231">
        <v>107282.3</v>
      </c>
      <c r="EK124" s="231">
        <v>38434.28</v>
      </c>
      <c r="EL124" s="231">
        <v>92618.25</v>
      </c>
      <c r="EM124" s="231">
        <v>3913</v>
      </c>
      <c r="EN124" s="231">
        <v>238334.83</v>
      </c>
      <c r="EO124" s="231">
        <v>177016.66</v>
      </c>
      <c r="EP124" s="231">
        <v>61318.17</v>
      </c>
      <c r="EQ124" s="229">
        <v>0.34639999999999999</v>
      </c>
      <c r="ER124" s="231">
        <v>96750</v>
      </c>
      <c r="ES124" s="231">
        <v>60773</v>
      </c>
      <c r="ET124" s="231">
        <v>216981</v>
      </c>
      <c r="EU124" s="231">
        <v>35341043</v>
      </c>
      <c r="EV124" s="231">
        <v>374504</v>
      </c>
      <c r="EW124" s="231">
        <v>381833</v>
      </c>
      <c r="EX124" s="231">
        <v>-7329</v>
      </c>
      <c r="EY124" s="229">
        <v>-1.9199999999999998E-2</v>
      </c>
      <c r="EZ124" s="229">
        <v>0.52170000000000005</v>
      </c>
      <c r="FA124" s="227" t="s">
        <v>567</v>
      </c>
      <c r="FB124" s="161">
        <f t="shared" si="1"/>
        <v>2662625</v>
      </c>
    </row>
    <row r="125" spans="1:158" ht="17.25" hidden="1" thickBot="1" x14ac:dyDescent="0.3">
      <c r="A125" s="226">
        <v>45981</v>
      </c>
      <c r="B125" s="227" t="s">
        <v>162</v>
      </c>
      <c r="C125" s="227" t="s">
        <v>251</v>
      </c>
      <c r="D125" s="228">
        <v>200</v>
      </c>
      <c r="E125" s="231">
        <v>3721.7</v>
      </c>
      <c r="F125" s="231">
        <v>3724.3</v>
      </c>
      <c r="G125" s="228">
        <v>-2.6</v>
      </c>
      <c r="H125" s="229">
        <v>-6.9999999999999999E-4</v>
      </c>
      <c r="I125" s="231">
        <v>3716.7</v>
      </c>
      <c r="J125" s="231">
        <v>3722.5</v>
      </c>
      <c r="K125" s="228">
        <v>-5.8</v>
      </c>
      <c r="L125" s="229">
        <v>-1.6000000000000001E-3</v>
      </c>
      <c r="M125" s="231">
        <v>3721.7</v>
      </c>
      <c r="N125" s="231">
        <v>3724.3</v>
      </c>
      <c r="O125" s="228">
        <v>-2.6</v>
      </c>
      <c r="P125" s="229">
        <v>-6.9999999999999999E-4</v>
      </c>
      <c r="Q125" s="231">
        <v>3747.3</v>
      </c>
      <c r="R125" s="231">
        <v>3749.9</v>
      </c>
      <c r="S125" s="228">
        <v>-2.6</v>
      </c>
      <c r="T125" s="229">
        <v>-6.9999999999999999E-4</v>
      </c>
      <c r="U125" s="231">
        <v>3769.6</v>
      </c>
      <c r="V125" s="231">
        <v>3769.4</v>
      </c>
      <c r="W125" s="228">
        <v>0.2</v>
      </c>
      <c r="X125" s="229">
        <v>1E-4</v>
      </c>
      <c r="Y125" s="228">
        <v>5</v>
      </c>
      <c r="Z125" s="228">
        <v>1.8</v>
      </c>
      <c r="AA125" s="228">
        <v>3.2</v>
      </c>
      <c r="AB125" s="229">
        <v>1.2999999999999999E-3</v>
      </c>
      <c r="AC125" s="228">
        <v>5</v>
      </c>
      <c r="AD125" s="228">
        <v>1.8</v>
      </c>
      <c r="AE125" s="228">
        <v>3.2</v>
      </c>
      <c r="AF125" s="229">
        <v>1.2999999999999999E-3</v>
      </c>
      <c r="AG125" s="228">
        <v>30.6</v>
      </c>
      <c r="AH125" s="228">
        <v>27.4</v>
      </c>
      <c r="AI125" s="228">
        <v>3.2</v>
      </c>
      <c r="AJ125" s="229">
        <v>8.2000000000000007E-3</v>
      </c>
      <c r="AK125" s="228">
        <v>52.9</v>
      </c>
      <c r="AL125" s="228">
        <v>46.9</v>
      </c>
      <c r="AM125" s="228">
        <v>6</v>
      </c>
      <c r="AN125" s="229">
        <v>1.4200000000000001E-2</v>
      </c>
      <c r="AO125" s="231">
        <v>3734.7</v>
      </c>
      <c r="AP125" s="231">
        <v>3760.05</v>
      </c>
      <c r="AQ125" s="228">
        <v>0</v>
      </c>
      <c r="AR125" s="230">
        <v>12290000</v>
      </c>
      <c r="AS125" s="230">
        <v>2316600</v>
      </c>
      <c r="AT125" s="230">
        <v>9973400</v>
      </c>
      <c r="AU125" s="229">
        <v>4.3052000000000001</v>
      </c>
      <c r="AV125" s="230">
        <v>6298800</v>
      </c>
      <c r="AW125" s="230">
        <v>1610800</v>
      </c>
      <c r="AX125" s="230">
        <v>4688000</v>
      </c>
      <c r="AY125" s="229">
        <v>2.9104000000000001</v>
      </c>
      <c r="AZ125" s="230">
        <v>5966600</v>
      </c>
      <c r="BA125" s="230">
        <v>684200</v>
      </c>
      <c r="BB125" s="230">
        <v>5282400</v>
      </c>
      <c r="BC125" s="229">
        <v>7.7205000000000004</v>
      </c>
      <c r="BD125" s="230">
        <v>24600</v>
      </c>
      <c r="BE125" s="230">
        <v>21600</v>
      </c>
      <c r="BF125" s="230">
        <v>3000</v>
      </c>
      <c r="BG125" s="229">
        <v>0.1389</v>
      </c>
      <c r="BH125" s="230">
        <v>7379400</v>
      </c>
      <c r="BI125" s="230">
        <v>7519600</v>
      </c>
      <c r="BJ125" s="230">
        <v>-140200</v>
      </c>
      <c r="BK125" s="229">
        <v>-1.8599999999999998E-2</v>
      </c>
      <c r="BL125" s="230">
        <v>3908600</v>
      </c>
      <c r="BM125" s="230">
        <v>4785800</v>
      </c>
      <c r="BN125" s="230">
        <v>-877200</v>
      </c>
      <c r="BO125" s="229">
        <v>-0.18329999999999999</v>
      </c>
      <c r="BP125" s="230">
        <v>23578000</v>
      </c>
      <c r="BQ125" s="230">
        <v>14622000</v>
      </c>
      <c r="BR125" s="230">
        <v>8956000</v>
      </c>
      <c r="BS125" s="229">
        <v>0.61250000000000004</v>
      </c>
      <c r="BT125" s="230">
        <v>2058471</v>
      </c>
      <c r="BU125" s="230">
        <v>1676362</v>
      </c>
      <c r="BV125" s="230">
        <v>382109</v>
      </c>
      <c r="BW125" s="229">
        <v>0.22789999999999999</v>
      </c>
      <c r="BX125" s="230">
        <v>18563000</v>
      </c>
      <c r="BY125" s="230">
        <v>18586400</v>
      </c>
      <c r="BZ125" s="230">
        <v>-23400</v>
      </c>
      <c r="CA125" s="229">
        <v>-1.2999999999999999E-3</v>
      </c>
      <c r="CB125" s="230">
        <v>11351000</v>
      </c>
      <c r="CC125" s="230">
        <v>16620600</v>
      </c>
      <c r="CD125" s="230">
        <v>-5269600</v>
      </c>
      <c r="CE125" s="229">
        <v>-0.31709999999999999</v>
      </c>
      <c r="CF125" s="230">
        <v>7111000</v>
      </c>
      <c r="CG125" s="230">
        <v>1871600</v>
      </c>
      <c r="CH125" s="230">
        <v>5239400</v>
      </c>
      <c r="CI125" s="229">
        <v>2.7993999999999999</v>
      </c>
      <c r="CJ125" s="230">
        <v>101000</v>
      </c>
      <c r="CK125" s="230">
        <v>94200</v>
      </c>
      <c r="CL125" s="230">
        <v>6800</v>
      </c>
      <c r="CM125" s="229">
        <v>7.22E-2</v>
      </c>
      <c r="CN125" s="230">
        <v>4712600</v>
      </c>
      <c r="CO125" s="230">
        <v>4959200</v>
      </c>
      <c r="CP125" s="230">
        <v>-246600</v>
      </c>
      <c r="CQ125" s="229">
        <v>-4.9700000000000001E-2</v>
      </c>
      <c r="CR125" s="230">
        <v>3576800</v>
      </c>
      <c r="CS125" s="230">
        <v>3621000</v>
      </c>
      <c r="CT125" s="230">
        <v>-44200</v>
      </c>
      <c r="CU125" s="229">
        <v>-1.2200000000000001E-2</v>
      </c>
      <c r="CV125" s="230">
        <v>26852400</v>
      </c>
      <c r="CW125" s="230">
        <v>27166600</v>
      </c>
      <c r="CX125" s="230">
        <v>-314200</v>
      </c>
      <c r="CY125" s="229">
        <v>-1.1599999999999999E-2</v>
      </c>
      <c r="CZ125" s="228">
        <v>23.75</v>
      </c>
      <c r="DA125" s="228">
        <v>24.73</v>
      </c>
      <c r="DB125" s="228">
        <v>-0.98</v>
      </c>
      <c r="DC125" s="228">
        <v>-0.98</v>
      </c>
      <c r="DD125" s="228">
        <v>33.130000000000003</v>
      </c>
      <c r="DE125" s="228">
        <v>33.21</v>
      </c>
      <c r="DF125" s="228">
        <v>-9.3800000000000008</v>
      </c>
      <c r="DG125" s="228">
        <v>-0.08</v>
      </c>
      <c r="DH125" s="228">
        <v>23.67</v>
      </c>
      <c r="DI125" s="228">
        <v>23.51</v>
      </c>
      <c r="DJ125" s="228">
        <v>0.16</v>
      </c>
      <c r="DK125" s="228">
        <v>0.16</v>
      </c>
      <c r="DL125" s="228">
        <v>23.87</v>
      </c>
      <c r="DM125" s="228">
        <v>26.63</v>
      </c>
      <c r="DN125" s="228">
        <v>-2.76</v>
      </c>
      <c r="DO125" s="228">
        <v>-2.76</v>
      </c>
      <c r="DP125" s="228">
        <v>0.76</v>
      </c>
      <c r="DQ125" s="228">
        <v>0.73</v>
      </c>
      <c r="DR125" s="228">
        <v>0.03</v>
      </c>
      <c r="DS125" s="229">
        <v>4.1099999999999998E-2</v>
      </c>
      <c r="DT125" s="231">
        <v>3800</v>
      </c>
      <c r="DU125" s="231">
        <v>3600</v>
      </c>
      <c r="DV125" s="228">
        <v>0.53</v>
      </c>
      <c r="DW125" s="228">
        <v>0.64</v>
      </c>
      <c r="DX125" s="228">
        <v>-0.11</v>
      </c>
      <c r="DY125" s="229">
        <v>-0.1719</v>
      </c>
      <c r="DZ125" s="229">
        <v>0.38850000000000001</v>
      </c>
      <c r="EA125" s="230">
        <v>1965800</v>
      </c>
      <c r="EB125" s="229">
        <v>6.8999999999999999E-3</v>
      </c>
      <c r="EC125" s="229">
        <v>0.38850000000000001</v>
      </c>
      <c r="ED125" s="228">
        <v>25.35</v>
      </c>
      <c r="EE125" s="229">
        <v>6.7999999999999996E-3</v>
      </c>
      <c r="EF125" s="230">
        <v>1248172</v>
      </c>
      <c r="EG125" s="230">
        <v>1097186</v>
      </c>
      <c r="EH125" s="229">
        <v>0.1376</v>
      </c>
      <c r="EI125" s="229">
        <v>0.60640000000000005</v>
      </c>
      <c r="EJ125" s="231">
        <v>282974.67</v>
      </c>
      <c r="EK125" s="231">
        <v>142902.1</v>
      </c>
      <c r="EL125" s="231">
        <v>460519.72</v>
      </c>
      <c r="EM125" s="231">
        <v>10434</v>
      </c>
      <c r="EN125" s="231">
        <v>886396.49</v>
      </c>
      <c r="EO125" s="231">
        <v>548085.31999999995</v>
      </c>
      <c r="EP125" s="231">
        <v>338311.17</v>
      </c>
      <c r="EQ125" s="229">
        <v>0.61729999999999996</v>
      </c>
      <c r="ER125" s="231">
        <v>178433</v>
      </c>
      <c r="ES125" s="231">
        <v>126402</v>
      </c>
      <c r="ET125" s="231">
        <v>692728</v>
      </c>
      <c r="EU125" s="231">
        <v>100261459</v>
      </c>
      <c r="EV125" s="231">
        <v>997564</v>
      </c>
      <c r="EW125" s="231">
        <v>1008478</v>
      </c>
      <c r="EX125" s="231">
        <v>-10914</v>
      </c>
      <c r="EY125" s="229">
        <v>-1.0800000000000001E-2</v>
      </c>
      <c r="EZ125" s="229">
        <v>0.26779999999999998</v>
      </c>
      <c r="FA125" s="227" t="s">
        <v>568</v>
      </c>
      <c r="FB125" s="161">
        <f t="shared" si="1"/>
        <v>7212000</v>
      </c>
    </row>
    <row r="126" spans="1:158" ht="17.25" hidden="1" thickBot="1" x14ac:dyDescent="0.3">
      <c r="A126" s="226">
        <v>45981</v>
      </c>
      <c r="B126" s="227" t="s">
        <v>175</v>
      </c>
      <c r="C126" s="227" t="s">
        <v>253</v>
      </c>
      <c r="D126" s="228">
        <v>3000</v>
      </c>
      <c r="E126" s="228">
        <v>282.10000000000002</v>
      </c>
      <c r="F126" s="228">
        <v>280.75</v>
      </c>
      <c r="G126" s="228">
        <v>1.35</v>
      </c>
      <c r="H126" s="229">
        <v>4.7999999999999996E-3</v>
      </c>
      <c r="I126" s="228">
        <v>282.05</v>
      </c>
      <c r="J126" s="228">
        <v>280.35000000000002</v>
      </c>
      <c r="K126" s="228">
        <v>1.7</v>
      </c>
      <c r="L126" s="229">
        <v>6.1000000000000004E-3</v>
      </c>
      <c r="M126" s="228">
        <v>282.10000000000002</v>
      </c>
      <c r="N126" s="228">
        <v>280.75</v>
      </c>
      <c r="O126" s="228">
        <v>1.35</v>
      </c>
      <c r="P126" s="229">
        <v>4.7999999999999996E-3</v>
      </c>
      <c r="Q126" s="228">
        <v>284</v>
      </c>
      <c r="R126" s="228">
        <v>282.7</v>
      </c>
      <c r="S126" s="228">
        <v>1.3</v>
      </c>
      <c r="T126" s="229">
        <v>4.5999999999999999E-3</v>
      </c>
      <c r="U126" s="228">
        <v>285.14999999999998</v>
      </c>
      <c r="V126" s="228">
        <v>283.89999999999998</v>
      </c>
      <c r="W126" s="228">
        <v>1.25</v>
      </c>
      <c r="X126" s="229">
        <v>4.4000000000000003E-3</v>
      </c>
      <c r="Y126" s="228">
        <v>0.05</v>
      </c>
      <c r="Z126" s="228">
        <v>0.4</v>
      </c>
      <c r="AA126" s="228">
        <v>-0.35</v>
      </c>
      <c r="AB126" s="229">
        <v>2.0000000000000001E-4</v>
      </c>
      <c r="AC126" s="228">
        <v>0.05</v>
      </c>
      <c r="AD126" s="228">
        <v>0.4</v>
      </c>
      <c r="AE126" s="228">
        <v>-0.35</v>
      </c>
      <c r="AF126" s="229">
        <v>2.0000000000000001E-4</v>
      </c>
      <c r="AG126" s="228">
        <v>1.95</v>
      </c>
      <c r="AH126" s="228">
        <v>2.35</v>
      </c>
      <c r="AI126" s="228">
        <v>-0.4</v>
      </c>
      <c r="AJ126" s="229">
        <v>6.8999999999999999E-3</v>
      </c>
      <c r="AK126" s="228">
        <v>3.1</v>
      </c>
      <c r="AL126" s="228">
        <v>3.55</v>
      </c>
      <c r="AM126" s="228">
        <v>-0.45</v>
      </c>
      <c r="AN126" s="229">
        <v>1.0999999999999999E-2</v>
      </c>
      <c r="AO126" s="228">
        <v>282.22000000000003</v>
      </c>
      <c r="AP126" s="228">
        <v>284.06</v>
      </c>
      <c r="AQ126" s="228">
        <v>0</v>
      </c>
      <c r="AR126" s="230">
        <v>18999000</v>
      </c>
      <c r="AS126" s="230">
        <v>17772000</v>
      </c>
      <c r="AT126" s="230">
        <v>1227000</v>
      </c>
      <c r="AU126" s="229">
        <v>6.9000000000000006E-2</v>
      </c>
      <c r="AV126" s="230">
        <v>9897000</v>
      </c>
      <c r="AW126" s="230">
        <v>9690000</v>
      </c>
      <c r="AX126" s="230">
        <v>207000</v>
      </c>
      <c r="AY126" s="229">
        <v>2.1399999999999999E-2</v>
      </c>
      <c r="AZ126" s="230">
        <v>9003000</v>
      </c>
      <c r="BA126" s="230">
        <v>7806000</v>
      </c>
      <c r="BB126" s="230">
        <v>1197000</v>
      </c>
      <c r="BC126" s="229">
        <v>0.15329999999999999</v>
      </c>
      <c r="BD126" s="230">
        <v>99000</v>
      </c>
      <c r="BE126" s="230">
        <v>276000</v>
      </c>
      <c r="BF126" s="230">
        <v>-177000</v>
      </c>
      <c r="BG126" s="229">
        <v>-0.64129999999999998</v>
      </c>
      <c r="BH126" s="230">
        <v>29484000</v>
      </c>
      <c r="BI126" s="230">
        <v>29793000</v>
      </c>
      <c r="BJ126" s="230">
        <v>-309000</v>
      </c>
      <c r="BK126" s="229">
        <v>-1.04E-2</v>
      </c>
      <c r="BL126" s="230">
        <v>11709000</v>
      </c>
      <c r="BM126" s="230">
        <v>11244000</v>
      </c>
      <c r="BN126" s="230">
        <v>465000</v>
      </c>
      <c r="BO126" s="229">
        <v>4.1399999999999999E-2</v>
      </c>
      <c r="BP126" s="230">
        <v>60192000</v>
      </c>
      <c r="BQ126" s="230">
        <v>58809000</v>
      </c>
      <c r="BR126" s="230">
        <v>1383000</v>
      </c>
      <c r="BS126" s="229">
        <v>2.35E-2</v>
      </c>
      <c r="BT126" s="230">
        <v>2377558</v>
      </c>
      <c r="BU126" s="230">
        <v>2445614</v>
      </c>
      <c r="BV126" s="230">
        <v>-68056</v>
      </c>
      <c r="BW126" s="229">
        <v>-2.7799999999999998E-2</v>
      </c>
      <c r="BX126" s="230">
        <v>45978000</v>
      </c>
      <c r="BY126" s="230">
        <v>46845000</v>
      </c>
      <c r="BZ126" s="230">
        <v>-867000</v>
      </c>
      <c r="CA126" s="229">
        <v>-1.8499999999999999E-2</v>
      </c>
      <c r="CB126" s="230">
        <v>29637000</v>
      </c>
      <c r="CC126" s="230">
        <v>36816000</v>
      </c>
      <c r="CD126" s="230">
        <v>-7179000</v>
      </c>
      <c r="CE126" s="229">
        <v>-0.19500000000000001</v>
      </c>
      <c r="CF126" s="230">
        <v>15906000</v>
      </c>
      <c r="CG126" s="230">
        <v>9624000</v>
      </c>
      <c r="CH126" s="230">
        <v>6282000</v>
      </c>
      <c r="CI126" s="229">
        <v>0.65269999999999995</v>
      </c>
      <c r="CJ126" s="230">
        <v>435000</v>
      </c>
      <c r="CK126" s="230">
        <v>405000</v>
      </c>
      <c r="CL126" s="230">
        <v>30000</v>
      </c>
      <c r="CM126" s="229">
        <v>7.4099999999999999E-2</v>
      </c>
      <c r="CN126" s="230">
        <v>21534000</v>
      </c>
      <c r="CO126" s="230">
        <v>23715000</v>
      </c>
      <c r="CP126" s="230">
        <v>-2181000</v>
      </c>
      <c r="CQ126" s="229">
        <v>-9.1999999999999998E-2</v>
      </c>
      <c r="CR126" s="230">
        <v>12528000</v>
      </c>
      <c r="CS126" s="230">
        <v>12681000</v>
      </c>
      <c r="CT126" s="230">
        <v>-153000</v>
      </c>
      <c r="CU126" s="229">
        <v>-1.21E-2</v>
      </c>
      <c r="CV126" s="230">
        <v>80040000</v>
      </c>
      <c r="CW126" s="230">
        <v>83241000</v>
      </c>
      <c r="CX126" s="230">
        <v>-3201000</v>
      </c>
      <c r="CY126" s="229">
        <v>-3.85E-2</v>
      </c>
      <c r="CZ126" s="228">
        <v>27.75</v>
      </c>
      <c r="DA126" s="228">
        <v>28.3</v>
      </c>
      <c r="DB126" s="228">
        <v>-0.55000000000000004</v>
      </c>
      <c r="DC126" s="228">
        <v>-0.55000000000000004</v>
      </c>
      <c r="DD126" s="228">
        <v>41.64</v>
      </c>
      <c r="DE126" s="228">
        <v>41.74</v>
      </c>
      <c r="DF126" s="228">
        <v>-13.89</v>
      </c>
      <c r="DG126" s="228">
        <v>-0.1</v>
      </c>
      <c r="DH126" s="228">
        <v>27.36</v>
      </c>
      <c r="DI126" s="228">
        <v>28.44</v>
      </c>
      <c r="DJ126" s="228">
        <v>-1.08</v>
      </c>
      <c r="DK126" s="228">
        <v>-1.08</v>
      </c>
      <c r="DL126" s="228">
        <v>28.75</v>
      </c>
      <c r="DM126" s="228">
        <v>27.93</v>
      </c>
      <c r="DN126" s="228">
        <v>0.82</v>
      </c>
      <c r="DO126" s="228">
        <v>0.82</v>
      </c>
      <c r="DP126" s="228">
        <v>0.57999999999999996</v>
      </c>
      <c r="DQ126" s="228">
        <v>0.53</v>
      </c>
      <c r="DR126" s="228">
        <v>0.05</v>
      </c>
      <c r="DS126" s="229">
        <v>9.4299999999999995E-2</v>
      </c>
      <c r="DT126" s="228">
        <v>280</v>
      </c>
      <c r="DU126" s="228">
        <v>270</v>
      </c>
      <c r="DV126" s="228">
        <v>0.4</v>
      </c>
      <c r="DW126" s="228">
        <v>0.38</v>
      </c>
      <c r="DX126" s="228">
        <v>0.02</v>
      </c>
      <c r="DY126" s="229">
        <v>5.2600000000000001E-2</v>
      </c>
      <c r="DZ126" s="229">
        <v>0.35539999999999999</v>
      </c>
      <c r="EA126" s="230">
        <v>10029000</v>
      </c>
      <c r="EB126" s="229">
        <v>6.7000000000000002E-3</v>
      </c>
      <c r="EC126" s="229">
        <v>0.35539999999999999</v>
      </c>
      <c r="ED126" s="228">
        <v>1.84</v>
      </c>
      <c r="EE126" s="229">
        <v>6.4999999999999997E-3</v>
      </c>
      <c r="EF126" s="230">
        <v>1260758</v>
      </c>
      <c r="EG126" s="230">
        <v>1023766</v>
      </c>
      <c r="EH126" s="229">
        <v>0.23150000000000001</v>
      </c>
      <c r="EI126" s="229">
        <v>0.53029999999999999</v>
      </c>
      <c r="EJ126" s="231">
        <v>85458.67</v>
      </c>
      <c r="EK126" s="231">
        <v>32520.1</v>
      </c>
      <c r="EL126" s="231">
        <v>53788.43</v>
      </c>
      <c r="EM126" s="231">
        <v>4413</v>
      </c>
      <c r="EN126" s="231">
        <v>171767.2</v>
      </c>
      <c r="EO126" s="231">
        <v>167431.76</v>
      </c>
      <c r="EP126" s="231">
        <v>4335.4399999999996</v>
      </c>
      <c r="EQ126" s="229">
        <v>2.5899999999999999E-2</v>
      </c>
      <c r="ER126" s="231">
        <v>62460</v>
      </c>
      <c r="ES126" s="231">
        <v>33616</v>
      </c>
      <c r="ET126" s="231">
        <v>130019</v>
      </c>
      <c r="EU126" s="231">
        <v>82205057</v>
      </c>
      <c r="EV126" s="231">
        <v>226095</v>
      </c>
      <c r="EW126" s="231">
        <v>234451</v>
      </c>
      <c r="EX126" s="231">
        <v>-8356</v>
      </c>
      <c r="EY126" s="229">
        <v>-3.56E-2</v>
      </c>
      <c r="EZ126" s="229">
        <v>0.97370000000000001</v>
      </c>
      <c r="FA126" s="227" t="s">
        <v>556</v>
      </c>
      <c r="FB126" s="161">
        <f t="shared" si="1"/>
        <v>16341000</v>
      </c>
    </row>
    <row r="127" spans="1:158" ht="17.25" hidden="1" thickBot="1" x14ac:dyDescent="0.3">
      <c r="A127" s="226">
        <v>45981</v>
      </c>
      <c r="B127" s="227" t="s">
        <v>170</v>
      </c>
      <c r="C127" s="227" t="s">
        <v>673</v>
      </c>
      <c r="D127" s="228">
        <v>225</v>
      </c>
      <c r="E127" s="231">
        <v>2241.6999999999998</v>
      </c>
      <c r="F127" s="231">
        <v>2228.1</v>
      </c>
      <c r="G127" s="228">
        <v>13.6</v>
      </c>
      <c r="H127" s="229">
        <v>6.1000000000000004E-3</v>
      </c>
      <c r="I127" s="231">
        <v>2239.5</v>
      </c>
      <c r="J127" s="231">
        <v>2223.1</v>
      </c>
      <c r="K127" s="228">
        <v>16.399999999999999</v>
      </c>
      <c r="L127" s="229">
        <v>7.4000000000000003E-3</v>
      </c>
      <c r="M127" s="231">
        <v>2241.6999999999998</v>
      </c>
      <c r="N127" s="231">
        <v>2228.1</v>
      </c>
      <c r="O127" s="228">
        <v>13.6</v>
      </c>
      <c r="P127" s="229">
        <v>6.1000000000000004E-3</v>
      </c>
      <c r="Q127" s="231">
        <v>2256.9</v>
      </c>
      <c r="R127" s="231">
        <v>2242.1999999999998</v>
      </c>
      <c r="S127" s="228">
        <v>14.7</v>
      </c>
      <c r="T127" s="229">
        <v>6.6E-3</v>
      </c>
      <c r="U127" s="231">
        <v>2273.1</v>
      </c>
      <c r="V127" s="231">
        <v>2259.1999999999998</v>
      </c>
      <c r="W127" s="228">
        <v>13.9</v>
      </c>
      <c r="X127" s="229">
        <v>6.1999999999999998E-3</v>
      </c>
      <c r="Y127" s="228">
        <v>2.2000000000000002</v>
      </c>
      <c r="Z127" s="228">
        <v>5</v>
      </c>
      <c r="AA127" s="228">
        <v>-2.8</v>
      </c>
      <c r="AB127" s="229">
        <v>1E-3</v>
      </c>
      <c r="AC127" s="228">
        <v>2.2000000000000002</v>
      </c>
      <c r="AD127" s="228">
        <v>5</v>
      </c>
      <c r="AE127" s="228">
        <v>-2.8</v>
      </c>
      <c r="AF127" s="229">
        <v>1E-3</v>
      </c>
      <c r="AG127" s="228">
        <v>17.399999999999999</v>
      </c>
      <c r="AH127" s="228">
        <v>19.100000000000001</v>
      </c>
      <c r="AI127" s="228">
        <v>-1.7</v>
      </c>
      <c r="AJ127" s="229">
        <v>7.7999999999999996E-3</v>
      </c>
      <c r="AK127" s="228">
        <v>33.6</v>
      </c>
      <c r="AL127" s="228">
        <v>36.1</v>
      </c>
      <c r="AM127" s="228">
        <v>-2.5</v>
      </c>
      <c r="AN127" s="229">
        <v>1.4999999999999999E-2</v>
      </c>
      <c r="AO127" s="231">
        <v>2241.3200000000002</v>
      </c>
      <c r="AP127" s="231">
        <v>2256.36</v>
      </c>
      <c r="AQ127" s="228">
        <v>0</v>
      </c>
      <c r="AR127" s="230">
        <v>1210725</v>
      </c>
      <c r="AS127" s="230">
        <v>397125</v>
      </c>
      <c r="AT127" s="230">
        <v>813600</v>
      </c>
      <c r="AU127" s="229">
        <v>2.0487000000000002</v>
      </c>
      <c r="AV127" s="230">
        <v>643050</v>
      </c>
      <c r="AW127" s="230">
        <v>223425</v>
      </c>
      <c r="AX127" s="230">
        <v>419625</v>
      </c>
      <c r="AY127" s="229">
        <v>1.8781000000000001</v>
      </c>
      <c r="AZ127" s="230">
        <v>556200</v>
      </c>
      <c r="BA127" s="230">
        <v>161775</v>
      </c>
      <c r="BB127" s="230">
        <v>394425</v>
      </c>
      <c r="BC127" s="229">
        <v>2.4380999999999999</v>
      </c>
      <c r="BD127" s="230">
        <v>11475</v>
      </c>
      <c r="BE127" s="230">
        <v>11925</v>
      </c>
      <c r="BF127" s="228">
        <v>-450</v>
      </c>
      <c r="BG127" s="229">
        <v>-3.7699999999999997E-2</v>
      </c>
      <c r="BH127" s="230">
        <v>1493325</v>
      </c>
      <c r="BI127" s="230">
        <v>750375</v>
      </c>
      <c r="BJ127" s="230">
        <v>742950</v>
      </c>
      <c r="BK127" s="229">
        <v>0.99009999999999998</v>
      </c>
      <c r="BL127" s="230">
        <v>333225</v>
      </c>
      <c r="BM127" s="230">
        <v>256275</v>
      </c>
      <c r="BN127" s="230">
        <v>76950</v>
      </c>
      <c r="BO127" s="229">
        <v>0.30030000000000001</v>
      </c>
      <c r="BP127" s="230">
        <v>3037275</v>
      </c>
      <c r="BQ127" s="230">
        <v>1403775</v>
      </c>
      <c r="BR127" s="230">
        <v>1633500</v>
      </c>
      <c r="BS127" s="229">
        <v>1.1636</v>
      </c>
      <c r="BT127" s="230">
        <v>2383564</v>
      </c>
      <c r="BU127" s="230">
        <v>256047</v>
      </c>
      <c r="BV127" s="230">
        <v>2127517</v>
      </c>
      <c r="BW127" s="229">
        <v>8.3091000000000008</v>
      </c>
      <c r="BX127" s="230">
        <v>2902500</v>
      </c>
      <c r="BY127" s="230">
        <v>2934225</v>
      </c>
      <c r="BZ127" s="230">
        <v>-31725</v>
      </c>
      <c r="CA127" s="229">
        <v>-1.0800000000000001E-2</v>
      </c>
      <c r="CB127" s="230">
        <v>2054025</v>
      </c>
      <c r="CC127" s="230">
        <v>2451600</v>
      </c>
      <c r="CD127" s="230">
        <v>-397575</v>
      </c>
      <c r="CE127" s="229">
        <v>-0.16220000000000001</v>
      </c>
      <c r="CF127" s="230">
        <v>788400</v>
      </c>
      <c r="CG127" s="230">
        <v>429300</v>
      </c>
      <c r="CH127" s="230">
        <v>359100</v>
      </c>
      <c r="CI127" s="229">
        <v>0.83650000000000002</v>
      </c>
      <c r="CJ127" s="230">
        <v>60075</v>
      </c>
      <c r="CK127" s="230">
        <v>53325</v>
      </c>
      <c r="CL127" s="230">
        <v>6750</v>
      </c>
      <c r="CM127" s="229">
        <v>0.12659999999999999</v>
      </c>
      <c r="CN127" s="230">
        <v>1305900</v>
      </c>
      <c r="CO127" s="230">
        <v>1530450</v>
      </c>
      <c r="CP127" s="230">
        <v>-224550</v>
      </c>
      <c r="CQ127" s="229">
        <v>-0.1467</v>
      </c>
      <c r="CR127" s="230">
        <v>598725</v>
      </c>
      <c r="CS127" s="230">
        <v>619200</v>
      </c>
      <c r="CT127" s="230">
        <v>-20475</v>
      </c>
      <c r="CU127" s="229">
        <v>-3.3099999999999997E-2</v>
      </c>
      <c r="CV127" s="230">
        <v>4807125</v>
      </c>
      <c r="CW127" s="230">
        <v>5083875</v>
      </c>
      <c r="CX127" s="230">
        <v>-276750</v>
      </c>
      <c r="CY127" s="229">
        <v>-5.4399999999999997E-2</v>
      </c>
      <c r="CZ127" s="228">
        <v>26.02</v>
      </c>
      <c r="DA127" s="228">
        <v>30.5</v>
      </c>
      <c r="DB127" s="228">
        <v>-4.4800000000000004</v>
      </c>
      <c r="DC127" s="228">
        <v>-4.4800000000000004</v>
      </c>
      <c r="DD127" s="228">
        <v>33.520000000000003</v>
      </c>
      <c r="DE127" s="228">
        <v>33.590000000000003</v>
      </c>
      <c r="DF127" s="228">
        <v>-7.5</v>
      </c>
      <c r="DG127" s="228">
        <v>-7.0000000000000007E-2</v>
      </c>
      <c r="DH127" s="228">
        <v>26.09</v>
      </c>
      <c r="DI127" s="228">
        <v>32.28</v>
      </c>
      <c r="DJ127" s="228">
        <v>-6.19</v>
      </c>
      <c r="DK127" s="228">
        <v>-6.19</v>
      </c>
      <c r="DL127" s="228">
        <v>25.88</v>
      </c>
      <c r="DM127" s="228">
        <v>25.27</v>
      </c>
      <c r="DN127" s="228">
        <v>0.61</v>
      </c>
      <c r="DO127" s="228">
        <v>0.61</v>
      </c>
      <c r="DP127" s="228">
        <v>0.46</v>
      </c>
      <c r="DQ127" s="228">
        <v>0.4</v>
      </c>
      <c r="DR127" s="228">
        <v>0.06</v>
      </c>
      <c r="DS127" s="229">
        <v>0.15</v>
      </c>
      <c r="DT127" s="231">
        <v>2300</v>
      </c>
      <c r="DU127" s="231">
        <v>2300</v>
      </c>
      <c r="DV127" s="228">
        <v>0.22</v>
      </c>
      <c r="DW127" s="228">
        <v>0.34</v>
      </c>
      <c r="DX127" s="228">
        <v>-0.12</v>
      </c>
      <c r="DY127" s="229">
        <v>-0.35289999999999999</v>
      </c>
      <c r="DZ127" s="229">
        <v>0.2923</v>
      </c>
      <c r="EA127" s="230">
        <v>482625</v>
      </c>
      <c r="EB127" s="229">
        <v>6.7999999999999996E-3</v>
      </c>
      <c r="EC127" s="229">
        <v>0.2923</v>
      </c>
      <c r="ED127" s="228">
        <v>15.04</v>
      </c>
      <c r="EE127" s="229">
        <v>6.7000000000000002E-3</v>
      </c>
      <c r="EF127" s="230">
        <v>2242347</v>
      </c>
      <c r="EG127" s="230">
        <v>157144</v>
      </c>
      <c r="EH127" s="229">
        <v>13.269399999999999</v>
      </c>
      <c r="EI127" s="229">
        <v>0.94079999999999997</v>
      </c>
      <c r="EJ127" s="231">
        <v>35342.04</v>
      </c>
      <c r="EK127" s="231">
        <v>7479.51</v>
      </c>
      <c r="EL127" s="231">
        <v>27223.86</v>
      </c>
      <c r="EM127" s="231">
        <v>2164</v>
      </c>
      <c r="EN127" s="231">
        <v>70045.41</v>
      </c>
      <c r="EO127" s="231">
        <v>32304.6</v>
      </c>
      <c r="EP127" s="231">
        <v>37740.81</v>
      </c>
      <c r="EQ127" s="229">
        <v>1.1682999999999999</v>
      </c>
      <c r="ER127" s="231">
        <v>31162</v>
      </c>
      <c r="ES127" s="231">
        <v>13524</v>
      </c>
      <c r="ET127" s="231">
        <v>65204</v>
      </c>
      <c r="EU127" s="231">
        <v>16915220</v>
      </c>
      <c r="EV127" s="231">
        <v>109890</v>
      </c>
      <c r="EW127" s="231">
        <v>116325</v>
      </c>
      <c r="EX127" s="231">
        <v>-6435</v>
      </c>
      <c r="EY127" s="229">
        <v>-5.5300000000000002E-2</v>
      </c>
      <c r="EZ127" s="229">
        <v>0.28420000000000001</v>
      </c>
      <c r="FA127" s="227" t="s">
        <v>556</v>
      </c>
      <c r="FB127" s="161">
        <f t="shared" si="1"/>
        <v>848475</v>
      </c>
    </row>
    <row r="128" spans="1:158" ht="17.25" hidden="1" thickBot="1" x14ac:dyDescent="0.3">
      <c r="A128" s="226">
        <v>45981</v>
      </c>
      <c r="B128" s="227" t="s">
        <v>168</v>
      </c>
      <c r="C128" s="227" t="s">
        <v>254</v>
      </c>
      <c r="D128" s="228">
        <v>1200</v>
      </c>
      <c r="E128" s="228">
        <v>736.75</v>
      </c>
      <c r="F128" s="228">
        <v>748.9</v>
      </c>
      <c r="G128" s="228">
        <v>-12.15</v>
      </c>
      <c r="H128" s="229">
        <v>-1.6199999999999999E-2</v>
      </c>
      <c r="I128" s="228">
        <v>736.15</v>
      </c>
      <c r="J128" s="228">
        <v>748.15</v>
      </c>
      <c r="K128" s="228">
        <v>-12</v>
      </c>
      <c r="L128" s="229">
        <v>-1.6E-2</v>
      </c>
      <c r="M128" s="228">
        <v>736.75</v>
      </c>
      <c r="N128" s="228">
        <v>748.9</v>
      </c>
      <c r="O128" s="228">
        <v>-12.15</v>
      </c>
      <c r="P128" s="229">
        <v>-1.6199999999999999E-2</v>
      </c>
      <c r="Q128" s="228">
        <v>742.1</v>
      </c>
      <c r="R128" s="228">
        <v>753.65</v>
      </c>
      <c r="S128" s="228">
        <v>-11.55</v>
      </c>
      <c r="T128" s="229">
        <v>-1.5299999999999999E-2</v>
      </c>
      <c r="U128" s="228">
        <v>744.8</v>
      </c>
      <c r="V128" s="228">
        <v>758.75</v>
      </c>
      <c r="W128" s="228">
        <v>-13.95</v>
      </c>
      <c r="X128" s="229">
        <v>-1.84E-2</v>
      </c>
      <c r="Y128" s="228">
        <v>0.6</v>
      </c>
      <c r="Z128" s="228">
        <v>0.75</v>
      </c>
      <c r="AA128" s="228">
        <v>-0.15</v>
      </c>
      <c r="AB128" s="229">
        <v>8.0000000000000004E-4</v>
      </c>
      <c r="AC128" s="228">
        <v>0.6</v>
      </c>
      <c r="AD128" s="228">
        <v>0.75</v>
      </c>
      <c r="AE128" s="228">
        <v>-0.15</v>
      </c>
      <c r="AF128" s="229">
        <v>8.0000000000000004E-4</v>
      </c>
      <c r="AG128" s="228">
        <v>5.95</v>
      </c>
      <c r="AH128" s="228">
        <v>5.5</v>
      </c>
      <c r="AI128" s="228">
        <v>0.45</v>
      </c>
      <c r="AJ128" s="229">
        <v>8.0999999999999996E-3</v>
      </c>
      <c r="AK128" s="228">
        <v>8.65</v>
      </c>
      <c r="AL128" s="228">
        <v>10.6</v>
      </c>
      <c r="AM128" s="228">
        <v>-1.95</v>
      </c>
      <c r="AN128" s="229">
        <v>1.18E-2</v>
      </c>
      <c r="AO128" s="228">
        <v>744.05</v>
      </c>
      <c r="AP128" s="228">
        <v>749.08</v>
      </c>
      <c r="AQ128" s="228">
        <v>0</v>
      </c>
      <c r="AR128" s="230">
        <v>20115600</v>
      </c>
      <c r="AS128" s="230">
        <v>2104800</v>
      </c>
      <c r="AT128" s="230">
        <v>18010800</v>
      </c>
      <c r="AU128" s="229">
        <v>8.5570000000000004</v>
      </c>
      <c r="AV128" s="230">
        <v>10491600</v>
      </c>
      <c r="AW128" s="230">
        <v>1675200</v>
      </c>
      <c r="AX128" s="230">
        <v>8816400</v>
      </c>
      <c r="AY128" s="229">
        <v>5.2629000000000001</v>
      </c>
      <c r="AZ128" s="230">
        <v>9589200</v>
      </c>
      <c r="BA128" s="230">
        <v>384000</v>
      </c>
      <c r="BB128" s="230">
        <v>9205200</v>
      </c>
      <c r="BC128" s="229">
        <v>23.971900000000002</v>
      </c>
      <c r="BD128" s="230">
        <v>34800</v>
      </c>
      <c r="BE128" s="230">
        <v>45600</v>
      </c>
      <c r="BF128" s="230">
        <v>-10800</v>
      </c>
      <c r="BG128" s="229">
        <v>-0.23680000000000001</v>
      </c>
      <c r="BH128" s="230">
        <v>12699600</v>
      </c>
      <c r="BI128" s="230">
        <v>14706000</v>
      </c>
      <c r="BJ128" s="230">
        <v>-2006400</v>
      </c>
      <c r="BK128" s="229">
        <v>-0.13639999999999999</v>
      </c>
      <c r="BL128" s="230">
        <v>7782000</v>
      </c>
      <c r="BM128" s="230">
        <v>9276000</v>
      </c>
      <c r="BN128" s="230">
        <v>-1494000</v>
      </c>
      <c r="BO128" s="229">
        <v>-0.16109999999999999</v>
      </c>
      <c r="BP128" s="230">
        <v>40597200</v>
      </c>
      <c r="BQ128" s="230">
        <v>26086800</v>
      </c>
      <c r="BR128" s="230">
        <v>14510400</v>
      </c>
      <c r="BS128" s="229">
        <v>0.55620000000000003</v>
      </c>
      <c r="BT128" s="230">
        <v>1633709</v>
      </c>
      <c r="BU128" s="230">
        <v>2522796</v>
      </c>
      <c r="BV128" s="230">
        <v>-889087</v>
      </c>
      <c r="BW128" s="229">
        <v>-0.35239999999999999</v>
      </c>
      <c r="BX128" s="230">
        <v>31051200</v>
      </c>
      <c r="BY128" s="230">
        <v>30924000</v>
      </c>
      <c r="BZ128" s="230">
        <v>127200</v>
      </c>
      <c r="CA128" s="229">
        <v>4.1000000000000003E-3</v>
      </c>
      <c r="CB128" s="230">
        <v>21865200</v>
      </c>
      <c r="CC128" s="230">
        <v>30186000</v>
      </c>
      <c r="CD128" s="230">
        <v>-8320800</v>
      </c>
      <c r="CE128" s="229">
        <v>-0.2757</v>
      </c>
      <c r="CF128" s="230">
        <v>9138000</v>
      </c>
      <c r="CG128" s="230">
        <v>692400</v>
      </c>
      <c r="CH128" s="230">
        <v>8445600</v>
      </c>
      <c r="CI128" s="229">
        <v>12.1976</v>
      </c>
      <c r="CJ128" s="230">
        <v>48000</v>
      </c>
      <c r="CK128" s="230">
        <v>45600</v>
      </c>
      <c r="CL128" s="230">
        <v>2400</v>
      </c>
      <c r="CM128" s="229">
        <v>5.2600000000000001E-2</v>
      </c>
      <c r="CN128" s="230">
        <v>7580400</v>
      </c>
      <c r="CO128" s="230">
        <v>7371600</v>
      </c>
      <c r="CP128" s="230">
        <v>208800</v>
      </c>
      <c r="CQ128" s="229">
        <v>2.8299999999999999E-2</v>
      </c>
      <c r="CR128" s="230">
        <v>5194800</v>
      </c>
      <c r="CS128" s="230">
        <v>5907600</v>
      </c>
      <c r="CT128" s="230">
        <v>-712800</v>
      </c>
      <c r="CU128" s="229">
        <v>-0.1207</v>
      </c>
      <c r="CV128" s="230">
        <v>43826400</v>
      </c>
      <c r="CW128" s="230">
        <v>44203200</v>
      </c>
      <c r="CX128" s="230">
        <v>-376800</v>
      </c>
      <c r="CY128" s="229">
        <v>-8.5000000000000006E-3</v>
      </c>
      <c r="CZ128" s="228">
        <v>20.47</v>
      </c>
      <c r="DA128" s="228">
        <v>21.46</v>
      </c>
      <c r="DB128" s="228">
        <v>-0.99</v>
      </c>
      <c r="DC128" s="228">
        <v>-0.99</v>
      </c>
      <c r="DD128" s="228">
        <v>25.32</v>
      </c>
      <c r="DE128" s="228">
        <v>25.29</v>
      </c>
      <c r="DF128" s="228">
        <v>-4.8499999999999996</v>
      </c>
      <c r="DG128" s="228">
        <v>0.03</v>
      </c>
      <c r="DH128" s="228">
        <v>20.6</v>
      </c>
      <c r="DI128" s="228">
        <v>21.65</v>
      </c>
      <c r="DJ128" s="228">
        <v>-1.05</v>
      </c>
      <c r="DK128" s="228">
        <v>-1.05</v>
      </c>
      <c r="DL128" s="228">
        <v>20.170000000000002</v>
      </c>
      <c r="DM128" s="228">
        <v>21.17</v>
      </c>
      <c r="DN128" s="228">
        <v>-1</v>
      </c>
      <c r="DO128" s="228">
        <v>-1</v>
      </c>
      <c r="DP128" s="228">
        <v>0.69</v>
      </c>
      <c r="DQ128" s="228">
        <v>0.8</v>
      </c>
      <c r="DR128" s="228">
        <v>-0.11</v>
      </c>
      <c r="DS128" s="229">
        <v>-0.13750000000000001</v>
      </c>
      <c r="DT128" s="228">
        <v>760</v>
      </c>
      <c r="DU128" s="228">
        <v>730</v>
      </c>
      <c r="DV128" s="228">
        <v>0.61</v>
      </c>
      <c r="DW128" s="228">
        <v>0.63</v>
      </c>
      <c r="DX128" s="228">
        <v>-0.02</v>
      </c>
      <c r="DY128" s="229">
        <v>-3.1699999999999999E-2</v>
      </c>
      <c r="DZ128" s="229">
        <v>0.29580000000000001</v>
      </c>
      <c r="EA128" s="230">
        <v>738000</v>
      </c>
      <c r="EB128" s="229">
        <v>7.3000000000000001E-3</v>
      </c>
      <c r="EC128" s="229">
        <v>0.29580000000000001</v>
      </c>
      <c r="ED128" s="228">
        <v>5.03</v>
      </c>
      <c r="EE128" s="229">
        <v>6.7999999999999996E-3</v>
      </c>
      <c r="EF128" s="230">
        <v>1205027</v>
      </c>
      <c r="EG128" s="230">
        <v>1877325</v>
      </c>
      <c r="EH128" s="229">
        <v>-0.35809999999999997</v>
      </c>
      <c r="EI128" s="229">
        <v>0.73760000000000003</v>
      </c>
      <c r="EJ128" s="231">
        <v>97353.7</v>
      </c>
      <c r="EK128" s="231">
        <v>57194.52</v>
      </c>
      <c r="EL128" s="231">
        <v>150155.26999999999</v>
      </c>
      <c r="EM128" s="231">
        <v>4040</v>
      </c>
      <c r="EN128" s="231">
        <v>304703.49</v>
      </c>
      <c r="EO128" s="231">
        <v>198509.16</v>
      </c>
      <c r="EP128" s="231">
        <v>106194.33</v>
      </c>
      <c r="EQ128" s="229">
        <v>0.53500000000000003</v>
      </c>
      <c r="ER128" s="231">
        <v>58285</v>
      </c>
      <c r="ES128" s="231">
        <v>37102</v>
      </c>
      <c r="ET128" s="231">
        <v>229262</v>
      </c>
      <c r="EU128" s="231">
        <v>79408529</v>
      </c>
      <c r="EV128" s="231">
        <v>324649</v>
      </c>
      <c r="EW128" s="231">
        <v>330725</v>
      </c>
      <c r="EX128" s="231">
        <v>-6076</v>
      </c>
      <c r="EY128" s="229">
        <v>-1.84E-2</v>
      </c>
      <c r="EZ128" s="229">
        <v>0.55189999999999995</v>
      </c>
      <c r="FA128" s="227" t="s">
        <v>567</v>
      </c>
      <c r="FB128" s="161">
        <f t="shared" si="1"/>
        <v>9186000</v>
      </c>
    </row>
    <row r="129" spans="1:158" ht="17.25" hidden="1" thickBot="1" x14ac:dyDescent="0.3">
      <c r="A129" s="226">
        <v>45981</v>
      </c>
      <c r="B129" s="227" t="s">
        <v>162</v>
      </c>
      <c r="C129" s="227" t="s">
        <v>255</v>
      </c>
      <c r="D129" s="228">
        <v>50</v>
      </c>
      <c r="E129" s="231">
        <v>15813</v>
      </c>
      <c r="F129" s="231">
        <v>15753</v>
      </c>
      <c r="G129" s="228">
        <v>60</v>
      </c>
      <c r="H129" s="229">
        <v>3.8E-3</v>
      </c>
      <c r="I129" s="231">
        <v>15801</v>
      </c>
      <c r="J129" s="231">
        <v>15768</v>
      </c>
      <c r="K129" s="228">
        <v>33</v>
      </c>
      <c r="L129" s="229">
        <v>2.0999999999999999E-3</v>
      </c>
      <c r="M129" s="231">
        <v>15813</v>
      </c>
      <c r="N129" s="231">
        <v>15753</v>
      </c>
      <c r="O129" s="228">
        <v>60</v>
      </c>
      <c r="P129" s="229">
        <v>3.8E-3</v>
      </c>
      <c r="Q129" s="231">
        <v>15921</v>
      </c>
      <c r="R129" s="231">
        <v>15861</v>
      </c>
      <c r="S129" s="228">
        <v>60</v>
      </c>
      <c r="T129" s="229">
        <v>3.8E-3</v>
      </c>
      <c r="U129" s="231">
        <v>16012</v>
      </c>
      <c r="V129" s="231">
        <v>15949</v>
      </c>
      <c r="W129" s="228">
        <v>63</v>
      </c>
      <c r="X129" s="229">
        <v>4.0000000000000001E-3</v>
      </c>
      <c r="Y129" s="228">
        <v>12</v>
      </c>
      <c r="Z129" s="228">
        <v>-15</v>
      </c>
      <c r="AA129" s="228">
        <v>27</v>
      </c>
      <c r="AB129" s="229">
        <v>8.0000000000000004E-4</v>
      </c>
      <c r="AC129" s="228">
        <v>12</v>
      </c>
      <c r="AD129" s="228">
        <v>-15</v>
      </c>
      <c r="AE129" s="228">
        <v>27</v>
      </c>
      <c r="AF129" s="229">
        <v>8.0000000000000004E-4</v>
      </c>
      <c r="AG129" s="228">
        <v>120</v>
      </c>
      <c r="AH129" s="228">
        <v>93</v>
      </c>
      <c r="AI129" s="228">
        <v>27</v>
      </c>
      <c r="AJ129" s="229">
        <v>7.6E-3</v>
      </c>
      <c r="AK129" s="228">
        <v>211</v>
      </c>
      <c r="AL129" s="228">
        <v>181</v>
      </c>
      <c r="AM129" s="228">
        <v>30</v>
      </c>
      <c r="AN129" s="229">
        <v>1.34E-2</v>
      </c>
      <c r="AO129" s="231">
        <v>15731.56</v>
      </c>
      <c r="AP129" s="231">
        <v>15838.91</v>
      </c>
      <c r="AQ129" s="228">
        <v>0</v>
      </c>
      <c r="AR129" s="230">
        <v>1380650</v>
      </c>
      <c r="AS129" s="230">
        <v>481800</v>
      </c>
      <c r="AT129" s="230">
        <v>898850</v>
      </c>
      <c r="AU129" s="229">
        <v>1.8655999999999999</v>
      </c>
      <c r="AV129" s="230">
        <v>730800</v>
      </c>
      <c r="AW129" s="230">
        <v>363800</v>
      </c>
      <c r="AX129" s="230">
        <v>367000</v>
      </c>
      <c r="AY129" s="229">
        <v>1.0087999999999999</v>
      </c>
      <c r="AZ129" s="230">
        <v>646950</v>
      </c>
      <c r="BA129" s="230">
        <v>113750</v>
      </c>
      <c r="BB129" s="230">
        <v>533200</v>
      </c>
      <c r="BC129" s="229">
        <v>4.6875</v>
      </c>
      <c r="BD129" s="230">
        <v>2900</v>
      </c>
      <c r="BE129" s="230">
        <v>4250</v>
      </c>
      <c r="BF129" s="230">
        <v>-1350</v>
      </c>
      <c r="BG129" s="229">
        <v>-0.31759999999999999</v>
      </c>
      <c r="BH129" s="230">
        <v>7404400</v>
      </c>
      <c r="BI129" s="230">
        <v>5578450</v>
      </c>
      <c r="BJ129" s="230">
        <v>1825950</v>
      </c>
      <c r="BK129" s="229">
        <v>0.32729999999999998</v>
      </c>
      <c r="BL129" s="230">
        <v>3194950</v>
      </c>
      <c r="BM129" s="230">
        <v>2923250</v>
      </c>
      <c r="BN129" s="230">
        <v>271700</v>
      </c>
      <c r="BO129" s="229">
        <v>9.2899999999999996E-2</v>
      </c>
      <c r="BP129" s="230">
        <v>11980000</v>
      </c>
      <c r="BQ129" s="230">
        <v>8983500</v>
      </c>
      <c r="BR129" s="230">
        <v>2996500</v>
      </c>
      <c r="BS129" s="229">
        <v>0.33360000000000001</v>
      </c>
      <c r="BT129" s="230">
        <v>259846</v>
      </c>
      <c r="BU129" s="230">
        <v>290875</v>
      </c>
      <c r="BV129" s="230">
        <v>-31029</v>
      </c>
      <c r="BW129" s="229">
        <v>-0.1067</v>
      </c>
      <c r="BX129" s="230">
        <v>2600250</v>
      </c>
      <c r="BY129" s="230">
        <v>2597000</v>
      </c>
      <c r="BZ129" s="230">
        <v>3250</v>
      </c>
      <c r="CA129" s="229">
        <v>1.2999999999999999E-3</v>
      </c>
      <c r="CB129" s="230">
        <v>1762550</v>
      </c>
      <c r="CC129" s="230">
        <v>2281050</v>
      </c>
      <c r="CD129" s="230">
        <v>-518500</v>
      </c>
      <c r="CE129" s="229">
        <v>-0.2273</v>
      </c>
      <c r="CF129" s="230">
        <v>820450</v>
      </c>
      <c r="CG129" s="230">
        <v>299400</v>
      </c>
      <c r="CH129" s="230">
        <v>521050</v>
      </c>
      <c r="CI129" s="229">
        <v>1.7403</v>
      </c>
      <c r="CJ129" s="230">
        <v>17250</v>
      </c>
      <c r="CK129" s="230">
        <v>16550</v>
      </c>
      <c r="CL129" s="228">
        <v>700</v>
      </c>
      <c r="CM129" s="229">
        <v>4.2299999999999997E-2</v>
      </c>
      <c r="CN129" s="230">
        <v>2852050</v>
      </c>
      <c r="CO129" s="230">
        <v>3190500</v>
      </c>
      <c r="CP129" s="230">
        <v>-338450</v>
      </c>
      <c r="CQ129" s="229">
        <v>-0.1061</v>
      </c>
      <c r="CR129" s="230">
        <v>1312300</v>
      </c>
      <c r="CS129" s="230">
        <v>1371450</v>
      </c>
      <c r="CT129" s="230">
        <v>-59150</v>
      </c>
      <c r="CU129" s="229">
        <v>-4.3099999999999999E-2</v>
      </c>
      <c r="CV129" s="230">
        <v>6764600</v>
      </c>
      <c r="CW129" s="230">
        <v>7158950</v>
      </c>
      <c r="CX129" s="230">
        <v>-394350</v>
      </c>
      <c r="CY129" s="229">
        <v>-5.5100000000000003E-2</v>
      </c>
      <c r="CZ129" s="228">
        <v>17.72</v>
      </c>
      <c r="DA129" s="228">
        <v>19.36</v>
      </c>
      <c r="DB129" s="228">
        <v>-1.64</v>
      </c>
      <c r="DC129" s="228">
        <v>-1.64</v>
      </c>
      <c r="DD129" s="228">
        <v>25.04</v>
      </c>
      <c r="DE129" s="228">
        <v>25.1</v>
      </c>
      <c r="DF129" s="228">
        <v>-7.32</v>
      </c>
      <c r="DG129" s="228">
        <v>-0.06</v>
      </c>
      <c r="DH129" s="228">
        <v>17.38</v>
      </c>
      <c r="DI129" s="228">
        <v>19.649999999999999</v>
      </c>
      <c r="DJ129" s="228">
        <v>-2.27</v>
      </c>
      <c r="DK129" s="228">
        <v>-2.27</v>
      </c>
      <c r="DL129" s="228">
        <v>18.34</v>
      </c>
      <c r="DM129" s="228">
        <v>18.809999999999999</v>
      </c>
      <c r="DN129" s="228">
        <v>-0.47</v>
      </c>
      <c r="DO129" s="228">
        <v>-0.47</v>
      </c>
      <c r="DP129" s="228">
        <v>0.46</v>
      </c>
      <c r="DQ129" s="228">
        <v>0.43</v>
      </c>
      <c r="DR129" s="228">
        <v>0.03</v>
      </c>
      <c r="DS129" s="229">
        <v>6.9800000000000001E-2</v>
      </c>
      <c r="DT129" s="231">
        <v>16000</v>
      </c>
      <c r="DU129" s="231">
        <v>15500</v>
      </c>
      <c r="DV129" s="228">
        <v>0.43</v>
      </c>
      <c r="DW129" s="228">
        <v>0.52</v>
      </c>
      <c r="DX129" s="228">
        <v>-0.09</v>
      </c>
      <c r="DY129" s="229">
        <v>-0.1731</v>
      </c>
      <c r="DZ129" s="229">
        <v>0.32219999999999999</v>
      </c>
      <c r="EA129" s="230">
        <v>315950</v>
      </c>
      <c r="EB129" s="229">
        <v>6.7999999999999996E-3</v>
      </c>
      <c r="EC129" s="229">
        <v>0.32219999999999999</v>
      </c>
      <c r="ED129" s="228">
        <v>107.35</v>
      </c>
      <c r="EE129" s="229">
        <v>6.7999999999999996E-3</v>
      </c>
      <c r="EF129" s="230">
        <v>151290</v>
      </c>
      <c r="EG129" s="230">
        <v>181479</v>
      </c>
      <c r="EH129" s="229">
        <v>-0.1663</v>
      </c>
      <c r="EI129" s="229">
        <v>0.58220000000000005</v>
      </c>
      <c r="EJ129" s="231">
        <v>1201985.8400000001</v>
      </c>
      <c r="EK129" s="231">
        <v>494920.94</v>
      </c>
      <c r="EL129" s="231">
        <v>217897.21</v>
      </c>
      <c r="EM129" s="231">
        <v>7839</v>
      </c>
      <c r="EN129" s="231">
        <v>1914803.99</v>
      </c>
      <c r="EO129" s="231">
        <v>1439295.7</v>
      </c>
      <c r="EP129" s="231">
        <v>475508.29</v>
      </c>
      <c r="EQ129" s="229">
        <v>0.33040000000000003</v>
      </c>
      <c r="ER129" s="231">
        <v>470660</v>
      </c>
      <c r="ES129" s="231">
        <v>200926</v>
      </c>
      <c r="ET129" s="231">
        <v>412098</v>
      </c>
      <c r="EU129" s="231">
        <v>16752897</v>
      </c>
      <c r="EV129" s="231">
        <v>1083684</v>
      </c>
      <c r="EW129" s="231">
        <v>1146123</v>
      </c>
      <c r="EX129" s="231">
        <v>-62439</v>
      </c>
      <c r="EY129" s="229">
        <v>-5.45E-2</v>
      </c>
      <c r="EZ129" s="229">
        <v>0.40379999999999999</v>
      </c>
      <c r="FA129" s="227" t="s">
        <v>555</v>
      </c>
      <c r="FB129" s="161">
        <f t="shared" si="1"/>
        <v>837700</v>
      </c>
    </row>
    <row r="130" spans="1:158" ht="17.25" hidden="1" thickBot="1" x14ac:dyDescent="0.3">
      <c r="A130" s="226">
        <v>45981</v>
      </c>
      <c r="B130" s="227" t="s">
        <v>170</v>
      </c>
      <c r="C130" s="227" t="s">
        <v>603</v>
      </c>
      <c r="D130" s="228">
        <v>525</v>
      </c>
      <c r="E130" s="231">
        <v>1168.3</v>
      </c>
      <c r="F130" s="231">
        <v>1163.5999999999999</v>
      </c>
      <c r="G130" s="228">
        <v>4.7</v>
      </c>
      <c r="H130" s="229">
        <v>4.0000000000000001E-3</v>
      </c>
      <c r="I130" s="231">
        <v>1168.9000000000001</v>
      </c>
      <c r="J130" s="231">
        <v>1164.4000000000001</v>
      </c>
      <c r="K130" s="228">
        <v>4.5</v>
      </c>
      <c r="L130" s="229">
        <v>3.8999999999999998E-3</v>
      </c>
      <c r="M130" s="231">
        <v>1168.3</v>
      </c>
      <c r="N130" s="231">
        <v>1163.5999999999999</v>
      </c>
      <c r="O130" s="228">
        <v>4.7</v>
      </c>
      <c r="P130" s="229">
        <v>4.0000000000000001E-3</v>
      </c>
      <c r="Q130" s="231">
        <v>1175.7</v>
      </c>
      <c r="R130" s="231">
        <v>1171.2</v>
      </c>
      <c r="S130" s="228">
        <v>4.5</v>
      </c>
      <c r="T130" s="229">
        <v>3.8E-3</v>
      </c>
      <c r="U130" s="231">
        <v>1183</v>
      </c>
      <c r="V130" s="231">
        <v>1178.0999999999999</v>
      </c>
      <c r="W130" s="228">
        <v>4.9000000000000004</v>
      </c>
      <c r="X130" s="229">
        <v>4.1999999999999997E-3</v>
      </c>
      <c r="Y130" s="228">
        <v>-0.6</v>
      </c>
      <c r="Z130" s="228">
        <v>-0.8</v>
      </c>
      <c r="AA130" s="228">
        <v>0.2</v>
      </c>
      <c r="AB130" s="229">
        <v>-5.0000000000000001E-4</v>
      </c>
      <c r="AC130" s="228">
        <v>-0.6</v>
      </c>
      <c r="AD130" s="228">
        <v>-0.8</v>
      </c>
      <c r="AE130" s="228">
        <v>0.2</v>
      </c>
      <c r="AF130" s="229">
        <v>-5.0000000000000001E-4</v>
      </c>
      <c r="AG130" s="228">
        <v>6.8</v>
      </c>
      <c r="AH130" s="228">
        <v>6.8</v>
      </c>
      <c r="AI130" s="228">
        <v>0</v>
      </c>
      <c r="AJ130" s="229">
        <v>5.7999999999999996E-3</v>
      </c>
      <c r="AK130" s="228">
        <v>14.1</v>
      </c>
      <c r="AL130" s="228">
        <v>13.7</v>
      </c>
      <c r="AM130" s="228">
        <v>0.4</v>
      </c>
      <c r="AN130" s="229">
        <v>1.21E-2</v>
      </c>
      <c r="AO130" s="231">
        <v>1158.47</v>
      </c>
      <c r="AP130" s="231">
        <v>1165.8699999999999</v>
      </c>
      <c r="AQ130" s="228">
        <v>0</v>
      </c>
      <c r="AR130" s="230">
        <v>10219125</v>
      </c>
      <c r="AS130" s="230">
        <v>5730900</v>
      </c>
      <c r="AT130" s="230">
        <v>4488225</v>
      </c>
      <c r="AU130" s="229">
        <v>0.78320000000000001</v>
      </c>
      <c r="AV130" s="230">
        <v>5422200</v>
      </c>
      <c r="AW130" s="230">
        <v>4445175</v>
      </c>
      <c r="AX130" s="230">
        <v>977025</v>
      </c>
      <c r="AY130" s="229">
        <v>0.2198</v>
      </c>
      <c r="AZ130" s="230">
        <v>4759125</v>
      </c>
      <c r="BA130" s="230">
        <v>1232700</v>
      </c>
      <c r="BB130" s="230">
        <v>3526425</v>
      </c>
      <c r="BC130" s="229">
        <v>2.8607</v>
      </c>
      <c r="BD130" s="230">
        <v>37800</v>
      </c>
      <c r="BE130" s="230">
        <v>53025</v>
      </c>
      <c r="BF130" s="230">
        <v>-15225</v>
      </c>
      <c r="BG130" s="229">
        <v>-0.28710000000000002</v>
      </c>
      <c r="BH130" s="230">
        <v>14739900</v>
      </c>
      <c r="BI130" s="230">
        <v>49324275</v>
      </c>
      <c r="BJ130" s="230">
        <v>-34584375</v>
      </c>
      <c r="BK130" s="229">
        <v>-0.70120000000000005</v>
      </c>
      <c r="BL130" s="230">
        <v>7400400</v>
      </c>
      <c r="BM130" s="230">
        <v>21338625</v>
      </c>
      <c r="BN130" s="230">
        <v>-13938225</v>
      </c>
      <c r="BO130" s="229">
        <v>-0.6532</v>
      </c>
      <c r="BP130" s="230">
        <v>32359425</v>
      </c>
      <c r="BQ130" s="230">
        <v>76393800</v>
      </c>
      <c r="BR130" s="230">
        <v>-44034375</v>
      </c>
      <c r="BS130" s="229">
        <v>-0.57640000000000002</v>
      </c>
      <c r="BT130" s="230">
        <v>2882764</v>
      </c>
      <c r="BU130" s="230">
        <v>6180507</v>
      </c>
      <c r="BV130" s="230">
        <v>-3297743</v>
      </c>
      <c r="BW130" s="229">
        <v>-0.53359999999999996</v>
      </c>
      <c r="BX130" s="230">
        <v>17123925</v>
      </c>
      <c r="BY130" s="230">
        <v>17333400</v>
      </c>
      <c r="BZ130" s="230">
        <v>-209475</v>
      </c>
      <c r="CA130" s="229">
        <v>-1.21E-2</v>
      </c>
      <c r="CB130" s="230">
        <v>11231850</v>
      </c>
      <c r="CC130" s="230">
        <v>15568350</v>
      </c>
      <c r="CD130" s="230">
        <v>-4336500</v>
      </c>
      <c r="CE130" s="229">
        <v>-0.27850000000000003</v>
      </c>
      <c r="CF130" s="230">
        <v>5803875</v>
      </c>
      <c r="CG130" s="230">
        <v>1678950</v>
      </c>
      <c r="CH130" s="230">
        <v>4124925</v>
      </c>
      <c r="CI130" s="229">
        <v>2.4567999999999999</v>
      </c>
      <c r="CJ130" s="230">
        <v>88200</v>
      </c>
      <c r="CK130" s="230">
        <v>86100</v>
      </c>
      <c r="CL130" s="230">
        <v>2100</v>
      </c>
      <c r="CM130" s="229">
        <v>2.4400000000000002E-2</v>
      </c>
      <c r="CN130" s="230">
        <v>4645725</v>
      </c>
      <c r="CO130" s="230">
        <v>5293050</v>
      </c>
      <c r="CP130" s="230">
        <v>-647325</v>
      </c>
      <c r="CQ130" s="229">
        <v>-0.12230000000000001</v>
      </c>
      <c r="CR130" s="230">
        <v>3261300</v>
      </c>
      <c r="CS130" s="230">
        <v>3735900</v>
      </c>
      <c r="CT130" s="230">
        <v>-474600</v>
      </c>
      <c r="CU130" s="229">
        <v>-0.127</v>
      </c>
      <c r="CV130" s="230">
        <v>25030950</v>
      </c>
      <c r="CW130" s="230">
        <v>26362350</v>
      </c>
      <c r="CX130" s="230">
        <v>-1331400</v>
      </c>
      <c r="CY130" s="229">
        <v>-5.0500000000000003E-2</v>
      </c>
      <c r="CZ130" s="228">
        <v>27.7</v>
      </c>
      <c r="DA130" s="228">
        <v>30.38</v>
      </c>
      <c r="DB130" s="228">
        <v>-2.68</v>
      </c>
      <c r="DC130" s="228">
        <v>-2.68</v>
      </c>
      <c r="DD130" s="228">
        <v>40.08</v>
      </c>
      <c r="DE130" s="228">
        <v>40.18</v>
      </c>
      <c r="DF130" s="228">
        <v>-12.38</v>
      </c>
      <c r="DG130" s="228">
        <v>-0.1</v>
      </c>
      <c r="DH130" s="228">
        <v>27.58</v>
      </c>
      <c r="DI130" s="228">
        <v>29.39</v>
      </c>
      <c r="DJ130" s="228">
        <v>-1.81</v>
      </c>
      <c r="DK130" s="228">
        <v>-1.81</v>
      </c>
      <c r="DL130" s="228">
        <v>27.97</v>
      </c>
      <c r="DM130" s="228">
        <v>32.659999999999997</v>
      </c>
      <c r="DN130" s="228">
        <v>-4.6900000000000004</v>
      </c>
      <c r="DO130" s="228">
        <v>-4.6900000000000004</v>
      </c>
      <c r="DP130" s="228">
        <v>0.7</v>
      </c>
      <c r="DQ130" s="228">
        <v>0.71</v>
      </c>
      <c r="DR130" s="228">
        <v>-0.01</v>
      </c>
      <c r="DS130" s="229">
        <v>-1.41E-2</v>
      </c>
      <c r="DT130" s="231">
        <v>1200</v>
      </c>
      <c r="DU130" s="231">
        <v>1100</v>
      </c>
      <c r="DV130" s="228">
        <v>0.5</v>
      </c>
      <c r="DW130" s="228">
        <v>0.43</v>
      </c>
      <c r="DX130" s="228">
        <v>7.0000000000000007E-2</v>
      </c>
      <c r="DY130" s="229">
        <v>0.1628</v>
      </c>
      <c r="DZ130" s="229">
        <v>0.34410000000000002</v>
      </c>
      <c r="EA130" s="230">
        <v>1765050</v>
      </c>
      <c r="EB130" s="229">
        <v>6.3E-3</v>
      </c>
      <c r="EC130" s="229">
        <v>0.34410000000000002</v>
      </c>
      <c r="ED130" s="228">
        <v>7.4</v>
      </c>
      <c r="EE130" s="229">
        <v>6.4000000000000003E-3</v>
      </c>
      <c r="EF130" s="230">
        <v>1853902</v>
      </c>
      <c r="EG130" s="230">
        <v>3728785</v>
      </c>
      <c r="EH130" s="229">
        <v>-0.50280000000000002</v>
      </c>
      <c r="EI130" s="229">
        <v>0.6431</v>
      </c>
      <c r="EJ130" s="231">
        <v>176599.85</v>
      </c>
      <c r="EK130" s="231">
        <v>84339.02</v>
      </c>
      <c r="EL130" s="231">
        <v>118743.03999999999</v>
      </c>
      <c r="EM130" s="231">
        <v>6960</v>
      </c>
      <c r="EN130" s="231">
        <v>379681.91</v>
      </c>
      <c r="EO130" s="231">
        <v>892582.25</v>
      </c>
      <c r="EP130" s="231">
        <v>-512900.34</v>
      </c>
      <c r="EQ130" s="229">
        <v>-0.5746</v>
      </c>
      <c r="ER130" s="231">
        <v>56101</v>
      </c>
      <c r="ES130" s="231">
        <v>36480</v>
      </c>
      <c r="ET130" s="231">
        <v>200501</v>
      </c>
      <c r="EU130" s="231">
        <v>97211768</v>
      </c>
      <c r="EV130" s="231">
        <v>293082</v>
      </c>
      <c r="EW130" s="231">
        <v>307415</v>
      </c>
      <c r="EX130" s="231">
        <v>-14333</v>
      </c>
      <c r="EY130" s="229">
        <v>-4.6600000000000003E-2</v>
      </c>
      <c r="EZ130" s="229">
        <v>0.25750000000000001</v>
      </c>
      <c r="FA130" s="227" t="s">
        <v>556</v>
      </c>
      <c r="FB130" s="161">
        <f t="shared" si="1"/>
        <v>5892075</v>
      </c>
    </row>
    <row r="131" spans="1:158" ht="17.25" hidden="1" thickBot="1" x14ac:dyDescent="0.3">
      <c r="A131" s="226">
        <v>45981</v>
      </c>
      <c r="B131" s="227" t="s">
        <v>215</v>
      </c>
      <c r="C131" s="227" t="s">
        <v>674</v>
      </c>
      <c r="D131" s="228">
        <v>175</v>
      </c>
      <c r="E131" s="231">
        <v>2835.5</v>
      </c>
      <c r="F131" s="231">
        <v>2788.7</v>
      </c>
      <c r="G131" s="228">
        <v>46.8</v>
      </c>
      <c r="H131" s="229">
        <v>1.6799999999999999E-2</v>
      </c>
      <c r="I131" s="231">
        <v>2829.5</v>
      </c>
      <c r="J131" s="231">
        <v>2783.4</v>
      </c>
      <c r="K131" s="228">
        <v>46.1</v>
      </c>
      <c r="L131" s="229">
        <v>1.66E-2</v>
      </c>
      <c r="M131" s="231">
        <v>2835.5</v>
      </c>
      <c r="N131" s="231">
        <v>2788.7</v>
      </c>
      <c r="O131" s="228">
        <v>46.8</v>
      </c>
      <c r="P131" s="229">
        <v>1.6799999999999999E-2</v>
      </c>
      <c r="Q131" s="231">
        <v>2853.8</v>
      </c>
      <c r="R131" s="231">
        <v>2805.9</v>
      </c>
      <c r="S131" s="228">
        <v>47.9</v>
      </c>
      <c r="T131" s="229">
        <v>1.7100000000000001E-2</v>
      </c>
      <c r="U131" s="231">
        <v>2872.5</v>
      </c>
      <c r="V131" s="231">
        <v>2825.7</v>
      </c>
      <c r="W131" s="228">
        <v>46.8</v>
      </c>
      <c r="X131" s="229">
        <v>1.66E-2</v>
      </c>
      <c r="Y131" s="228">
        <v>6</v>
      </c>
      <c r="Z131" s="228">
        <v>5.3</v>
      </c>
      <c r="AA131" s="228">
        <v>0.7</v>
      </c>
      <c r="AB131" s="229">
        <v>2.0999999999999999E-3</v>
      </c>
      <c r="AC131" s="228">
        <v>6</v>
      </c>
      <c r="AD131" s="228">
        <v>5.3</v>
      </c>
      <c r="AE131" s="228">
        <v>0.7</v>
      </c>
      <c r="AF131" s="229">
        <v>2.0999999999999999E-3</v>
      </c>
      <c r="AG131" s="228">
        <v>24.3</v>
      </c>
      <c r="AH131" s="228">
        <v>22.5</v>
      </c>
      <c r="AI131" s="228">
        <v>1.8</v>
      </c>
      <c r="AJ131" s="229">
        <v>8.6E-3</v>
      </c>
      <c r="AK131" s="228">
        <v>43</v>
      </c>
      <c r="AL131" s="228">
        <v>42.3</v>
      </c>
      <c r="AM131" s="228">
        <v>0.7</v>
      </c>
      <c r="AN131" s="229">
        <v>1.52E-2</v>
      </c>
      <c r="AO131" s="231">
        <v>2834.32</v>
      </c>
      <c r="AP131" s="231">
        <v>2852.66</v>
      </c>
      <c r="AQ131" s="228">
        <v>0</v>
      </c>
      <c r="AR131" s="230">
        <v>3195500</v>
      </c>
      <c r="AS131" s="230">
        <v>546000</v>
      </c>
      <c r="AT131" s="230">
        <v>2649500</v>
      </c>
      <c r="AU131" s="229">
        <v>4.8525999999999998</v>
      </c>
      <c r="AV131" s="230">
        <v>1856050</v>
      </c>
      <c r="AW131" s="230">
        <v>363125</v>
      </c>
      <c r="AX131" s="230">
        <v>1492925</v>
      </c>
      <c r="AY131" s="229">
        <v>4.1113</v>
      </c>
      <c r="AZ131" s="230">
        <v>1312325</v>
      </c>
      <c r="BA131" s="230">
        <v>175875</v>
      </c>
      <c r="BB131" s="230">
        <v>1136450</v>
      </c>
      <c r="BC131" s="229">
        <v>6.4617000000000004</v>
      </c>
      <c r="BD131" s="230">
        <v>27125</v>
      </c>
      <c r="BE131" s="230">
        <v>7000</v>
      </c>
      <c r="BF131" s="230">
        <v>20125</v>
      </c>
      <c r="BG131" s="229">
        <v>2.875</v>
      </c>
      <c r="BH131" s="230">
        <v>10196200</v>
      </c>
      <c r="BI131" s="230">
        <v>3809050</v>
      </c>
      <c r="BJ131" s="230">
        <v>6387150</v>
      </c>
      <c r="BK131" s="229">
        <v>1.6768000000000001</v>
      </c>
      <c r="BL131" s="230">
        <v>3082450</v>
      </c>
      <c r="BM131" s="230">
        <v>893375</v>
      </c>
      <c r="BN131" s="230">
        <v>2189075</v>
      </c>
      <c r="BO131" s="229">
        <v>2.4502999999999999</v>
      </c>
      <c r="BP131" s="230">
        <v>16474150</v>
      </c>
      <c r="BQ131" s="230">
        <v>5248425</v>
      </c>
      <c r="BR131" s="230">
        <v>11225725</v>
      </c>
      <c r="BS131" s="229">
        <v>2.1389</v>
      </c>
      <c r="BT131" s="230">
        <v>1735741</v>
      </c>
      <c r="BU131" s="230">
        <v>472768</v>
      </c>
      <c r="BV131" s="230">
        <v>1262973</v>
      </c>
      <c r="BW131" s="229">
        <v>2.6714000000000002</v>
      </c>
      <c r="BX131" s="230">
        <v>4131350</v>
      </c>
      <c r="BY131" s="230">
        <v>4499700</v>
      </c>
      <c r="BZ131" s="230">
        <v>-368350</v>
      </c>
      <c r="CA131" s="229">
        <v>-8.1900000000000001E-2</v>
      </c>
      <c r="CB131" s="230">
        <v>3000025</v>
      </c>
      <c r="CC131" s="230">
        <v>4001025</v>
      </c>
      <c r="CD131" s="230">
        <v>-1001000</v>
      </c>
      <c r="CE131" s="229">
        <v>-0.25019999999999998</v>
      </c>
      <c r="CF131" s="230">
        <v>1085525</v>
      </c>
      <c r="CG131" s="230">
        <v>462875</v>
      </c>
      <c r="CH131" s="230">
        <v>622650</v>
      </c>
      <c r="CI131" s="229">
        <v>1.3452</v>
      </c>
      <c r="CJ131" s="230">
        <v>45800</v>
      </c>
      <c r="CK131" s="230">
        <v>35800</v>
      </c>
      <c r="CL131" s="230">
        <v>10000</v>
      </c>
      <c r="CM131" s="229">
        <v>0.27929999999999999</v>
      </c>
      <c r="CN131" s="230">
        <v>3293650</v>
      </c>
      <c r="CO131" s="230">
        <v>3661200</v>
      </c>
      <c r="CP131" s="230">
        <v>-367550</v>
      </c>
      <c r="CQ131" s="229">
        <v>-0.1004</v>
      </c>
      <c r="CR131" s="230">
        <v>1560525</v>
      </c>
      <c r="CS131" s="230">
        <v>1544400</v>
      </c>
      <c r="CT131" s="230">
        <v>16125</v>
      </c>
      <c r="CU131" s="229">
        <v>1.04E-2</v>
      </c>
      <c r="CV131" s="230">
        <v>8985525</v>
      </c>
      <c r="CW131" s="230">
        <v>9705300</v>
      </c>
      <c r="CX131" s="230">
        <v>-719775</v>
      </c>
      <c r="CY131" s="229">
        <v>-7.4200000000000002E-2</v>
      </c>
      <c r="CZ131" s="228">
        <v>31.65</v>
      </c>
      <c r="DA131" s="228">
        <v>34.4</v>
      </c>
      <c r="DB131" s="228">
        <v>-2.75</v>
      </c>
      <c r="DC131" s="228">
        <v>-2.75</v>
      </c>
      <c r="DD131" s="228">
        <v>56.95</v>
      </c>
      <c r="DE131" s="228">
        <v>57.05</v>
      </c>
      <c r="DF131" s="228">
        <v>-25.3</v>
      </c>
      <c r="DG131" s="228">
        <v>-0.1</v>
      </c>
      <c r="DH131" s="228">
        <v>31.42</v>
      </c>
      <c r="DI131" s="228">
        <v>35.53</v>
      </c>
      <c r="DJ131" s="228">
        <v>-4.1100000000000003</v>
      </c>
      <c r="DK131" s="228">
        <v>-4.1100000000000003</v>
      </c>
      <c r="DL131" s="228">
        <v>32.53</v>
      </c>
      <c r="DM131" s="228">
        <v>29.56</v>
      </c>
      <c r="DN131" s="228">
        <v>2.97</v>
      </c>
      <c r="DO131" s="228">
        <v>2.97</v>
      </c>
      <c r="DP131" s="228">
        <v>0.47</v>
      </c>
      <c r="DQ131" s="228">
        <v>0.42</v>
      </c>
      <c r="DR131" s="228">
        <v>0.05</v>
      </c>
      <c r="DS131" s="229">
        <v>0.11899999999999999</v>
      </c>
      <c r="DT131" s="231">
        <v>3000</v>
      </c>
      <c r="DU131" s="231">
        <v>2800</v>
      </c>
      <c r="DV131" s="228">
        <v>0.3</v>
      </c>
      <c r="DW131" s="228">
        <v>0.23</v>
      </c>
      <c r="DX131" s="228">
        <v>7.0000000000000007E-2</v>
      </c>
      <c r="DY131" s="229">
        <v>0.30430000000000001</v>
      </c>
      <c r="DZ131" s="229">
        <v>0.27379999999999999</v>
      </c>
      <c r="EA131" s="230">
        <v>498675</v>
      </c>
      <c r="EB131" s="229">
        <v>6.4999999999999997E-3</v>
      </c>
      <c r="EC131" s="229">
        <v>0.27379999999999999</v>
      </c>
      <c r="ED131" s="228">
        <v>18.34</v>
      </c>
      <c r="EE131" s="229">
        <v>6.4999999999999997E-3</v>
      </c>
      <c r="EF131" s="230">
        <v>541077</v>
      </c>
      <c r="EG131" s="230">
        <v>115674</v>
      </c>
      <c r="EH131" s="229">
        <v>3.6776</v>
      </c>
      <c r="EI131" s="229">
        <v>0.31169999999999998</v>
      </c>
      <c r="EJ131" s="231">
        <v>298069.89</v>
      </c>
      <c r="EK131" s="231">
        <v>85871.79</v>
      </c>
      <c r="EL131" s="231">
        <v>90933.1</v>
      </c>
      <c r="EM131" s="231">
        <v>4583</v>
      </c>
      <c r="EN131" s="231">
        <v>474874.78</v>
      </c>
      <c r="EO131" s="231">
        <v>151463.14000000001</v>
      </c>
      <c r="EP131" s="231">
        <v>323411.64</v>
      </c>
      <c r="EQ131" s="229">
        <v>2.1352000000000002</v>
      </c>
      <c r="ER131" s="231">
        <v>96247</v>
      </c>
      <c r="ES131" s="231">
        <v>43167</v>
      </c>
      <c r="ET131" s="231">
        <v>117360</v>
      </c>
      <c r="EU131" s="231">
        <v>11364224</v>
      </c>
      <c r="EV131" s="231">
        <v>256774</v>
      </c>
      <c r="EW131" s="231">
        <v>274654</v>
      </c>
      <c r="EX131" s="231">
        <v>-17880</v>
      </c>
      <c r="EY131" s="229">
        <v>-6.5100000000000005E-2</v>
      </c>
      <c r="EZ131" s="229">
        <v>0.79069999999999996</v>
      </c>
      <c r="FA131" s="227" t="s">
        <v>556</v>
      </c>
      <c r="FB131" s="161">
        <f t="shared" ref="FB131:FB138" si="2">BX131-CB131</f>
        <v>1131325</v>
      </c>
    </row>
    <row r="132" spans="1:158" ht="17.25" hidden="1" thickBot="1" x14ac:dyDescent="0.3">
      <c r="A132" s="226">
        <v>45981</v>
      </c>
      <c r="B132" s="227" t="s">
        <v>175</v>
      </c>
      <c r="C132" s="227" t="s">
        <v>517</v>
      </c>
      <c r="D132" s="228">
        <v>125</v>
      </c>
      <c r="E132" s="231">
        <v>9849.5</v>
      </c>
      <c r="F132" s="231">
        <v>9793</v>
      </c>
      <c r="G132" s="228">
        <v>56.5</v>
      </c>
      <c r="H132" s="229">
        <v>5.7999999999999996E-3</v>
      </c>
      <c r="I132" s="231">
        <v>9858.5</v>
      </c>
      <c r="J132" s="231">
        <v>9799</v>
      </c>
      <c r="K132" s="228">
        <v>59.5</v>
      </c>
      <c r="L132" s="229">
        <v>6.1000000000000004E-3</v>
      </c>
      <c r="M132" s="231">
        <v>9849.5</v>
      </c>
      <c r="N132" s="231">
        <v>9793</v>
      </c>
      <c r="O132" s="228">
        <v>56.5</v>
      </c>
      <c r="P132" s="229">
        <v>5.7999999999999996E-3</v>
      </c>
      <c r="Q132" s="231">
        <v>9914</v>
      </c>
      <c r="R132" s="231">
        <v>9860</v>
      </c>
      <c r="S132" s="228">
        <v>54</v>
      </c>
      <c r="T132" s="229">
        <v>5.4999999999999997E-3</v>
      </c>
      <c r="U132" s="231">
        <v>9979</v>
      </c>
      <c r="V132" s="231">
        <v>9913</v>
      </c>
      <c r="W132" s="228">
        <v>66</v>
      </c>
      <c r="X132" s="229">
        <v>6.7000000000000002E-3</v>
      </c>
      <c r="Y132" s="228">
        <v>-9</v>
      </c>
      <c r="Z132" s="228">
        <v>-6</v>
      </c>
      <c r="AA132" s="228">
        <v>-3</v>
      </c>
      <c r="AB132" s="229">
        <v>-8.9999999999999998E-4</v>
      </c>
      <c r="AC132" s="228">
        <v>-9</v>
      </c>
      <c r="AD132" s="228">
        <v>-6</v>
      </c>
      <c r="AE132" s="228">
        <v>-3</v>
      </c>
      <c r="AF132" s="229">
        <v>-8.9999999999999998E-4</v>
      </c>
      <c r="AG132" s="228">
        <v>55.5</v>
      </c>
      <c r="AH132" s="228">
        <v>61</v>
      </c>
      <c r="AI132" s="228">
        <v>-5.5</v>
      </c>
      <c r="AJ132" s="229">
        <v>5.5999999999999999E-3</v>
      </c>
      <c r="AK132" s="228">
        <v>120.5</v>
      </c>
      <c r="AL132" s="228">
        <v>114</v>
      </c>
      <c r="AM132" s="228">
        <v>6.5</v>
      </c>
      <c r="AN132" s="229">
        <v>1.2200000000000001E-2</v>
      </c>
      <c r="AO132" s="231">
        <v>9893.24</v>
      </c>
      <c r="AP132" s="231">
        <v>9962.07</v>
      </c>
      <c r="AQ132" s="228">
        <v>0</v>
      </c>
      <c r="AR132" s="230">
        <v>1722125</v>
      </c>
      <c r="AS132" s="230">
        <v>1012250</v>
      </c>
      <c r="AT132" s="230">
        <v>709875</v>
      </c>
      <c r="AU132" s="229">
        <v>0.70130000000000003</v>
      </c>
      <c r="AV132" s="230">
        <v>983000</v>
      </c>
      <c r="AW132" s="230">
        <v>692500</v>
      </c>
      <c r="AX132" s="230">
        <v>290500</v>
      </c>
      <c r="AY132" s="229">
        <v>0.41949999999999998</v>
      </c>
      <c r="AZ132" s="230">
        <v>716375</v>
      </c>
      <c r="BA132" s="230">
        <v>300625</v>
      </c>
      <c r="BB132" s="230">
        <v>415750</v>
      </c>
      <c r="BC132" s="229">
        <v>1.383</v>
      </c>
      <c r="BD132" s="230">
        <v>22750</v>
      </c>
      <c r="BE132" s="230">
        <v>19125</v>
      </c>
      <c r="BF132" s="230">
        <v>3625</v>
      </c>
      <c r="BG132" s="229">
        <v>0.1895</v>
      </c>
      <c r="BH132" s="230">
        <v>11330750</v>
      </c>
      <c r="BI132" s="230">
        <v>8045125</v>
      </c>
      <c r="BJ132" s="230">
        <v>3285625</v>
      </c>
      <c r="BK132" s="229">
        <v>0.40839999999999999</v>
      </c>
      <c r="BL132" s="230">
        <v>6144750</v>
      </c>
      <c r="BM132" s="230">
        <v>4861625</v>
      </c>
      <c r="BN132" s="230">
        <v>1283125</v>
      </c>
      <c r="BO132" s="229">
        <v>0.26390000000000002</v>
      </c>
      <c r="BP132" s="230">
        <v>19197625</v>
      </c>
      <c r="BQ132" s="230">
        <v>13919000</v>
      </c>
      <c r="BR132" s="230">
        <v>5278625</v>
      </c>
      <c r="BS132" s="229">
        <v>0.37919999999999998</v>
      </c>
      <c r="BT132" s="230">
        <v>558014</v>
      </c>
      <c r="BU132" s="230">
        <v>500550</v>
      </c>
      <c r="BV132" s="230">
        <v>57464</v>
      </c>
      <c r="BW132" s="229">
        <v>0.1148</v>
      </c>
      <c r="BX132" s="230">
        <v>2649000</v>
      </c>
      <c r="BY132" s="230">
        <v>2702000</v>
      </c>
      <c r="BZ132" s="230">
        <v>-53000</v>
      </c>
      <c r="CA132" s="229">
        <v>-1.9599999999999999E-2</v>
      </c>
      <c r="CB132" s="230">
        <v>1923000</v>
      </c>
      <c r="CC132" s="230">
        <v>2374000</v>
      </c>
      <c r="CD132" s="230">
        <v>-451000</v>
      </c>
      <c r="CE132" s="229">
        <v>-0.19</v>
      </c>
      <c r="CF132" s="230">
        <v>697750</v>
      </c>
      <c r="CG132" s="230">
        <v>306625</v>
      </c>
      <c r="CH132" s="230">
        <v>391125</v>
      </c>
      <c r="CI132" s="229">
        <v>1.2756000000000001</v>
      </c>
      <c r="CJ132" s="230">
        <v>28250</v>
      </c>
      <c r="CK132" s="230">
        <v>21375</v>
      </c>
      <c r="CL132" s="230">
        <v>6875</v>
      </c>
      <c r="CM132" s="229">
        <v>0.3216</v>
      </c>
      <c r="CN132" s="230">
        <v>2628875</v>
      </c>
      <c r="CO132" s="230">
        <v>2756750</v>
      </c>
      <c r="CP132" s="230">
        <v>-127875</v>
      </c>
      <c r="CQ132" s="229">
        <v>-4.6399999999999997E-2</v>
      </c>
      <c r="CR132" s="230">
        <v>1987250</v>
      </c>
      <c r="CS132" s="230">
        <v>2143500</v>
      </c>
      <c r="CT132" s="230">
        <v>-156250</v>
      </c>
      <c r="CU132" s="229">
        <v>-7.2900000000000006E-2</v>
      </c>
      <c r="CV132" s="230">
        <v>7265125</v>
      </c>
      <c r="CW132" s="230">
        <v>7602250</v>
      </c>
      <c r="CX132" s="230">
        <v>-337125</v>
      </c>
      <c r="CY132" s="229">
        <v>-4.4299999999999999E-2</v>
      </c>
      <c r="CZ132" s="228">
        <v>31.03</v>
      </c>
      <c r="DA132" s="228">
        <v>32.81</v>
      </c>
      <c r="DB132" s="228">
        <v>-1.78</v>
      </c>
      <c r="DC132" s="228">
        <v>-1.78</v>
      </c>
      <c r="DD132" s="228">
        <v>45.9</v>
      </c>
      <c r="DE132" s="228">
        <v>46</v>
      </c>
      <c r="DF132" s="228">
        <v>-14.87</v>
      </c>
      <c r="DG132" s="228">
        <v>-0.1</v>
      </c>
      <c r="DH132" s="228">
        <v>31.04</v>
      </c>
      <c r="DI132" s="228">
        <v>31.04</v>
      </c>
      <c r="DJ132" s="228">
        <v>0</v>
      </c>
      <c r="DK132" s="228">
        <v>0</v>
      </c>
      <c r="DL132" s="228">
        <v>31.01</v>
      </c>
      <c r="DM132" s="228">
        <v>35.729999999999997</v>
      </c>
      <c r="DN132" s="228">
        <v>-4.72</v>
      </c>
      <c r="DO132" s="228">
        <v>-4.72</v>
      </c>
      <c r="DP132" s="228">
        <v>0.76</v>
      </c>
      <c r="DQ132" s="228">
        <v>0.78</v>
      </c>
      <c r="DR132" s="228">
        <v>-0.02</v>
      </c>
      <c r="DS132" s="229">
        <v>-2.5600000000000001E-2</v>
      </c>
      <c r="DT132" s="231">
        <v>10000</v>
      </c>
      <c r="DU132" s="231">
        <v>9000</v>
      </c>
      <c r="DV132" s="228">
        <v>0.54</v>
      </c>
      <c r="DW132" s="228">
        <v>0.6</v>
      </c>
      <c r="DX132" s="228">
        <v>-0.06</v>
      </c>
      <c r="DY132" s="229">
        <v>-0.1</v>
      </c>
      <c r="DZ132" s="229">
        <v>0.27410000000000001</v>
      </c>
      <c r="EA132" s="230">
        <v>328000</v>
      </c>
      <c r="EB132" s="229">
        <v>6.4999999999999997E-3</v>
      </c>
      <c r="EC132" s="229">
        <v>0.27410000000000001</v>
      </c>
      <c r="ED132" s="228">
        <v>68.83</v>
      </c>
      <c r="EE132" s="229">
        <v>7.0000000000000001E-3</v>
      </c>
      <c r="EF132" s="230">
        <v>189171</v>
      </c>
      <c r="EG132" s="230">
        <v>160321</v>
      </c>
      <c r="EH132" s="229">
        <v>0.18</v>
      </c>
      <c r="EI132" s="229">
        <v>0.33900000000000002</v>
      </c>
      <c r="EJ132" s="231">
        <v>1153832.77</v>
      </c>
      <c r="EK132" s="231">
        <v>585571.30000000005</v>
      </c>
      <c r="EL132" s="231">
        <v>170898.98</v>
      </c>
      <c r="EM132" s="231">
        <v>6892</v>
      </c>
      <c r="EN132" s="231">
        <v>1910303.05</v>
      </c>
      <c r="EO132" s="231">
        <v>1368946.85</v>
      </c>
      <c r="EP132" s="231">
        <v>541356.19999999995</v>
      </c>
      <c r="EQ132" s="229">
        <v>0.39550000000000002</v>
      </c>
      <c r="ER132" s="231">
        <v>262944</v>
      </c>
      <c r="ES132" s="231">
        <v>181115</v>
      </c>
      <c r="ET132" s="231">
        <v>261400</v>
      </c>
      <c r="EU132" s="231">
        <v>7635422</v>
      </c>
      <c r="EV132" s="231">
        <v>705459</v>
      </c>
      <c r="EW132" s="231">
        <v>732669</v>
      </c>
      <c r="EX132" s="231">
        <v>-27210</v>
      </c>
      <c r="EY132" s="229">
        <v>-3.7100000000000001E-2</v>
      </c>
      <c r="EZ132" s="229">
        <v>0.95150000000000001</v>
      </c>
      <c r="FA132" s="227" t="s">
        <v>556</v>
      </c>
      <c r="FB132" s="161">
        <f t="shared" si="2"/>
        <v>726000</v>
      </c>
    </row>
    <row r="133" spans="1:158" ht="17.25" hidden="1" thickBot="1" x14ac:dyDescent="0.3">
      <c r="A133" s="226">
        <v>45981</v>
      </c>
      <c r="B133" s="227" t="s">
        <v>175</v>
      </c>
      <c r="C133" s="227" t="s">
        <v>257</v>
      </c>
      <c r="D133" s="228">
        <v>400</v>
      </c>
      <c r="E133" s="231">
        <v>1692.4</v>
      </c>
      <c r="F133" s="231">
        <v>1672.2</v>
      </c>
      <c r="G133" s="228">
        <v>20.2</v>
      </c>
      <c r="H133" s="229">
        <v>1.21E-2</v>
      </c>
      <c r="I133" s="231">
        <v>1692.6</v>
      </c>
      <c r="J133" s="231">
        <v>1668</v>
      </c>
      <c r="K133" s="228">
        <v>24.6</v>
      </c>
      <c r="L133" s="229">
        <v>1.47E-2</v>
      </c>
      <c r="M133" s="231">
        <v>1692.4</v>
      </c>
      <c r="N133" s="231">
        <v>1672.2</v>
      </c>
      <c r="O133" s="228">
        <v>20.2</v>
      </c>
      <c r="P133" s="229">
        <v>1.21E-2</v>
      </c>
      <c r="Q133" s="231">
        <v>1704.9</v>
      </c>
      <c r="R133" s="231">
        <v>1681.2</v>
      </c>
      <c r="S133" s="228">
        <v>23.7</v>
      </c>
      <c r="T133" s="229">
        <v>1.41E-2</v>
      </c>
      <c r="U133" s="231">
        <v>1717</v>
      </c>
      <c r="V133" s="231">
        <v>1688.9</v>
      </c>
      <c r="W133" s="228">
        <v>28.1</v>
      </c>
      <c r="X133" s="229">
        <v>1.66E-2</v>
      </c>
      <c r="Y133" s="228">
        <v>-0.2</v>
      </c>
      <c r="Z133" s="228">
        <v>4.2</v>
      </c>
      <c r="AA133" s="228">
        <v>-4.4000000000000004</v>
      </c>
      <c r="AB133" s="229">
        <v>-1E-4</v>
      </c>
      <c r="AC133" s="228">
        <v>-0.2</v>
      </c>
      <c r="AD133" s="228">
        <v>4.2</v>
      </c>
      <c r="AE133" s="228">
        <v>-4.4000000000000004</v>
      </c>
      <c r="AF133" s="229">
        <v>-1E-4</v>
      </c>
      <c r="AG133" s="228">
        <v>12.3</v>
      </c>
      <c r="AH133" s="228">
        <v>13.2</v>
      </c>
      <c r="AI133" s="228">
        <v>-0.9</v>
      </c>
      <c r="AJ133" s="229">
        <v>7.3000000000000001E-3</v>
      </c>
      <c r="AK133" s="228">
        <v>24.4</v>
      </c>
      <c r="AL133" s="228">
        <v>20.9</v>
      </c>
      <c r="AM133" s="228">
        <v>3.5</v>
      </c>
      <c r="AN133" s="229">
        <v>1.44E-2</v>
      </c>
      <c r="AO133" s="231">
        <v>1690.64</v>
      </c>
      <c r="AP133" s="231">
        <v>1703.04</v>
      </c>
      <c r="AQ133" s="228">
        <v>0</v>
      </c>
      <c r="AR133" s="230">
        <v>5864800</v>
      </c>
      <c r="AS133" s="230">
        <v>602400</v>
      </c>
      <c r="AT133" s="230">
        <v>5262400</v>
      </c>
      <c r="AU133" s="229">
        <v>8.7356999999999996</v>
      </c>
      <c r="AV133" s="230">
        <v>3310000</v>
      </c>
      <c r="AW133" s="230">
        <v>464400</v>
      </c>
      <c r="AX133" s="230">
        <v>2845600</v>
      </c>
      <c r="AY133" s="229">
        <v>6.1275000000000004</v>
      </c>
      <c r="AZ133" s="230">
        <v>2550400</v>
      </c>
      <c r="BA133" s="230">
        <v>135600</v>
      </c>
      <c r="BB133" s="230">
        <v>2414800</v>
      </c>
      <c r="BC133" s="229">
        <v>17.808299999999999</v>
      </c>
      <c r="BD133" s="230">
        <v>4400</v>
      </c>
      <c r="BE133" s="230">
        <v>2400</v>
      </c>
      <c r="BF133" s="230">
        <v>2000</v>
      </c>
      <c r="BG133" s="229">
        <v>0.83330000000000004</v>
      </c>
      <c r="BH133" s="230">
        <v>8144000</v>
      </c>
      <c r="BI133" s="230">
        <v>2646000</v>
      </c>
      <c r="BJ133" s="230">
        <v>5498000</v>
      </c>
      <c r="BK133" s="229">
        <v>2.0779000000000001</v>
      </c>
      <c r="BL133" s="230">
        <v>3096400</v>
      </c>
      <c r="BM133" s="230">
        <v>1378400</v>
      </c>
      <c r="BN133" s="230">
        <v>1718000</v>
      </c>
      <c r="BO133" s="229">
        <v>1.2464</v>
      </c>
      <c r="BP133" s="230">
        <v>17105200</v>
      </c>
      <c r="BQ133" s="230">
        <v>4626800</v>
      </c>
      <c r="BR133" s="230">
        <v>12478400</v>
      </c>
      <c r="BS133" s="229">
        <v>2.6970000000000001</v>
      </c>
      <c r="BT133" s="230">
        <v>523210</v>
      </c>
      <c r="BU133" s="230">
        <v>615031</v>
      </c>
      <c r="BV133" s="230">
        <v>-91821</v>
      </c>
      <c r="BW133" s="229">
        <v>-0.14929999999999999</v>
      </c>
      <c r="BX133" s="230">
        <v>7149200</v>
      </c>
      <c r="BY133" s="230">
        <v>6938400</v>
      </c>
      <c r="BZ133" s="230">
        <v>210800</v>
      </c>
      <c r="CA133" s="229">
        <v>3.04E-2</v>
      </c>
      <c r="CB133" s="230">
        <v>4804800</v>
      </c>
      <c r="CC133" s="230">
        <v>6722400</v>
      </c>
      <c r="CD133" s="230">
        <v>-1917600</v>
      </c>
      <c r="CE133" s="229">
        <v>-0.2853</v>
      </c>
      <c r="CF133" s="230">
        <v>2332000</v>
      </c>
      <c r="CG133" s="230">
        <v>205200</v>
      </c>
      <c r="CH133" s="230">
        <v>2126800</v>
      </c>
      <c r="CI133" s="229">
        <v>10.3645</v>
      </c>
      <c r="CJ133" s="230">
        <v>12400</v>
      </c>
      <c r="CK133" s="230">
        <v>10800</v>
      </c>
      <c r="CL133" s="230">
        <v>1600</v>
      </c>
      <c r="CM133" s="229">
        <v>0.14810000000000001</v>
      </c>
      <c r="CN133" s="230">
        <v>2043200</v>
      </c>
      <c r="CO133" s="230">
        <v>1880800</v>
      </c>
      <c r="CP133" s="230">
        <v>162400</v>
      </c>
      <c r="CQ133" s="229">
        <v>8.6300000000000002E-2</v>
      </c>
      <c r="CR133" s="230">
        <v>1356400</v>
      </c>
      <c r="CS133" s="230">
        <v>1286000</v>
      </c>
      <c r="CT133" s="230">
        <v>70400</v>
      </c>
      <c r="CU133" s="229">
        <v>5.4699999999999999E-2</v>
      </c>
      <c r="CV133" s="230">
        <v>10548800</v>
      </c>
      <c r="CW133" s="230">
        <v>10105200</v>
      </c>
      <c r="CX133" s="230">
        <v>443600</v>
      </c>
      <c r="CY133" s="229">
        <v>4.3900000000000002E-2</v>
      </c>
      <c r="CZ133" s="228">
        <v>25.11</v>
      </c>
      <c r="DA133" s="228">
        <v>25.47</v>
      </c>
      <c r="DB133" s="228">
        <v>-0.36</v>
      </c>
      <c r="DC133" s="228">
        <v>-0.36</v>
      </c>
      <c r="DD133" s="228">
        <v>30.61</v>
      </c>
      <c r="DE133" s="228">
        <v>30.64</v>
      </c>
      <c r="DF133" s="228">
        <v>-5.5</v>
      </c>
      <c r="DG133" s="228">
        <v>-0.03</v>
      </c>
      <c r="DH133" s="228">
        <v>24.97</v>
      </c>
      <c r="DI133" s="228">
        <v>25.67</v>
      </c>
      <c r="DJ133" s="228">
        <v>-0.7</v>
      </c>
      <c r="DK133" s="228">
        <v>-0.7</v>
      </c>
      <c r="DL133" s="228">
        <v>25.77</v>
      </c>
      <c r="DM133" s="228">
        <v>25.07</v>
      </c>
      <c r="DN133" s="228">
        <v>0.7</v>
      </c>
      <c r="DO133" s="228">
        <v>0.7</v>
      </c>
      <c r="DP133" s="228">
        <v>0.66</v>
      </c>
      <c r="DQ133" s="228">
        <v>0.68</v>
      </c>
      <c r="DR133" s="228">
        <v>-0.02</v>
      </c>
      <c r="DS133" s="229">
        <v>-2.9399999999999999E-2</v>
      </c>
      <c r="DT133" s="231">
        <v>1700</v>
      </c>
      <c r="DU133" s="231">
        <v>1620</v>
      </c>
      <c r="DV133" s="228">
        <v>0.38</v>
      </c>
      <c r="DW133" s="228">
        <v>0.52</v>
      </c>
      <c r="DX133" s="228">
        <v>-0.14000000000000001</v>
      </c>
      <c r="DY133" s="229">
        <v>-0.26919999999999999</v>
      </c>
      <c r="DZ133" s="229">
        <v>0.32790000000000002</v>
      </c>
      <c r="EA133" s="230">
        <v>216000</v>
      </c>
      <c r="EB133" s="229">
        <v>7.4000000000000003E-3</v>
      </c>
      <c r="EC133" s="229">
        <v>0.32790000000000002</v>
      </c>
      <c r="ED133" s="228">
        <v>12.4</v>
      </c>
      <c r="EE133" s="229">
        <v>7.3000000000000001E-3</v>
      </c>
      <c r="EF133" s="230">
        <v>235215</v>
      </c>
      <c r="EG133" s="230">
        <v>478769</v>
      </c>
      <c r="EH133" s="229">
        <v>-0.50870000000000004</v>
      </c>
      <c r="EI133" s="229">
        <v>0.4496</v>
      </c>
      <c r="EJ133" s="231">
        <v>141032.93</v>
      </c>
      <c r="EK133" s="231">
        <v>51658</v>
      </c>
      <c r="EL133" s="231">
        <v>99469.58</v>
      </c>
      <c r="EM133" s="231">
        <v>2226</v>
      </c>
      <c r="EN133" s="231">
        <v>292160.51</v>
      </c>
      <c r="EO133" s="231">
        <v>78602.19</v>
      </c>
      <c r="EP133" s="231">
        <v>213558.32</v>
      </c>
      <c r="EQ133" s="229">
        <v>2.7170000000000001</v>
      </c>
      <c r="ER133" s="231">
        <v>35286</v>
      </c>
      <c r="ES133" s="231">
        <v>21762</v>
      </c>
      <c r="ET133" s="231">
        <v>121288</v>
      </c>
      <c r="EU133" s="231">
        <v>34712157</v>
      </c>
      <c r="EV133" s="231">
        <v>178335</v>
      </c>
      <c r="EW133" s="231">
        <v>169017</v>
      </c>
      <c r="EX133" s="231">
        <v>9318</v>
      </c>
      <c r="EY133" s="229">
        <v>5.5100000000000003E-2</v>
      </c>
      <c r="EZ133" s="229">
        <v>0.3039</v>
      </c>
      <c r="FA133" s="227" t="s">
        <v>555</v>
      </c>
      <c r="FB133" s="161">
        <f t="shared" si="2"/>
        <v>2344400</v>
      </c>
    </row>
    <row r="134" spans="1:158" ht="17.25" hidden="1" thickBot="1" x14ac:dyDescent="0.3">
      <c r="A134" s="226">
        <v>45981</v>
      </c>
      <c r="B134" s="227" t="s">
        <v>181</v>
      </c>
      <c r="C134" s="227" t="s">
        <v>563</v>
      </c>
      <c r="D134" s="228">
        <v>140</v>
      </c>
      <c r="E134" s="231">
        <v>14007.25</v>
      </c>
      <c r="F134" s="231">
        <v>14025.65</v>
      </c>
      <c r="G134" s="228">
        <v>-18.399999999999999</v>
      </c>
      <c r="H134" s="229">
        <v>-1.2999999999999999E-3</v>
      </c>
      <c r="I134" s="231">
        <v>13992.2</v>
      </c>
      <c r="J134" s="231">
        <v>14000.6</v>
      </c>
      <c r="K134" s="228">
        <v>-8.4</v>
      </c>
      <c r="L134" s="229">
        <v>-5.9999999999999995E-4</v>
      </c>
      <c r="M134" s="231">
        <v>14007.25</v>
      </c>
      <c r="N134" s="231">
        <v>14025.65</v>
      </c>
      <c r="O134" s="228">
        <v>-18.399999999999999</v>
      </c>
      <c r="P134" s="229">
        <v>-1.2999999999999999E-3</v>
      </c>
      <c r="Q134" s="231">
        <v>14074.65</v>
      </c>
      <c r="R134" s="231">
        <v>14102.5</v>
      </c>
      <c r="S134" s="228">
        <v>-27.85</v>
      </c>
      <c r="T134" s="229">
        <v>-2E-3</v>
      </c>
      <c r="U134" s="231">
        <v>14151.15</v>
      </c>
      <c r="V134" s="231">
        <v>14160.55</v>
      </c>
      <c r="W134" s="228">
        <v>-9.4</v>
      </c>
      <c r="X134" s="229">
        <v>-6.9999999999999999E-4</v>
      </c>
      <c r="Y134" s="228">
        <v>15.05</v>
      </c>
      <c r="Z134" s="228">
        <v>25.05</v>
      </c>
      <c r="AA134" s="228">
        <v>-10</v>
      </c>
      <c r="AB134" s="229">
        <v>1.1000000000000001E-3</v>
      </c>
      <c r="AC134" s="228">
        <v>15.05</v>
      </c>
      <c r="AD134" s="228">
        <v>25.05</v>
      </c>
      <c r="AE134" s="228">
        <v>-10</v>
      </c>
      <c r="AF134" s="229">
        <v>1.1000000000000001E-3</v>
      </c>
      <c r="AG134" s="228">
        <v>82.45</v>
      </c>
      <c r="AH134" s="228">
        <v>101.9</v>
      </c>
      <c r="AI134" s="228">
        <v>-19.45</v>
      </c>
      <c r="AJ134" s="229">
        <v>5.8999999999999999E-3</v>
      </c>
      <c r="AK134" s="228">
        <v>158.94999999999999</v>
      </c>
      <c r="AL134" s="228">
        <v>159.94999999999999</v>
      </c>
      <c r="AM134" s="228">
        <v>-1</v>
      </c>
      <c r="AN134" s="229">
        <v>1.14E-2</v>
      </c>
      <c r="AO134" s="231">
        <v>14058.48</v>
      </c>
      <c r="AP134" s="231">
        <v>14128.75</v>
      </c>
      <c r="AQ134" s="228">
        <v>0</v>
      </c>
      <c r="AR134" s="230">
        <v>2002280</v>
      </c>
      <c r="AS134" s="230">
        <v>640080</v>
      </c>
      <c r="AT134" s="230">
        <v>1362200</v>
      </c>
      <c r="AU134" s="229">
        <v>2.1282000000000001</v>
      </c>
      <c r="AV134" s="230">
        <v>1322160</v>
      </c>
      <c r="AW134" s="230">
        <v>548800</v>
      </c>
      <c r="AX134" s="230">
        <v>773360</v>
      </c>
      <c r="AY134" s="229">
        <v>1.4092</v>
      </c>
      <c r="AZ134" s="230">
        <v>670740</v>
      </c>
      <c r="BA134" s="230">
        <v>84140</v>
      </c>
      <c r="BB134" s="230">
        <v>586600</v>
      </c>
      <c r="BC134" s="229">
        <v>6.9717000000000002</v>
      </c>
      <c r="BD134" s="230">
        <v>9380</v>
      </c>
      <c r="BE134" s="230">
        <v>7140</v>
      </c>
      <c r="BF134" s="230">
        <v>2240</v>
      </c>
      <c r="BG134" s="229">
        <v>0.31369999999999998</v>
      </c>
      <c r="BH134" s="230">
        <v>39010300</v>
      </c>
      <c r="BI134" s="230">
        <v>33437040</v>
      </c>
      <c r="BJ134" s="230">
        <v>5573260</v>
      </c>
      <c r="BK134" s="229">
        <v>0.16669999999999999</v>
      </c>
      <c r="BL134" s="230">
        <v>41006140</v>
      </c>
      <c r="BM134" s="230">
        <v>39025420</v>
      </c>
      <c r="BN134" s="230">
        <v>1980720</v>
      </c>
      <c r="BO134" s="229">
        <v>5.0799999999999998E-2</v>
      </c>
      <c r="BP134" s="230">
        <v>82018720</v>
      </c>
      <c r="BQ134" s="230">
        <v>73102540</v>
      </c>
      <c r="BR134" s="230">
        <v>8916180</v>
      </c>
      <c r="BS134" s="229">
        <v>0.122</v>
      </c>
      <c r="BT134" s="228">
        <v>0</v>
      </c>
      <c r="BU134" s="228">
        <v>0</v>
      </c>
      <c r="BV134" s="228">
        <v>0</v>
      </c>
      <c r="BW134" s="229">
        <v>0</v>
      </c>
      <c r="BX134" s="230">
        <v>3020780</v>
      </c>
      <c r="BY134" s="230">
        <v>3465180</v>
      </c>
      <c r="BZ134" s="230">
        <v>-444400</v>
      </c>
      <c r="CA134" s="229">
        <v>-0.12820000000000001</v>
      </c>
      <c r="CB134" s="230">
        <v>2356620</v>
      </c>
      <c r="CC134" s="230">
        <v>3295460</v>
      </c>
      <c r="CD134" s="230">
        <v>-938840</v>
      </c>
      <c r="CE134" s="229">
        <v>-0.28489999999999999</v>
      </c>
      <c r="CF134" s="230">
        <v>644840</v>
      </c>
      <c r="CG134" s="230">
        <v>153160</v>
      </c>
      <c r="CH134" s="230">
        <v>491680</v>
      </c>
      <c r="CI134" s="229">
        <v>3.2101999999999999</v>
      </c>
      <c r="CJ134" s="230">
        <v>19320</v>
      </c>
      <c r="CK134" s="230">
        <v>16560</v>
      </c>
      <c r="CL134" s="230">
        <v>2760</v>
      </c>
      <c r="CM134" s="229">
        <v>0.16669999999999999</v>
      </c>
      <c r="CN134" s="230">
        <v>10673320</v>
      </c>
      <c r="CO134" s="230">
        <v>10380580</v>
      </c>
      <c r="CP134" s="230">
        <v>292740</v>
      </c>
      <c r="CQ134" s="229">
        <v>2.8199999999999999E-2</v>
      </c>
      <c r="CR134" s="230">
        <v>11757720</v>
      </c>
      <c r="CS134" s="230">
        <v>12430280</v>
      </c>
      <c r="CT134" s="230">
        <v>-672560</v>
      </c>
      <c r="CU134" s="229">
        <v>-5.4100000000000002E-2</v>
      </c>
      <c r="CV134" s="230">
        <v>25451820</v>
      </c>
      <c r="CW134" s="230">
        <v>26276040</v>
      </c>
      <c r="CX134" s="230">
        <v>-824220</v>
      </c>
      <c r="CY134" s="229">
        <v>-3.1399999999999997E-2</v>
      </c>
      <c r="CZ134" s="228">
        <v>15.37</v>
      </c>
      <c r="DA134" s="228">
        <v>17.28</v>
      </c>
      <c r="DB134" s="228">
        <v>-1.91</v>
      </c>
      <c r="DC134" s="228">
        <v>-1.91</v>
      </c>
      <c r="DD134" s="228">
        <v>22.11</v>
      </c>
      <c r="DE134" s="228">
        <v>22.16</v>
      </c>
      <c r="DF134" s="228">
        <v>-6.74</v>
      </c>
      <c r="DG134" s="228">
        <v>-0.05</v>
      </c>
      <c r="DH134" s="228">
        <v>14.91</v>
      </c>
      <c r="DI134" s="228">
        <v>15.81</v>
      </c>
      <c r="DJ134" s="228">
        <v>-0.9</v>
      </c>
      <c r="DK134" s="228">
        <v>-0.9</v>
      </c>
      <c r="DL134" s="228">
        <v>15.94</v>
      </c>
      <c r="DM134" s="228">
        <v>18.55</v>
      </c>
      <c r="DN134" s="228">
        <v>-2.61</v>
      </c>
      <c r="DO134" s="228">
        <v>-2.61</v>
      </c>
      <c r="DP134" s="228">
        <v>1.1000000000000001</v>
      </c>
      <c r="DQ134" s="228">
        <v>1.2</v>
      </c>
      <c r="DR134" s="228">
        <v>-0.1</v>
      </c>
      <c r="DS134" s="229">
        <v>-8.3299999999999999E-2</v>
      </c>
      <c r="DT134" s="231">
        <v>14000</v>
      </c>
      <c r="DU134" s="231">
        <v>13500</v>
      </c>
      <c r="DV134" s="228">
        <v>1.05</v>
      </c>
      <c r="DW134" s="228">
        <v>1.17</v>
      </c>
      <c r="DX134" s="228">
        <v>-0.12</v>
      </c>
      <c r="DY134" s="229">
        <v>-0.1026</v>
      </c>
      <c r="DZ134" s="229">
        <v>0.21990000000000001</v>
      </c>
      <c r="EA134" s="230">
        <v>169720</v>
      </c>
      <c r="EB134" s="229">
        <v>4.7999999999999996E-3</v>
      </c>
      <c r="EC134" s="229">
        <v>0.21990000000000001</v>
      </c>
      <c r="ED134" s="228">
        <v>70.27</v>
      </c>
      <c r="EE134" s="229">
        <v>5.0000000000000001E-3</v>
      </c>
      <c r="EF134" s="228">
        <v>0</v>
      </c>
      <c r="EG134" s="228">
        <v>0</v>
      </c>
      <c r="EH134" s="229">
        <v>0</v>
      </c>
      <c r="EI134" s="229">
        <v>0</v>
      </c>
      <c r="EJ134" s="231">
        <v>5566662.9400000004</v>
      </c>
      <c r="EK134" s="231">
        <v>5661450.4100000001</v>
      </c>
      <c r="EL134" s="231">
        <v>281783.28000000003</v>
      </c>
      <c r="EM134" s="228">
        <v>0</v>
      </c>
      <c r="EN134" s="231">
        <v>11509896.630000001</v>
      </c>
      <c r="EO134" s="231">
        <v>10218833.65</v>
      </c>
      <c r="EP134" s="231">
        <v>1291062.98</v>
      </c>
      <c r="EQ134" s="229">
        <v>0.1263</v>
      </c>
      <c r="ER134" s="231">
        <v>1506621</v>
      </c>
      <c r="ES134" s="231">
        <v>1586191</v>
      </c>
      <c r="ET134" s="231">
        <v>423591</v>
      </c>
      <c r="EU134" s="228">
        <v>0</v>
      </c>
      <c r="EV134" s="231">
        <v>3516402</v>
      </c>
      <c r="EW134" s="231">
        <v>3621200</v>
      </c>
      <c r="EX134" s="231">
        <v>-104798</v>
      </c>
      <c r="EY134" s="229">
        <v>-2.8899999999999999E-2</v>
      </c>
      <c r="EZ134" s="229">
        <v>0</v>
      </c>
      <c r="FA134" s="227" t="s">
        <v>568</v>
      </c>
      <c r="FB134" s="161">
        <f t="shared" si="2"/>
        <v>664160</v>
      </c>
    </row>
    <row r="135" spans="1:158" ht="17.25" hidden="1" thickBot="1" x14ac:dyDescent="0.3">
      <c r="A135" s="226">
        <v>45981</v>
      </c>
      <c r="B135" s="227" t="s">
        <v>162</v>
      </c>
      <c r="C135" s="227" t="s">
        <v>559</v>
      </c>
      <c r="D135" s="228">
        <v>6150</v>
      </c>
      <c r="E135" s="228">
        <v>111.95</v>
      </c>
      <c r="F135" s="228">
        <v>112.16</v>
      </c>
      <c r="G135" s="228">
        <v>-0.21</v>
      </c>
      <c r="H135" s="229">
        <v>-1.9E-3</v>
      </c>
      <c r="I135" s="228">
        <v>112</v>
      </c>
      <c r="J135" s="228">
        <v>112.16</v>
      </c>
      <c r="K135" s="228">
        <v>-0.16</v>
      </c>
      <c r="L135" s="229">
        <v>-1.4E-3</v>
      </c>
      <c r="M135" s="228">
        <v>111.95</v>
      </c>
      <c r="N135" s="228">
        <v>112.16</v>
      </c>
      <c r="O135" s="228">
        <v>-0.21</v>
      </c>
      <c r="P135" s="229">
        <v>-1.9E-3</v>
      </c>
      <c r="Q135" s="228">
        <v>112.7</v>
      </c>
      <c r="R135" s="228">
        <v>112.97</v>
      </c>
      <c r="S135" s="228">
        <v>-0.27</v>
      </c>
      <c r="T135" s="229">
        <v>-2.3999999999999998E-3</v>
      </c>
      <c r="U135" s="228">
        <v>113.42</v>
      </c>
      <c r="V135" s="228">
        <v>113.84</v>
      </c>
      <c r="W135" s="228">
        <v>-0.42</v>
      </c>
      <c r="X135" s="229">
        <v>-3.7000000000000002E-3</v>
      </c>
      <c r="Y135" s="228">
        <v>-0.05</v>
      </c>
      <c r="Z135" s="228">
        <v>0</v>
      </c>
      <c r="AA135" s="228">
        <v>-0.05</v>
      </c>
      <c r="AB135" s="229">
        <v>-4.0000000000000002E-4</v>
      </c>
      <c r="AC135" s="228">
        <v>-0.05</v>
      </c>
      <c r="AD135" s="228">
        <v>0</v>
      </c>
      <c r="AE135" s="228">
        <v>-0.05</v>
      </c>
      <c r="AF135" s="229">
        <v>-4.0000000000000002E-4</v>
      </c>
      <c r="AG135" s="228">
        <v>0.7</v>
      </c>
      <c r="AH135" s="228">
        <v>0.81</v>
      </c>
      <c r="AI135" s="228">
        <v>-0.11</v>
      </c>
      <c r="AJ135" s="229">
        <v>6.3E-3</v>
      </c>
      <c r="AK135" s="228">
        <v>1.42</v>
      </c>
      <c r="AL135" s="228">
        <v>1.68</v>
      </c>
      <c r="AM135" s="228">
        <v>-0.26</v>
      </c>
      <c r="AN135" s="229">
        <v>1.2699999999999999E-2</v>
      </c>
      <c r="AO135" s="228">
        <v>112.36</v>
      </c>
      <c r="AP135" s="228">
        <v>113.13</v>
      </c>
      <c r="AQ135" s="228">
        <v>0</v>
      </c>
      <c r="AR135" s="230">
        <v>90441900</v>
      </c>
      <c r="AS135" s="230">
        <v>66598350</v>
      </c>
      <c r="AT135" s="230">
        <v>23843550</v>
      </c>
      <c r="AU135" s="229">
        <v>0.35799999999999998</v>
      </c>
      <c r="AV135" s="230">
        <v>48535800</v>
      </c>
      <c r="AW135" s="230">
        <v>47053650</v>
      </c>
      <c r="AX135" s="230">
        <v>1482150</v>
      </c>
      <c r="AY135" s="229">
        <v>3.15E-2</v>
      </c>
      <c r="AZ135" s="230">
        <v>40940550</v>
      </c>
      <c r="BA135" s="230">
        <v>18185550</v>
      </c>
      <c r="BB135" s="230">
        <v>22755000</v>
      </c>
      <c r="BC135" s="229">
        <v>1.2513000000000001</v>
      </c>
      <c r="BD135" s="230">
        <v>965550</v>
      </c>
      <c r="BE135" s="230">
        <v>1359150</v>
      </c>
      <c r="BF135" s="230">
        <v>-393600</v>
      </c>
      <c r="BG135" s="229">
        <v>-0.28960000000000002</v>
      </c>
      <c r="BH135" s="230">
        <v>91813350</v>
      </c>
      <c r="BI135" s="230">
        <v>324553950</v>
      </c>
      <c r="BJ135" s="230">
        <v>-232740600</v>
      </c>
      <c r="BK135" s="229">
        <v>-0.71709999999999996</v>
      </c>
      <c r="BL135" s="230">
        <v>36752400</v>
      </c>
      <c r="BM135" s="230">
        <v>111192000</v>
      </c>
      <c r="BN135" s="230">
        <v>-74439600</v>
      </c>
      <c r="BO135" s="229">
        <v>-0.66949999999999998</v>
      </c>
      <c r="BP135" s="230">
        <v>219007650</v>
      </c>
      <c r="BQ135" s="230">
        <v>502344300</v>
      </c>
      <c r="BR135" s="230">
        <v>-283336650</v>
      </c>
      <c r="BS135" s="229">
        <v>-0.56399999999999995</v>
      </c>
      <c r="BT135" s="230">
        <v>15575625</v>
      </c>
      <c r="BU135" s="230">
        <v>34969356</v>
      </c>
      <c r="BV135" s="230">
        <v>-19393731</v>
      </c>
      <c r="BW135" s="229">
        <v>-0.55459999999999998</v>
      </c>
      <c r="BX135" s="230">
        <v>173749800</v>
      </c>
      <c r="BY135" s="230">
        <v>175644000</v>
      </c>
      <c r="BZ135" s="230">
        <v>-1894200</v>
      </c>
      <c r="CA135" s="229">
        <v>-1.0800000000000001E-2</v>
      </c>
      <c r="CB135" s="230">
        <v>119174700</v>
      </c>
      <c r="CC135" s="230">
        <v>153651600</v>
      </c>
      <c r="CD135" s="230">
        <v>-34476900</v>
      </c>
      <c r="CE135" s="229">
        <v>-0.22439999999999999</v>
      </c>
      <c r="CF135" s="230">
        <v>52484100</v>
      </c>
      <c r="CG135" s="230">
        <v>20251950</v>
      </c>
      <c r="CH135" s="230">
        <v>32232150</v>
      </c>
      <c r="CI135" s="229">
        <v>1.5915999999999999</v>
      </c>
      <c r="CJ135" s="230">
        <v>2091000</v>
      </c>
      <c r="CK135" s="230">
        <v>1740450</v>
      </c>
      <c r="CL135" s="230">
        <v>350550</v>
      </c>
      <c r="CM135" s="229">
        <v>0.2014</v>
      </c>
      <c r="CN135" s="230">
        <v>95226600</v>
      </c>
      <c r="CO135" s="230">
        <v>98356950</v>
      </c>
      <c r="CP135" s="230">
        <v>-3130350</v>
      </c>
      <c r="CQ135" s="229">
        <v>-3.1800000000000002E-2</v>
      </c>
      <c r="CR135" s="230">
        <v>58258950</v>
      </c>
      <c r="CS135" s="230">
        <v>59052300</v>
      </c>
      <c r="CT135" s="230">
        <v>-793350</v>
      </c>
      <c r="CU135" s="229">
        <v>-1.34E-2</v>
      </c>
      <c r="CV135" s="230">
        <v>327235350</v>
      </c>
      <c r="CW135" s="230">
        <v>333053250</v>
      </c>
      <c r="CX135" s="230">
        <v>-5817900</v>
      </c>
      <c r="CY135" s="229">
        <v>-1.7500000000000002E-2</v>
      </c>
      <c r="CZ135" s="228">
        <v>31.37</v>
      </c>
      <c r="DA135" s="228">
        <v>32.39</v>
      </c>
      <c r="DB135" s="228">
        <v>-1.02</v>
      </c>
      <c r="DC135" s="228">
        <v>-1.02</v>
      </c>
      <c r="DD135" s="228">
        <v>39.78</v>
      </c>
      <c r="DE135" s="228">
        <v>39.880000000000003</v>
      </c>
      <c r="DF135" s="228">
        <v>-8.41</v>
      </c>
      <c r="DG135" s="228">
        <v>-0.1</v>
      </c>
      <c r="DH135" s="228">
        <v>31.43</v>
      </c>
      <c r="DI135" s="228">
        <v>32.11</v>
      </c>
      <c r="DJ135" s="228">
        <v>-0.68</v>
      </c>
      <c r="DK135" s="228">
        <v>-0.68</v>
      </c>
      <c r="DL135" s="228">
        <v>31.21</v>
      </c>
      <c r="DM135" s="228">
        <v>33.22</v>
      </c>
      <c r="DN135" s="228">
        <v>-2.0099999999999998</v>
      </c>
      <c r="DO135" s="228">
        <v>-2.0099999999999998</v>
      </c>
      <c r="DP135" s="228">
        <v>0.61</v>
      </c>
      <c r="DQ135" s="228">
        <v>0.6</v>
      </c>
      <c r="DR135" s="228">
        <v>0.01</v>
      </c>
      <c r="DS135" s="229">
        <v>1.67E-2</v>
      </c>
      <c r="DT135" s="228">
        <v>115</v>
      </c>
      <c r="DU135" s="228">
        <v>105</v>
      </c>
      <c r="DV135" s="228">
        <v>0.4</v>
      </c>
      <c r="DW135" s="228">
        <v>0.34</v>
      </c>
      <c r="DX135" s="228">
        <v>0.06</v>
      </c>
      <c r="DY135" s="229">
        <v>0.17649999999999999</v>
      </c>
      <c r="DZ135" s="229">
        <v>0.31409999999999999</v>
      </c>
      <c r="EA135" s="230">
        <v>21992400</v>
      </c>
      <c r="EB135" s="229">
        <v>6.7000000000000002E-3</v>
      </c>
      <c r="EC135" s="229">
        <v>0.31409999999999999</v>
      </c>
      <c r="ED135" s="228">
        <v>0.77</v>
      </c>
      <c r="EE135" s="229">
        <v>6.8999999999999999E-3</v>
      </c>
      <c r="EF135" s="230">
        <v>6672081</v>
      </c>
      <c r="EG135" s="230">
        <v>10591405</v>
      </c>
      <c r="EH135" s="229">
        <v>-0.37</v>
      </c>
      <c r="EI135" s="229">
        <v>0.4284</v>
      </c>
      <c r="EJ135" s="231">
        <v>106718.64</v>
      </c>
      <c r="EK135" s="231">
        <v>40401.120000000003</v>
      </c>
      <c r="EL135" s="231">
        <v>101950.96</v>
      </c>
      <c r="EM135" s="231">
        <v>11444</v>
      </c>
      <c r="EN135" s="231">
        <v>249070.72</v>
      </c>
      <c r="EO135" s="231">
        <v>570135.30000000005</v>
      </c>
      <c r="EP135" s="231">
        <v>-321064.58</v>
      </c>
      <c r="EQ135" s="229">
        <v>-0.56310000000000004</v>
      </c>
      <c r="ER135" s="231">
        <v>108616</v>
      </c>
      <c r="ES135" s="231">
        <v>61291</v>
      </c>
      <c r="ET135" s="231">
        <v>194937</v>
      </c>
      <c r="EU135" s="231">
        <v>542522848</v>
      </c>
      <c r="EV135" s="231">
        <v>364844</v>
      </c>
      <c r="EW135" s="231">
        <v>371239</v>
      </c>
      <c r="EX135" s="231">
        <v>-6395</v>
      </c>
      <c r="EY135" s="229">
        <v>-1.72E-2</v>
      </c>
      <c r="EZ135" s="229">
        <v>0.60319999999999996</v>
      </c>
      <c r="FA135" s="227" t="s">
        <v>568</v>
      </c>
      <c r="FB135" s="161">
        <f t="shared" si="2"/>
        <v>54575100</v>
      </c>
    </row>
    <row r="136" spans="1:158" ht="17.25" hidden="1" thickBot="1" x14ac:dyDescent="0.3">
      <c r="A136" s="226">
        <v>45981</v>
      </c>
      <c r="B136" s="227" t="s">
        <v>221</v>
      </c>
      <c r="C136" s="227" t="s">
        <v>487</v>
      </c>
      <c r="D136" s="228">
        <v>275</v>
      </c>
      <c r="E136" s="231">
        <v>2744.2</v>
      </c>
      <c r="F136" s="231">
        <v>2715</v>
      </c>
      <c r="G136" s="228">
        <v>29.2</v>
      </c>
      <c r="H136" s="229">
        <v>1.0800000000000001E-2</v>
      </c>
      <c r="I136" s="231">
        <v>2740.4</v>
      </c>
      <c r="J136" s="231">
        <v>2713.7</v>
      </c>
      <c r="K136" s="228">
        <v>26.7</v>
      </c>
      <c r="L136" s="229">
        <v>9.7999999999999997E-3</v>
      </c>
      <c r="M136" s="231">
        <v>2744.2</v>
      </c>
      <c r="N136" s="231">
        <v>2715</v>
      </c>
      <c r="O136" s="228">
        <v>29.2</v>
      </c>
      <c r="P136" s="229">
        <v>1.0800000000000001E-2</v>
      </c>
      <c r="Q136" s="231">
        <v>2763.1</v>
      </c>
      <c r="R136" s="231">
        <v>2731.4</v>
      </c>
      <c r="S136" s="228">
        <v>31.7</v>
      </c>
      <c r="T136" s="229">
        <v>1.1599999999999999E-2</v>
      </c>
      <c r="U136" s="231">
        <v>2777.6</v>
      </c>
      <c r="V136" s="231">
        <v>2748.6</v>
      </c>
      <c r="W136" s="228">
        <v>29</v>
      </c>
      <c r="X136" s="229">
        <v>1.06E-2</v>
      </c>
      <c r="Y136" s="228">
        <v>3.8</v>
      </c>
      <c r="Z136" s="228">
        <v>1.3</v>
      </c>
      <c r="AA136" s="228">
        <v>2.5</v>
      </c>
      <c r="AB136" s="229">
        <v>1.4E-3</v>
      </c>
      <c r="AC136" s="228">
        <v>3.8</v>
      </c>
      <c r="AD136" s="228">
        <v>1.3</v>
      </c>
      <c r="AE136" s="228">
        <v>2.5</v>
      </c>
      <c r="AF136" s="229">
        <v>1.4E-3</v>
      </c>
      <c r="AG136" s="228">
        <v>22.7</v>
      </c>
      <c r="AH136" s="228">
        <v>17.7</v>
      </c>
      <c r="AI136" s="228">
        <v>5</v>
      </c>
      <c r="AJ136" s="229">
        <v>8.3000000000000001E-3</v>
      </c>
      <c r="AK136" s="228">
        <v>37.200000000000003</v>
      </c>
      <c r="AL136" s="228">
        <v>34.9</v>
      </c>
      <c r="AM136" s="228">
        <v>2.2999999999999998</v>
      </c>
      <c r="AN136" s="229">
        <v>1.3599999999999999E-2</v>
      </c>
      <c r="AO136" s="231">
        <v>2739.67</v>
      </c>
      <c r="AP136" s="231">
        <v>2758.04</v>
      </c>
      <c r="AQ136" s="228">
        <v>0</v>
      </c>
      <c r="AR136" s="230">
        <v>3824700</v>
      </c>
      <c r="AS136" s="230">
        <v>2220075</v>
      </c>
      <c r="AT136" s="230">
        <v>1604625</v>
      </c>
      <c r="AU136" s="229">
        <v>0.7228</v>
      </c>
      <c r="AV136" s="230">
        <v>2130425</v>
      </c>
      <c r="AW136" s="230">
        <v>1725900</v>
      </c>
      <c r="AX136" s="230">
        <v>404525</v>
      </c>
      <c r="AY136" s="229">
        <v>0.2344</v>
      </c>
      <c r="AZ136" s="230">
        <v>1678875</v>
      </c>
      <c r="BA136" s="230">
        <v>477400</v>
      </c>
      <c r="BB136" s="230">
        <v>1201475</v>
      </c>
      <c r="BC136" s="229">
        <v>2.5167000000000002</v>
      </c>
      <c r="BD136" s="230">
        <v>15400</v>
      </c>
      <c r="BE136" s="230">
        <v>16775</v>
      </c>
      <c r="BF136" s="230">
        <v>-1375</v>
      </c>
      <c r="BG136" s="229">
        <v>-8.2000000000000003E-2</v>
      </c>
      <c r="BH136" s="230">
        <v>8441125</v>
      </c>
      <c r="BI136" s="230">
        <v>12893650</v>
      </c>
      <c r="BJ136" s="230">
        <v>-4452525</v>
      </c>
      <c r="BK136" s="229">
        <v>-0.3453</v>
      </c>
      <c r="BL136" s="230">
        <v>3739175</v>
      </c>
      <c r="BM136" s="230">
        <v>5132050</v>
      </c>
      <c r="BN136" s="230">
        <v>-1392875</v>
      </c>
      <c r="BO136" s="229">
        <v>-0.27139999999999997</v>
      </c>
      <c r="BP136" s="230">
        <v>16005000</v>
      </c>
      <c r="BQ136" s="230">
        <v>20245775</v>
      </c>
      <c r="BR136" s="230">
        <v>-4240775</v>
      </c>
      <c r="BS136" s="229">
        <v>-0.20949999999999999</v>
      </c>
      <c r="BT136" s="230">
        <v>1228763</v>
      </c>
      <c r="BU136" s="230">
        <v>849314</v>
      </c>
      <c r="BV136" s="230">
        <v>379449</v>
      </c>
      <c r="BW136" s="229">
        <v>0.44679999999999997</v>
      </c>
      <c r="BX136" s="230">
        <v>6804325</v>
      </c>
      <c r="BY136" s="230">
        <v>7001775</v>
      </c>
      <c r="BZ136" s="230">
        <v>-197450</v>
      </c>
      <c r="CA136" s="229">
        <v>-2.8199999999999999E-2</v>
      </c>
      <c r="CB136" s="230">
        <v>4959900</v>
      </c>
      <c r="CC136" s="230">
        <v>6240850</v>
      </c>
      <c r="CD136" s="230">
        <v>-1280950</v>
      </c>
      <c r="CE136" s="229">
        <v>-0.20530000000000001</v>
      </c>
      <c r="CF136" s="230">
        <v>1810875</v>
      </c>
      <c r="CG136" s="230">
        <v>726275</v>
      </c>
      <c r="CH136" s="230">
        <v>1084600</v>
      </c>
      <c r="CI136" s="229">
        <v>1.4934000000000001</v>
      </c>
      <c r="CJ136" s="230">
        <v>33550</v>
      </c>
      <c r="CK136" s="230">
        <v>34650</v>
      </c>
      <c r="CL136" s="230">
        <v>-1100</v>
      </c>
      <c r="CM136" s="229">
        <v>-3.1699999999999999E-2</v>
      </c>
      <c r="CN136" s="230">
        <v>2749175</v>
      </c>
      <c r="CO136" s="230">
        <v>3267275</v>
      </c>
      <c r="CP136" s="230">
        <v>-518100</v>
      </c>
      <c r="CQ136" s="229">
        <v>-0.15859999999999999</v>
      </c>
      <c r="CR136" s="230">
        <v>1635975</v>
      </c>
      <c r="CS136" s="230">
        <v>1734425</v>
      </c>
      <c r="CT136" s="230">
        <v>-98450</v>
      </c>
      <c r="CU136" s="229">
        <v>-5.6800000000000003E-2</v>
      </c>
      <c r="CV136" s="230">
        <v>11189475</v>
      </c>
      <c r="CW136" s="230">
        <v>12003475</v>
      </c>
      <c r="CX136" s="230">
        <v>-814000</v>
      </c>
      <c r="CY136" s="229">
        <v>-6.7799999999999999E-2</v>
      </c>
      <c r="CZ136" s="228">
        <v>28.33</v>
      </c>
      <c r="DA136" s="228">
        <v>29.62</v>
      </c>
      <c r="DB136" s="228">
        <v>-1.29</v>
      </c>
      <c r="DC136" s="228">
        <v>-1.29</v>
      </c>
      <c r="DD136" s="228">
        <v>37.31</v>
      </c>
      <c r="DE136" s="228">
        <v>37.380000000000003</v>
      </c>
      <c r="DF136" s="228">
        <v>-8.98</v>
      </c>
      <c r="DG136" s="228">
        <v>-7.0000000000000007E-2</v>
      </c>
      <c r="DH136" s="228">
        <v>26.91</v>
      </c>
      <c r="DI136" s="228">
        <v>29.84</v>
      </c>
      <c r="DJ136" s="228">
        <v>-2.93</v>
      </c>
      <c r="DK136" s="228">
        <v>-2.93</v>
      </c>
      <c r="DL136" s="228">
        <v>30.16</v>
      </c>
      <c r="DM136" s="228">
        <v>29.07</v>
      </c>
      <c r="DN136" s="228">
        <v>1.0900000000000001</v>
      </c>
      <c r="DO136" s="228">
        <v>1.0900000000000001</v>
      </c>
      <c r="DP136" s="228">
        <v>0.6</v>
      </c>
      <c r="DQ136" s="228">
        <v>0.53</v>
      </c>
      <c r="DR136" s="228">
        <v>7.0000000000000007E-2</v>
      </c>
      <c r="DS136" s="229">
        <v>0.1321</v>
      </c>
      <c r="DT136" s="231">
        <v>2800</v>
      </c>
      <c r="DU136" s="231">
        <v>2700</v>
      </c>
      <c r="DV136" s="228">
        <v>0.44</v>
      </c>
      <c r="DW136" s="228">
        <v>0.4</v>
      </c>
      <c r="DX136" s="228">
        <v>0.04</v>
      </c>
      <c r="DY136" s="229">
        <v>0.1</v>
      </c>
      <c r="DZ136" s="229">
        <v>0.27110000000000001</v>
      </c>
      <c r="EA136" s="230">
        <v>760925</v>
      </c>
      <c r="EB136" s="229">
        <v>6.8999999999999999E-3</v>
      </c>
      <c r="EC136" s="229">
        <v>0.27110000000000001</v>
      </c>
      <c r="ED136" s="228">
        <v>18.37</v>
      </c>
      <c r="EE136" s="229">
        <v>6.7000000000000002E-3</v>
      </c>
      <c r="EF136" s="230">
        <v>794112</v>
      </c>
      <c r="EG136" s="230">
        <v>386084</v>
      </c>
      <c r="EH136" s="229">
        <v>1.0568</v>
      </c>
      <c r="EI136" s="229">
        <v>0.64629999999999999</v>
      </c>
      <c r="EJ136" s="231">
        <v>240439.99</v>
      </c>
      <c r="EK136" s="231">
        <v>99112.47</v>
      </c>
      <c r="EL136" s="231">
        <v>105097.24</v>
      </c>
      <c r="EM136" s="231">
        <v>9842</v>
      </c>
      <c r="EN136" s="231">
        <v>444649.7</v>
      </c>
      <c r="EO136" s="231">
        <v>560493.75</v>
      </c>
      <c r="EP136" s="231">
        <v>-115844.05</v>
      </c>
      <c r="EQ136" s="229">
        <v>-0.20669999999999999</v>
      </c>
      <c r="ER136" s="231">
        <v>79122</v>
      </c>
      <c r="ES136" s="231">
        <v>43687</v>
      </c>
      <c r="ET136" s="231">
        <v>187078</v>
      </c>
      <c r="EU136" s="231">
        <v>14652855</v>
      </c>
      <c r="EV136" s="231">
        <v>309886</v>
      </c>
      <c r="EW136" s="231">
        <v>330407</v>
      </c>
      <c r="EX136" s="231">
        <v>-20521</v>
      </c>
      <c r="EY136" s="229">
        <v>-6.2100000000000002E-2</v>
      </c>
      <c r="EZ136" s="229">
        <v>0.76359999999999995</v>
      </c>
      <c r="FA136" s="227" t="s">
        <v>556</v>
      </c>
      <c r="FB136" s="161">
        <f t="shared" si="2"/>
        <v>1844425</v>
      </c>
    </row>
    <row r="137" spans="1:158" ht="17.25" hidden="1" thickBot="1" x14ac:dyDescent="0.3">
      <c r="A137" s="226">
        <v>45981</v>
      </c>
      <c r="B137" s="227" t="s">
        <v>175</v>
      </c>
      <c r="C137" s="227" t="s">
        <v>262</v>
      </c>
      <c r="D137" s="228">
        <v>275</v>
      </c>
      <c r="E137" s="231">
        <v>3708.1</v>
      </c>
      <c r="F137" s="231">
        <v>3714.4</v>
      </c>
      <c r="G137" s="228">
        <v>-6.3</v>
      </c>
      <c r="H137" s="229">
        <v>-1.6999999999999999E-3</v>
      </c>
      <c r="I137" s="231">
        <v>3697.5</v>
      </c>
      <c r="J137" s="231">
        <v>3701.7</v>
      </c>
      <c r="K137" s="228">
        <v>-4.2</v>
      </c>
      <c r="L137" s="229">
        <v>-1.1000000000000001E-3</v>
      </c>
      <c r="M137" s="231">
        <v>3708.1</v>
      </c>
      <c r="N137" s="231">
        <v>3714.4</v>
      </c>
      <c r="O137" s="228">
        <v>-6.3</v>
      </c>
      <c r="P137" s="229">
        <v>-1.6999999999999999E-3</v>
      </c>
      <c r="Q137" s="231">
        <v>3724.4</v>
      </c>
      <c r="R137" s="231">
        <v>3732.1</v>
      </c>
      <c r="S137" s="228">
        <v>-7.7</v>
      </c>
      <c r="T137" s="229">
        <v>-2.0999999999999999E-3</v>
      </c>
      <c r="U137" s="231">
        <v>3736.4</v>
      </c>
      <c r="V137" s="231">
        <v>3743.4</v>
      </c>
      <c r="W137" s="228">
        <v>-7</v>
      </c>
      <c r="X137" s="229">
        <v>-1.9E-3</v>
      </c>
      <c r="Y137" s="228">
        <v>10.6</v>
      </c>
      <c r="Z137" s="228">
        <v>12.7</v>
      </c>
      <c r="AA137" s="228">
        <v>-2.1</v>
      </c>
      <c r="AB137" s="229">
        <v>2.8999999999999998E-3</v>
      </c>
      <c r="AC137" s="228">
        <v>10.6</v>
      </c>
      <c r="AD137" s="228">
        <v>12.7</v>
      </c>
      <c r="AE137" s="228">
        <v>-2.1</v>
      </c>
      <c r="AF137" s="229">
        <v>2.8999999999999998E-3</v>
      </c>
      <c r="AG137" s="228">
        <v>26.9</v>
      </c>
      <c r="AH137" s="228">
        <v>30.4</v>
      </c>
      <c r="AI137" s="228">
        <v>-3.5</v>
      </c>
      <c r="AJ137" s="229">
        <v>7.3000000000000001E-3</v>
      </c>
      <c r="AK137" s="228">
        <v>38.9</v>
      </c>
      <c r="AL137" s="228">
        <v>41.7</v>
      </c>
      <c r="AM137" s="228">
        <v>-2.8</v>
      </c>
      <c r="AN137" s="229">
        <v>1.0500000000000001E-2</v>
      </c>
      <c r="AO137" s="231">
        <v>3719.47</v>
      </c>
      <c r="AP137" s="231">
        <v>3735.4</v>
      </c>
      <c r="AQ137" s="228">
        <v>0</v>
      </c>
      <c r="AR137" s="230">
        <v>2216225</v>
      </c>
      <c r="AS137" s="230">
        <v>913550</v>
      </c>
      <c r="AT137" s="230">
        <v>1302675</v>
      </c>
      <c r="AU137" s="229">
        <v>1.4258999999999999</v>
      </c>
      <c r="AV137" s="230">
        <v>1239425</v>
      </c>
      <c r="AW137" s="230">
        <v>659725</v>
      </c>
      <c r="AX137" s="230">
        <v>579700</v>
      </c>
      <c r="AY137" s="229">
        <v>0.87870000000000004</v>
      </c>
      <c r="AZ137" s="230">
        <v>965800</v>
      </c>
      <c r="BA137" s="230">
        <v>242000</v>
      </c>
      <c r="BB137" s="230">
        <v>723800</v>
      </c>
      <c r="BC137" s="229">
        <v>2.9908999999999999</v>
      </c>
      <c r="BD137" s="230">
        <v>11000</v>
      </c>
      <c r="BE137" s="230">
        <v>11825</v>
      </c>
      <c r="BF137" s="228">
        <v>-825</v>
      </c>
      <c r="BG137" s="229">
        <v>-6.9800000000000001E-2</v>
      </c>
      <c r="BH137" s="230">
        <v>4358475</v>
      </c>
      <c r="BI137" s="230">
        <v>5377075</v>
      </c>
      <c r="BJ137" s="230">
        <v>-1018600</v>
      </c>
      <c r="BK137" s="229">
        <v>-0.18940000000000001</v>
      </c>
      <c r="BL137" s="230">
        <v>3526875</v>
      </c>
      <c r="BM137" s="230">
        <v>4805350</v>
      </c>
      <c r="BN137" s="230">
        <v>-1278475</v>
      </c>
      <c r="BO137" s="229">
        <v>-0.2661</v>
      </c>
      <c r="BP137" s="230">
        <v>10101575</v>
      </c>
      <c r="BQ137" s="230">
        <v>11095975</v>
      </c>
      <c r="BR137" s="230">
        <v>-994400</v>
      </c>
      <c r="BS137" s="229">
        <v>-8.9599999999999999E-2</v>
      </c>
      <c r="BT137" s="230">
        <v>314158</v>
      </c>
      <c r="BU137" s="230">
        <v>321837</v>
      </c>
      <c r="BV137" s="230">
        <v>-7679</v>
      </c>
      <c r="BW137" s="229">
        <v>-2.3900000000000001E-2</v>
      </c>
      <c r="BX137" s="230">
        <v>3131700</v>
      </c>
      <c r="BY137" s="230">
        <v>3125100</v>
      </c>
      <c r="BZ137" s="230">
        <v>6600</v>
      </c>
      <c r="CA137" s="229">
        <v>2.0999999999999999E-3</v>
      </c>
      <c r="CB137" s="230">
        <v>2003925</v>
      </c>
      <c r="CC137" s="230">
        <v>2594900</v>
      </c>
      <c r="CD137" s="230">
        <v>-590975</v>
      </c>
      <c r="CE137" s="229">
        <v>-0.22770000000000001</v>
      </c>
      <c r="CF137" s="230">
        <v>1066450</v>
      </c>
      <c r="CG137" s="230">
        <v>473550</v>
      </c>
      <c r="CH137" s="230">
        <v>592900</v>
      </c>
      <c r="CI137" s="229">
        <v>1.252</v>
      </c>
      <c r="CJ137" s="230">
        <v>61325</v>
      </c>
      <c r="CK137" s="230">
        <v>56650</v>
      </c>
      <c r="CL137" s="230">
        <v>4675</v>
      </c>
      <c r="CM137" s="229">
        <v>8.2500000000000004E-2</v>
      </c>
      <c r="CN137" s="230">
        <v>4093100</v>
      </c>
      <c r="CO137" s="230">
        <v>4455825</v>
      </c>
      <c r="CP137" s="230">
        <v>-362725</v>
      </c>
      <c r="CQ137" s="229">
        <v>-8.14E-2</v>
      </c>
      <c r="CR137" s="230">
        <v>3493325</v>
      </c>
      <c r="CS137" s="230">
        <v>3897300</v>
      </c>
      <c r="CT137" s="230">
        <v>-403975</v>
      </c>
      <c r="CU137" s="229">
        <v>-0.1037</v>
      </c>
      <c r="CV137" s="230">
        <v>10718125</v>
      </c>
      <c r="CW137" s="230">
        <v>11478225</v>
      </c>
      <c r="CX137" s="230">
        <v>-760100</v>
      </c>
      <c r="CY137" s="229">
        <v>-6.6199999999999995E-2</v>
      </c>
      <c r="CZ137" s="228">
        <v>26.85</v>
      </c>
      <c r="DA137" s="228">
        <v>27.37</v>
      </c>
      <c r="DB137" s="228">
        <v>-0.52</v>
      </c>
      <c r="DC137" s="228">
        <v>-0.52</v>
      </c>
      <c r="DD137" s="228">
        <v>37.22</v>
      </c>
      <c r="DE137" s="228">
        <v>37.31</v>
      </c>
      <c r="DF137" s="228">
        <v>-10.37</v>
      </c>
      <c r="DG137" s="228">
        <v>-0.09</v>
      </c>
      <c r="DH137" s="228">
        <v>22.74</v>
      </c>
      <c r="DI137" s="228">
        <v>25.89</v>
      </c>
      <c r="DJ137" s="228">
        <v>-3.15</v>
      </c>
      <c r="DK137" s="228">
        <v>-3.15</v>
      </c>
      <c r="DL137" s="228">
        <v>29.94</v>
      </c>
      <c r="DM137" s="228">
        <v>29.02</v>
      </c>
      <c r="DN137" s="228">
        <v>0.92</v>
      </c>
      <c r="DO137" s="228">
        <v>0.92</v>
      </c>
      <c r="DP137" s="228">
        <v>0.85</v>
      </c>
      <c r="DQ137" s="228">
        <v>0.87</v>
      </c>
      <c r="DR137" s="228">
        <v>-0.02</v>
      </c>
      <c r="DS137" s="229">
        <v>-2.3E-2</v>
      </c>
      <c r="DT137" s="231">
        <v>4100</v>
      </c>
      <c r="DU137" s="231">
        <v>3600</v>
      </c>
      <c r="DV137" s="228">
        <v>0.81</v>
      </c>
      <c r="DW137" s="228">
        <v>0.89</v>
      </c>
      <c r="DX137" s="228">
        <v>-0.08</v>
      </c>
      <c r="DY137" s="229">
        <v>-8.9899999999999994E-2</v>
      </c>
      <c r="DZ137" s="229">
        <v>0.36009999999999998</v>
      </c>
      <c r="EA137" s="230">
        <v>530200</v>
      </c>
      <c r="EB137" s="229">
        <v>4.4000000000000003E-3</v>
      </c>
      <c r="EC137" s="229">
        <v>0.36009999999999998</v>
      </c>
      <c r="ED137" s="228">
        <v>15.93</v>
      </c>
      <c r="EE137" s="229">
        <v>4.3E-3</v>
      </c>
      <c r="EF137" s="230">
        <v>176259</v>
      </c>
      <c r="EG137" s="230">
        <v>169443</v>
      </c>
      <c r="EH137" s="229">
        <v>4.02E-2</v>
      </c>
      <c r="EI137" s="229">
        <v>0.56110000000000004</v>
      </c>
      <c r="EJ137" s="231">
        <v>168521.98</v>
      </c>
      <c r="EK137" s="231">
        <v>125107.94</v>
      </c>
      <c r="EL137" s="231">
        <v>82587.53</v>
      </c>
      <c r="EM137" s="231">
        <v>8820</v>
      </c>
      <c r="EN137" s="231">
        <v>376217.45</v>
      </c>
      <c r="EO137" s="231">
        <v>412627.57</v>
      </c>
      <c r="EP137" s="231">
        <v>-36410.120000000003</v>
      </c>
      <c r="EQ137" s="229">
        <v>-8.8200000000000001E-2</v>
      </c>
      <c r="ER137" s="231">
        <v>153938</v>
      </c>
      <c r="ES137" s="231">
        <v>120919</v>
      </c>
      <c r="ET137" s="231">
        <v>116318</v>
      </c>
      <c r="EU137" s="231">
        <v>16050690</v>
      </c>
      <c r="EV137" s="231">
        <v>391175</v>
      </c>
      <c r="EW137" s="231">
        <v>419020</v>
      </c>
      <c r="EX137" s="231">
        <v>-27845</v>
      </c>
      <c r="EY137" s="229">
        <v>-6.6500000000000004E-2</v>
      </c>
      <c r="EZ137" s="229">
        <v>0.66779999999999995</v>
      </c>
      <c r="FA137" s="227" t="s">
        <v>567</v>
      </c>
      <c r="FB137" s="161">
        <f t="shared" si="2"/>
        <v>1127775</v>
      </c>
    </row>
    <row r="138" spans="1:158" ht="17.25" hidden="1" thickBot="1" x14ac:dyDescent="0.3">
      <c r="A138" s="226">
        <v>45981</v>
      </c>
      <c r="B138" s="227" t="s">
        <v>227</v>
      </c>
      <c r="C138" s="227" t="s">
        <v>263</v>
      </c>
      <c r="D138" s="228">
        <v>3750</v>
      </c>
      <c r="E138" s="228">
        <v>258.22000000000003</v>
      </c>
      <c r="F138" s="228">
        <v>256.94</v>
      </c>
      <c r="G138" s="228">
        <v>1.28</v>
      </c>
      <c r="H138" s="229">
        <v>5.0000000000000001E-3</v>
      </c>
      <c r="I138" s="228">
        <v>257.62</v>
      </c>
      <c r="J138" s="228">
        <v>256.60000000000002</v>
      </c>
      <c r="K138" s="228">
        <v>1.02</v>
      </c>
      <c r="L138" s="229">
        <v>4.0000000000000001E-3</v>
      </c>
      <c r="M138" s="228">
        <v>258.22000000000003</v>
      </c>
      <c r="N138" s="228">
        <v>256.94</v>
      </c>
      <c r="O138" s="228">
        <v>1.28</v>
      </c>
      <c r="P138" s="229">
        <v>5.0000000000000001E-3</v>
      </c>
      <c r="Q138" s="228">
        <v>259.91000000000003</v>
      </c>
      <c r="R138" s="228">
        <v>258.56</v>
      </c>
      <c r="S138" s="228">
        <v>1.35</v>
      </c>
      <c r="T138" s="229">
        <v>5.1999999999999998E-3</v>
      </c>
      <c r="U138" s="228">
        <v>261.64999999999998</v>
      </c>
      <c r="V138" s="228">
        <v>260</v>
      </c>
      <c r="W138" s="228">
        <v>1.65</v>
      </c>
      <c r="X138" s="229">
        <v>6.3E-3</v>
      </c>
      <c r="Y138" s="228">
        <v>0.6</v>
      </c>
      <c r="Z138" s="228">
        <v>0.34</v>
      </c>
      <c r="AA138" s="228">
        <v>0.26</v>
      </c>
      <c r="AB138" s="229">
        <v>2.3E-3</v>
      </c>
      <c r="AC138" s="228">
        <v>0.6</v>
      </c>
      <c r="AD138" s="228">
        <v>0.34</v>
      </c>
      <c r="AE138" s="228">
        <v>0.26</v>
      </c>
      <c r="AF138" s="229">
        <v>2.3E-3</v>
      </c>
      <c r="AG138" s="228">
        <v>2.29</v>
      </c>
      <c r="AH138" s="228">
        <v>1.96</v>
      </c>
      <c r="AI138" s="228">
        <v>0.33</v>
      </c>
      <c r="AJ138" s="229">
        <v>8.8999999999999999E-3</v>
      </c>
      <c r="AK138" s="228">
        <v>4.03</v>
      </c>
      <c r="AL138" s="228">
        <v>3.4</v>
      </c>
      <c r="AM138" s="228">
        <v>0.63</v>
      </c>
      <c r="AN138" s="229">
        <v>1.5599999999999999E-2</v>
      </c>
      <c r="AO138" s="228">
        <v>259.3</v>
      </c>
      <c r="AP138" s="228">
        <v>261.05</v>
      </c>
      <c r="AQ138" s="228">
        <v>0</v>
      </c>
      <c r="AR138" s="230">
        <v>41531250</v>
      </c>
      <c r="AS138" s="230">
        <v>13623750</v>
      </c>
      <c r="AT138" s="230">
        <v>27907500</v>
      </c>
      <c r="AU138" s="229">
        <v>2.0484</v>
      </c>
      <c r="AV138" s="230">
        <v>21067500</v>
      </c>
      <c r="AW138" s="230">
        <v>9570000</v>
      </c>
      <c r="AX138" s="230">
        <v>11497500</v>
      </c>
      <c r="AY138" s="229">
        <v>1.2014</v>
      </c>
      <c r="AZ138" s="230">
        <v>20246250</v>
      </c>
      <c r="BA138" s="230">
        <v>3941250</v>
      </c>
      <c r="BB138" s="230">
        <v>16305000</v>
      </c>
      <c r="BC138" s="229">
        <v>4.1369999999999996</v>
      </c>
      <c r="BD138" s="230">
        <v>217500</v>
      </c>
      <c r="BE138" s="230">
        <v>112500</v>
      </c>
      <c r="BF138" s="230">
        <v>105000</v>
      </c>
      <c r="BG138" s="229">
        <v>0.93330000000000002</v>
      </c>
      <c r="BH138" s="230">
        <v>77197500</v>
      </c>
      <c r="BI138" s="230">
        <v>43796250</v>
      </c>
      <c r="BJ138" s="230">
        <v>33401250</v>
      </c>
      <c r="BK138" s="229">
        <v>0.76270000000000004</v>
      </c>
      <c r="BL138" s="230">
        <v>32265000</v>
      </c>
      <c r="BM138" s="230">
        <v>24266250</v>
      </c>
      <c r="BN138" s="230">
        <v>7998750</v>
      </c>
      <c r="BO138" s="229">
        <v>0.3296</v>
      </c>
      <c r="BP138" s="230">
        <v>150993750</v>
      </c>
      <c r="BQ138" s="230">
        <v>81686250</v>
      </c>
      <c r="BR138" s="230">
        <v>69307500</v>
      </c>
      <c r="BS138" s="229">
        <v>0.84850000000000003</v>
      </c>
      <c r="BT138" s="230">
        <v>10912842</v>
      </c>
      <c r="BU138" s="230">
        <v>9041434</v>
      </c>
      <c r="BV138" s="230">
        <v>1871408</v>
      </c>
      <c r="BW138" s="229">
        <v>0.20699999999999999</v>
      </c>
      <c r="BX138" s="230">
        <v>73965000</v>
      </c>
      <c r="BY138" s="230">
        <v>74298750</v>
      </c>
      <c r="BZ138" s="230">
        <v>-333750</v>
      </c>
      <c r="CA138" s="229">
        <v>-4.4999999999999997E-3</v>
      </c>
      <c r="CB138" s="230">
        <v>52638750</v>
      </c>
      <c r="CC138" s="230">
        <v>66888750</v>
      </c>
      <c r="CD138" s="230">
        <v>-14250000</v>
      </c>
      <c r="CE138" s="229">
        <v>-0.21299999999999999</v>
      </c>
      <c r="CF138" s="230">
        <v>20700000</v>
      </c>
      <c r="CG138" s="230">
        <v>6817500</v>
      </c>
      <c r="CH138" s="230">
        <v>13882500</v>
      </c>
      <c r="CI138" s="229">
        <v>2.0363000000000002</v>
      </c>
      <c r="CJ138" s="230">
        <v>626250</v>
      </c>
      <c r="CK138" s="230">
        <v>592500</v>
      </c>
      <c r="CL138" s="230">
        <v>33750</v>
      </c>
      <c r="CM138" s="229">
        <v>5.7000000000000002E-2</v>
      </c>
      <c r="CN138" s="230">
        <v>39240000</v>
      </c>
      <c r="CO138" s="230">
        <v>39101250</v>
      </c>
      <c r="CP138" s="230">
        <v>138750</v>
      </c>
      <c r="CQ138" s="229">
        <v>3.5000000000000001E-3</v>
      </c>
      <c r="CR138" s="230">
        <v>36360000</v>
      </c>
      <c r="CS138" s="230">
        <v>38325000</v>
      </c>
      <c r="CT138" s="230">
        <v>-1965000</v>
      </c>
      <c r="CU138" s="229">
        <v>-5.1299999999999998E-2</v>
      </c>
      <c r="CV138" s="230">
        <v>149565000</v>
      </c>
      <c r="CW138" s="230">
        <v>151725000</v>
      </c>
      <c r="CX138" s="230">
        <v>-2160000</v>
      </c>
      <c r="CY138" s="229">
        <v>-1.4200000000000001E-2</v>
      </c>
      <c r="CZ138" s="228">
        <v>28.8</v>
      </c>
      <c r="DA138" s="228">
        <v>31.25</v>
      </c>
      <c r="DB138" s="228">
        <v>-2.4500000000000002</v>
      </c>
      <c r="DC138" s="228">
        <v>-2.4500000000000002</v>
      </c>
      <c r="DD138" s="228">
        <v>47.38</v>
      </c>
      <c r="DE138" s="228">
        <v>47.5</v>
      </c>
      <c r="DF138" s="228">
        <v>-18.579999999999998</v>
      </c>
      <c r="DG138" s="228">
        <v>-0.12</v>
      </c>
      <c r="DH138" s="228">
        <v>29.05</v>
      </c>
      <c r="DI138" s="228">
        <v>30.67</v>
      </c>
      <c r="DJ138" s="228">
        <v>-1.62</v>
      </c>
      <c r="DK138" s="228">
        <v>-1.62</v>
      </c>
      <c r="DL138" s="228">
        <v>28.15</v>
      </c>
      <c r="DM138" s="228">
        <v>32.29</v>
      </c>
      <c r="DN138" s="228">
        <v>-4.1399999999999997</v>
      </c>
      <c r="DO138" s="228">
        <v>-4.1399999999999997</v>
      </c>
      <c r="DP138" s="228">
        <v>0.93</v>
      </c>
      <c r="DQ138" s="228">
        <v>0.98</v>
      </c>
      <c r="DR138" s="228">
        <v>-0.05</v>
      </c>
      <c r="DS138" s="229">
        <v>-5.0999999999999997E-2</v>
      </c>
      <c r="DT138" s="228">
        <v>260</v>
      </c>
      <c r="DU138" s="228">
        <v>260</v>
      </c>
      <c r="DV138" s="228">
        <v>0.42</v>
      </c>
      <c r="DW138" s="228">
        <v>0.55000000000000004</v>
      </c>
      <c r="DX138" s="228">
        <v>-0.13</v>
      </c>
      <c r="DY138" s="229">
        <v>-0.2364</v>
      </c>
      <c r="DZ138" s="229">
        <v>0.2883</v>
      </c>
      <c r="EA138" s="230">
        <v>7410000</v>
      </c>
      <c r="EB138" s="229">
        <v>6.4999999999999997E-3</v>
      </c>
      <c r="EC138" s="229">
        <v>0.2883</v>
      </c>
      <c r="ED138" s="228">
        <v>1.75</v>
      </c>
      <c r="EE138" s="229">
        <v>6.7000000000000002E-3</v>
      </c>
      <c r="EF138" s="230">
        <v>4643654</v>
      </c>
      <c r="EG138" s="230">
        <v>4014901</v>
      </c>
      <c r="EH138" s="229">
        <v>0.15659999999999999</v>
      </c>
      <c r="EI138" s="229">
        <v>0.42549999999999999</v>
      </c>
      <c r="EJ138" s="231">
        <v>207079.95</v>
      </c>
      <c r="EK138" s="231">
        <v>82068.31</v>
      </c>
      <c r="EL138" s="231">
        <v>108053.4</v>
      </c>
      <c r="EM138" s="231">
        <v>4032</v>
      </c>
      <c r="EN138" s="231">
        <v>397201.66</v>
      </c>
      <c r="EO138" s="231">
        <v>212240.64000000001</v>
      </c>
      <c r="EP138" s="231">
        <v>184961.02</v>
      </c>
      <c r="EQ138" s="229">
        <v>0.87150000000000005</v>
      </c>
      <c r="ER138" s="231">
        <v>102963</v>
      </c>
      <c r="ES138" s="231">
        <v>89055</v>
      </c>
      <c r="ET138" s="231">
        <v>191364</v>
      </c>
      <c r="EU138" s="231">
        <v>134225816</v>
      </c>
      <c r="EV138" s="231">
        <v>383382</v>
      </c>
      <c r="EW138" s="231">
        <v>387316</v>
      </c>
      <c r="EX138" s="231">
        <v>-3934</v>
      </c>
      <c r="EY138" s="229">
        <v>-1.0200000000000001E-2</v>
      </c>
      <c r="EZ138" s="229">
        <v>1.1143000000000001</v>
      </c>
      <c r="FA138" s="227" t="s">
        <v>556</v>
      </c>
      <c r="FB138" s="161">
        <f t="shared" si="2"/>
        <v>21326250</v>
      </c>
    </row>
    <row r="139" spans="1:158" ht="17.25" hidden="1" thickBot="1" x14ac:dyDescent="0.3">
      <c r="A139" s="226">
        <v>45981</v>
      </c>
      <c r="B139" s="227" t="s">
        <v>615</v>
      </c>
      <c r="C139" s="227" t="s">
        <v>264</v>
      </c>
      <c r="D139" s="228">
        <v>375</v>
      </c>
      <c r="E139" s="231">
        <v>1361.7</v>
      </c>
      <c r="F139" s="231">
        <v>1359.5</v>
      </c>
      <c r="G139" s="228">
        <v>2.2000000000000002</v>
      </c>
      <c r="H139" s="229">
        <v>1.6000000000000001E-3</v>
      </c>
      <c r="I139" s="231">
        <v>1365.4</v>
      </c>
      <c r="J139" s="231">
        <v>1362.2</v>
      </c>
      <c r="K139" s="228">
        <v>3.2</v>
      </c>
      <c r="L139" s="229">
        <v>2.3E-3</v>
      </c>
      <c r="M139" s="231">
        <v>1361.7</v>
      </c>
      <c r="N139" s="231">
        <v>1359.5</v>
      </c>
      <c r="O139" s="228">
        <v>2.2000000000000002</v>
      </c>
      <c r="P139" s="229">
        <v>1.6000000000000001E-3</v>
      </c>
      <c r="Q139" s="231">
        <v>1369.8</v>
      </c>
      <c r="R139" s="231">
        <v>1368.2</v>
      </c>
      <c r="S139" s="228">
        <v>1.6</v>
      </c>
      <c r="T139" s="229">
        <v>1.1999999999999999E-3</v>
      </c>
      <c r="U139" s="231">
        <v>1376.5</v>
      </c>
      <c r="V139" s="231">
        <v>1376.4</v>
      </c>
      <c r="W139" s="228">
        <v>0.1</v>
      </c>
      <c r="X139" s="229">
        <v>1E-4</v>
      </c>
      <c r="Y139" s="228">
        <v>-3.7</v>
      </c>
      <c r="Z139" s="228">
        <v>-2.7</v>
      </c>
      <c r="AA139" s="228">
        <v>-1</v>
      </c>
      <c r="AB139" s="229">
        <v>-2.7000000000000001E-3</v>
      </c>
      <c r="AC139" s="228">
        <v>-3.7</v>
      </c>
      <c r="AD139" s="228">
        <v>-2.7</v>
      </c>
      <c r="AE139" s="228">
        <v>-1</v>
      </c>
      <c r="AF139" s="229">
        <v>-2.7000000000000001E-3</v>
      </c>
      <c r="AG139" s="228">
        <v>4.4000000000000004</v>
      </c>
      <c r="AH139" s="228">
        <v>6</v>
      </c>
      <c r="AI139" s="228">
        <v>-1.6</v>
      </c>
      <c r="AJ139" s="229">
        <v>3.2000000000000002E-3</v>
      </c>
      <c r="AK139" s="228">
        <v>11.1</v>
      </c>
      <c r="AL139" s="228">
        <v>14.2</v>
      </c>
      <c r="AM139" s="228">
        <v>-3.1</v>
      </c>
      <c r="AN139" s="229">
        <v>8.0999999999999996E-3</v>
      </c>
      <c r="AO139" s="231">
        <v>1364.29</v>
      </c>
      <c r="AP139" s="231">
        <v>1373.3</v>
      </c>
      <c r="AQ139" s="228">
        <v>0</v>
      </c>
      <c r="AR139" s="230">
        <v>6717000</v>
      </c>
      <c r="AS139" s="230">
        <v>1677375</v>
      </c>
      <c r="AT139" s="230">
        <v>5039625</v>
      </c>
      <c r="AU139" s="229">
        <v>3.0045000000000002</v>
      </c>
      <c r="AV139" s="230">
        <v>3639000</v>
      </c>
      <c r="AW139" s="230">
        <v>1265625</v>
      </c>
      <c r="AX139" s="230">
        <v>2373375</v>
      </c>
      <c r="AY139" s="229">
        <v>1.8753</v>
      </c>
      <c r="AZ139" s="230">
        <v>3064875</v>
      </c>
      <c r="BA139" s="230">
        <v>391125</v>
      </c>
      <c r="BB139" s="230">
        <v>2673750</v>
      </c>
      <c r="BC139" s="229">
        <v>6.8360000000000003</v>
      </c>
      <c r="BD139" s="230">
        <v>13125</v>
      </c>
      <c r="BE139" s="230">
        <v>20625</v>
      </c>
      <c r="BF139" s="230">
        <v>-7500</v>
      </c>
      <c r="BG139" s="229">
        <v>-0.36359999999999998</v>
      </c>
      <c r="BH139" s="230">
        <v>4763250</v>
      </c>
      <c r="BI139" s="230">
        <v>10345875</v>
      </c>
      <c r="BJ139" s="230">
        <v>-5582625</v>
      </c>
      <c r="BK139" s="229">
        <v>-0.53959999999999997</v>
      </c>
      <c r="BL139" s="230">
        <v>1718250</v>
      </c>
      <c r="BM139" s="230">
        <v>3097500</v>
      </c>
      <c r="BN139" s="230">
        <v>-1379250</v>
      </c>
      <c r="BO139" s="229">
        <v>-0.44529999999999997</v>
      </c>
      <c r="BP139" s="230">
        <v>13198500</v>
      </c>
      <c r="BQ139" s="230">
        <v>15120750</v>
      </c>
      <c r="BR139" s="230">
        <v>-1922250</v>
      </c>
      <c r="BS139" s="229">
        <v>-0.12709999999999999</v>
      </c>
      <c r="BT139" s="230">
        <v>740161</v>
      </c>
      <c r="BU139" s="230">
        <v>875542</v>
      </c>
      <c r="BV139" s="230">
        <v>-135381</v>
      </c>
      <c r="BW139" s="229">
        <v>-0.15459999999999999</v>
      </c>
      <c r="BX139" s="230">
        <v>8115750</v>
      </c>
      <c r="BY139" s="230">
        <v>8580750</v>
      </c>
      <c r="BZ139" s="230">
        <v>-465000</v>
      </c>
      <c r="CA139" s="229">
        <v>-5.4199999999999998E-2</v>
      </c>
      <c r="CB139" s="230">
        <v>5043000</v>
      </c>
      <c r="CC139" s="230">
        <v>8039250</v>
      </c>
      <c r="CD139" s="230">
        <v>-2996250</v>
      </c>
      <c r="CE139" s="229">
        <v>-0.37269999999999998</v>
      </c>
      <c r="CF139" s="230">
        <v>3033000</v>
      </c>
      <c r="CG139" s="230">
        <v>505125</v>
      </c>
      <c r="CH139" s="230">
        <v>2527875</v>
      </c>
      <c r="CI139" s="229">
        <v>5.0045000000000002</v>
      </c>
      <c r="CJ139" s="230">
        <v>39750</v>
      </c>
      <c r="CK139" s="230">
        <v>36375</v>
      </c>
      <c r="CL139" s="230">
        <v>3375</v>
      </c>
      <c r="CM139" s="229">
        <v>9.2799999999999994E-2</v>
      </c>
      <c r="CN139" s="230">
        <v>3126750</v>
      </c>
      <c r="CO139" s="230">
        <v>3488250</v>
      </c>
      <c r="CP139" s="230">
        <v>-361500</v>
      </c>
      <c r="CQ139" s="229">
        <v>-0.1036</v>
      </c>
      <c r="CR139" s="230">
        <v>1873875</v>
      </c>
      <c r="CS139" s="230">
        <v>1867500</v>
      </c>
      <c r="CT139" s="230">
        <v>6375</v>
      </c>
      <c r="CU139" s="229">
        <v>3.3999999999999998E-3</v>
      </c>
      <c r="CV139" s="230">
        <v>13116375</v>
      </c>
      <c r="CW139" s="230">
        <v>13936500</v>
      </c>
      <c r="CX139" s="230">
        <v>-820125</v>
      </c>
      <c r="CY139" s="229">
        <v>-5.8799999999999998E-2</v>
      </c>
      <c r="CZ139" s="228">
        <v>27.51</v>
      </c>
      <c r="DA139" s="228">
        <v>29.82</v>
      </c>
      <c r="DB139" s="228">
        <v>-2.31</v>
      </c>
      <c r="DC139" s="228">
        <v>-2.31</v>
      </c>
      <c r="DD139" s="228">
        <v>37.36</v>
      </c>
      <c r="DE139" s="228">
        <v>37.46</v>
      </c>
      <c r="DF139" s="228">
        <v>-9.85</v>
      </c>
      <c r="DG139" s="228">
        <v>-0.1</v>
      </c>
      <c r="DH139" s="228">
        <v>27.65</v>
      </c>
      <c r="DI139" s="228">
        <v>30.02</v>
      </c>
      <c r="DJ139" s="228">
        <v>-2.37</v>
      </c>
      <c r="DK139" s="228">
        <v>-2.37</v>
      </c>
      <c r="DL139" s="228">
        <v>27.28</v>
      </c>
      <c r="DM139" s="228">
        <v>29.16</v>
      </c>
      <c r="DN139" s="228">
        <v>-1.88</v>
      </c>
      <c r="DO139" s="228">
        <v>-1.88</v>
      </c>
      <c r="DP139" s="228">
        <v>0.6</v>
      </c>
      <c r="DQ139" s="228">
        <v>0.54</v>
      </c>
      <c r="DR139" s="228">
        <v>0.06</v>
      </c>
      <c r="DS139" s="229">
        <v>0.1111</v>
      </c>
      <c r="DT139" s="231">
        <v>1400</v>
      </c>
      <c r="DU139" s="231">
        <v>1280</v>
      </c>
      <c r="DV139" s="228">
        <v>0.36</v>
      </c>
      <c r="DW139" s="228">
        <v>0.3</v>
      </c>
      <c r="DX139" s="228">
        <v>0.06</v>
      </c>
      <c r="DY139" s="229">
        <v>0.2</v>
      </c>
      <c r="DZ139" s="229">
        <v>0.37859999999999999</v>
      </c>
      <c r="EA139" s="230">
        <v>541500</v>
      </c>
      <c r="EB139" s="229">
        <v>5.8999999999999999E-3</v>
      </c>
      <c r="EC139" s="229">
        <v>0.37859999999999999</v>
      </c>
      <c r="ED139" s="228">
        <v>9.01</v>
      </c>
      <c r="EE139" s="229">
        <v>6.6E-3</v>
      </c>
      <c r="EF139" s="230">
        <v>489506</v>
      </c>
      <c r="EG139" s="230">
        <v>496541</v>
      </c>
      <c r="EH139" s="229">
        <v>-1.4200000000000001E-2</v>
      </c>
      <c r="EI139" s="229">
        <v>0.66139999999999999</v>
      </c>
      <c r="EJ139" s="231">
        <v>67187.850000000006</v>
      </c>
      <c r="EK139" s="231">
        <v>23138.23</v>
      </c>
      <c r="EL139" s="231">
        <v>91917.6</v>
      </c>
      <c r="EM139" s="231">
        <v>3943</v>
      </c>
      <c r="EN139" s="231">
        <v>182243.68</v>
      </c>
      <c r="EO139" s="231">
        <v>208898.59</v>
      </c>
      <c r="EP139" s="231">
        <v>-26654.91</v>
      </c>
      <c r="EQ139" s="229">
        <v>-0.12759999999999999</v>
      </c>
      <c r="ER139" s="231">
        <v>44641</v>
      </c>
      <c r="ES139" s="231">
        <v>24639</v>
      </c>
      <c r="ET139" s="231">
        <v>110764</v>
      </c>
      <c r="EU139" s="231">
        <v>60530911</v>
      </c>
      <c r="EV139" s="231">
        <v>180043</v>
      </c>
      <c r="EW139" s="231">
        <v>190945</v>
      </c>
      <c r="EX139" s="231">
        <v>-10902</v>
      </c>
      <c r="EY139" s="229">
        <v>-5.7099999999999998E-2</v>
      </c>
      <c r="EZ139" s="229">
        <v>0.2167</v>
      </c>
      <c r="FA139" s="227" t="s">
        <v>556</v>
      </c>
      <c r="FB139" s="161">
        <f>BX139-CB139</f>
        <v>3072750</v>
      </c>
    </row>
    <row r="140" spans="1:158" ht="17.25" hidden="1" thickBot="1" x14ac:dyDescent="0.3">
      <c r="A140" s="226">
        <v>45981</v>
      </c>
      <c r="B140" s="227" t="s">
        <v>206</v>
      </c>
      <c r="C140" s="227" t="s">
        <v>550</v>
      </c>
      <c r="D140" s="228">
        <v>6500</v>
      </c>
      <c r="E140" s="228">
        <v>116.14</v>
      </c>
      <c r="F140" s="228">
        <v>113.07</v>
      </c>
      <c r="G140" s="228">
        <v>3.07</v>
      </c>
      <c r="H140" s="229">
        <v>2.7199999999999998E-2</v>
      </c>
      <c r="I140" s="228">
        <v>115.99</v>
      </c>
      <c r="J140" s="228">
        <v>113.04</v>
      </c>
      <c r="K140" s="228">
        <v>2.95</v>
      </c>
      <c r="L140" s="229">
        <v>2.6100000000000002E-2</v>
      </c>
      <c r="M140" s="228">
        <v>116.14</v>
      </c>
      <c r="N140" s="228">
        <v>113.07</v>
      </c>
      <c r="O140" s="228">
        <v>3.07</v>
      </c>
      <c r="P140" s="229">
        <v>2.7199999999999998E-2</v>
      </c>
      <c r="Q140" s="228">
        <v>116.92</v>
      </c>
      <c r="R140" s="228">
        <v>113.87</v>
      </c>
      <c r="S140" s="228">
        <v>3.05</v>
      </c>
      <c r="T140" s="229">
        <v>2.6800000000000001E-2</v>
      </c>
      <c r="U140" s="228">
        <v>117.77</v>
      </c>
      <c r="V140" s="228">
        <v>114.87</v>
      </c>
      <c r="W140" s="228">
        <v>2.9</v>
      </c>
      <c r="X140" s="229">
        <v>2.52E-2</v>
      </c>
      <c r="Y140" s="228">
        <v>0.15</v>
      </c>
      <c r="Z140" s="228">
        <v>0.03</v>
      </c>
      <c r="AA140" s="228">
        <v>0.12</v>
      </c>
      <c r="AB140" s="229">
        <v>1.2999999999999999E-3</v>
      </c>
      <c r="AC140" s="228">
        <v>0.15</v>
      </c>
      <c r="AD140" s="228">
        <v>0.03</v>
      </c>
      <c r="AE140" s="228">
        <v>0.12</v>
      </c>
      <c r="AF140" s="229">
        <v>1.2999999999999999E-3</v>
      </c>
      <c r="AG140" s="228">
        <v>0.93</v>
      </c>
      <c r="AH140" s="228">
        <v>0.83</v>
      </c>
      <c r="AI140" s="228">
        <v>0.1</v>
      </c>
      <c r="AJ140" s="229">
        <v>8.0000000000000002E-3</v>
      </c>
      <c r="AK140" s="228">
        <v>1.78</v>
      </c>
      <c r="AL140" s="228">
        <v>1.83</v>
      </c>
      <c r="AM140" s="228">
        <v>-0.05</v>
      </c>
      <c r="AN140" s="229">
        <v>1.5299999999999999E-2</v>
      </c>
      <c r="AO140" s="228">
        <v>115.93</v>
      </c>
      <c r="AP140" s="228">
        <v>116.62</v>
      </c>
      <c r="AQ140" s="228">
        <v>0</v>
      </c>
      <c r="AR140" s="230">
        <v>79891500</v>
      </c>
      <c r="AS140" s="230">
        <v>15944500</v>
      </c>
      <c r="AT140" s="230">
        <v>63947000</v>
      </c>
      <c r="AU140" s="229">
        <v>4.0106000000000002</v>
      </c>
      <c r="AV140" s="230">
        <v>44024500</v>
      </c>
      <c r="AW140" s="230">
        <v>10406500</v>
      </c>
      <c r="AX140" s="230">
        <v>33618000</v>
      </c>
      <c r="AY140" s="229">
        <v>3.2305000000000001</v>
      </c>
      <c r="AZ140" s="230">
        <v>35347000</v>
      </c>
      <c r="BA140" s="230">
        <v>5336500</v>
      </c>
      <c r="BB140" s="230">
        <v>30010500</v>
      </c>
      <c r="BC140" s="229">
        <v>5.6235999999999997</v>
      </c>
      <c r="BD140" s="230">
        <v>520000</v>
      </c>
      <c r="BE140" s="230">
        <v>201500</v>
      </c>
      <c r="BF140" s="230">
        <v>318500</v>
      </c>
      <c r="BG140" s="229">
        <v>1.5806</v>
      </c>
      <c r="BH140" s="230">
        <v>248898000</v>
      </c>
      <c r="BI140" s="230">
        <v>35535500</v>
      </c>
      <c r="BJ140" s="230">
        <v>213362500</v>
      </c>
      <c r="BK140" s="229">
        <v>6.0042</v>
      </c>
      <c r="BL140" s="230">
        <v>84162000</v>
      </c>
      <c r="BM140" s="230">
        <v>16308500</v>
      </c>
      <c r="BN140" s="230">
        <v>67853500</v>
      </c>
      <c r="BO140" s="229">
        <v>4.1605999999999996</v>
      </c>
      <c r="BP140" s="230">
        <v>412951500</v>
      </c>
      <c r="BQ140" s="230">
        <v>67788500</v>
      </c>
      <c r="BR140" s="230">
        <v>345163000</v>
      </c>
      <c r="BS140" s="229">
        <v>5.0918000000000001</v>
      </c>
      <c r="BT140" s="230">
        <v>42529596</v>
      </c>
      <c r="BU140" s="230">
        <v>6738494</v>
      </c>
      <c r="BV140" s="230">
        <v>35791102</v>
      </c>
      <c r="BW140" s="229">
        <v>5.3113999999999999</v>
      </c>
      <c r="BX140" s="230">
        <v>83427500</v>
      </c>
      <c r="BY140" s="230">
        <v>83980000</v>
      </c>
      <c r="BZ140" s="230">
        <v>-552500</v>
      </c>
      <c r="CA140" s="229">
        <v>-6.6E-3</v>
      </c>
      <c r="CB140" s="230">
        <v>53222000</v>
      </c>
      <c r="CC140" s="230">
        <v>68198000</v>
      </c>
      <c r="CD140" s="230">
        <v>-14976000</v>
      </c>
      <c r="CE140" s="229">
        <v>-0.21959999999999999</v>
      </c>
      <c r="CF140" s="230">
        <v>29510000</v>
      </c>
      <c r="CG140" s="230">
        <v>15151500</v>
      </c>
      <c r="CH140" s="230">
        <v>14358500</v>
      </c>
      <c r="CI140" s="229">
        <v>0.94769999999999999</v>
      </c>
      <c r="CJ140" s="230">
        <v>695500</v>
      </c>
      <c r="CK140" s="230">
        <v>630500</v>
      </c>
      <c r="CL140" s="230">
        <v>65000</v>
      </c>
      <c r="CM140" s="229">
        <v>0.1031</v>
      </c>
      <c r="CN140" s="230">
        <v>55204500</v>
      </c>
      <c r="CO140" s="230">
        <v>44102500</v>
      </c>
      <c r="CP140" s="230">
        <v>11102000</v>
      </c>
      <c r="CQ140" s="229">
        <v>0.25169999999999998</v>
      </c>
      <c r="CR140" s="230">
        <v>26721500</v>
      </c>
      <c r="CS140" s="230">
        <v>24290500</v>
      </c>
      <c r="CT140" s="230">
        <v>2431000</v>
      </c>
      <c r="CU140" s="229">
        <v>0.10009999999999999</v>
      </c>
      <c r="CV140" s="230">
        <v>165353500</v>
      </c>
      <c r="CW140" s="230">
        <v>152373000</v>
      </c>
      <c r="CX140" s="230">
        <v>12980500</v>
      </c>
      <c r="CY140" s="229">
        <v>8.5199999999999998E-2</v>
      </c>
      <c r="CZ140" s="228">
        <v>31.27</v>
      </c>
      <c r="DA140" s="228">
        <v>31.81</v>
      </c>
      <c r="DB140" s="228">
        <v>-0.54</v>
      </c>
      <c r="DC140" s="228">
        <v>-0.54</v>
      </c>
      <c r="DD140" s="228">
        <v>51.71</v>
      </c>
      <c r="DE140" s="228">
        <v>51.71</v>
      </c>
      <c r="DF140" s="228">
        <v>-20.440000000000001</v>
      </c>
      <c r="DG140" s="228">
        <v>0</v>
      </c>
      <c r="DH140" s="228">
        <v>31.14</v>
      </c>
      <c r="DI140" s="228">
        <v>32.6</v>
      </c>
      <c r="DJ140" s="228">
        <v>-1.46</v>
      </c>
      <c r="DK140" s="228">
        <v>-1.46</v>
      </c>
      <c r="DL140" s="228">
        <v>31.68</v>
      </c>
      <c r="DM140" s="228">
        <v>30.08</v>
      </c>
      <c r="DN140" s="228">
        <v>1.6</v>
      </c>
      <c r="DO140" s="228">
        <v>1.6</v>
      </c>
      <c r="DP140" s="228">
        <v>0.48</v>
      </c>
      <c r="DQ140" s="228">
        <v>0.55000000000000004</v>
      </c>
      <c r="DR140" s="228">
        <v>-7.0000000000000007E-2</v>
      </c>
      <c r="DS140" s="229">
        <v>-0.1273</v>
      </c>
      <c r="DT140" s="228">
        <v>120</v>
      </c>
      <c r="DU140" s="228">
        <v>110</v>
      </c>
      <c r="DV140" s="228">
        <v>0.34</v>
      </c>
      <c r="DW140" s="228">
        <v>0.46</v>
      </c>
      <c r="DX140" s="228">
        <v>-0.12</v>
      </c>
      <c r="DY140" s="229">
        <v>-0.26090000000000002</v>
      </c>
      <c r="DZ140" s="229">
        <v>0.36209999999999998</v>
      </c>
      <c r="EA140" s="230">
        <v>15782000</v>
      </c>
      <c r="EB140" s="229">
        <v>6.7000000000000002E-3</v>
      </c>
      <c r="EC140" s="229">
        <v>0.36209999999999998</v>
      </c>
      <c r="ED140" s="228">
        <v>0.69</v>
      </c>
      <c r="EE140" s="229">
        <v>6.0000000000000001E-3</v>
      </c>
      <c r="EF140" s="230">
        <v>6568055</v>
      </c>
      <c r="EG140" s="230">
        <v>1993574</v>
      </c>
      <c r="EH140" s="229">
        <v>2.2946</v>
      </c>
      <c r="EI140" s="229">
        <v>0.15440000000000001</v>
      </c>
      <c r="EJ140" s="231">
        <v>297885.21999999997</v>
      </c>
      <c r="EK140" s="231">
        <v>96309.3</v>
      </c>
      <c r="EL140" s="231">
        <v>92870.92</v>
      </c>
      <c r="EM140" s="231">
        <v>5644</v>
      </c>
      <c r="EN140" s="231">
        <v>487065.44</v>
      </c>
      <c r="EO140" s="231">
        <v>78604.63</v>
      </c>
      <c r="EP140" s="231">
        <v>408460.81</v>
      </c>
      <c r="EQ140" s="229">
        <v>5.1963999999999997</v>
      </c>
      <c r="ER140" s="231">
        <v>66035</v>
      </c>
      <c r="ES140" s="231">
        <v>29602</v>
      </c>
      <c r="ET140" s="231">
        <v>97134</v>
      </c>
      <c r="EU140" s="231">
        <v>154894704</v>
      </c>
      <c r="EV140" s="231">
        <v>192771</v>
      </c>
      <c r="EW140" s="231">
        <v>174282</v>
      </c>
      <c r="EX140" s="231">
        <v>18489</v>
      </c>
      <c r="EY140" s="229">
        <v>0.1061</v>
      </c>
      <c r="EZ140" s="229">
        <v>1.0674999999999999</v>
      </c>
      <c r="FA140" s="227" t="s">
        <v>556</v>
      </c>
      <c r="FB140" s="161">
        <f>BX140-CB140</f>
        <v>30205500</v>
      </c>
    </row>
    <row r="141" spans="1:158" ht="17.25" hidden="1" thickBot="1" x14ac:dyDescent="0.3">
      <c r="A141" s="226">
        <v>45981</v>
      </c>
      <c r="B141" s="227" t="s">
        <v>215</v>
      </c>
      <c r="C141" s="227" t="s">
        <v>591</v>
      </c>
      <c r="D141" s="228">
        <v>2700</v>
      </c>
      <c r="E141" s="228">
        <v>179.26</v>
      </c>
      <c r="F141" s="228">
        <v>181.2</v>
      </c>
      <c r="G141" s="228">
        <v>-1.94</v>
      </c>
      <c r="H141" s="229">
        <v>-1.0699999999999999E-2</v>
      </c>
      <c r="I141" s="228">
        <v>179.03</v>
      </c>
      <c r="J141" s="228">
        <v>180.83</v>
      </c>
      <c r="K141" s="228">
        <v>-1.8</v>
      </c>
      <c r="L141" s="229">
        <v>-0.01</v>
      </c>
      <c r="M141" s="228">
        <v>179.26</v>
      </c>
      <c r="N141" s="228">
        <v>181.2</v>
      </c>
      <c r="O141" s="228">
        <v>-1.94</v>
      </c>
      <c r="P141" s="229">
        <v>-1.0699999999999999E-2</v>
      </c>
      <c r="Q141" s="228">
        <v>180.37</v>
      </c>
      <c r="R141" s="228">
        <v>182.32</v>
      </c>
      <c r="S141" s="228">
        <v>-1.95</v>
      </c>
      <c r="T141" s="229">
        <v>-1.0699999999999999E-2</v>
      </c>
      <c r="U141" s="228">
        <v>0</v>
      </c>
      <c r="V141" s="228">
        <v>0</v>
      </c>
      <c r="W141" s="228">
        <v>0</v>
      </c>
      <c r="X141" s="229">
        <v>0</v>
      </c>
      <c r="Y141" s="228">
        <v>0.23</v>
      </c>
      <c r="Z141" s="228">
        <v>0.37</v>
      </c>
      <c r="AA141" s="228">
        <v>-0.14000000000000001</v>
      </c>
      <c r="AB141" s="229">
        <v>1.2999999999999999E-3</v>
      </c>
      <c r="AC141" s="228">
        <v>0.23</v>
      </c>
      <c r="AD141" s="228">
        <v>0.37</v>
      </c>
      <c r="AE141" s="228">
        <v>-0.14000000000000001</v>
      </c>
      <c r="AF141" s="229">
        <v>1.2999999999999999E-3</v>
      </c>
      <c r="AG141" s="228">
        <v>1.34</v>
      </c>
      <c r="AH141" s="228">
        <v>1.49</v>
      </c>
      <c r="AI141" s="228">
        <v>-0.15</v>
      </c>
      <c r="AJ141" s="229">
        <v>7.4999999999999997E-3</v>
      </c>
      <c r="AK141" s="228">
        <v>0</v>
      </c>
      <c r="AL141" s="228">
        <v>0</v>
      </c>
      <c r="AM141" s="228">
        <v>0</v>
      </c>
      <c r="AN141" s="229">
        <v>0</v>
      </c>
      <c r="AO141" s="228">
        <v>180.21</v>
      </c>
      <c r="AP141" s="228">
        <v>181.43</v>
      </c>
      <c r="AQ141" s="228">
        <v>0</v>
      </c>
      <c r="AR141" s="230">
        <v>9439200</v>
      </c>
      <c r="AS141" s="230">
        <v>3636900</v>
      </c>
      <c r="AT141" s="230">
        <v>5802300</v>
      </c>
      <c r="AU141" s="229">
        <v>1.5953999999999999</v>
      </c>
      <c r="AV141" s="230">
        <v>4924800</v>
      </c>
      <c r="AW141" s="230">
        <v>2238300</v>
      </c>
      <c r="AX141" s="230">
        <v>2686500</v>
      </c>
      <c r="AY141" s="229">
        <v>1.2001999999999999</v>
      </c>
      <c r="AZ141" s="230">
        <v>4514400</v>
      </c>
      <c r="BA141" s="230">
        <v>1398600</v>
      </c>
      <c r="BB141" s="230">
        <v>3115800</v>
      </c>
      <c r="BC141" s="229">
        <v>2.2277999999999998</v>
      </c>
      <c r="BD141" s="228">
        <v>0</v>
      </c>
      <c r="BE141" s="228">
        <v>0</v>
      </c>
      <c r="BF141" s="228">
        <v>0</v>
      </c>
      <c r="BG141" s="229">
        <v>0</v>
      </c>
      <c r="BH141" s="230">
        <v>10862100</v>
      </c>
      <c r="BI141" s="230">
        <v>16896600</v>
      </c>
      <c r="BJ141" s="230">
        <v>-6034500</v>
      </c>
      <c r="BK141" s="229">
        <v>-0.35709999999999997</v>
      </c>
      <c r="BL141" s="230">
        <v>3620700</v>
      </c>
      <c r="BM141" s="230">
        <v>4970700</v>
      </c>
      <c r="BN141" s="230">
        <v>-1350000</v>
      </c>
      <c r="BO141" s="229">
        <v>-0.27160000000000001</v>
      </c>
      <c r="BP141" s="230">
        <v>23922000</v>
      </c>
      <c r="BQ141" s="230">
        <v>25504200</v>
      </c>
      <c r="BR141" s="230">
        <v>-1582200</v>
      </c>
      <c r="BS141" s="229">
        <v>-6.2E-2</v>
      </c>
      <c r="BT141" s="230">
        <v>2528755</v>
      </c>
      <c r="BU141" s="230">
        <v>3726047</v>
      </c>
      <c r="BV141" s="230">
        <v>-1197292</v>
      </c>
      <c r="BW141" s="229">
        <v>-0.32129999999999997</v>
      </c>
      <c r="BX141" s="230">
        <v>25042500</v>
      </c>
      <c r="BY141" s="230">
        <v>24950700</v>
      </c>
      <c r="BZ141" s="230">
        <v>91800</v>
      </c>
      <c r="CA141" s="229">
        <v>3.7000000000000002E-3</v>
      </c>
      <c r="CB141" s="230">
        <v>17134200</v>
      </c>
      <c r="CC141" s="230">
        <v>20206800</v>
      </c>
      <c r="CD141" s="230">
        <v>-3072600</v>
      </c>
      <c r="CE141" s="229">
        <v>-0.15210000000000001</v>
      </c>
      <c r="CF141" s="230">
        <v>7908300</v>
      </c>
      <c r="CG141" s="230">
        <v>4743900</v>
      </c>
      <c r="CH141" s="230">
        <v>3164400</v>
      </c>
      <c r="CI141" s="229">
        <v>0.66700000000000004</v>
      </c>
      <c r="CJ141" s="228">
        <v>0</v>
      </c>
      <c r="CK141" s="228">
        <v>0</v>
      </c>
      <c r="CL141" s="228">
        <v>0</v>
      </c>
      <c r="CM141" s="229">
        <v>0</v>
      </c>
      <c r="CN141" s="230">
        <v>23608800</v>
      </c>
      <c r="CO141" s="230">
        <v>23913900</v>
      </c>
      <c r="CP141" s="230">
        <v>-305100</v>
      </c>
      <c r="CQ141" s="229">
        <v>-1.2800000000000001E-2</v>
      </c>
      <c r="CR141" s="230">
        <v>11051100</v>
      </c>
      <c r="CS141" s="230">
        <v>11075400</v>
      </c>
      <c r="CT141" s="230">
        <v>-24300</v>
      </c>
      <c r="CU141" s="229">
        <v>-2.2000000000000001E-3</v>
      </c>
      <c r="CV141" s="230">
        <v>59702400</v>
      </c>
      <c r="CW141" s="230">
        <v>59940000</v>
      </c>
      <c r="CX141" s="230">
        <v>-237600</v>
      </c>
      <c r="CY141" s="229">
        <v>-4.0000000000000001E-3</v>
      </c>
      <c r="CZ141" s="228">
        <v>30.38</v>
      </c>
      <c r="DA141" s="228">
        <v>32.35</v>
      </c>
      <c r="DB141" s="228">
        <v>-1.97</v>
      </c>
      <c r="DC141" s="228">
        <v>-1.97</v>
      </c>
      <c r="DD141" s="228">
        <v>46.33</v>
      </c>
      <c r="DE141" s="228">
        <v>46.43</v>
      </c>
      <c r="DF141" s="228">
        <v>-15.95</v>
      </c>
      <c r="DG141" s="228">
        <v>-0.1</v>
      </c>
      <c r="DH141" s="228">
        <v>30.22</v>
      </c>
      <c r="DI141" s="228">
        <v>33.299999999999997</v>
      </c>
      <c r="DJ141" s="228">
        <v>-3.08</v>
      </c>
      <c r="DK141" s="228">
        <v>-3.08</v>
      </c>
      <c r="DL141" s="228">
        <v>30.78</v>
      </c>
      <c r="DM141" s="228">
        <v>29.14</v>
      </c>
      <c r="DN141" s="228">
        <v>1.64</v>
      </c>
      <c r="DO141" s="228">
        <v>1.64</v>
      </c>
      <c r="DP141" s="228">
        <v>0.47</v>
      </c>
      <c r="DQ141" s="228">
        <v>0.46</v>
      </c>
      <c r="DR141" s="228">
        <v>0.01</v>
      </c>
      <c r="DS141" s="229">
        <v>2.1700000000000001E-2</v>
      </c>
      <c r="DT141" s="228">
        <v>200</v>
      </c>
      <c r="DU141" s="228">
        <v>175</v>
      </c>
      <c r="DV141" s="228">
        <v>0.33</v>
      </c>
      <c r="DW141" s="228">
        <v>0.28999999999999998</v>
      </c>
      <c r="DX141" s="228">
        <v>0.04</v>
      </c>
      <c r="DY141" s="229">
        <v>0.13789999999999999</v>
      </c>
      <c r="DZ141" s="229">
        <v>0.31580000000000003</v>
      </c>
      <c r="EA141" s="230">
        <v>4743900</v>
      </c>
      <c r="EB141" s="229">
        <v>6.1999999999999998E-3</v>
      </c>
      <c r="EC141" s="229">
        <v>0.31580000000000003</v>
      </c>
      <c r="ED141" s="228">
        <v>1.22</v>
      </c>
      <c r="EE141" s="229">
        <v>6.7999999999999996E-3</v>
      </c>
      <c r="EF141" s="230">
        <v>1325805</v>
      </c>
      <c r="EG141" s="230">
        <v>1816071</v>
      </c>
      <c r="EH141" s="229">
        <v>-0.27</v>
      </c>
      <c r="EI141" s="229">
        <v>0.52429999999999999</v>
      </c>
      <c r="EJ141" s="231">
        <v>20981.759999999998</v>
      </c>
      <c r="EK141" s="231">
        <v>6844.5</v>
      </c>
      <c r="EL141" s="231">
        <v>17065.490000000002</v>
      </c>
      <c r="EM141" s="231">
        <v>1660</v>
      </c>
      <c r="EN141" s="231">
        <v>44891.75</v>
      </c>
      <c r="EO141" s="231">
        <v>48735.4</v>
      </c>
      <c r="EP141" s="231">
        <v>-3843.65</v>
      </c>
      <c r="EQ141" s="229">
        <v>-7.8899999999999998E-2</v>
      </c>
      <c r="ER141" s="231">
        <v>47312</v>
      </c>
      <c r="ES141" s="231">
        <v>20974</v>
      </c>
      <c r="ET141" s="231">
        <v>44979</v>
      </c>
      <c r="EU141" s="231">
        <v>72342848</v>
      </c>
      <c r="EV141" s="231">
        <v>113266</v>
      </c>
      <c r="EW141" s="231">
        <v>114506</v>
      </c>
      <c r="EX141" s="231">
        <v>-1240</v>
      </c>
      <c r="EY141" s="229">
        <v>-1.0800000000000001E-2</v>
      </c>
      <c r="EZ141" s="229">
        <v>0.82530000000000003</v>
      </c>
      <c r="FA141" s="227" t="s">
        <v>567</v>
      </c>
      <c r="FB141" s="161">
        <f>BX216-CB216</f>
        <v>4773600</v>
      </c>
    </row>
    <row r="142" spans="1:158" ht="17.25" hidden="1" thickBot="1" x14ac:dyDescent="0.3">
      <c r="A142" s="226">
        <v>45981</v>
      </c>
      <c r="B142" s="227" t="s">
        <v>168</v>
      </c>
      <c r="C142" s="227" t="s">
        <v>265</v>
      </c>
      <c r="D142" s="228">
        <v>500</v>
      </c>
      <c r="E142" s="231">
        <v>1280.7</v>
      </c>
      <c r="F142" s="231">
        <v>1281.0999999999999</v>
      </c>
      <c r="G142" s="228">
        <v>-0.4</v>
      </c>
      <c r="H142" s="229">
        <v>-2.9999999999999997E-4</v>
      </c>
      <c r="I142" s="231">
        <v>1279.2</v>
      </c>
      <c r="J142" s="231">
        <v>1279</v>
      </c>
      <c r="K142" s="228">
        <v>0.2</v>
      </c>
      <c r="L142" s="229">
        <v>2.0000000000000001E-4</v>
      </c>
      <c r="M142" s="231">
        <v>1280.7</v>
      </c>
      <c r="N142" s="231">
        <v>1281.0999999999999</v>
      </c>
      <c r="O142" s="228">
        <v>-0.4</v>
      </c>
      <c r="P142" s="229">
        <v>-2.9999999999999997E-4</v>
      </c>
      <c r="Q142" s="231">
        <v>1289.2</v>
      </c>
      <c r="R142" s="231">
        <v>1289.5999999999999</v>
      </c>
      <c r="S142" s="228">
        <v>-0.4</v>
      </c>
      <c r="T142" s="229">
        <v>-2.9999999999999997E-4</v>
      </c>
      <c r="U142" s="231">
        <v>1296.8</v>
      </c>
      <c r="V142" s="231">
        <v>1297.3</v>
      </c>
      <c r="W142" s="228">
        <v>-0.5</v>
      </c>
      <c r="X142" s="229">
        <v>-4.0000000000000002E-4</v>
      </c>
      <c r="Y142" s="228">
        <v>1.5</v>
      </c>
      <c r="Z142" s="228">
        <v>2.1</v>
      </c>
      <c r="AA142" s="228">
        <v>-0.6</v>
      </c>
      <c r="AB142" s="229">
        <v>1.1999999999999999E-3</v>
      </c>
      <c r="AC142" s="228">
        <v>1.5</v>
      </c>
      <c r="AD142" s="228">
        <v>2.1</v>
      </c>
      <c r="AE142" s="228">
        <v>-0.6</v>
      </c>
      <c r="AF142" s="229">
        <v>1.1999999999999999E-3</v>
      </c>
      <c r="AG142" s="228">
        <v>10</v>
      </c>
      <c r="AH142" s="228">
        <v>10.6</v>
      </c>
      <c r="AI142" s="228">
        <v>-0.6</v>
      </c>
      <c r="AJ142" s="229">
        <v>7.7999999999999996E-3</v>
      </c>
      <c r="AK142" s="228">
        <v>17.600000000000001</v>
      </c>
      <c r="AL142" s="228">
        <v>18.3</v>
      </c>
      <c r="AM142" s="228">
        <v>-0.7</v>
      </c>
      <c r="AN142" s="229">
        <v>1.38E-2</v>
      </c>
      <c r="AO142" s="231">
        <v>1280.7</v>
      </c>
      <c r="AP142" s="231">
        <v>1289.0899999999999</v>
      </c>
      <c r="AQ142" s="228">
        <v>0</v>
      </c>
      <c r="AR142" s="230">
        <v>9423500</v>
      </c>
      <c r="AS142" s="230">
        <v>2011500</v>
      </c>
      <c r="AT142" s="230">
        <v>7412000</v>
      </c>
      <c r="AU142" s="229">
        <v>3.6848000000000001</v>
      </c>
      <c r="AV142" s="230">
        <v>4755000</v>
      </c>
      <c r="AW142" s="230">
        <v>1411000</v>
      </c>
      <c r="AX142" s="230">
        <v>3344000</v>
      </c>
      <c r="AY142" s="229">
        <v>2.37</v>
      </c>
      <c r="AZ142" s="230">
        <v>4653500</v>
      </c>
      <c r="BA142" s="230">
        <v>587000</v>
      </c>
      <c r="BB142" s="230">
        <v>4066500</v>
      </c>
      <c r="BC142" s="229">
        <v>6.9276</v>
      </c>
      <c r="BD142" s="230">
        <v>15000</v>
      </c>
      <c r="BE142" s="230">
        <v>13500</v>
      </c>
      <c r="BF142" s="230">
        <v>1500</v>
      </c>
      <c r="BG142" s="229">
        <v>0.1111</v>
      </c>
      <c r="BH142" s="230">
        <v>4754000</v>
      </c>
      <c r="BI142" s="230">
        <v>7764500</v>
      </c>
      <c r="BJ142" s="230">
        <v>-3010500</v>
      </c>
      <c r="BK142" s="229">
        <v>-0.38769999999999999</v>
      </c>
      <c r="BL142" s="230">
        <v>1404000</v>
      </c>
      <c r="BM142" s="230">
        <v>2620000</v>
      </c>
      <c r="BN142" s="230">
        <v>-1216000</v>
      </c>
      <c r="BO142" s="229">
        <v>-0.46410000000000001</v>
      </c>
      <c r="BP142" s="230">
        <v>15581500</v>
      </c>
      <c r="BQ142" s="230">
        <v>12396000</v>
      </c>
      <c r="BR142" s="230">
        <v>3185500</v>
      </c>
      <c r="BS142" s="229">
        <v>0.25700000000000001</v>
      </c>
      <c r="BT142" s="230">
        <v>1009610</v>
      </c>
      <c r="BU142" s="230">
        <v>762768</v>
      </c>
      <c r="BV142" s="230">
        <v>246842</v>
      </c>
      <c r="BW142" s="229">
        <v>0.3236</v>
      </c>
      <c r="BX142" s="230">
        <v>16596500</v>
      </c>
      <c r="BY142" s="230">
        <v>16622000</v>
      </c>
      <c r="BZ142" s="230">
        <v>-25500</v>
      </c>
      <c r="CA142" s="229">
        <v>-1.5E-3</v>
      </c>
      <c r="CB142" s="230">
        <v>11153500</v>
      </c>
      <c r="CC142" s="230">
        <v>15231500</v>
      </c>
      <c r="CD142" s="230">
        <v>-4078000</v>
      </c>
      <c r="CE142" s="229">
        <v>-0.26769999999999999</v>
      </c>
      <c r="CF142" s="230">
        <v>5389500</v>
      </c>
      <c r="CG142" s="230">
        <v>1340500</v>
      </c>
      <c r="CH142" s="230">
        <v>4049000</v>
      </c>
      <c r="CI142" s="229">
        <v>3.0205000000000002</v>
      </c>
      <c r="CJ142" s="230">
        <v>53500</v>
      </c>
      <c r="CK142" s="230">
        <v>50000</v>
      </c>
      <c r="CL142" s="230">
        <v>3500</v>
      </c>
      <c r="CM142" s="229">
        <v>7.0000000000000007E-2</v>
      </c>
      <c r="CN142" s="230">
        <v>5230500</v>
      </c>
      <c r="CO142" s="230">
        <v>5434000</v>
      </c>
      <c r="CP142" s="230">
        <v>-203500</v>
      </c>
      <c r="CQ142" s="229">
        <v>-3.7400000000000003E-2</v>
      </c>
      <c r="CR142" s="230">
        <v>1958500</v>
      </c>
      <c r="CS142" s="230">
        <v>2045000</v>
      </c>
      <c r="CT142" s="230">
        <v>-86500</v>
      </c>
      <c r="CU142" s="229">
        <v>-4.2299999999999997E-2</v>
      </c>
      <c r="CV142" s="230">
        <v>23785500</v>
      </c>
      <c r="CW142" s="230">
        <v>24101000</v>
      </c>
      <c r="CX142" s="230">
        <v>-315500</v>
      </c>
      <c r="CY142" s="229">
        <v>-1.3100000000000001E-2</v>
      </c>
      <c r="CZ142" s="228">
        <v>17.34</v>
      </c>
      <c r="DA142" s="228">
        <v>16.82</v>
      </c>
      <c r="DB142" s="228">
        <v>0.52</v>
      </c>
      <c r="DC142" s="228">
        <v>0.52</v>
      </c>
      <c r="DD142" s="228">
        <v>23.44</v>
      </c>
      <c r="DE142" s="228">
        <v>23.5</v>
      </c>
      <c r="DF142" s="228">
        <v>-6.1</v>
      </c>
      <c r="DG142" s="228">
        <v>-0.06</v>
      </c>
      <c r="DH142" s="228">
        <v>17.309999999999999</v>
      </c>
      <c r="DI142" s="228">
        <v>16.420000000000002</v>
      </c>
      <c r="DJ142" s="228">
        <v>0.89</v>
      </c>
      <c r="DK142" s="228">
        <v>0.89</v>
      </c>
      <c r="DL142" s="228">
        <v>17.43</v>
      </c>
      <c r="DM142" s="228">
        <v>17.989999999999998</v>
      </c>
      <c r="DN142" s="228">
        <v>-0.56000000000000005</v>
      </c>
      <c r="DO142" s="228">
        <v>-0.56000000000000005</v>
      </c>
      <c r="DP142" s="228">
        <v>0.37</v>
      </c>
      <c r="DQ142" s="228">
        <v>0.38</v>
      </c>
      <c r="DR142" s="228">
        <v>-0.01</v>
      </c>
      <c r="DS142" s="229">
        <v>-2.63E-2</v>
      </c>
      <c r="DT142" s="231">
        <v>1300</v>
      </c>
      <c r="DU142" s="231">
        <v>1300</v>
      </c>
      <c r="DV142" s="228">
        <v>0.3</v>
      </c>
      <c r="DW142" s="228">
        <v>0.34</v>
      </c>
      <c r="DX142" s="228">
        <v>-0.04</v>
      </c>
      <c r="DY142" s="229">
        <v>-0.1176</v>
      </c>
      <c r="DZ142" s="229">
        <v>0.32800000000000001</v>
      </c>
      <c r="EA142" s="230">
        <v>1390500</v>
      </c>
      <c r="EB142" s="229">
        <v>6.6E-3</v>
      </c>
      <c r="EC142" s="229">
        <v>0.32800000000000001</v>
      </c>
      <c r="ED142" s="228">
        <v>8.39</v>
      </c>
      <c r="EE142" s="229">
        <v>6.6E-3</v>
      </c>
      <c r="EF142" s="230">
        <v>676249</v>
      </c>
      <c r="EG142" s="230">
        <v>432549</v>
      </c>
      <c r="EH142" s="229">
        <v>0.56340000000000001</v>
      </c>
      <c r="EI142" s="229">
        <v>0.66979999999999995</v>
      </c>
      <c r="EJ142" s="231">
        <v>61964.46</v>
      </c>
      <c r="EK142" s="231">
        <v>17822.8</v>
      </c>
      <c r="EL142" s="231">
        <v>121079.87</v>
      </c>
      <c r="EM142" s="231">
        <v>2991</v>
      </c>
      <c r="EN142" s="231">
        <v>200867.13</v>
      </c>
      <c r="EO142" s="231">
        <v>159571.63</v>
      </c>
      <c r="EP142" s="231">
        <v>41295.5</v>
      </c>
      <c r="EQ142" s="229">
        <v>0.25879999999999997</v>
      </c>
      <c r="ER142" s="231">
        <v>68444</v>
      </c>
      <c r="ES142" s="231">
        <v>24214</v>
      </c>
      <c r="ET142" s="231">
        <v>213018</v>
      </c>
      <c r="EU142" s="231">
        <v>71801274</v>
      </c>
      <c r="EV142" s="231">
        <v>305676</v>
      </c>
      <c r="EW142" s="231">
        <v>309424</v>
      </c>
      <c r="EX142" s="231">
        <v>-3748</v>
      </c>
      <c r="EY142" s="229">
        <v>-1.21E-2</v>
      </c>
      <c r="EZ142" s="229">
        <v>0.33129999999999998</v>
      </c>
      <c r="FA142" s="227" t="s">
        <v>568</v>
      </c>
      <c r="FB142" s="161">
        <f t="shared" ref="FB142:FB161" si="3">BX217-CB217</f>
        <v>0</v>
      </c>
    </row>
    <row r="143" spans="1:158" ht="17.25" hidden="1" thickBot="1" x14ac:dyDescent="0.3">
      <c r="A143" s="226">
        <v>45981</v>
      </c>
      <c r="B143" s="227" t="s">
        <v>161</v>
      </c>
      <c r="C143" s="227" t="s">
        <v>585</v>
      </c>
      <c r="D143" s="228">
        <v>6400</v>
      </c>
      <c r="E143" s="228">
        <v>80.17</v>
      </c>
      <c r="F143" s="228">
        <v>80.16</v>
      </c>
      <c r="G143" s="228">
        <v>0.01</v>
      </c>
      <c r="H143" s="229">
        <v>1E-4</v>
      </c>
      <c r="I143" s="228">
        <v>80.12</v>
      </c>
      <c r="J143" s="228">
        <v>80.05</v>
      </c>
      <c r="K143" s="228">
        <v>7.0000000000000007E-2</v>
      </c>
      <c r="L143" s="229">
        <v>8.9999999999999998E-4</v>
      </c>
      <c r="M143" s="228">
        <v>80.17</v>
      </c>
      <c r="N143" s="228">
        <v>80.16</v>
      </c>
      <c r="O143" s="228">
        <v>0.01</v>
      </c>
      <c r="P143" s="229">
        <v>1E-4</v>
      </c>
      <c r="Q143" s="228">
        <v>80.7</v>
      </c>
      <c r="R143" s="228">
        <v>80.66</v>
      </c>
      <c r="S143" s="228">
        <v>0.04</v>
      </c>
      <c r="T143" s="229">
        <v>5.0000000000000001E-4</v>
      </c>
      <c r="U143" s="228">
        <v>81.13</v>
      </c>
      <c r="V143" s="228">
        <v>81.2</v>
      </c>
      <c r="W143" s="228">
        <v>-7.0000000000000007E-2</v>
      </c>
      <c r="X143" s="229">
        <v>-8.9999999999999998E-4</v>
      </c>
      <c r="Y143" s="228">
        <v>0.05</v>
      </c>
      <c r="Z143" s="228">
        <v>0.11</v>
      </c>
      <c r="AA143" s="228">
        <v>-0.06</v>
      </c>
      <c r="AB143" s="229">
        <v>5.9999999999999995E-4</v>
      </c>
      <c r="AC143" s="228">
        <v>0.05</v>
      </c>
      <c r="AD143" s="228">
        <v>0.11</v>
      </c>
      <c r="AE143" s="228">
        <v>-0.06</v>
      </c>
      <c r="AF143" s="229">
        <v>5.9999999999999995E-4</v>
      </c>
      <c r="AG143" s="228">
        <v>0.57999999999999996</v>
      </c>
      <c r="AH143" s="228">
        <v>0.61</v>
      </c>
      <c r="AI143" s="228">
        <v>-0.03</v>
      </c>
      <c r="AJ143" s="229">
        <v>7.1999999999999998E-3</v>
      </c>
      <c r="AK143" s="228">
        <v>1.01</v>
      </c>
      <c r="AL143" s="228">
        <v>1.1499999999999999</v>
      </c>
      <c r="AM143" s="228">
        <v>-0.14000000000000001</v>
      </c>
      <c r="AN143" s="229">
        <v>1.26E-2</v>
      </c>
      <c r="AO143" s="228">
        <v>80.510000000000005</v>
      </c>
      <c r="AP143" s="228">
        <v>81.010000000000005</v>
      </c>
      <c r="AQ143" s="228">
        <v>0</v>
      </c>
      <c r="AR143" s="230">
        <v>32115200</v>
      </c>
      <c r="AS143" s="230">
        <v>12480000</v>
      </c>
      <c r="AT143" s="230">
        <v>19635200</v>
      </c>
      <c r="AU143" s="229">
        <v>1.5732999999999999</v>
      </c>
      <c r="AV143" s="230">
        <v>15891200</v>
      </c>
      <c r="AW143" s="230">
        <v>7046400</v>
      </c>
      <c r="AX143" s="230">
        <v>8844800</v>
      </c>
      <c r="AY143" s="229">
        <v>1.2552000000000001</v>
      </c>
      <c r="AZ143" s="230">
        <v>16089600</v>
      </c>
      <c r="BA143" s="230">
        <v>5158400</v>
      </c>
      <c r="BB143" s="230">
        <v>10931200</v>
      </c>
      <c r="BC143" s="229">
        <v>2.1191</v>
      </c>
      <c r="BD143" s="230">
        <v>134400</v>
      </c>
      <c r="BE143" s="230">
        <v>275200</v>
      </c>
      <c r="BF143" s="230">
        <v>-140800</v>
      </c>
      <c r="BG143" s="229">
        <v>-0.51160000000000005</v>
      </c>
      <c r="BH143" s="230">
        <v>20128000</v>
      </c>
      <c r="BI143" s="230">
        <v>22950400</v>
      </c>
      <c r="BJ143" s="230">
        <v>-2822400</v>
      </c>
      <c r="BK143" s="229">
        <v>-0.123</v>
      </c>
      <c r="BL143" s="230">
        <v>6803200</v>
      </c>
      <c r="BM143" s="230">
        <v>7481600</v>
      </c>
      <c r="BN143" s="230">
        <v>-678400</v>
      </c>
      <c r="BO143" s="229">
        <v>-9.0700000000000003E-2</v>
      </c>
      <c r="BP143" s="230">
        <v>59046400</v>
      </c>
      <c r="BQ143" s="230">
        <v>42912000</v>
      </c>
      <c r="BR143" s="230">
        <v>16134400</v>
      </c>
      <c r="BS143" s="229">
        <v>0.376</v>
      </c>
      <c r="BT143" s="230">
        <v>7247072</v>
      </c>
      <c r="BU143" s="230">
        <v>11749650</v>
      </c>
      <c r="BV143" s="230">
        <v>-4502578</v>
      </c>
      <c r="BW143" s="229">
        <v>-0.38319999999999999</v>
      </c>
      <c r="BX143" s="230">
        <v>67027200</v>
      </c>
      <c r="BY143" s="230">
        <v>66796800</v>
      </c>
      <c r="BZ143" s="230">
        <v>230400</v>
      </c>
      <c r="CA143" s="229">
        <v>3.3999999999999998E-3</v>
      </c>
      <c r="CB143" s="230">
        <v>44294400</v>
      </c>
      <c r="CC143" s="230">
        <v>56659200</v>
      </c>
      <c r="CD143" s="230">
        <v>-12364800</v>
      </c>
      <c r="CE143" s="229">
        <v>-0.21820000000000001</v>
      </c>
      <c r="CF143" s="230">
        <v>21830400</v>
      </c>
      <c r="CG143" s="230">
        <v>9312000</v>
      </c>
      <c r="CH143" s="230">
        <v>12518400</v>
      </c>
      <c r="CI143" s="229">
        <v>1.3443000000000001</v>
      </c>
      <c r="CJ143" s="230">
        <v>902400</v>
      </c>
      <c r="CK143" s="230">
        <v>825600</v>
      </c>
      <c r="CL143" s="230">
        <v>76800</v>
      </c>
      <c r="CM143" s="229">
        <v>9.2999999999999999E-2</v>
      </c>
      <c r="CN143" s="230">
        <v>39046400</v>
      </c>
      <c r="CO143" s="230">
        <v>40640000</v>
      </c>
      <c r="CP143" s="230">
        <v>-1593600</v>
      </c>
      <c r="CQ143" s="229">
        <v>-3.9199999999999999E-2</v>
      </c>
      <c r="CR143" s="230">
        <v>17625600</v>
      </c>
      <c r="CS143" s="230">
        <v>18112000</v>
      </c>
      <c r="CT143" s="230">
        <v>-486400</v>
      </c>
      <c r="CU143" s="229">
        <v>-2.69E-2</v>
      </c>
      <c r="CV143" s="230">
        <v>123699200</v>
      </c>
      <c r="CW143" s="230">
        <v>125548800</v>
      </c>
      <c r="CX143" s="230">
        <v>-1849600</v>
      </c>
      <c r="CY143" s="229">
        <v>-1.47E-2</v>
      </c>
      <c r="CZ143" s="228">
        <v>26.6</v>
      </c>
      <c r="DA143" s="228">
        <v>30.28</v>
      </c>
      <c r="DB143" s="228">
        <v>-3.68</v>
      </c>
      <c r="DC143" s="228">
        <v>-3.68</v>
      </c>
      <c r="DD143" s="228">
        <v>38.119999999999997</v>
      </c>
      <c r="DE143" s="228">
        <v>38.21</v>
      </c>
      <c r="DF143" s="228">
        <v>-11.52</v>
      </c>
      <c r="DG143" s="228">
        <v>-0.09</v>
      </c>
      <c r="DH143" s="228">
        <v>27.03</v>
      </c>
      <c r="DI143" s="228">
        <v>31.46</v>
      </c>
      <c r="DJ143" s="228">
        <v>-4.43</v>
      </c>
      <c r="DK143" s="228">
        <v>-4.43</v>
      </c>
      <c r="DL143" s="228">
        <v>25.78</v>
      </c>
      <c r="DM143" s="228">
        <v>26.68</v>
      </c>
      <c r="DN143" s="228">
        <v>-0.9</v>
      </c>
      <c r="DO143" s="228">
        <v>-0.9</v>
      </c>
      <c r="DP143" s="228">
        <v>0.45</v>
      </c>
      <c r="DQ143" s="228">
        <v>0.45</v>
      </c>
      <c r="DR143" s="228">
        <v>0</v>
      </c>
      <c r="DS143" s="229">
        <v>0</v>
      </c>
      <c r="DT143" s="228">
        <v>90</v>
      </c>
      <c r="DU143" s="228">
        <v>80</v>
      </c>
      <c r="DV143" s="228">
        <v>0.34</v>
      </c>
      <c r="DW143" s="228">
        <v>0.33</v>
      </c>
      <c r="DX143" s="228">
        <v>0.01</v>
      </c>
      <c r="DY143" s="229">
        <v>3.0300000000000001E-2</v>
      </c>
      <c r="DZ143" s="229">
        <v>0.3392</v>
      </c>
      <c r="EA143" s="230">
        <v>10137600</v>
      </c>
      <c r="EB143" s="229">
        <v>6.6E-3</v>
      </c>
      <c r="EC143" s="229">
        <v>0.3392</v>
      </c>
      <c r="ED143" s="228">
        <v>0.5</v>
      </c>
      <c r="EE143" s="229">
        <v>6.1999999999999998E-3</v>
      </c>
      <c r="EF143" s="230">
        <v>3264809</v>
      </c>
      <c r="EG143" s="230">
        <v>6761943</v>
      </c>
      <c r="EH143" s="229">
        <v>-0.51719999999999999</v>
      </c>
      <c r="EI143" s="229">
        <v>0.45050000000000001</v>
      </c>
      <c r="EJ143" s="231">
        <v>17121.150000000001</v>
      </c>
      <c r="EK143" s="231">
        <v>5441.23</v>
      </c>
      <c r="EL143" s="231">
        <v>25937.57</v>
      </c>
      <c r="EM143" s="231">
        <v>1497</v>
      </c>
      <c r="EN143" s="231">
        <v>48499.95</v>
      </c>
      <c r="EO143" s="231">
        <v>35446.93</v>
      </c>
      <c r="EP143" s="231">
        <v>13053.02</v>
      </c>
      <c r="EQ143" s="229">
        <v>0.36820000000000003</v>
      </c>
      <c r="ER143" s="231">
        <v>33958</v>
      </c>
      <c r="ES143" s="231">
        <v>14240</v>
      </c>
      <c r="ET143" s="231">
        <v>53860</v>
      </c>
      <c r="EU143" s="231">
        <v>398201603</v>
      </c>
      <c r="EV143" s="231">
        <v>102058</v>
      </c>
      <c r="EW143" s="231">
        <v>103619</v>
      </c>
      <c r="EX143" s="231">
        <v>-1561</v>
      </c>
      <c r="EY143" s="229">
        <v>-1.5100000000000001E-2</v>
      </c>
      <c r="EZ143" s="229">
        <v>0.31059999999999999</v>
      </c>
      <c r="FA143" s="227" t="s">
        <v>555</v>
      </c>
      <c r="FB143" s="161">
        <f t="shared" si="3"/>
        <v>0</v>
      </c>
    </row>
    <row r="144" spans="1:158" ht="17.25" hidden="1" thickBot="1" x14ac:dyDescent="0.3">
      <c r="A144" s="226">
        <v>45981</v>
      </c>
      <c r="B144" s="227" t="s">
        <v>181</v>
      </c>
      <c r="C144" s="227" t="s">
        <v>266</v>
      </c>
      <c r="D144" s="228">
        <v>75</v>
      </c>
      <c r="E144" s="231">
        <v>26220.799999999999</v>
      </c>
      <c r="F144" s="231">
        <v>26071</v>
      </c>
      <c r="G144" s="228">
        <v>149.80000000000001</v>
      </c>
      <c r="H144" s="229">
        <v>5.7000000000000002E-3</v>
      </c>
      <c r="I144" s="231">
        <v>26192.15</v>
      </c>
      <c r="J144" s="231">
        <v>26052.65</v>
      </c>
      <c r="K144" s="228">
        <v>139.5</v>
      </c>
      <c r="L144" s="229">
        <v>5.4000000000000003E-3</v>
      </c>
      <c r="M144" s="231">
        <v>26220.799999999999</v>
      </c>
      <c r="N144" s="231">
        <v>26071</v>
      </c>
      <c r="O144" s="228">
        <v>149.80000000000001</v>
      </c>
      <c r="P144" s="229">
        <v>5.7000000000000002E-3</v>
      </c>
      <c r="Q144" s="231">
        <v>26411.9</v>
      </c>
      <c r="R144" s="231">
        <v>26253.7</v>
      </c>
      <c r="S144" s="228">
        <v>158.19999999999999</v>
      </c>
      <c r="T144" s="229">
        <v>6.0000000000000001E-3</v>
      </c>
      <c r="U144" s="231">
        <v>26562.9</v>
      </c>
      <c r="V144" s="231">
        <v>26415</v>
      </c>
      <c r="W144" s="228">
        <v>147.9</v>
      </c>
      <c r="X144" s="229">
        <v>5.5999999999999999E-3</v>
      </c>
      <c r="Y144" s="228">
        <v>28.65</v>
      </c>
      <c r="Z144" s="228">
        <v>18.350000000000001</v>
      </c>
      <c r="AA144" s="228">
        <v>10.3</v>
      </c>
      <c r="AB144" s="229">
        <v>1.1000000000000001E-3</v>
      </c>
      <c r="AC144" s="228">
        <v>28.65</v>
      </c>
      <c r="AD144" s="228">
        <v>18.350000000000001</v>
      </c>
      <c r="AE144" s="228">
        <v>10.3</v>
      </c>
      <c r="AF144" s="229">
        <v>1.1000000000000001E-3</v>
      </c>
      <c r="AG144" s="228">
        <v>219.75</v>
      </c>
      <c r="AH144" s="228">
        <v>201.05</v>
      </c>
      <c r="AI144" s="228">
        <v>18.7</v>
      </c>
      <c r="AJ144" s="229">
        <v>8.3999999999999995E-3</v>
      </c>
      <c r="AK144" s="228">
        <v>370.75</v>
      </c>
      <c r="AL144" s="228">
        <v>362.35</v>
      </c>
      <c r="AM144" s="228">
        <v>8.4</v>
      </c>
      <c r="AN144" s="229">
        <v>1.4200000000000001E-2</v>
      </c>
      <c r="AO144" s="231">
        <v>26186.720000000001</v>
      </c>
      <c r="AP144" s="231">
        <v>26370.75</v>
      </c>
      <c r="AQ144" s="228">
        <v>0</v>
      </c>
      <c r="AR144" s="230">
        <v>10876125</v>
      </c>
      <c r="AS144" s="230">
        <v>6377700</v>
      </c>
      <c r="AT144" s="230">
        <v>4498425</v>
      </c>
      <c r="AU144" s="229">
        <v>0.70530000000000004</v>
      </c>
      <c r="AV144" s="230">
        <v>6642075</v>
      </c>
      <c r="AW144" s="230">
        <v>5064975</v>
      </c>
      <c r="AX144" s="230">
        <v>1577100</v>
      </c>
      <c r="AY144" s="229">
        <v>0.31140000000000001</v>
      </c>
      <c r="AZ144" s="230">
        <v>3917625</v>
      </c>
      <c r="BA144" s="230">
        <v>1144350</v>
      </c>
      <c r="BB144" s="230">
        <v>2773275</v>
      </c>
      <c r="BC144" s="229">
        <v>2.4234</v>
      </c>
      <c r="BD144" s="230">
        <v>316425</v>
      </c>
      <c r="BE144" s="230">
        <v>168375</v>
      </c>
      <c r="BF144" s="230">
        <v>148050</v>
      </c>
      <c r="BG144" s="229">
        <v>0.87929999999999997</v>
      </c>
      <c r="BH144" s="230">
        <v>1903948575</v>
      </c>
      <c r="BI144" s="230">
        <v>1940732025</v>
      </c>
      <c r="BJ144" s="230">
        <v>-36783450</v>
      </c>
      <c r="BK144" s="229">
        <v>-1.9E-2</v>
      </c>
      <c r="BL144" s="230">
        <v>1813331025</v>
      </c>
      <c r="BM144" s="230">
        <v>1726369350</v>
      </c>
      <c r="BN144" s="230">
        <v>86961675</v>
      </c>
      <c r="BO144" s="229">
        <v>5.04E-2</v>
      </c>
      <c r="BP144" s="230">
        <v>3728155725</v>
      </c>
      <c r="BQ144" s="230">
        <v>3673479075</v>
      </c>
      <c r="BR144" s="230">
        <v>54676650</v>
      </c>
      <c r="BS144" s="229">
        <v>1.49E-2</v>
      </c>
      <c r="BT144" s="228">
        <v>0</v>
      </c>
      <c r="BU144" s="228">
        <v>0</v>
      </c>
      <c r="BV144" s="228">
        <v>0</v>
      </c>
      <c r="BW144" s="229">
        <v>0</v>
      </c>
      <c r="BX144" s="230">
        <v>19784570</v>
      </c>
      <c r="BY144" s="230">
        <v>19653875</v>
      </c>
      <c r="BZ144" s="230">
        <v>130695</v>
      </c>
      <c r="CA144" s="229">
        <v>6.6E-3</v>
      </c>
      <c r="CB144" s="230">
        <v>14612850</v>
      </c>
      <c r="CC144" s="230">
        <v>16795500</v>
      </c>
      <c r="CD144" s="230">
        <v>-2182650</v>
      </c>
      <c r="CE144" s="229">
        <v>-0.13</v>
      </c>
      <c r="CF144" s="230">
        <v>4785750</v>
      </c>
      <c r="CG144" s="230">
        <v>2542800</v>
      </c>
      <c r="CH144" s="230">
        <v>2242950</v>
      </c>
      <c r="CI144" s="229">
        <v>0.8821</v>
      </c>
      <c r="CJ144" s="230">
        <v>385970</v>
      </c>
      <c r="CK144" s="230">
        <v>315575</v>
      </c>
      <c r="CL144" s="230">
        <v>70395</v>
      </c>
      <c r="CM144" s="229">
        <v>0.22309999999999999</v>
      </c>
      <c r="CN144" s="230">
        <v>195577170</v>
      </c>
      <c r="CO144" s="230">
        <v>178991725</v>
      </c>
      <c r="CP144" s="230">
        <v>16585445</v>
      </c>
      <c r="CQ144" s="229">
        <v>9.2700000000000005E-2</v>
      </c>
      <c r="CR144" s="230">
        <v>281716225</v>
      </c>
      <c r="CS144" s="230">
        <v>230234730</v>
      </c>
      <c r="CT144" s="230">
        <v>51481495</v>
      </c>
      <c r="CU144" s="229">
        <v>0.22359999999999999</v>
      </c>
      <c r="CV144" s="230">
        <v>497077965</v>
      </c>
      <c r="CW144" s="230">
        <v>428880330</v>
      </c>
      <c r="CX144" s="230">
        <v>68197635</v>
      </c>
      <c r="CY144" s="229">
        <v>0.159</v>
      </c>
      <c r="CZ144" s="228">
        <v>11.2</v>
      </c>
      <c r="DA144" s="228">
        <v>11.93</v>
      </c>
      <c r="DB144" s="228">
        <v>-0.73</v>
      </c>
      <c r="DC144" s="228">
        <v>-0.73</v>
      </c>
      <c r="DD144" s="228">
        <v>14.51</v>
      </c>
      <c r="DE144" s="228">
        <v>14.52</v>
      </c>
      <c r="DF144" s="228">
        <v>-3.31</v>
      </c>
      <c r="DG144" s="228">
        <v>-0.01</v>
      </c>
      <c r="DH144" s="228">
        <v>10.41</v>
      </c>
      <c r="DI144" s="228">
        <v>11.08</v>
      </c>
      <c r="DJ144" s="228">
        <v>-0.67</v>
      </c>
      <c r="DK144" s="228">
        <v>-0.67</v>
      </c>
      <c r="DL144" s="228">
        <v>12.09</v>
      </c>
      <c r="DM144" s="228">
        <v>12.89</v>
      </c>
      <c r="DN144" s="228">
        <v>-0.8</v>
      </c>
      <c r="DO144" s="228">
        <v>-0.8</v>
      </c>
      <c r="DP144" s="228">
        <v>1.44</v>
      </c>
      <c r="DQ144" s="228">
        <v>1.29</v>
      </c>
      <c r="DR144" s="228">
        <v>0.15</v>
      </c>
      <c r="DS144" s="229">
        <v>0.1163</v>
      </c>
      <c r="DT144" s="231">
        <v>26500</v>
      </c>
      <c r="DU144" s="231">
        <v>26000</v>
      </c>
      <c r="DV144" s="228">
        <v>0.95</v>
      </c>
      <c r="DW144" s="228">
        <v>0.89</v>
      </c>
      <c r="DX144" s="228">
        <v>0.06</v>
      </c>
      <c r="DY144" s="229">
        <v>6.7400000000000002E-2</v>
      </c>
      <c r="DZ144" s="229">
        <v>0.26140000000000002</v>
      </c>
      <c r="EA144" s="230">
        <v>2858375</v>
      </c>
      <c r="EB144" s="229">
        <v>7.3000000000000001E-3</v>
      </c>
      <c r="EC144" s="229">
        <v>0.26140000000000002</v>
      </c>
      <c r="ED144" s="228">
        <v>184.03</v>
      </c>
      <c r="EE144" s="229">
        <v>7.0000000000000001E-3</v>
      </c>
      <c r="EF144" s="228">
        <v>0</v>
      </c>
      <c r="EG144" s="228">
        <v>0</v>
      </c>
      <c r="EH144" s="229">
        <v>0</v>
      </c>
      <c r="EI144" s="229">
        <v>0</v>
      </c>
      <c r="EJ144" s="231">
        <v>505780769.08999997</v>
      </c>
      <c r="EK144" s="231">
        <v>464480667.94999999</v>
      </c>
      <c r="EL144" s="231">
        <v>2845189.8</v>
      </c>
      <c r="EM144" s="231">
        <v>86518</v>
      </c>
      <c r="EN144" s="231">
        <v>973106626.84000003</v>
      </c>
      <c r="EO144" s="231">
        <v>956002010.44000006</v>
      </c>
      <c r="EP144" s="231">
        <v>17104616.399999999</v>
      </c>
      <c r="EQ144" s="229">
        <v>1.7899999999999999E-2</v>
      </c>
      <c r="ER144" s="231">
        <v>52041851</v>
      </c>
      <c r="ES144" s="231">
        <v>71078798</v>
      </c>
      <c r="ET144" s="231">
        <v>5198139</v>
      </c>
      <c r="EU144" s="228">
        <v>0</v>
      </c>
      <c r="EV144" s="231">
        <v>128318788</v>
      </c>
      <c r="EW144" s="231">
        <v>110526459</v>
      </c>
      <c r="EX144" s="231">
        <v>17792329</v>
      </c>
      <c r="EY144" s="229">
        <v>0.161</v>
      </c>
      <c r="EZ144" s="229">
        <v>0</v>
      </c>
      <c r="FA144" s="227" t="s">
        <v>555</v>
      </c>
      <c r="FB144" s="161">
        <f t="shared" si="3"/>
        <v>0</v>
      </c>
    </row>
    <row r="145" spans="1:158" ht="17.25" hidden="1" thickBot="1" x14ac:dyDescent="0.3">
      <c r="A145" s="226">
        <v>45981</v>
      </c>
      <c r="B145" s="227" t="s">
        <v>181</v>
      </c>
      <c r="C145" s="227" t="s">
        <v>566</v>
      </c>
      <c r="D145" s="228">
        <v>25</v>
      </c>
      <c r="E145" s="231">
        <v>69623.399999999994</v>
      </c>
      <c r="F145" s="231">
        <v>69658.8</v>
      </c>
      <c r="G145" s="228">
        <v>-35.4</v>
      </c>
      <c r="H145" s="229">
        <v>-5.0000000000000001E-4</v>
      </c>
      <c r="I145" s="231">
        <v>69567.75</v>
      </c>
      <c r="J145" s="231">
        <v>69635.850000000006</v>
      </c>
      <c r="K145" s="228">
        <v>-68.099999999999994</v>
      </c>
      <c r="L145" s="229">
        <v>-1E-3</v>
      </c>
      <c r="M145" s="231">
        <v>69623.399999999994</v>
      </c>
      <c r="N145" s="231">
        <v>69658.8</v>
      </c>
      <c r="O145" s="228">
        <v>-35.4</v>
      </c>
      <c r="P145" s="229">
        <v>-5.0000000000000001E-4</v>
      </c>
      <c r="Q145" s="231">
        <v>69990.399999999994</v>
      </c>
      <c r="R145" s="231">
        <v>70100</v>
      </c>
      <c r="S145" s="228">
        <v>-109.6</v>
      </c>
      <c r="T145" s="229">
        <v>-1.6000000000000001E-3</v>
      </c>
      <c r="U145" s="231">
        <v>70321.399999999994</v>
      </c>
      <c r="V145" s="231">
        <v>70321.399999999994</v>
      </c>
      <c r="W145" s="228">
        <v>0</v>
      </c>
      <c r="X145" s="229">
        <v>0</v>
      </c>
      <c r="Y145" s="228">
        <v>55.65</v>
      </c>
      <c r="Z145" s="228">
        <v>22.95</v>
      </c>
      <c r="AA145" s="228">
        <v>32.700000000000003</v>
      </c>
      <c r="AB145" s="229">
        <v>8.0000000000000004E-4</v>
      </c>
      <c r="AC145" s="228">
        <v>55.65</v>
      </c>
      <c r="AD145" s="228">
        <v>22.95</v>
      </c>
      <c r="AE145" s="228">
        <v>32.700000000000003</v>
      </c>
      <c r="AF145" s="229">
        <v>8.0000000000000004E-4</v>
      </c>
      <c r="AG145" s="228">
        <v>422.65</v>
      </c>
      <c r="AH145" s="228">
        <v>464.15</v>
      </c>
      <c r="AI145" s="228">
        <v>-41.5</v>
      </c>
      <c r="AJ145" s="229">
        <v>6.1000000000000004E-3</v>
      </c>
      <c r="AK145" s="228">
        <v>753.65</v>
      </c>
      <c r="AL145" s="228">
        <v>685.55</v>
      </c>
      <c r="AM145" s="228">
        <v>68.099999999999994</v>
      </c>
      <c r="AN145" s="229">
        <v>1.0800000000000001E-2</v>
      </c>
      <c r="AO145" s="231">
        <v>69794.16</v>
      </c>
      <c r="AP145" s="231">
        <v>70237.67</v>
      </c>
      <c r="AQ145" s="228">
        <v>0</v>
      </c>
      <c r="AR145" s="230">
        <v>5575</v>
      </c>
      <c r="AS145" s="230">
        <v>12825</v>
      </c>
      <c r="AT145" s="230">
        <v>-7250</v>
      </c>
      <c r="AU145" s="229">
        <v>-0.56530000000000002</v>
      </c>
      <c r="AV145" s="230">
        <v>3425</v>
      </c>
      <c r="AW145" s="230">
        <v>8750</v>
      </c>
      <c r="AX145" s="230">
        <v>-5325</v>
      </c>
      <c r="AY145" s="229">
        <v>-0.60860000000000003</v>
      </c>
      <c r="AZ145" s="230">
        <v>2150</v>
      </c>
      <c r="BA145" s="230">
        <v>4075</v>
      </c>
      <c r="BB145" s="230">
        <v>-1925</v>
      </c>
      <c r="BC145" s="229">
        <v>-0.47239999999999999</v>
      </c>
      <c r="BD145" s="228">
        <v>0</v>
      </c>
      <c r="BE145" s="228">
        <v>0</v>
      </c>
      <c r="BF145" s="228">
        <v>0</v>
      </c>
      <c r="BG145" s="229">
        <v>0</v>
      </c>
      <c r="BH145" s="230">
        <v>23300</v>
      </c>
      <c r="BI145" s="230">
        <v>21750</v>
      </c>
      <c r="BJ145" s="230">
        <v>1550</v>
      </c>
      <c r="BK145" s="229">
        <v>7.1300000000000002E-2</v>
      </c>
      <c r="BL145" s="230">
        <v>11675</v>
      </c>
      <c r="BM145" s="230">
        <v>14700</v>
      </c>
      <c r="BN145" s="230">
        <v>-3025</v>
      </c>
      <c r="BO145" s="229">
        <v>-0.20580000000000001</v>
      </c>
      <c r="BP145" s="230">
        <v>40550</v>
      </c>
      <c r="BQ145" s="230">
        <v>49275</v>
      </c>
      <c r="BR145" s="230">
        <v>-8725</v>
      </c>
      <c r="BS145" s="229">
        <v>-0.17710000000000001</v>
      </c>
      <c r="BT145" s="228">
        <v>0</v>
      </c>
      <c r="BU145" s="228">
        <v>0</v>
      </c>
      <c r="BV145" s="228">
        <v>0</v>
      </c>
      <c r="BW145" s="229">
        <v>0</v>
      </c>
      <c r="BX145" s="230">
        <v>23425</v>
      </c>
      <c r="BY145" s="230">
        <v>23775</v>
      </c>
      <c r="BZ145" s="228">
        <v>-350</v>
      </c>
      <c r="CA145" s="229">
        <v>-1.47E-2</v>
      </c>
      <c r="CB145" s="230">
        <v>17775</v>
      </c>
      <c r="CC145" s="230">
        <v>18950</v>
      </c>
      <c r="CD145" s="230">
        <v>-1175</v>
      </c>
      <c r="CE145" s="229">
        <v>-6.2E-2</v>
      </c>
      <c r="CF145" s="230">
        <v>5625</v>
      </c>
      <c r="CG145" s="230">
        <v>4800</v>
      </c>
      <c r="CH145" s="228">
        <v>825</v>
      </c>
      <c r="CI145" s="229">
        <v>0.1719</v>
      </c>
      <c r="CJ145" s="228">
        <v>25</v>
      </c>
      <c r="CK145" s="228">
        <v>25</v>
      </c>
      <c r="CL145" s="228">
        <v>0</v>
      </c>
      <c r="CM145" s="229">
        <v>0</v>
      </c>
      <c r="CN145" s="230">
        <v>20475</v>
      </c>
      <c r="CO145" s="230">
        <v>20200</v>
      </c>
      <c r="CP145" s="228">
        <v>275</v>
      </c>
      <c r="CQ145" s="229">
        <v>1.3599999999999999E-2</v>
      </c>
      <c r="CR145" s="230">
        <v>15950</v>
      </c>
      <c r="CS145" s="230">
        <v>10950</v>
      </c>
      <c r="CT145" s="230">
        <v>5000</v>
      </c>
      <c r="CU145" s="229">
        <v>0.45660000000000001</v>
      </c>
      <c r="CV145" s="230">
        <v>59850</v>
      </c>
      <c r="CW145" s="230">
        <v>54925</v>
      </c>
      <c r="CX145" s="230">
        <v>4925</v>
      </c>
      <c r="CY145" s="229">
        <v>8.9700000000000002E-2</v>
      </c>
      <c r="CZ145" s="228">
        <v>20.350000000000001</v>
      </c>
      <c r="DA145" s="228">
        <v>15.23</v>
      </c>
      <c r="DB145" s="228">
        <v>5.12</v>
      </c>
      <c r="DC145" s="228">
        <v>5.12</v>
      </c>
      <c r="DD145" s="228">
        <v>20.350000000000001</v>
      </c>
      <c r="DE145" s="228">
        <v>20.399999999999999</v>
      </c>
      <c r="DF145" s="228">
        <v>0</v>
      </c>
      <c r="DG145" s="228">
        <v>-0.05</v>
      </c>
      <c r="DH145" s="228">
        <v>20.350000000000001</v>
      </c>
      <c r="DI145" s="228">
        <v>15.37</v>
      </c>
      <c r="DJ145" s="228">
        <v>4.9800000000000004</v>
      </c>
      <c r="DK145" s="228">
        <v>4.9800000000000004</v>
      </c>
      <c r="DL145" s="228">
        <v>20.350000000000001</v>
      </c>
      <c r="DM145" s="228">
        <v>15.03</v>
      </c>
      <c r="DN145" s="228">
        <v>5.32</v>
      </c>
      <c r="DO145" s="228">
        <v>5.32</v>
      </c>
      <c r="DP145" s="228">
        <v>0.78</v>
      </c>
      <c r="DQ145" s="228">
        <v>0.54</v>
      </c>
      <c r="DR145" s="228">
        <v>0.24</v>
      </c>
      <c r="DS145" s="229">
        <v>0.44440000000000002</v>
      </c>
      <c r="DT145" s="231">
        <v>72000</v>
      </c>
      <c r="DU145" s="231">
        <v>68000</v>
      </c>
      <c r="DV145" s="228">
        <v>0.5</v>
      </c>
      <c r="DW145" s="228">
        <v>0.68</v>
      </c>
      <c r="DX145" s="228">
        <v>-0.18</v>
      </c>
      <c r="DY145" s="229">
        <v>-0.26469999999999999</v>
      </c>
      <c r="DZ145" s="229">
        <v>0.2412</v>
      </c>
      <c r="EA145" s="230">
        <v>4825</v>
      </c>
      <c r="EB145" s="229">
        <v>5.3E-3</v>
      </c>
      <c r="EC145" s="229">
        <v>0.2412</v>
      </c>
      <c r="ED145" s="228">
        <v>443.51</v>
      </c>
      <c r="EE145" s="229">
        <v>6.4000000000000003E-3</v>
      </c>
      <c r="EF145" s="228">
        <v>0</v>
      </c>
      <c r="EG145" s="228">
        <v>0</v>
      </c>
      <c r="EH145" s="229">
        <v>0</v>
      </c>
      <c r="EI145" s="229">
        <v>0</v>
      </c>
      <c r="EJ145" s="231">
        <v>16529.189999999999</v>
      </c>
      <c r="EK145" s="231">
        <v>7987.85</v>
      </c>
      <c r="EL145" s="231">
        <v>3900.56</v>
      </c>
      <c r="EM145" s="228">
        <v>0</v>
      </c>
      <c r="EN145" s="231">
        <v>28417.599999999999</v>
      </c>
      <c r="EO145" s="231">
        <v>34618.78</v>
      </c>
      <c r="EP145" s="231">
        <v>-6201.18</v>
      </c>
      <c r="EQ145" s="229">
        <v>-0.17910000000000001</v>
      </c>
      <c r="ER145" s="231">
        <v>14504</v>
      </c>
      <c r="ES145" s="231">
        <v>10911</v>
      </c>
      <c r="ET145" s="231">
        <v>16330</v>
      </c>
      <c r="EU145" s="228">
        <v>0</v>
      </c>
      <c r="EV145" s="231">
        <v>41745</v>
      </c>
      <c r="EW145" s="231">
        <v>38451</v>
      </c>
      <c r="EX145" s="231">
        <v>3294</v>
      </c>
      <c r="EY145" s="229">
        <v>8.5699999999999998E-2</v>
      </c>
      <c r="EZ145" s="229">
        <v>0</v>
      </c>
      <c r="FA145" s="227" t="s">
        <v>568</v>
      </c>
      <c r="FB145" s="161">
        <f t="shared" si="3"/>
        <v>0</v>
      </c>
    </row>
    <row r="146" spans="1:158" ht="17.25" hidden="1" thickBot="1" x14ac:dyDescent="0.3">
      <c r="A146" s="226">
        <v>45981</v>
      </c>
      <c r="B146" s="227" t="s">
        <v>227</v>
      </c>
      <c r="C146" s="227" t="s">
        <v>267</v>
      </c>
      <c r="D146" s="228">
        <v>6750</v>
      </c>
      <c r="E146" s="228">
        <v>74.489999999999995</v>
      </c>
      <c r="F146" s="228">
        <v>75.2</v>
      </c>
      <c r="G146" s="228">
        <v>-0.71</v>
      </c>
      <c r="H146" s="229">
        <v>-9.4000000000000004E-3</v>
      </c>
      <c r="I146" s="228">
        <v>74.459999999999994</v>
      </c>
      <c r="J146" s="228">
        <v>75.260000000000005</v>
      </c>
      <c r="K146" s="228">
        <v>-0.8</v>
      </c>
      <c r="L146" s="229">
        <v>-1.06E-2</v>
      </c>
      <c r="M146" s="228">
        <v>74.489999999999995</v>
      </c>
      <c r="N146" s="228">
        <v>75.2</v>
      </c>
      <c r="O146" s="228">
        <v>-0.71</v>
      </c>
      <c r="P146" s="229">
        <v>-9.4000000000000004E-3</v>
      </c>
      <c r="Q146" s="228">
        <v>75.03</v>
      </c>
      <c r="R146" s="228">
        <v>75.66</v>
      </c>
      <c r="S146" s="228">
        <v>-0.63</v>
      </c>
      <c r="T146" s="229">
        <v>-8.3000000000000001E-3</v>
      </c>
      <c r="U146" s="228">
        <v>75.430000000000007</v>
      </c>
      <c r="V146" s="228">
        <v>76.02</v>
      </c>
      <c r="W146" s="228">
        <v>-0.59</v>
      </c>
      <c r="X146" s="229">
        <v>-7.7999999999999996E-3</v>
      </c>
      <c r="Y146" s="228">
        <v>0.03</v>
      </c>
      <c r="Z146" s="228">
        <v>-0.06</v>
      </c>
      <c r="AA146" s="228">
        <v>0.09</v>
      </c>
      <c r="AB146" s="229">
        <v>4.0000000000000002E-4</v>
      </c>
      <c r="AC146" s="228">
        <v>0.03</v>
      </c>
      <c r="AD146" s="228">
        <v>-0.06</v>
      </c>
      <c r="AE146" s="228">
        <v>0.09</v>
      </c>
      <c r="AF146" s="229">
        <v>4.0000000000000002E-4</v>
      </c>
      <c r="AG146" s="228">
        <v>0.56999999999999995</v>
      </c>
      <c r="AH146" s="228">
        <v>0.4</v>
      </c>
      <c r="AI146" s="228">
        <v>0.17</v>
      </c>
      <c r="AJ146" s="229">
        <v>7.7000000000000002E-3</v>
      </c>
      <c r="AK146" s="228">
        <v>0.97</v>
      </c>
      <c r="AL146" s="228">
        <v>0.76</v>
      </c>
      <c r="AM146" s="228">
        <v>0.21</v>
      </c>
      <c r="AN146" s="229">
        <v>1.2999999999999999E-2</v>
      </c>
      <c r="AO146" s="228">
        <v>74.28</v>
      </c>
      <c r="AP146" s="228">
        <v>74.78</v>
      </c>
      <c r="AQ146" s="228">
        <v>0</v>
      </c>
      <c r="AR146" s="230">
        <v>305106750</v>
      </c>
      <c r="AS146" s="230">
        <v>51057000</v>
      </c>
      <c r="AT146" s="230">
        <v>254049750</v>
      </c>
      <c r="AU146" s="229">
        <v>4.9757999999999996</v>
      </c>
      <c r="AV146" s="230">
        <v>149505750</v>
      </c>
      <c r="AW146" s="230">
        <v>28444500</v>
      </c>
      <c r="AX146" s="230">
        <v>121061250</v>
      </c>
      <c r="AY146" s="229">
        <v>4.2561</v>
      </c>
      <c r="AZ146" s="230">
        <v>153933750</v>
      </c>
      <c r="BA146" s="230">
        <v>22059000</v>
      </c>
      <c r="BB146" s="230">
        <v>131874750</v>
      </c>
      <c r="BC146" s="229">
        <v>5.9782999999999999</v>
      </c>
      <c r="BD146" s="230">
        <v>1667250</v>
      </c>
      <c r="BE146" s="230">
        <v>553500</v>
      </c>
      <c r="BF146" s="230">
        <v>1113750</v>
      </c>
      <c r="BG146" s="229">
        <v>2.0122</v>
      </c>
      <c r="BH146" s="230">
        <v>142236000</v>
      </c>
      <c r="BI146" s="230">
        <v>82768500</v>
      </c>
      <c r="BJ146" s="230">
        <v>59467500</v>
      </c>
      <c r="BK146" s="229">
        <v>0.71850000000000003</v>
      </c>
      <c r="BL146" s="230">
        <v>85596750</v>
      </c>
      <c r="BM146" s="230">
        <v>40932000</v>
      </c>
      <c r="BN146" s="230">
        <v>44664750</v>
      </c>
      <c r="BO146" s="229">
        <v>1.0911999999999999</v>
      </c>
      <c r="BP146" s="230">
        <v>532939500</v>
      </c>
      <c r="BQ146" s="230">
        <v>174757500</v>
      </c>
      <c r="BR146" s="230">
        <v>358182000</v>
      </c>
      <c r="BS146" s="229">
        <v>2.0495999999999999</v>
      </c>
      <c r="BT146" s="230">
        <v>29775025</v>
      </c>
      <c r="BU146" s="230">
        <v>9565588</v>
      </c>
      <c r="BV146" s="230">
        <v>20209437</v>
      </c>
      <c r="BW146" s="229">
        <v>2.1126999999999998</v>
      </c>
      <c r="BX146" s="230">
        <v>345816000</v>
      </c>
      <c r="BY146" s="230">
        <v>343500750</v>
      </c>
      <c r="BZ146" s="230">
        <v>2315250</v>
      </c>
      <c r="CA146" s="229">
        <v>6.7000000000000002E-3</v>
      </c>
      <c r="CB146" s="230">
        <v>156026250</v>
      </c>
      <c r="CC146" s="230">
        <v>283641750</v>
      </c>
      <c r="CD146" s="230">
        <v>-127615500</v>
      </c>
      <c r="CE146" s="229">
        <v>-0.44990000000000002</v>
      </c>
      <c r="CF146" s="230">
        <v>186759000</v>
      </c>
      <c r="CG146" s="230">
        <v>57645000</v>
      </c>
      <c r="CH146" s="230">
        <v>129114000</v>
      </c>
      <c r="CI146" s="229">
        <v>2.2397999999999998</v>
      </c>
      <c r="CJ146" s="230">
        <v>3030750</v>
      </c>
      <c r="CK146" s="230">
        <v>2214000</v>
      </c>
      <c r="CL146" s="230">
        <v>816750</v>
      </c>
      <c r="CM146" s="229">
        <v>0.36890000000000001</v>
      </c>
      <c r="CN146" s="230">
        <v>153758250</v>
      </c>
      <c r="CO146" s="230">
        <v>152705250</v>
      </c>
      <c r="CP146" s="230">
        <v>1053000</v>
      </c>
      <c r="CQ146" s="229">
        <v>6.8999999999999999E-3</v>
      </c>
      <c r="CR146" s="230">
        <v>93042000</v>
      </c>
      <c r="CS146" s="230">
        <v>92495250</v>
      </c>
      <c r="CT146" s="230">
        <v>546750</v>
      </c>
      <c r="CU146" s="229">
        <v>5.8999999999999999E-3</v>
      </c>
      <c r="CV146" s="230">
        <v>592616250</v>
      </c>
      <c r="CW146" s="230">
        <v>588701250</v>
      </c>
      <c r="CX146" s="230">
        <v>3915000</v>
      </c>
      <c r="CY146" s="229">
        <v>6.7000000000000002E-3</v>
      </c>
      <c r="CZ146" s="228">
        <v>24.77</v>
      </c>
      <c r="DA146" s="228">
        <v>29.51</v>
      </c>
      <c r="DB146" s="228">
        <v>-4.74</v>
      </c>
      <c r="DC146" s="228">
        <v>-4.74</v>
      </c>
      <c r="DD146" s="228">
        <v>38.090000000000003</v>
      </c>
      <c r="DE146" s="228">
        <v>38.17</v>
      </c>
      <c r="DF146" s="228">
        <v>-13.32</v>
      </c>
      <c r="DG146" s="228">
        <v>-0.08</v>
      </c>
      <c r="DH146" s="228">
        <v>24.7</v>
      </c>
      <c r="DI146" s="228">
        <v>30.33</v>
      </c>
      <c r="DJ146" s="228">
        <v>-5.63</v>
      </c>
      <c r="DK146" s="228">
        <v>-5.63</v>
      </c>
      <c r="DL146" s="228">
        <v>24.9</v>
      </c>
      <c r="DM146" s="228">
        <v>27.86</v>
      </c>
      <c r="DN146" s="228">
        <v>-2.96</v>
      </c>
      <c r="DO146" s="228">
        <v>-2.96</v>
      </c>
      <c r="DP146" s="228">
        <v>0.61</v>
      </c>
      <c r="DQ146" s="228">
        <v>0.61</v>
      </c>
      <c r="DR146" s="228">
        <v>0</v>
      </c>
      <c r="DS146" s="229">
        <v>0</v>
      </c>
      <c r="DT146" s="228">
        <v>80</v>
      </c>
      <c r="DU146" s="228">
        <v>66</v>
      </c>
      <c r="DV146" s="228">
        <v>0.6</v>
      </c>
      <c r="DW146" s="228">
        <v>0.49</v>
      </c>
      <c r="DX146" s="228">
        <v>0.11</v>
      </c>
      <c r="DY146" s="229">
        <v>0.22450000000000001</v>
      </c>
      <c r="DZ146" s="229">
        <v>0.54879999999999995</v>
      </c>
      <c r="EA146" s="230">
        <v>59859000</v>
      </c>
      <c r="EB146" s="229">
        <v>7.1999999999999998E-3</v>
      </c>
      <c r="EC146" s="229">
        <v>0.54879999999999995</v>
      </c>
      <c r="ED146" s="228">
        <v>0.5</v>
      </c>
      <c r="EE146" s="229">
        <v>6.7000000000000002E-3</v>
      </c>
      <c r="EF146" s="230">
        <v>19596582</v>
      </c>
      <c r="EG146" s="230">
        <v>5323653</v>
      </c>
      <c r="EH146" s="229">
        <v>2.681</v>
      </c>
      <c r="EI146" s="229">
        <v>0.65820000000000001</v>
      </c>
      <c r="EJ146" s="231">
        <v>112025.56</v>
      </c>
      <c r="EK146" s="231">
        <v>64990.96</v>
      </c>
      <c r="EL146" s="231">
        <v>227420.21</v>
      </c>
      <c r="EM146" s="231">
        <v>7970</v>
      </c>
      <c r="EN146" s="231">
        <v>404436.73</v>
      </c>
      <c r="EO146" s="231">
        <v>136726.48000000001</v>
      </c>
      <c r="EP146" s="231">
        <v>267710.25</v>
      </c>
      <c r="EQ146" s="229">
        <v>1.958</v>
      </c>
      <c r="ER146" s="231">
        <v>123041</v>
      </c>
      <c r="ES146" s="231">
        <v>69319</v>
      </c>
      <c r="ET146" s="231">
        <v>258635</v>
      </c>
      <c r="EU146" s="231">
        <v>517037525</v>
      </c>
      <c r="EV146" s="231">
        <v>450995</v>
      </c>
      <c r="EW146" s="231">
        <v>449750</v>
      </c>
      <c r="EX146" s="231">
        <v>1245</v>
      </c>
      <c r="EY146" s="229">
        <v>2.8E-3</v>
      </c>
      <c r="EZ146" s="229">
        <v>1.1462000000000001</v>
      </c>
      <c r="FA146" s="227" t="s">
        <v>567</v>
      </c>
      <c r="FB146" s="161">
        <f t="shared" si="3"/>
        <v>0</v>
      </c>
    </row>
    <row r="147" spans="1:158" ht="17.25" hidden="1" thickBot="1" x14ac:dyDescent="0.3">
      <c r="A147" s="226">
        <v>45981</v>
      </c>
      <c r="B147" s="227" t="s">
        <v>161</v>
      </c>
      <c r="C147" s="227" t="s">
        <v>268</v>
      </c>
      <c r="D147" s="228">
        <v>1500</v>
      </c>
      <c r="E147" s="228">
        <v>327</v>
      </c>
      <c r="F147" s="228">
        <v>326.3</v>
      </c>
      <c r="G147" s="228">
        <v>0.7</v>
      </c>
      <c r="H147" s="229">
        <v>2.0999999999999999E-3</v>
      </c>
      <c r="I147" s="228">
        <v>326.60000000000002</v>
      </c>
      <c r="J147" s="228">
        <v>326.60000000000002</v>
      </c>
      <c r="K147" s="228">
        <v>0</v>
      </c>
      <c r="L147" s="229">
        <v>0</v>
      </c>
      <c r="M147" s="228">
        <v>327</v>
      </c>
      <c r="N147" s="228">
        <v>326.3</v>
      </c>
      <c r="O147" s="228">
        <v>0.7</v>
      </c>
      <c r="P147" s="229">
        <v>2.0999999999999999E-3</v>
      </c>
      <c r="Q147" s="228">
        <v>329.2</v>
      </c>
      <c r="R147" s="228">
        <v>328.4</v>
      </c>
      <c r="S147" s="228">
        <v>0.8</v>
      </c>
      <c r="T147" s="229">
        <v>2.3999999999999998E-3</v>
      </c>
      <c r="U147" s="228">
        <v>331.35</v>
      </c>
      <c r="V147" s="228">
        <v>330.6</v>
      </c>
      <c r="W147" s="228">
        <v>0.75</v>
      </c>
      <c r="X147" s="229">
        <v>2.3E-3</v>
      </c>
      <c r="Y147" s="228">
        <v>0.4</v>
      </c>
      <c r="Z147" s="228">
        <v>-0.3</v>
      </c>
      <c r="AA147" s="228">
        <v>0.7</v>
      </c>
      <c r="AB147" s="229">
        <v>1.1999999999999999E-3</v>
      </c>
      <c r="AC147" s="228">
        <v>0.4</v>
      </c>
      <c r="AD147" s="228">
        <v>-0.3</v>
      </c>
      <c r="AE147" s="228">
        <v>0.7</v>
      </c>
      <c r="AF147" s="229">
        <v>1.1999999999999999E-3</v>
      </c>
      <c r="AG147" s="228">
        <v>2.6</v>
      </c>
      <c r="AH147" s="228">
        <v>1.8</v>
      </c>
      <c r="AI147" s="228">
        <v>0.8</v>
      </c>
      <c r="AJ147" s="229">
        <v>8.0000000000000002E-3</v>
      </c>
      <c r="AK147" s="228">
        <v>4.75</v>
      </c>
      <c r="AL147" s="228">
        <v>4</v>
      </c>
      <c r="AM147" s="228">
        <v>0.75</v>
      </c>
      <c r="AN147" s="229">
        <v>1.4500000000000001E-2</v>
      </c>
      <c r="AO147" s="228">
        <v>327.58</v>
      </c>
      <c r="AP147" s="228">
        <v>329.77</v>
      </c>
      <c r="AQ147" s="228">
        <v>0</v>
      </c>
      <c r="AR147" s="230">
        <v>37392000</v>
      </c>
      <c r="AS147" s="230">
        <v>11881500</v>
      </c>
      <c r="AT147" s="230">
        <v>25510500</v>
      </c>
      <c r="AU147" s="229">
        <v>2.1471</v>
      </c>
      <c r="AV147" s="230">
        <v>19573500</v>
      </c>
      <c r="AW147" s="230">
        <v>7206000</v>
      </c>
      <c r="AX147" s="230">
        <v>12367500</v>
      </c>
      <c r="AY147" s="229">
        <v>1.7162999999999999</v>
      </c>
      <c r="AZ147" s="230">
        <v>17646000</v>
      </c>
      <c r="BA147" s="230">
        <v>4513500</v>
      </c>
      <c r="BB147" s="230">
        <v>13132500</v>
      </c>
      <c r="BC147" s="229">
        <v>2.9096000000000002</v>
      </c>
      <c r="BD147" s="230">
        <v>172500</v>
      </c>
      <c r="BE147" s="230">
        <v>162000</v>
      </c>
      <c r="BF147" s="230">
        <v>10500</v>
      </c>
      <c r="BG147" s="229">
        <v>6.4799999999999996E-2</v>
      </c>
      <c r="BH147" s="230">
        <v>30594000</v>
      </c>
      <c r="BI147" s="230">
        <v>53388000</v>
      </c>
      <c r="BJ147" s="230">
        <v>-22794000</v>
      </c>
      <c r="BK147" s="229">
        <v>-0.4269</v>
      </c>
      <c r="BL147" s="230">
        <v>13552500</v>
      </c>
      <c r="BM147" s="230">
        <v>17037000</v>
      </c>
      <c r="BN147" s="230">
        <v>-3484500</v>
      </c>
      <c r="BO147" s="229">
        <v>-0.20449999999999999</v>
      </c>
      <c r="BP147" s="230">
        <v>81538500</v>
      </c>
      <c r="BQ147" s="230">
        <v>82306500</v>
      </c>
      <c r="BR147" s="230">
        <v>-768000</v>
      </c>
      <c r="BS147" s="229">
        <v>-9.2999999999999992E-3</v>
      </c>
      <c r="BT147" s="230">
        <v>5751453</v>
      </c>
      <c r="BU147" s="230">
        <v>7618991</v>
      </c>
      <c r="BV147" s="230">
        <v>-1867538</v>
      </c>
      <c r="BW147" s="229">
        <v>-0.24510000000000001</v>
      </c>
      <c r="BX147" s="230">
        <v>93954000</v>
      </c>
      <c r="BY147" s="230">
        <v>95223000</v>
      </c>
      <c r="BZ147" s="230">
        <v>-1269000</v>
      </c>
      <c r="CA147" s="229">
        <v>-1.3299999999999999E-2</v>
      </c>
      <c r="CB147" s="230">
        <v>66204000</v>
      </c>
      <c r="CC147" s="230">
        <v>82365000</v>
      </c>
      <c r="CD147" s="230">
        <v>-16161000</v>
      </c>
      <c r="CE147" s="229">
        <v>-0.19620000000000001</v>
      </c>
      <c r="CF147" s="230">
        <v>26611500</v>
      </c>
      <c r="CG147" s="230">
        <v>11761500</v>
      </c>
      <c r="CH147" s="230">
        <v>14850000</v>
      </c>
      <c r="CI147" s="229">
        <v>1.2625999999999999</v>
      </c>
      <c r="CJ147" s="230">
        <v>1138500</v>
      </c>
      <c r="CK147" s="230">
        <v>1096500</v>
      </c>
      <c r="CL147" s="230">
        <v>42000</v>
      </c>
      <c r="CM147" s="229">
        <v>3.8300000000000001E-2</v>
      </c>
      <c r="CN147" s="230">
        <v>59157000</v>
      </c>
      <c r="CO147" s="230">
        <v>61269000</v>
      </c>
      <c r="CP147" s="230">
        <v>-2112000</v>
      </c>
      <c r="CQ147" s="229">
        <v>-3.4500000000000003E-2</v>
      </c>
      <c r="CR147" s="230">
        <v>23527500</v>
      </c>
      <c r="CS147" s="230">
        <v>24762000</v>
      </c>
      <c r="CT147" s="230">
        <v>-1234500</v>
      </c>
      <c r="CU147" s="229">
        <v>-4.99E-2</v>
      </c>
      <c r="CV147" s="230">
        <v>176638500</v>
      </c>
      <c r="CW147" s="230">
        <v>181254000</v>
      </c>
      <c r="CX147" s="230">
        <v>-4615500</v>
      </c>
      <c r="CY147" s="229">
        <v>-2.5499999999999998E-2</v>
      </c>
      <c r="CZ147" s="228">
        <v>17.93</v>
      </c>
      <c r="DA147" s="228">
        <v>17.39</v>
      </c>
      <c r="DB147" s="228">
        <v>0.54</v>
      </c>
      <c r="DC147" s="228">
        <v>0.54</v>
      </c>
      <c r="DD147" s="228">
        <v>27.71</v>
      </c>
      <c r="DE147" s="228">
        <v>27.78</v>
      </c>
      <c r="DF147" s="228">
        <v>-9.7799999999999994</v>
      </c>
      <c r="DG147" s="228">
        <v>-7.0000000000000007E-2</v>
      </c>
      <c r="DH147" s="228">
        <v>18.04</v>
      </c>
      <c r="DI147" s="228">
        <v>17.68</v>
      </c>
      <c r="DJ147" s="228">
        <v>0.36</v>
      </c>
      <c r="DK147" s="228">
        <v>0.36</v>
      </c>
      <c r="DL147" s="228">
        <v>17.690000000000001</v>
      </c>
      <c r="DM147" s="228">
        <v>16.48</v>
      </c>
      <c r="DN147" s="228">
        <v>1.21</v>
      </c>
      <c r="DO147" s="228">
        <v>1.21</v>
      </c>
      <c r="DP147" s="228">
        <v>0.4</v>
      </c>
      <c r="DQ147" s="228">
        <v>0.4</v>
      </c>
      <c r="DR147" s="228">
        <v>0</v>
      </c>
      <c r="DS147" s="229">
        <v>0</v>
      </c>
      <c r="DT147" s="228">
        <v>335</v>
      </c>
      <c r="DU147" s="228">
        <v>300</v>
      </c>
      <c r="DV147" s="228">
        <v>0.44</v>
      </c>
      <c r="DW147" s="228">
        <v>0.32</v>
      </c>
      <c r="DX147" s="228">
        <v>0.12</v>
      </c>
      <c r="DY147" s="229">
        <v>0.375</v>
      </c>
      <c r="DZ147" s="229">
        <v>0.2954</v>
      </c>
      <c r="EA147" s="230">
        <v>12858000</v>
      </c>
      <c r="EB147" s="229">
        <v>6.7000000000000002E-3</v>
      </c>
      <c r="EC147" s="229">
        <v>0.2954</v>
      </c>
      <c r="ED147" s="228">
        <v>2.19</v>
      </c>
      <c r="EE147" s="229">
        <v>6.7000000000000002E-3</v>
      </c>
      <c r="EF147" s="230">
        <v>3563994</v>
      </c>
      <c r="EG147" s="230">
        <v>4693137</v>
      </c>
      <c r="EH147" s="229">
        <v>-0.24060000000000001</v>
      </c>
      <c r="EI147" s="229">
        <v>0.61970000000000003</v>
      </c>
      <c r="EJ147" s="231">
        <v>103006.93</v>
      </c>
      <c r="EK147" s="231">
        <v>44356.41</v>
      </c>
      <c r="EL147" s="231">
        <v>122881.94</v>
      </c>
      <c r="EM147" s="231">
        <v>6010</v>
      </c>
      <c r="EN147" s="231">
        <v>270245.28000000003</v>
      </c>
      <c r="EO147" s="231">
        <v>274551.46999999997</v>
      </c>
      <c r="EP147" s="231">
        <v>-4306.1899999999996</v>
      </c>
      <c r="EQ147" s="229">
        <v>-1.5699999999999999E-2</v>
      </c>
      <c r="ER147" s="231">
        <v>205430</v>
      </c>
      <c r="ES147" s="231">
        <v>77943</v>
      </c>
      <c r="ET147" s="231">
        <v>307865</v>
      </c>
      <c r="EU147" s="231">
        <v>572782298</v>
      </c>
      <c r="EV147" s="231">
        <v>591238</v>
      </c>
      <c r="EW147" s="231">
        <v>605641</v>
      </c>
      <c r="EX147" s="231">
        <v>-14403</v>
      </c>
      <c r="EY147" s="229">
        <v>-2.3800000000000002E-2</v>
      </c>
      <c r="EZ147" s="229">
        <v>0.30840000000000001</v>
      </c>
      <c r="FA147" s="227" t="s">
        <v>556</v>
      </c>
      <c r="FB147" s="161">
        <f t="shared" si="3"/>
        <v>0</v>
      </c>
    </row>
    <row r="148" spans="1:158" ht="17.25" hidden="1" thickBot="1" x14ac:dyDescent="0.3">
      <c r="A148" s="226">
        <v>45981</v>
      </c>
      <c r="B148" s="227" t="s">
        <v>175</v>
      </c>
      <c r="C148" s="227" t="s">
        <v>686</v>
      </c>
      <c r="D148" s="228">
        <v>75</v>
      </c>
      <c r="E148" s="231">
        <v>7342</v>
      </c>
      <c r="F148" s="231">
        <v>7365.5</v>
      </c>
      <c r="G148" s="228">
        <v>-23.5</v>
      </c>
      <c r="H148" s="229">
        <v>-3.2000000000000002E-3</v>
      </c>
      <c r="I148" s="231">
        <v>7336</v>
      </c>
      <c r="J148" s="231">
        <v>7344</v>
      </c>
      <c r="K148" s="228">
        <v>-8</v>
      </c>
      <c r="L148" s="229">
        <v>-1.1000000000000001E-3</v>
      </c>
      <c r="M148" s="231">
        <v>7342</v>
      </c>
      <c r="N148" s="231">
        <v>7365.5</v>
      </c>
      <c r="O148" s="228">
        <v>-23.5</v>
      </c>
      <c r="P148" s="229">
        <v>-3.2000000000000002E-3</v>
      </c>
      <c r="Q148" s="231">
        <v>7389.5</v>
      </c>
      <c r="R148" s="231">
        <v>7404</v>
      </c>
      <c r="S148" s="228">
        <v>-14.5</v>
      </c>
      <c r="T148" s="229">
        <v>-2E-3</v>
      </c>
      <c r="U148" s="231">
        <v>7406.5</v>
      </c>
      <c r="V148" s="231">
        <v>7342</v>
      </c>
      <c r="W148" s="228">
        <v>64.5</v>
      </c>
      <c r="X148" s="229">
        <v>8.8000000000000005E-3</v>
      </c>
      <c r="Y148" s="228">
        <v>6</v>
      </c>
      <c r="Z148" s="228">
        <v>21.5</v>
      </c>
      <c r="AA148" s="228">
        <v>-15.5</v>
      </c>
      <c r="AB148" s="229">
        <v>8.0000000000000004E-4</v>
      </c>
      <c r="AC148" s="228">
        <v>6</v>
      </c>
      <c r="AD148" s="228">
        <v>21.5</v>
      </c>
      <c r="AE148" s="228">
        <v>-15.5</v>
      </c>
      <c r="AF148" s="229">
        <v>8.0000000000000004E-4</v>
      </c>
      <c r="AG148" s="228">
        <v>53.5</v>
      </c>
      <c r="AH148" s="228">
        <v>60</v>
      </c>
      <c r="AI148" s="228">
        <v>-6.5</v>
      </c>
      <c r="AJ148" s="229">
        <v>7.3000000000000001E-3</v>
      </c>
      <c r="AK148" s="228">
        <v>70.5</v>
      </c>
      <c r="AL148" s="228">
        <v>-2</v>
      </c>
      <c r="AM148" s="228">
        <v>72.5</v>
      </c>
      <c r="AN148" s="229">
        <v>9.5999999999999992E-3</v>
      </c>
      <c r="AO148" s="231">
        <v>7353.34</v>
      </c>
      <c r="AP148" s="231">
        <v>7401.79</v>
      </c>
      <c r="AQ148" s="228">
        <v>0</v>
      </c>
      <c r="AR148" s="230">
        <v>211350</v>
      </c>
      <c r="AS148" s="230">
        <v>83400</v>
      </c>
      <c r="AT148" s="230">
        <v>127950</v>
      </c>
      <c r="AU148" s="229">
        <v>1.5342</v>
      </c>
      <c r="AV148" s="230">
        <v>115425</v>
      </c>
      <c r="AW148" s="230">
        <v>66375</v>
      </c>
      <c r="AX148" s="230">
        <v>49050</v>
      </c>
      <c r="AY148" s="229">
        <v>0.73899999999999999</v>
      </c>
      <c r="AZ148" s="230">
        <v>95700</v>
      </c>
      <c r="BA148" s="230">
        <v>17025</v>
      </c>
      <c r="BB148" s="230">
        <v>78675</v>
      </c>
      <c r="BC148" s="229">
        <v>4.6211000000000002</v>
      </c>
      <c r="BD148" s="228">
        <v>225</v>
      </c>
      <c r="BE148" s="228">
        <v>0</v>
      </c>
      <c r="BF148" s="228">
        <v>225</v>
      </c>
      <c r="BG148" s="229">
        <v>0</v>
      </c>
      <c r="BH148" s="230">
        <v>563025</v>
      </c>
      <c r="BI148" s="230">
        <v>375525</v>
      </c>
      <c r="BJ148" s="230">
        <v>187500</v>
      </c>
      <c r="BK148" s="229">
        <v>0.49930000000000002</v>
      </c>
      <c r="BL148" s="230">
        <v>144225</v>
      </c>
      <c r="BM148" s="230">
        <v>80100</v>
      </c>
      <c r="BN148" s="230">
        <v>64125</v>
      </c>
      <c r="BO148" s="229">
        <v>0.80059999999999998</v>
      </c>
      <c r="BP148" s="230">
        <v>918600</v>
      </c>
      <c r="BQ148" s="230">
        <v>539025</v>
      </c>
      <c r="BR148" s="230">
        <v>379575</v>
      </c>
      <c r="BS148" s="229">
        <v>0.70420000000000005</v>
      </c>
      <c r="BT148" s="230">
        <v>47770</v>
      </c>
      <c r="BU148" s="230">
        <v>63918</v>
      </c>
      <c r="BV148" s="230">
        <v>-16148</v>
      </c>
      <c r="BW148" s="229">
        <v>-0.25259999999999999</v>
      </c>
      <c r="BX148" s="230">
        <v>396025</v>
      </c>
      <c r="BY148" s="230">
        <v>379000</v>
      </c>
      <c r="BZ148" s="230">
        <v>17025</v>
      </c>
      <c r="CA148" s="229">
        <v>4.4900000000000002E-2</v>
      </c>
      <c r="CB148" s="230">
        <v>298650</v>
      </c>
      <c r="CC148" s="230">
        <v>348600</v>
      </c>
      <c r="CD148" s="230">
        <v>-49950</v>
      </c>
      <c r="CE148" s="229">
        <v>-0.14330000000000001</v>
      </c>
      <c r="CF148" s="230">
        <v>96975</v>
      </c>
      <c r="CG148" s="230">
        <v>29700</v>
      </c>
      <c r="CH148" s="230">
        <v>67275</v>
      </c>
      <c r="CI148" s="229">
        <v>2.2652000000000001</v>
      </c>
      <c r="CJ148" s="228">
        <v>400</v>
      </c>
      <c r="CK148" s="228">
        <v>700</v>
      </c>
      <c r="CL148" s="228">
        <v>-300</v>
      </c>
      <c r="CM148" s="229">
        <v>-0.42859999999999998</v>
      </c>
      <c r="CN148" s="230">
        <v>371400</v>
      </c>
      <c r="CO148" s="230">
        <v>388500</v>
      </c>
      <c r="CP148" s="230">
        <v>-17100</v>
      </c>
      <c r="CQ148" s="229">
        <v>-4.3999999999999997E-2</v>
      </c>
      <c r="CR148" s="230">
        <v>241125</v>
      </c>
      <c r="CS148" s="230">
        <v>216300</v>
      </c>
      <c r="CT148" s="230">
        <v>24825</v>
      </c>
      <c r="CU148" s="229">
        <v>0.1148</v>
      </c>
      <c r="CV148" s="230">
        <v>1008550</v>
      </c>
      <c r="CW148" s="230">
        <v>983800</v>
      </c>
      <c r="CX148" s="230">
        <v>24750</v>
      </c>
      <c r="CY148" s="229">
        <v>2.52E-2</v>
      </c>
      <c r="CZ148" s="228">
        <v>31.34</v>
      </c>
      <c r="DA148" s="228">
        <v>36.5</v>
      </c>
      <c r="DB148" s="228">
        <v>-5.16</v>
      </c>
      <c r="DC148" s="228">
        <v>-5.16</v>
      </c>
      <c r="DD148" s="228">
        <v>50.02</v>
      </c>
      <c r="DE148" s="228">
        <v>50.15</v>
      </c>
      <c r="DF148" s="228">
        <v>-18.68</v>
      </c>
      <c r="DG148" s="228">
        <v>-0.13</v>
      </c>
      <c r="DH148" s="228">
        <v>31.02</v>
      </c>
      <c r="DI148" s="228">
        <v>36.64</v>
      </c>
      <c r="DJ148" s="228">
        <v>-5.62</v>
      </c>
      <c r="DK148" s="228">
        <v>-5.62</v>
      </c>
      <c r="DL148" s="228">
        <v>32.26</v>
      </c>
      <c r="DM148" s="228">
        <v>35.81</v>
      </c>
      <c r="DN148" s="228">
        <v>-3.55</v>
      </c>
      <c r="DO148" s="228">
        <v>-3.55</v>
      </c>
      <c r="DP148" s="228">
        <v>0.65</v>
      </c>
      <c r="DQ148" s="228">
        <v>0.56000000000000005</v>
      </c>
      <c r="DR148" s="228">
        <v>0.09</v>
      </c>
      <c r="DS148" s="229">
        <v>0.16070000000000001</v>
      </c>
      <c r="DT148" s="231">
        <v>7500</v>
      </c>
      <c r="DU148" s="231">
        <v>7300</v>
      </c>
      <c r="DV148" s="228">
        <v>0.26</v>
      </c>
      <c r="DW148" s="228">
        <v>0.21</v>
      </c>
      <c r="DX148" s="228">
        <v>0.05</v>
      </c>
      <c r="DY148" s="229">
        <v>0.23810000000000001</v>
      </c>
      <c r="DZ148" s="229">
        <v>0.24590000000000001</v>
      </c>
      <c r="EA148" s="230">
        <v>30400</v>
      </c>
      <c r="EB148" s="229">
        <v>6.4999999999999997E-3</v>
      </c>
      <c r="EC148" s="229">
        <v>0.24590000000000001</v>
      </c>
      <c r="ED148" s="228">
        <v>48.45</v>
      </c>
      <c r="EE148" s="229">
        <v>6.6E-3</v>
      </c>
      <c r="EF148" s="230">
        <v>22310</v>
      </c>
      <c r="EG148" s="230">
        <v>28448</v>
      </c>
      <c r="EH148" s="229">
        <v>-0.21579999999999999</v>
      </c>
      <c r="EI148" s="229">
        <v>0.46700000000000003</v>
      </c>
      <c r="EJ148" s="231">
        <v>43782.78</v>
      </c>
      <c r="EK148" s="231">
        <v>10356.75</v>
      </c>
      <c r="EL148" s="231">
        <v>15593.32</v>
      </c>
      <c r="EM148" s="231">
        <v>1499</v>
      </c>
      <c r="EN148" s="231">
        <v>69732.850000000006</v>
      </c>
      <c r="EO148" s="231">
        <v>40723.25</v>
      </c>
      <c r="EP148" s="231">
        <v>29009.599999999999</v>
      </c>
      <c r="EQ148" s="229">
        <v>0.71240000000000003</v>
      </c>
      <c r="ER148" s="231">
        <v>28187</v>
      </c>
      <c r="ES148" s="231">
        <v>17035</v>
      </c>
      <c r="ET148" s="231">
        <v>29122</v>
      </c>
      <c r="EU148" s="231">
        <v>2444664</v>
      </c>
      <c r="EV148" s="231">
        <v>74344</v>
      </c>
      <c r="EW148" s="231">
        <v>72874</v>
      </c>
      <c r="EX148" s="231">
        <v>1470</v>
      </c>
      <c r="EY148" s="229">
        <v>2.0199999999999999E-2</v>
      </c>
      <c r="EZ148" s="229">
        <v>0.41260000000000002</v>
      </c>
      <c r="FA148" s="227" t="s">
        <v>567</v>
      </c>
      <c r="FB148" s="161">
        <f t="shared" si="3"/>
        <v>0</v>
      </c>
    </row>
    <row r="149" spans="1:158" ht="17.25" hidden="1" thickBot="1" x14ac:dyDescent="0.3">
      <c r="A149" s="226">
        <v>45981</v>
      </c>
      <c r="B149" s="227" t="s">
        <v>615</v>
      </c>
      <c r="C149" s="227" t="s">
        <v>613</v>
      </c>
      <c r="D149" s="228">
        <v>3125</v>
      </c>
      <c r="E149" s="228">
        <v>269.16000000000003</v>
      </c>
      <c r="F149" s="228">
        <v>268.83</v>
      </c>
      <c r="G149" s="228">
        <v>0.33</v>
      </c>
      <c r="H149" s="229">
        <v>1.1999999999999999E-3</v>
      </c>
      <c r="I149" s="228">
        <v>268.74</v>
      </c>
      <c r="J149" s="228">
        <v>269.14999999999998</v>
      </c>
      <c r="K149" s="228">
        <v>-0.41</v>
      </c>
      <c r="L149" s="229">
        <v>-1.5E-3</v>
      </c>
      <c r="M149" s="228">
        <v>269.16000000000003</v>
      </c>
      <c r="N149" s="228">
        <v>268.83</v>
      </c>
      <c r="O149" s="228">
        <v>0.33</v>
      </c>
      <c r="P149" s="229">
        <v>1.1999999999999999E-3</v>
      </c>
      <c r="Q149" s="228">
        <v>267.49</v>
      </c>
      <c r="R149" s="228">
        <v>267.18</v>
      </c>
      <c r="S149" s="228">
        <v>0.31</v>
      </c>
      <c r="T149" s="229">
        <v>1.1999999999999999E-3</v>
      </c>
      <c r="U149" s="228">
        <v>266.22000000000003</v>
      </c>
      <c r="V149" s="228">
        <v>265.66000000000003</v>
      </c>
      <c r="W149" s="228">
        <v>0.56000000000000005</v>
      </c>
      <c r="X149" s="229">
        <v>2.0999999999999999E-3</v>
      </c>
      <c r="Y149" s="228">
        <v>0.42</v>
      </c>
      <c r="Z149" s="228">
        <v>-0.32</v>
      </c>
      <c r="AA149" s="228">
        <v>0.74</v>
      </c>
      <c r="AB149" s="229">
        <v>1.6000000000000001E-3</v>
      </c>
      <c r="AC149" s="228">
        <v>0.42</v>
      </c>
      <c r="AD149" s="228">
        <v>-0.32</v>
      </c>
      <c r="AE149" s="228">
        <v>0.74</v>
      </c>
      <c r="AF149" s="229">
        <v>1.6000000000000001E-3</v>
      </c>
      <c r="AG149" s="228">
        <v>-1.25</v>
      </c>
      <c r="AH149" s="228">
        <v>-1.97</v>
      </c>
      <c r="AI149" s="228">
        <v>0.72</v>
      </c>
      <c r="AJ149" s="229">
        <v>-4.7000000000000002E-3</v>
      </c>
      <c r="AK149" s="228">
        <v>-2.52</v>
      </c>
      <c r="AL149" s="228">
        <v>-3.49</v>
      </c>
      <c r="AM149" s="228">
        <v>0.97</v>
      </c>
      <c r="AN149" s="229">
        <v>-9.4000000000000004E-3</v>
      </c>
      <c r="AO149" s="228">
        <v>269.22000000000003</v>
      </c>
      <c r="AP149" s="228">
        <v>267.41000000000003</v>
      </c>
      <c r="AQ149" s="228">
        <v>0</v>
      </c>
      <c r="AR149" s="230">
        <v>45218750</v>
      </c>
      <c r="AS149" s="230">
        <v>12118750</v>
      </c>
      <c r="AT149" s="230">
        <v>33100000</v>
      </c>
      <c r="AU149" s="229">
        <v>2.7313000000000001</v>
      </c>
      <c r="AV149" s="230">
        <v>23962500</v>
      </c>
      <c r="AW149" s="230">
        <v>7934375</v>
      </c>
      <c r="AX149" s="230">
        <v>16028125</v>
      </c>
      <c r="AY149" s="229">
        <v>2.0200999999999998</v>
      </c>
      <c r="AZ149" s="230">
        <v>21209375</v>
      </c>
      <c r="BA149" s="230">
        <v>4096875</v>
      </c>
      <c r="BB149" s="230">
        <v>17112500</v>
      </c>
      <c r="BC149" s="229">
        <v>4.1769999999999996</v>
      </c>
      <c r="BD149" s="230">
        <v>46875</v>
      </c>
      <c r="BE149" s="230">
        <v>87500</v>
      </c>
      <c r="BF149" s="230">
        <v>-40625</v>
      </c>
      <c r="BG149" s="229">
        <v>-0.46429999999999999</v>
      </c>
      <c r="BH149" s="230">
        <v>24768750</v>
      </c>
      <c r="BI149" s="230">
        <v>34540625</v>
      </c>
      <c r="BJ149" s="230">
        <v>-9771875</v>
      </c>
      <c r="BK149" s="229">
        <v>-0.28289999999999998</v>
      </c>
      <c r="BL149" s="230">
        <v>9987500</v>
      </c>
      <c r="BM149" s="230">
        <v>15750000</v>
      </c>
      <c r="BN149" s="230">
        <v>-5762500</v>
      </c>
      <c r="BO149" s="229">
        <v>-0.3659</v>
      </c>
      <c r="BP149" s="230">
        <v>79975000</v>
      </c>
      <c r="BQ149" s="230">
        <v>62409375</v>
      </c>
      <c r="BR149" s="230">
        <v>17565625</v>
      </c>
      <c r="BS149" s="229">
        <v>0.28149999999999997</v>
      </c>
      <c r="BT149" s="230">
        <v>4050002</v>
      </c>
      <c r="BU149" s="230">
        <v>3982093</v>
      </c>
      <c r="BV149" s="230">
        <v>67909</v>
      </c>
      <c r="BW149" s="229">
        <v>1.7100000000000001E-2</v>
      </c>
      <c r="BX149" s="230">
        <v>60456250</v>
      </c>
      <c r="BY149" s="230">
        <v>64668750</v>
      </c>
      <c r="BZ149" s="230">
        <v>-4212500</v>
      </c>
      <c r="CA149" s="229">
        <v>-6.5100000000000005E-2</v>
      </c>
      <c r="CB149" s="230">
        <v>41365625</v>
      </c>
      <c r="CC149" s="230">
        <v>57525000</v>
      </c>
      <c r="CD149" s="230">
        <v>-16159375</v>
      </c>
      <c r="CE149" s="229">
        <v>-0.28089999999999998</v>
      </c>
      <c r="CF149" s="230">
        <v>18859375</v>
      </c>
      <c r="CG149" s="230">
        <v>6909375</v>
      </c>
      <c r="CH149" s="230">
        <v>11950000</v>
      </c>
      <c r="CI149" s="229">
        <v>1.7295</v>
      </c>
      <c r="CJ149" s="230">
        <v>231250</v>
      </c>
      <c r="CK149" s="230">
        <v>234375</v>
      </c>
      <c r="CL149" s="230">
        <v>-3125</v>
      </c>
      <c r="CM149" s="229">
        <v>-1.3299999999999999E-2</v>
      </c>
      <c r="CN149" s="230">
        <v>19296875</v>
      </c>
      <c r="CO149" s="230">
        <v>20612500</v>
      </c>
      <c r="CP149" s="230">
        <v>-1315625</v>
      </c>
      <c r="CQ149" s="229">
        <v>-6.3799999999999996E-2</v>
      </c>
      <c r="CR149" s="230">
        <v>11409375</v>
      </c>
      <c r="CS149" s="230">
        <v>12471875</v>
      </c>
      <c r="CT149" s="230">
        <v>-1062500</v>
      </c>
      <c r="CU149" s="229">
        <v>-8.5199999999999998E-2</v>
      </c>
      <c r="CV149" s="230">
        <v>91162500</v>
      </c>
      <c r="CW149" s="230">
        <v>97753125</v>
      </c>
      <c r="CX149" s="230">
        <v>-6590625</v>
      </c>
      <c r="CY149" s="229">
        <v>-6.7400000000000002E-2</v>
      </c>
      <c r="CZ149" s="228">
        <v>29.99</v>
      </c>
      <c r="DA149" s="228">
        <v>27.86</v>
      </c>
      <c r="DB149" s="228">
        <v>2.13</v>
      </c>
      <c r="DC149" s="228">
        <v>2.13</v>
      </c>
      <c r="DD149" s="228">
        <v>37.229999999999997</v>
      </c>
      <c r="DE149" s="228">
        <v>37.32</v>
      </c>
      <c r="DF149" s="228">
        <v>-7.24</v>
      </c>
      <c r="DG149" s="228">
        <v>-0.09</v>
      </c>
      <c r="DH149" s="228">
        <v>30.04</v>
      </c>
      <c r="DI149" s="228">
        <v>27.48</v>
      </c>
      <c r="DJ149" s="228">
        <v>2.56</v>
      </c>
      <c r="DK149" s="228">
        <v>2.56</v>
      </c>
      <c r="DL149" s="228">
        <v>29.83</v>
      </c>
      <c r="DM149" s="228">
        <v>28.69</v>
      </c>
      <c r="DN149" s="228">
        <v>1.1399999999999999</v>
      </c>
      <c r="DO149" s="228">
        <v>1.1399999999999999</v>
      </c>
      <c r="DP149" s="228">
        <v>0.59</v>
      </c>
      <c r="DQ149" s="228">
        <v>0.61</v>
      </c>
      <c r="DR149" s="228">
        <v>-0.02</v>
      </c>
      <c r="DS149" s="229">
        <v>-3.2800000000000003E-2</v>
      </c>
      <c r="DT149" s="228">
        <v>270</v>
      </c>
      <c r="DU149" s="228">
        <v>260</v>
      </c>
      <c r="DV149" s="228">
        <v>0.4</v>
      </c>
      <c r="DW149" s="228">
        <v>0.46</v>
      </c>
      <c r="DX149" s="228">
        <v>-0.06</v>
      </c>
      <c r="DY149" s="229">
        <v>-0.13039999999999999</v>
      </c>
      <c r="DZ149" s="229">
        <v>0.31580000000000003</v>
      </c>
      <c r="EA149" s="230">
        <v>7143750</v>
      </c>
      <c r="EB149" s="229">
        <v>-6.1999999999999998E-3</v>
      </c>
      <c r="EC149" s="229">
        <v>0.31580000000000003</v>
      </c>
      <c r="ED149" s="228">
        <v>-1.81</v>
      </c>
      <c r="EE149" s="229">
        <v>-6.7000000000000002E-3</v>
      </c>
      <c r="EF149" s="230">
        <v>2037461</v>
      </c>
      <c r="EG149" s="230">
        <v>1934728</v>
      </c>
      <c r="EH149" s="229">
        <v>5.3100000000000001E-2</v>
      </c>
      <c r="EI149" s="229">
        <v>0.50309999999999999</v>
      </c>
      <c r="EJ149" s="231">
        <v>68540.73</v>
      </c>
      <c r="EK149" s="231">
        <v>26364.44</v>
      </c>
      <c r="EL149" s="231">
        <v>121354.28</v>
      </c>
      <c r="EM149" s="231">
        <v>4550</v>
      </c>
      <c r="EN149" s="231">
        <v>216259.45</v>
      </c>
      <c r="EO149" s="231">
        <v>169327.82</v>
      </c>
      <c r="EP149" s="231">
        <v>46931.63</v>
      </c>
      <c r="EQ149" s="229">
        <v>0.2772</v>
      </c>
      <c r="ER149" s="231">
        <v>52372</v>
      </c>
      <c r="ES149" s="231">
        <v>28940</v>
      </c>
      <c r="ET149" s="231">
        <v>162402</v>
      </c>
      <c r="EU149" s="231">
        <v>205324177</v>
      </c>
      <c r="EV149" s="231">
        <v>243714</v>
      </c>
      <c r="EW149" s="231">
        <v>261242</v>
      </c>
      <c r="EX149" s="231">
        <v>-17528</v>
      </c>
      <c r="EY149" s="229">
        <v>-6.7100000000000007E-2</v>
      </c>
      <c r="EZ149" s="229">
        <v>0.44400000000000001</v>
      </c>
      <c r="FA149" s="227" t="s">
        <v>556</v>
      </c>
      <c r="FB149" s="161">
        <f t="shared" si="3"/>
        <v>0</v>
      </c>
    </row>
    <row r="150" spans="1:158" ht="17.25" thickBot="1" x14ac:dyDescent="0.3">
      <c r="A150" s="226">
        <v>45981</v>
      </c>
      <c r="B150" s="227" t="s">
        <v>206</v>
      </c>
      <c r="C150" s="227" t="s">
        <v>528</v>
      </c>
      <c r="D150" s="228">
        <v>350</v>
      </c>
      <c r="E150" s="231">
        <v>1709.5</v>
      </c>
      <c r="F150" s="231">
        <v>1714.2</v>
      </c>
      <c r="G150" s="228">
        <v>-4.7</v>
      </c>
      <c r="H150" s="229">
        <v>-2.7000000000000001E-3</v>
      </c>
      <c r="I150" s="231">
        <v>1708.5</v>
      </c>
      <c r="J150" s="231">
        <v>1708.7</v>
      </c>
      <c r="K150" s="228">
        <v>-0.2</v>
      </c>
      <c r="L150" s="229">
        <v>-1E-4</v>
      </c>
      <c r="M150" s="231">
        <v>1709.5</v>
      </c>
      <c r="N150" s="231">
        <v>1714.2</v>
      </c>
      <c r="O150" s="228">
        <v>-4.7</v>
      </c>
      <c r="P150" s="229">
        <v>-2.7000000000000001E-3</v>
      </c>
      <c r="Q150" s="231">
        <v>1705.7</v>
      </c>
      <c r="R150" s="231">
        <v>1711.2</v>
      </c>
      <c r="S150" s="228">
        <v>-5.5</v>
      </c>
      <c r="T150" s="229">
        <v>-3.2000000000000002E-3</v>
      </c>
      <c r="U150" s="231">
        <v>1714.1</v>
      </c>
      <c r="V150" s="231">
        <v>1730</v>
      </c>
      <c r="W150" s="228">
        <v>-15.9</v>
      </c>
      <c r="X150" s="229">
        <v>-9.1999999999999998E-3</v>
      </c>
      <c r="Y150" s="228">
        <v>1</v>
      </c>
      <c r="Z150" s="228">
        <v>5.5</v>
      </c>
      <c r="AA150" s="228">
        <v>-4.5</v>
      </c>
      <c r="AB150" s="229">
        <v>5.9999999999999995E-4</v>
      </c>
      <c r="AC150" s="228">
        <v>1</v>
      </c>
      <c r="AD150" s="228">
        <v>5.5</v>
      </c>
      <c r="AE150" s="228">
        <v>-4.5</v>
      </c>
      <c r="AF150" s="229">
        <v>5.9999999999999995E-4</v>
      </c>
      <c r="AG150" s="228">
        <v>-2.8</v>
      </c>
      <c r="AH150" s="228">
        <v>2.5</v>
      </c>
      <c r="AI150" s="228">
        <v>-5.3</v>
      </c>
      <c r="AJ150" s="229">
        <v>-1.6000000000000001E-3</v>
      </c>
      <c r="AK150" s="228">
        <v>5.6</v>
      </c>
      <c r="AL150" s="228">
        <v>21.3</v>
      </c>
      <c r="AM150" s="228">
        <v>-15.7</v>
      </c>
      <c r="AN150" s="229">
        <v>3.3E-3</v>
      </c>
      <c r="AO150" s="231">
        <v>1713.39</v>
      </c>
      <c r="AP150" s="231">
        <v>1711.2</v>
      </c>
      <c r="AQ150" s="228">
        <v>0</v>
      </c>
      <c r="AR150" s="230">
        <v>3833200</v>
      </c>
      <c r="AS150" s="230">
        <v>1277850</v>
      </c>
      <c r="AT150" s="230">
        <v>2555350</v>
      </c>
      <c r="AU150" s="229">
        <v>1.9997</v>
      </c>
      <c r="AV150" s="230">
        <v>1980300</v>
      </c>
      <c r="AW150" s="230">
        <v>854350</v>
      </c>
      <c r="AX150" s="230">
        <v>1125950</v>
      </c>
      <c r="AY150" s="229">
        <v>1.3179000000000001</v>
      </c>
      <c r="AZ150" s="230">
        <v>1847650</v>
      </c>
      <c r="BA150" s="230">
        <v>420700</v>
      </c>
      <c r="BB150" s="230">
        <v>1426950</v>
      </c>
      <c r="BC150" s="229">
        <v>3.3917999999999999</v>
      </c>
      <c r="BD150" s="230">
        <v>5250</v>
      </c>
      <c r="BE150" s="230">
        <v>2800</v>
      </c>
      <c r="BF150" s="230">
        <v>2450</v>
      </c>
      <c r="BG150" s="229">
        <v>0.875</v>
      </c>
      <c r="BH150" s="230">
        <v>1031100</v>
      </c>
      <c r="BI150" s="230">
        <v>2039450</v>
      </c>
      <c r="BJ150" s="230">
        <v>-1008350</v>
      </c>
      <c r="BK150" s="229">
        <v>-0.49440000000000001</v>
      </c>
      <c r="BL150" s="230">
        <v>442050</v>
      </c>
      <c r="BM150" s="230">
        <v>929250</v>
      </c>
      <c r="BN150" s="230">
        <v>-487200</v>
      </c>
      <c r="BO150" s="229">
        <v>-0.52429999999999999</v>
      </c>
      <c r="BP150" s="230">
        <v>5306350</v>
      </c>
      <c r="BQ150" s="230">
        <v>4246550</v>
      </c>
      <c r="BR150" s="230">
        <v>1059800</v>
      </c>
      <c r="BS150" s="229">
        <v>0.24959999999999999</v>
      </c>
      <c r="BT150" s="230">
        <v>157143</v>
      </c>
      <c r="BU150" s="230">
        <v>337511</v>
      </c>
      <c r="BV150" s="230">
        <v>-180368</v>
      </c>
      <c r="BW150" s="229">
        <v>-0.53439999999999999</v>
      </c>
      <c r="BX150" s="230">
        <v>4333000</v>
      </c>
      <c r="BY150" s="230">
        <v>4826850</v>
      </c>
      <c r="BZ150" s="230">
        <v>-493850</v>
      </c>
      <c r="CA150" s="229">
        <v>-0.1023</v>
      </c>
      <c r="CB150" s="230">
        <v>2613100</v>
      </c>
      <c r="CC150" s="230">
        <v>4176900</v>
      </c>
      <c r="CD150" s="230">
        <v>-1563800</v>
      </c>
      <c r="CE150" s="229">
        <v>-0.37440000000000001</v>
      </c>
      <c r="CF150" s="230">
        <v>1693650</v>
      </c>
      <c r="CG150" s="230">
        <v>624750</v>
      </c>
      <c r="CH150" s="230">
        <v>1068900</v>
      </c>
      <c r="CI150" s="229">
        <v>1.7109000000000001</v>
      </c>
      <c r="CJ150" s="230">
        <v>26250</v>
      </c>
      <c r="CK150" s="230">
        <v>25200</v>
      </c>
      <c r="CL150" s="230">
        <v>1050</v>
      </c>
      <c r="CM150" s="229">
        <v>4.1700000000000001E-2</v>
      </c>
      <c r="CN150" s="230">
        <v>1459150</v>
      </c>
      <c r="CO150" s="230">
        <v>1562050</v>
      </c>
      <c r="CP150" s="230">
        <v>-102900</v>
      </c>
      <c r="CQ150" s="229">
        <v>-6.59E-2</v>
      </c>
      <c r="CR150" s="230">
        <v>960050</v>
      </c>
      <c r="CS150" s="230">
        <v>957250</v>
      </c>
      <c r="CT150" s="230">
        <v>2800</v>
      </c>
      <c r="CU150" s="229">
        <v>2.8999999999999998E-3</v>
      </c>
      <c r="CV150" s="230">
        <v>6752200</v>
      </c>
      <c r="CW150" s="230">
        <v>7346150</v>
      </c>
      <c r="CX150" s="230">
        <v>-593950</v>
      </c>
      <c r="CY150" s="229">
        <v>-8.09E-2</v>
      </c>
      <c r="CZ150" s="228">
        <v>25.83</v>
      </c>
      <c r="DA150" s="228">
        <v>27.32</v>
      </c>
      <c r="DB150" s="228">
        <v>-1.49</v>
      </c>
      <c r="DC150" s="228">
        <v>-1.49</v>
      </c>
      <c r="DD150" s="228">
        <v>37.369999999999997</v>
      </c>
      <c r="DE150" s="228">
        <v>37.47</v>
      </c>
      <c r="DF150" s="228">
        <v>-11.54</v>
      </c>
      <c r="DG150" s="228">
        <v>-0.1</v>
      </c>
      <c r="DH150" s="228">
        <v>26</v>
      </c>
      <c r="DI150" s="228">
        <v>27.74</v>
      </c>
      <c r="DJ150" s="228">
        <v>-1.74</v>
      </c>
      <c r="DK150" s="228">
        <v>-1.74</v>
      </c>
      <c r="DL150" s="228">
        <v>25.64</v>
      </c>
      <c r="DM150" s="228">
        <v>26.4</v>
      </c>
      <c r="DN150" s="228">
        <v>-0.76</v>
      </c>
      <c r="DO150" s="228">
        <v>-0.76</v>
      </c>
      <c r="DP150" s="228">
        <v>0.66</v>
      </c>
      <c r="DQ150" s="228">
        <v>0.61</v>
      </c>
      <c r="DR150" s="228">
        <v>0.05</v>
      </c>
      <c r="DS150" s="229">
        <v>8.2000000000000003E-2</v>
      </c>
      <c r="DT150" s="231">
        <v>1800</v>
      </c>
      <c r="DU150" s="231">
        <v>1800</v>
      </c>
      <c r="DV150" s="228">
        <v>0.43</v>
      </c>
      <c r="DW150" s="228">
        <v>0.46</v>
      </c>
      <c r="DX150" s="228">
        <v>-0.03</v>
      </c>
      <c r="DY150" s="229">
        <v>-6.5199999999999994E-2</v>
      </c>
      <c r="DZ150" s="229">
        <v>0.39689999999999998</v>
      </c>
      <c r="EA150" s="230">
        <v>649950</v>
      </c>
      <c r="EB150" s="229">
        <v>-2.2000000000000001E-3</v>
      </c>
      <c r="EC150" s="229">
        <v>0.39689999999999998</v>
      </c>
      <c r="ED150" s="228">
        <v>-2.19</v>
      </c>
      <c r="EE150" s="229">
        <v>-1.2999999999999999E-3</v>
      </c>
      <c r="EF150" s="230">
        <v>66653</v>
      </c>
      <c r="EG150" s="230">
        <v>201639</v>
      </c>
      <c r="EH150" s="229">
        <v>-0.6694</v>
      </c>
      <c r="EI150" s="229">
        <v>0.42420000000000002</v>
      </c>
      <c r="EJ150" s="231">
        <v>18334.27</v>
      </c>
      <c r="EK150" s="231">
        <v>7536.23</v>
      </c>
      <c r="EL150" s="231">
        <v>65637.16</v>
      </c>
      <c r="EM150" s="231">
        <v>1980</v>
      </c>
      <c r="EN150" s="231">
        <v>91507.66</v>
      </c>
      <c r="EO150" s="231">
        <v>73923.28</v>
      </c>
      <c r="EP150" s="231">
        <v>17584.38</v>
      </c>
      <c r="EQ150" s="229">
        <v>0.2379</v>
      </c>
      <c r="ER150" s="231">
        <v>26015</v>
      </c>
      <c r="ES150" s="231">
        <v>16438</v>
      </c>
      <c r="ET150" s="231">
        <v>74009</v>
      </c>
      <c r="EU150" s="231">
        <v>17614093</v>
      </c>
      <c r="EV150" s="231">
        <v>116462</v>
      </c>
      <c r="EW150" s="231">
        <v>127047</v>
      </c>
      <c r="EX150" s="231">
        <v>-10585</v>
      </c>
      <c r="EY150" s="229">
        <v>-8.3299999999999999E-2</v>
      </c>
      <c r="EZ150" s="229">
        <v>0.38329999999999997</v>
      </c>
      <c r="FA150" s="227" t="s">
        <v>568</v>
      </c>
      <c r="FB150" s="161">
        <f t="shared" si="3"/>
        <v>0</v>
      </c>
    </row>
    <row r="151" spans="1:158" ht="17.25" thickBot="1" x14ac:dyDescent="0.3">
      <c r="A151" s="226">
        <v>45981</v>
      </c>
      <c r="B151" s="227" t="s">
        <v>221</v>
      </c>
      <c r="C151" s="227" t="s">
        <v>518</v>
      </c>
      <c r="D151" s="228">
        <v>75</v>
      </c>
      <c r="E151" s="231">
        <v>8398</v>
      </c>
      <c r="F151" s="231">
        <v>8356</v>
      </c>
      <c r="G151" s="228">
        <v>42</v>
      </c>
      <c r="H151" s="229">
        <v>5.0000000000000001E-3</v>
      </c>
      <c r="I151" s="231">
        <v>8372.5</v>
      </c>
      <c r="J151" s="231">
        <v>8333</v>
      </c>
      <c r="K151" s="228">
        <v>39.5</v>
      </c>
      <c r="L151" s="229">
        <v>4.7000000000000002E-3</v>
      </c>
      <c r="M151" s="231">
        <v>8398</v>
      </c>
      <c r="N151" s="231">
        <v>8356</v>
      </c>
      <c r="O151" s="228">
        <v>42</v>
      </c>
      <c r="P151" s="229">
        <v>5.0000000000000001E-3</v>
      </c>
      <c r="Q151" s="231">
        <v>8439.5</v>
      </c>
      <c r="R151" s="231">
        <v>8393.5</v>
      </c>
      <c r="S151" s="228">
        <v>46</v>
      </c>
      <c r="T151" s="229">
        <v>5.4999999999999997E-3</v>
      </c>
      <c r="U151" s="231">
        <v>8472.5</v>
      </c>
      <c r="V151" s="231">
        <v>8447</v>
      </c>
      <c r="W151" s="228">
        <v>25.5</v>
      </c>
      <c r="X151" s="229">
        <v>3.0000000000000001E-3</v>
      </c>
      <c r="Y151" s="228">
        <v>25.5</v>
      </c>
      <c r="Z151" s="228">
        <v>23</v>
      </c>
      <c r="AA151" s="228">
        <v>2.5</v>
      </c>
      <c r="AB151" s="229">
        <v>3.0000000000000001E-3</v>
      </c>
      <c r="AC151" s="228">
        <v>25.5</v>
      </c>
      <c r="AD151" s="228">
        <v>23</v>
      </c>
      <c r="AE151" s="228">
        <v>2.5</v>
      </c>
      <c r="AF151" s="229">
        <v>3.0000000000000001E-3</v>
      </c>
      <c r="AG151" s="228">
        <v>67</v>
      </c>
      <c r="AH151" s="228">
        <v>60.5</v>
      </c>
      <c r="AI151" s="228">
        <v>6.5</v>
      </c>
      <c r="AJ151" s="229">
        <v>8.0000000000000002E-3</v>
      </c>
      <c r="AK151" s="228">
        <v>100</v>
      </c>
      <c r="AL151" s="228">
        <v>114</v>
      </c>
      <c r="AM151" s="228">
        <v>-14</v>
      </c>
      <c r="AN151" s="229">
        <v>1.1900000000000001E-2</v>
      </c>
      <c r="AO151" s="231">
        <v>8446.41</v>
      </c>
      <c r="AP151" s="231">
        <v>8478.43</v>
      </c>
      <c r="AQ151" s="228">
        <v>0</v>
      </c>
      <c r="AR151" s="230">
        <v>1188675</v>
      </c>
      <c r="AS151" s="230">
        <v>416625</v>
      </c>
      <c r="AT151" s="230">
        <v>772050</v>
      </c>
      <c r="AU151" s="229">
        <v>1.8531</v>
      </c>
      <c r="AV151" s="230">
        <v>639675</v>
      </c>
      <c r="AW151" s="230">
        <v>295275</v>
      </c>
      <c r="AX151" s="230">
        <v>344400</v>
      </c>
      <c r="AY151" s="229">
        <v>1.1664000000000001</v>
      </c>
      <c r="AZ151" s="230">
        <v>539250</v>
      </c>
      <c r="BA151" s="230">
        <v>115725</v>
      </c>
      <c r="BB151" s="230">
        <v>423525</v>
      </c>
      <c r="BC151" s="229">
        <v>3.6598000000000002</v>
      </c>
      <c r="BD151" s="230">
        <v>9750</v>
      </c>
      <c r="BE151" s="230">
        <v>5625</v>
      </c>
      <c r="BF151" s="230">
        <v>4125</v>
      </c>
      <c r="BG151" s="229">
        <v>0.73329999999999995</v>
      </c>
      <c r="BH151" s="230">
        <v>3274800</v>
      </c>
      <c r="BI151" s="230">
        <v>1978650</v>
      </c>
      <c r="BJ151" s="230">
        <v>1296150</v>
      </c>
      <c r="BK151" s="229">
        <v>0.65510000000000002</v>
      </c>
      <c r="BL151" s="230">
        <v>882150</v>
      </c>
      <c r="BM151" s="230">
        <v>591900</v>
      </c>
      <c r="BN151" s="230">
        <v>290250</v>
      </c>
      <c r="BO151" s="229">
        <v>0.4904</v>
      </c>
      <c r="BP151" s="230">
        <v>5345625</v>
      </c>
      <c r="BQ151" s="230">
        <v>2987175</v>
      </c>
      <c r="BR151" s="230">
        <v>2358450</v>
      </c>
      <c r="BS151" s="229">
        <v>0.78949999999999998</v>
      </c>
      <c r="BT151" s="230">
        <v>141075</v>
      </c>
      <c r="BU151" s="230">
        <v>152215</v>
      </c>
      <c r="BV151" s="230">
        <v>-11140</v>
      </c>
      <c r="BW151" s="229">
        <v>-7.3200000000000001E-2</v>
      </c>
      <c r="BX151" s="230">
        <v>1385475</v>
      </c>
      <c r="BY151" s="230">
        <v>1435500</v>
      </c>
      <c r="BZ151" s="230">
        <v>-50025</v>
      </c>
      <c r="CA151" s="229">
        <v>-3.4799999999999998E-2</v>
      </c>
      <c r="CB151" s="230">
        <v>925275</v>
      </c>
      <c r="CC151" s="230">
        <v>1284150</v>
      </c>
      <c r="CD151" s="230">
        <v>-358875</v>
      </c>
      <c r="CE151" s="229">
        <v>-0.27950000000000003</v>
      </c>
      <c r="CF151" s="230">
        <v>446925</v>
      </c>
      <c r="CG151" s="230">
        <v>140250</v>
      </c>
      <c r="CH151" s="230">
        <v>306675</v>
      </c>
      <c r="CI151" s="229">
        <v>2.1865999999999999</v>
      </c>
      <c r="CJ151" s="230">
        <v>13275</v>
      </c>
      <c r="CK151" s="230">
        <v>11100</v>
      </c>
      <c r="CL151" s="230">
        <v>2175</v>
      </c>
      <c r="CM151" s="229">
        <v>0.19589999999999999</v>
      </c>
      <c r="CN151" s="230">
        <v>897225</v>
      </c>
      <c r="CO151" s="230">
        <v>905325</v>
      </c>
      <c r="CP151" s="230">
        <v>-8100</v>
      </c>
      <c r="CQ151" s="229">
        <v>-8.8999999999999999E-3</v>
      </c>
      <c r="CR151" s="230">
        <v>458175</v>
      </c>
      <c r="CS151" s="230">
        <v>465375</v>
      </c>
      <c r="CT151" s="230">
        <v>-7200</v>
      </c>
      <c r="CU151" s="229">
        <v>-1.55E-2</v>
      </c>
      <c r="CV151" s="230">
        <v>2740875</v>
      </c>
      <c r="CW151" s="230">
        <v>2806200</v>
      </c>
      <c r="CX151" s="230">
        <v>-65325</v>
      </c>
      <c r="CY151" s="229">
        <v>-2.3300000000000001E-2</v>
      </c>
      <c r="CZ151" s="228">
        <v>26.26</v>
      </c>
      <c r="DA151" s="228">
        <v>29.67</v>
      </c>
      <c r="DB151" s="228">
        <v>-3.41</v>
      </c>
      <c r="DC151" s="228">
        <v>-3.41</v>
      </c>
      <c r="DD151" s="228">
        <v>40.17</v>
      </c>
      <c r="DE151" s="228">
        <v>40.26</v>
      </c>
      <c r="DF151" s="228">
        <v>-13.91</v>
      </c>
      <c r="DG151" s="228">
        <v>-0.09</v>
      </c>
      <c r="DH151" s="228">
        <v>26.21</v>
      </c>
      <c r="DI151" s="228">
        <v>29.91</v>
      </c>
      <c r="DJ151" s="228">
        <v>-3.7</v>
      </c>
      <c r="DK151" s="228">
        <v>-3.7</v>
      </c>
      <c r="DL151" s="228">
        <v>26.41</v>
      </c>
      <c r="DM151" s="228">
        <v>28.85</v>
      </c>
      <c r="DN151" s="228">
        <v>-2.44</v>
      </c>
      <c r="DO151" s="228">
        <v>-2.44</v>
      </c>
      <c r="DP151" s="228">
        <v>0.51</v>
      </c>
      <c r="DQ151" s="228">
        <v>0.51</v>
      </c>
      <c r="DR151" s="228">
        <v>0</v>
      </c>
      <c r="DS151" s="229">
        <v>0</v>
      </c>
      <c r="DT151" s="231">
        <v>8500</v>
      </c>
      <c r="DU151" s="231">
        <v>8000</v>
      </c>
      <c r="DV151" s="228">
        <v>0.27</v>
      </c>
      <c r="DW151" s="228">
        <v>0.3</v>
      </c>
      <c r="DX151" s="228">
        <v>-0.03</v>
      </c>
      <c r="DY151" s="229">
        <v>-0.1</v>
      </c>
      <c r="DZ151" s="229">
        <v>0.3322</v>
      </c>
      <c r="EA151" s="230">
        <v>151350</v>
      </c>
      <c r="EB151" s="229">
        <v>4.8999999999999998E-3</v>
      </c>
      <c r="EC151" s="229">
        <v>0.3322</v>
      </c>
      <c r="ED151" s="228">
        <v>32.020000000000003</v>
      </c>
      <c r="EE151" s="229">
        <v>3.8E-3</v>
      </c>
      <c r="EF151" s="230">
        <v>40855</v>
      </c>
      <c r="EG151" s="230">
        <v>62156</v>
      </c>
      <c r="EH151" s="229">
        <v>-0.3427</v>
      </c>
      <c r="EI151" s="229">
        <v>0.28960000000000002</v>
      </c>
      <c r="EJ151" s="231">
        <v>285464.62</v>
      </c>
      <c r="EK151" s="231">
        <v>73239.09</v>
      </c>
      <c r="EL151" s="231">
        <v>100581.16</v>
      </c>
      <c r="EM151" s="231">
        <v>2867</v>
      </c>
      <c r="EN151" s="231">
        <v>459284.87</v>
      </c>
      <c r="EO151" s="231">
        <v>254049.64</v>
      </c>
      <c r="EP151" s="231">
        <v>205235.23</v>
      </c>
      <c r="EQ151" s="229">
        <v>0.80789999999999995</v>
      </c>
      <c r="ER151" s="231">
        <v>79167</v>
      </c>
      <c r="ES151" s="231">
        <v>37740</v>
      </c>
      <c r="ET151" s="231">
        <v>116548</v>
      </c>
      <c r="EU151" s="231">
        <v>3401732</v>
      </c>
      <c r="EV151" s="231">
        <v>233454</v>
      </c>
      <c r="EW151" s="231">
        <v>238123</v>
      </c>
      <c r="EX151" s="231">
        <v>-4669</v>
      </c>
      <c r="EY151" s="229">
        <v>-1.9599999999999999E-2</v>
      </c>
      <c r="EZ151" s="229">
        <v>0.80569999999999997</v>
      </c>
      <c r="FA151" s="227" t="s">
        <v>556</v>
      </c>
      <c r="FB151" s="161">
        <f t="shared" si="3"/>
        <v>0</v>
      </c>
    </row>
    <row r="152" spans="1:158" ht="17.25" thickBot="1" x14ac:dyDescent="0.3">
      <c r="A152" s="226">
        <v>45981</v>
      </c>
      <c r="B152" s="227" t="s">
        <v>193</v>
      </c>
      <c r="C152" s="227" t="s">
        <v>587</v>
      </c>
      <c r="D152" s="228">
        <v>1400</v>
      </c>
      <c r="E152" s="228">
        <v>433.05</v>
      </c>
      <c r="F152" s="228">
        <v>433.5</v>
      </c>
      <c r="G152" s="228">
        <v>-0.45</v>
      </c>
      <c r="H152" s="229">
        <v>-1E-3</v>
      </c>
      <c r="I152" s="228">
        <v>436.2</v>
      </c>
      <c r="J152" s="228">
        <v>436.85</v>
      </c>
      <c r="K152" s="228">
        <v>-0.65</v>
      </c>
      <c r="L152" s="229">
        <v>-1.5E-3</v>
      </c>
      <c r="M152" s="228">
        <v>433.05</v>
      </c>
      <c r="N152" s="228">
        <v>433.5</v>
      </c>
      <c r="O152" s="228">
        <v>-0.45</v>
      </c>
      <c r="P152" s="229">
        <v>-1E-3</v>
      </c>
      <c r="Q152" s="228">
        <v>435.5</v>
      </c>
      <c r="R152" s="228">
        <v>435.95</v>
      </c>
      <c r="S152" s="228">
        <v>-0.45</v>
      </c>
      <c r="T152" s="229">
        <v>-1E-3</v>
      </c>
      <c r="U152" s="228">
        <v>437.5</v>
      </c>
      <c r="V152" s="228">
        <v>437.35</v>
      </c>
      <c r="W152" s="228">
        <v>0.15</v>
      </c>
      <c r="X152" s="229">
        <v>2.9999999999999997E-4</v>
      </c>
      <c r="Y152" s="228">
        <v>-3.15</v>
      </c>
      <c r="Z152" s="228">
        <v>-3.35</v>
      </c>
      <c r="AA152" s="228">
        <v>0.2</v>
      </c>
      <c r="AB152" s="229">
        <v>-7.1999999999999998E-3</v>
      </c>
      <c r="AC152" s="228">
        <v>-3.15</v>
      </c>
      <c r="AD152" s="228">
        <v>-3.35</v>
      </c>
      <c r="AE152" s="228">
        <v>0.2</v>
      </c>
      <c r="AF152" s="229">
        <v>-7.1999999999999998E-3</v>
      </c>
      <c r="AG152" s="228">
        <v>-0.7</v>
      </c>
      <c r="AH152" s="228">
        <v>-0.9</v>
      </c>
      <c r="AI152" s="228">
        <v>0.2</v>
      </c>
      <c r="AJ152" s="229">
        <v>-1.6000000000000001E-3</v>
      </c>
      <c r="AK152" s="228">
        <v>1.3</v>
      </c>
      <c r="AL152" s="228">
        <v>0.5</v>
      </c>
      <c r="AM152" s="228">
        <v>0.8</v>
      </c>
      <c r="AN152" s="229">
        <v>3.0000000000000001E-3</v>
      </c>
      <c r="AO152" s="228">
        <v>433.76</v>
      </c>
      <c r="AP152" s="228">
        <v>436.07</v>
      </c>
      <c r="AQ152" s="228">
        <v>0</v>
      </c>
      <c r="AR152" s="230">
        <v>8797600</v>
      </c>
      <c r="AS152" s="230">
        <v>1176000</v>
      </c>
      <c r="AT152" s="230">
        <v>7621600</v>
      </c>
      <c r="AU152" s="229">
        <v>6.4809999999999999</v>
      </c>
      <c r="AV152" s="230">
        <v>4750200</v>
      </c>
      <c r="AW152" s="230">
        <v>876400</v>
      </c>
      <c r="AX152" s="230">
        <v>3873800</v>
      </c>
      <c r="AY152" s="229">
        <v>4.4200999999999997</v>
      </c>
      <c r="AZ152" s="230">
        <v>4033400</v>
      </c>
      <c r="BA152" s="230">
        <v>296800</v>
      </c>
      <c r="BB152" s="230">
        <v>3736600</v>
      </c>
      <c r="BC152" s="229">
        <v>12.589600000000001</v>
      </c>
      <c r="BD152" s="230">
        <v>14000</v>
      </c>
      <c r="BE152" s="230">
        <v>2800</v>
      </c>
      <c r="BF152" s="230">
        <v>11200</v>
      </c>
      <c r="BG152" s="229">
        <v>4</v>
      </c>
      <c r="BH152" s="230">
        <v>5955600</v>
      </c>
      <c r="BI152" s="230">
        <v>4365200</v>
      </c>
      <c r="BJ152" s="230">
        <v>1590400</v>
      </c>
      <c r="BK152" s="229">
        <v>0.36430000000000001</v>
      </c>
      <c r="BL152" s="230">
        <v>2219000</v>
      </c>
      <c r="BM152" s="230">
        <v>1167600</v>
      </c>
      <c r="BN152" s="230">
        <v>1051400</v>
      </c>
      <c r="BO152" s="229">
        <v>0.90049999999999997</v>
      </c>
      <c r="BP152" s="230">
        <v>16972200</v>
      </c>
      <c r="BQ152" s="230">
        <v>6708800</v>
      </c>
      <c r="BR152" s="230">
        <v>10263400</v>
      </c>
      <c r="BS152" s="229">
        <v>1.5298</v>
      </c>
      <c r="BT152" s="230">
        <v>1177425</v>
      </c>
      <c r="BU152" s="230">
        <v>810620</v>
      </c>
      <c r="BV152" s="230">
        <v>366805</v>
      </c>
      <c r="BW152" s="229">
        <v>0.45250000000000001</v>
      </c>
      <c r="BX152" s="230">
        <v>11985400</v>
      </c>
      <c r="BY152" s="230">
        <v>12308800</v>
      </c>
      <c r="BZ152" s="230">
        <v>-323400</v>
      </c>
      <c r="CA152" s="229">
        <v>-2.63E-2</v>
      </c>
      <c r="CB152" s="230">
        <v>7856800</v>
      </c>
      <c r="CC152" s="230">
        <v>11144000</v>
      </c>
      <c r="CD152" s="230">
        <v>-3287200</v>
      </c>
      <c r="CE152" s="229">
        <v>-0.29499999999999998</v>
      </c>
      <c r="CF152" s="230">
        <v>4068400</v>
      </c>
      <c r="CG152" s="230">
        <v>1106000</v>
      </c>
      <c r="CH152" s="230">
        <v>2962400</v>
      </c>
      <c r="CI152" s="229">
        <v>2.6785000000000001</v>
      </c>
      <c r="CJ152" s="230">
        <v>60200</v>
      </c>
      <c r="CK152" s="230">
        <v>58800</v>
      </c>
      <c r="CL152" s="230">
        <v>1400</v>
      </c>
      <c r="CM152" s="229">
        <v>2.3800000000000002E-2</v>
      </c>
      <c r="CN152" s="230">
        <v>6906200</v>
      </c>
      <c r="CO152" s="230">
        <v>7456400</v>
      </c>
      <c r="CP152" s="230">
        <v>-550200</v>
      </c>
      <c r="CQ152" s="229">
        <v>-7.3800000000000004E-2</v>
      </c>
      <c r="CR152" s="230">
        <v>3887800</v>
      </c>
      <c r="CS152" s="230">
        <v>3934000</v>
      </c>
      <c r="CT152" s="230">
        <v>-46200</v>
      </c>
      <c r="CU152" s="229">
        <v>-1.17E-2</v>
      </c>
      <c r="CV152" s="230">
        <v>22779400</v>
      </c>
      <c r="CW152" s="230">
        <v>23699200</v>
      </c>
      <c r="CX152" s="230">
        <v>-919800</v>
      </c>
      <c r="CY152" s="229">
        <v>-3.8800000000000001E-2</v>
      </c>
      <c r="CZ152" s="228">
        <v>24.23</v>
      </c>
      <c r="DA152" s="228">
        <v>28.4</v>
      </c>
      <c r="DB152" s="228">
        <v>-4.17</v>
      </c>
      <c r="DC152" s="228">
        <v>-4.17</v>
      </c>
      <c r="DD152" s="228">
        <v>42.9</v>
      </c>
      <c r="DE152" s="228">
        <v>43</v>
      </c>
      <c r="DF152" s="228">
        <v>-18.670000000000002</v>
      </c>
      <c r="DG152" s="228">
        <v>-0.1</v>
      </c>
      <c r="DH152" s="228">
        <v>24.51</v>
      </c>
      <c r="DI152" s="228">
        <v>28.57</v>
      </c>
      <c r="DJ152" s="228">
        <v>-4.0599999999999996</v>
      </c>
      <c r="DK152" s="228">
        <v>-4.0599999999999996</v>
      </c>
      <c r="DL152" s="228">
        <v>23.85</v>
      </c>
      <c r="DM152" s="228">
        <v>27.76</v>
      </c>
      <c r="DN152" s="228">
        <v>-3.91</v>
      </c>
      <c r="DO152" s="228">
        <v>-3.91</v>
      </c>
      <c r="DP152" s="228">
        <v>0.56000000000000005</v>
      </c>
      <c r="DQ152" s="228">
        <v>0.53</v>
      </c>
      <c r="DR152" s="228">
        <v>0.03</v>
      </c>
      <c r="DS152" s="229">
        <v>5.6599999999999998E-2</v>
      </c>
      <c r="DT152" s="228">
        <v>450</v>
      </c>
      <c r="DU152" s="228">
        <v>420</v>
      </c>
      <c r="DV152" s="228">
        <v>0.37</v>
      </c>
      <c r="DW152" s="228">
        <v>0.27</v>
      </c>
      <c r="DX152" s="228">
        <v>0.1</v>
      </c>
      <c r="DY152" s="229">
        <v>0.37040000000000001</v>
      </c>
      <c r="DZ152" s="229">
        <v>0.34449999999999997</v>
      </c>
      <c r="EA152" s="230">
        <v>1164800</v>
      </c>
      <c r="EB152" s="229">
        <v>5.7000000000000002E-3</v>
      </c>
      <c r="EC152" s="229">
        <v>0.34449999999999997</v>
      </c>
      <c r="ED152" s="228">
        <v>2.31</v>
      </c>
      <c r="EE152" s="229">
        <v>5.3E-3</v>
      </c>
      <c r="EF152" s="230">
        <v>519959</v>
      </c>
      <c r="EG152" s="230">
        <v>369805</v>
      </c>
      <c r="EH152" s="229">
        <v>0.40600000000000003</v>
      </c>
      <c r="EI152" s="229">
        <v>0.44159999999999999</v>
      </c>
      <c r="EJ152" s="231">
        <v>26508.880000000001</v>
      </c>
      <c r="EK152" s="231">
        <v>9560.11</v>
      </c>
      <c r="EL152" s="231">
        <v>38254.28</v>
      </c>
      <c r="EM152" s="231">
        <v>2287</v>
      </c>
      <c r="EN152" s="231">
        <v>74323.27</v>
      </c>
      <c r="EO152" s="231">
        <v>29677.66</v>
      </c>
      <c r="EP152" s="231">
        <v>44645.61</v>
      </c>
      <c r="EQ152" s="229">
        <v>1.5044</v>
      </c>
      <c r="ER152" s="231">
        <v>31183</v>
      </c>
      <c r="ES152" s="231">
        <v>16327</v>
      </c>
      <c r="ET152" s="231">
        <v>52005</v>
      </c>
      <c r="EU152" s="231">
        <v>94123587</v>
      </c>
      <c r="EV152" s="231">
        <v>99515</v>
      </c>
      <c r="EW152" s="231">
        <v>103528</v>
      </c>
      <c r="EX152" s="231">
        <v>-4013</v>
      </c>
      <c r="EY152" s="229">
        <v>-3.8800000000000001E-2</v>
      </c>
      <c r="EZ152" s="229">
        <v>0.24199999999999999</v>
      </c>
      <c r="FA152" s="227" t="s">
        <v>568</v>
      </c>
      <c r="FB152" s="161">
        <f t="shared" si="3"/>
        <v>0</v>
      </c>
    </row>
    <row r="153" spans="1:158" ht="17.25" thickBot="1" x14ac:dyDescent="0.3">
      <c r="A153" s="226">
        <v>45981</v>
      </c>
      <c r="B153" s="227" t="s">
        <v>193</v>
      </c>
      <c r="C153" s="227" t="s">
        <v>269</v>
      </c>
      <c r="D153" s="228">
        <v>2250</v>
      </c>
      <c r="E153" s="228">
        <v>248.1</v>
      </c>
      <c r="F153" s="228">
        <v>249.05</v>
      </c>
      <c r="G153" s="228">
        <v>-0.95</v>
      </c>
      <c r="H153" s="229">
        <v>-3.8E-3</v>
      </c>
      <c r="I153" s="228">
        <v>248.05</v>
      </c>
      <c r="J153" s="228">
        <v>249</v>
      </c>
      <c r="K153" s="228">
        <v>-0.95</v>
      </c>
      <c r="L153" s="229">
        <v>-3.8E-3</v>
      </c>
      <c r="M153" s="228">
        <v>248.1</v>
      </c>
      <c r="N153" s="228">
        <v>249.05</v>
      </c>
      <c r="O153" s="228">
        <v>-0.95</v>
      </c>
      <c r="P153" s="229">
        <v>-3.8E-3</v>
      </c>
      <c r="Q153" s="228">
        <v>249.85</v>
      </c>
      <c r="R153" s="228">
        <v>250.8</v>
      </c>
      <c r="S153" s="228">
        <v>-0.95</v>
      </c>
      <c r="T153" s="229">
        <v>-3.8E-3</v>
      </c>
      <c r="U153" s="228">
        <v>251.25</v>
      </c>
      <c r="V153" s="228">
        <v>252.3</v>
      </c>
      <c r="W153" s="228">
        <v>-1.05</v>
      </c>
      <c r="X153" s="229">
        <v>-4.1999999999999997E-3</v>
      </c>
      <c r="Y153" s="228">
        <v>0.05</v>
      </c>
      <c r="Z153" s="228">
        <v>0.05</v>
      </c>
      <c r="AA153" s="228">
        <v>0</v>
      </c>
      <c r="AB153" s="229">
        <v>2.0000000000000001E-4</v>
      </c>
      <c r="AC153" s="228">
        <v>0.05</v>
      </c>
      <c r="AD153" s="228">
        <v>0.05</v>
      </c>
      <c r="AE153" s="228">
        <v>0</v>
      </c>
      <c r="AF153" s="229">
        <v>2.0000000000000001E-4</v>
      </c>
      <c r="AG153" s="228">
        <v>1.8</v>
      </c>
      <c r="AH153" s="228">
        <v>1.8</v>
      </c>
      <c r="AI153" s="228">
        <v>0</v>
      </c>
      <c r="AJ153" s="229">
        <v>7.3000000000000001E-3</v>
      </c>
      <c r="AK153" s="228">
        <v>3.2</v>
      </c>
      <c r="AL153" s="228">
        <v>3.3</v>
      </c>
      <c r="AM153" s="228">
        <v>-0.1</v>
      </c>
      <c r="AN153" s="229">
        <v>1.29E-2</v>
      </c>
      <c r="AO153" s="228">
        <v>249.11</v>
      </c>
      <c r="AP153" s="228">
        <v>250.84</v>
      </c>
      <c r="AQ153" s="228">
        <v>0</v>
      </c>
      <c r="AR153" s="230">
        <v>49353750</v>
      </c>
      <c r="AS153" s="230">
        <v>16148250</v>
      </c>
      <c r="AT153" s="230">
        <v>33205500</v>
      </c>
      <c r="AU153" s="229">
        <v>2.0562999999999998</v>
      </c>
      <c r="AV153" s="230">
        <v>26482500</v>
      </c>
      <c r="AW153" s="230">
        <v>10478250</v>
      </c>
      <c r="AX153" s="230">
        <v>16004250</v>
      </c>
      <c r="AY153" s="229">
        <v>1.5274000000000001</v>
      </c>
      <c r="AZ153" s="230">
        <v>22612500</v>
      </c>
      <c r="BA153" s="230">
        <v>5379750</v>
      </c>
      <c r="BB153" s="230">
        <v>17232750</v>
      </c>
      <c r="BC153" s="229">
        <v>3.2033</v>
      </c>
      <c r="BD153" s="230">
        <v>258750</v>
      </c>
      <c r="BE153" s="230">
        <v>290250</v>
      </c>
      <c r="BF153" s="230">
        <v>-31500</v>
      </c>
      <c r="BG153" s="229">
        <v>-0.1085</v>
      </c>
      <c r="BH153" s="230">
        <v>37964250</v>
      </c>
      <c r="BI153" s="230">
        <v>44631000</v>
      </c>
      <c r="BJ153" s="230">
        <v>-6666750</v>
      </c>
      <c r="BK153" s="229">
        <v>-0.14940000000000001</v>
      </c>
      <c r="BL153" s="230">
        <v>18265500</v>
      </c>
      <c r="BM153" s="230">
        <v>21053250</v>
      </c>
      <c r="BN153" s="230">
        <v>-2787750</v>
      </c>
      <c r="BO153" s="229">
        <v>-0.13239999999999999</v>
      </c>
      <c r="BP153" s="230">
        <v>105583500</v>
      </c>
      <c r="BQ153" s="230">
        <v>81832500</v>
      </c>
      <c r="BR153" s="230">
        <v>23751000</v>
      </c>
      <c r="BS153" s="229">
        <v>0.29020000000000001</v>
      </c>
      <c r="BT153" s="230">
        <v>7243517</v>
      </c>
      <c r="BU153" s="230">
        <v>7512870</v>
      </c>
      <c r="BV153" s="230">
        <v>-269353</v>
      </c>
      <c r="BW153" s="229">
        <v>-3.5900000000000001E-2</v>
      </c>
      <c r="BX153" s="230">
        <v>92697750</v>
      </c>
      <c r="BY153" s="230">
        <v>93708000</v>
      </c>
      <c r="BZ153" s="230">
        <v>-1010250</v>
      </c>
      <c r="CA153" s="229">
        <v>-1.0800000000000001E-2</v>
      </c>
      <c r="CB153" s="230">
        <v>63382500</v>
      </c>
      <c r="CC153" s="230">
        <v>82368000</v>
      </c>
      <c r="CD153" s="230">
        <v>-18985500</v>
      </c>
      <c r="CE153" s="229">
        <v>-0.23050000000000001</v>
      </c>
      <c r="CF153" s="230">
        <v>28766250</v>
      </c>
      <c r="CG153" s="230">
        <v>10867500</v>
      </c>
      <c r="CH153" s="230">
        <v>17898750</v>
      </c>
      <c r="CI153" s="229">
        <v>1.647</v>
      </c>
      <c r="CJ153" s="230">
        <v>549000</v>
      </c>
      <c r="CK153" s="230">
        <v>472500</v>
      </c>
      <c r="CL153" s="230">
        <v>76500</v>
      </c>
      <c r="CM153" s="229">
        <v>0.16189999999999999</v>
      </c>
      <c r="CN153" s="230">
        <v>58284000</v>
      </c>
      <c r="CO153" s="230">
        <v>56846250</v>
      </c>
      <c r="CP153" s="230">
        <v>1437750</v>
      </c>
      <c r="CQ153" s="229">
        <v>2.53E-2</v>
      </c>
      <c r="CR153" s="230">
        <v>22263750</v>
      </c>
      <c r="CS153" s="230">
        <v>21375000</v>
      </c>
      <c r="CT153" s="230">
        <v>888750</v>
      </c>
      <c r="CU153" s="229">
        <v>4.1599999999999998E-2</v>
      </c>
      <c r="CV153" s="230">
        <v>173245500</v>
      </c>
      <c r="CW153" s="230">
        <v>171929250</v>
      </c>
      <c r="CX153" s="230">
        <v>1316250</v>
      </c>
      <c r="CY153" s="229">
        <v>7.7000000000000002E-3</v>
      </c>
      <c r="CZ153" s="228">
        <v>18.399999999999999</v>
      </c>
      <c r="DA153" s="228">
        <v>17.89</v>
      </c>
      <c r="DB153" s="228">
        <v>0.51</v>
      </c>
      <c r="DC153" s="228">
        <v>0.51</v>
      </c>
      <c r="DD153" s="228">
        <v>31.07</v>
      </c>
      <c r="DE153" s="228">
        <v>31.15</v>
      </c>
      <c r="DF153" s="228">
        <v>-12.67</v>
      </c>
      <c r="DG153" s="228">
        <v>-0.08</v>
      </c>
      <c r="DH153" s="228">
        <v>18.77</v>
      </c>
      <c r="DI153" s="228">
        <v>17.329999999999998</v>
      </c>
      <c r="DJ153" s="228">
        <v>1.44</v>
      </c>
      <c r="DK153" s="228">
        <v>1.44</v>
      </c>
      <c r="DL153" s="228">
        <v>17.88</v>
      </c>
      <c r="DM153" s="228">
        <v>19.09</v>
      </c>
      <c r="DN153" s="228">
        <v>-1.21</v>
      </c>
      <c r="DO153" s="228">
        <v>-1.21</v>
      </c>
      <c r="DP153" s="228">
        <v>0.38</v>
      </c>
      <c r="DQ153" s="228">
        <v>0.38</v>
      </c>
      <c r="DR153" s="228">
        <v>0</v>
      </c>
      <c r="DS153" s="229">
        <v>0</v>
      </c>
      <c r="DT153" s="228">
        <v>254</v>
      </c>
      <c r="DU153" s="228">
        <v>234</v>
      </c>
      <c r="DV153" s="228">
        <v>0.48</v>
      </c>
      <c r="DW153" s="228">
        <v>0.47</v>
      </c>
      <c r="DX153" s="228">
        <v>0.01</v>
      </c>
      <c r="DY153" s="229">
        <v>2.1299999999999999E-2</v>
      </c>
      <c r="DZ153" s="229">
        <v>0.31619999999999998</v>
      </c>
      <c r="EA153" s="230">
        <v>11340000</v>
      </c>
      <c r="EB153" s="229">
        <v>7.1000000000000004E-3</v>
      </c>
      <c r="EC153" s="229">
        <v>0.31619999999999998</v>
      </c>
      <c r="ED153" s="228">
        <v>1.73</v>
      </c>
      <c r="EE153" s="229">
        <v>6.8999999999999999E-3</v>
      </c>
      <c r="EF153" s="230">
        <v>4703741</v>
      </c>
      <c r="EG153" s="230">
        <v>4786662</v>
      </c>
      <c r="EH153" s="229">
        <v>-1.7299999999999999E-2</v>
      </c>
      <c r="EI153" s="229">
        <v>0.64939999999999998</v>
      </c>
      <c r="EJ153" s="231">
        <v>96605.94</v>
      </c>
      <c r="EK153" s="231">
        <v>46328.41</v>
      </c>
      <c r="EL153" s="231">
        <v>123342.01</v>
      </c>
      <c r="EM153" s="231">
        <v>6309</v>
      </c>
      <c r="EN153" s="231">
        <v>266276.36</v>
      </c>
      <c r="EO153" s="231">
        <v>205321.27</v>
      </c>
      <c r="EP153" s="231">
        <v>60955.09</v>
      </c>
      <c r="EQ153" s="229">
        <v>0.2969</v>
      </c>
      <c r="ER153" s="231">
        <v>148455</v>
      </c>
      <c r="ES153" s="231">
        <v>53985</v>
      </c>
      <c r="ET153" s="231">
        <v>230504</v>
      </c>
      <c r="EU153" s="231">
        <v>517141211</v>
      </c>
      <c r="EV153" s="231">
        <v>432943</v>
      </c>
      <c r="EW153" s="231">
        <v>429923</v>
      </c>
      <c r="EX153" s="231">
        <v>3020</v>
      </c>
      <c r="EY153" s="229">
        <v>7.0000000000000001E-3</v>
      </c>
      <c r="EZ153" s="229">
        <v>0.33500000000000002</v>
      </c>
      <c r="FA153" s="227" t="s">
        <v>568</v>
      </c>
      <c r="FB153" s="161">
        <f>BX228-CB228</f>
        <v>0</v>
      </c>
    </row>
    <row r="154" spans="1:158" ht="17.25" thickBot="1" x14ac:dyDescent="0.3">
      <c r="A154" s="226">
        <v>45981</v>
      </c>
      <c r="B154" s="227" t="s">
        <v>197</v>
      </c>
      <c r="C154" s="227" t="s">
        <v>270</v>
      </c>
      <c r="D154" s="228">
        <v>15</v>
      </c>
      <c r="E154" s="231">
        <v>38670</v>
      </c>
      <c r="F154" s="231">
        <v>38945</v>
      </c>
      <c r="G154" s="228">
        <v>-275</v>
      </c>
      <c r="H154" s="229">
        <v>-7.1000000000000004E-3</v>
      </c>
      <c r="I154" s="231">
        <v>38565</v>
      </c>
      <c r="J154" s="231">
        <v>38810</v>
      </c>
      <c r="K154" s="228">
        <v>-245</v>
      </c>
      <c r="L154" s="229">
        <v>-6.3E-3</v>
      </c>
      <c r="M154" s="231">
        <v>38670</v>
      </c>
      <c r="N154" s="231">
        <v>38945</v>
      </c>
      <c r="O154" s="228">
        <v>-275</v>
      </c>
      <c r="P154" s="229">
        <v>-7.1000000000000004E-3</v>
      </c>
      <c r="Q154" s="231">
        <v>38390</v>
      </c>
      <c r="R154" s="231">
        <v>38640</v>
      </c>
      <c r="S154" s="228">
        <v>-250</v>
      </c>
      <c r="T154" s="229">
        <v>-6.4999999999999997E-3</v>
      </c>
      <c r="U154" s="231">
        <v>38340</v>
      </c>
      <c r="V154" s="231">
        <v>38600</v>
      </c>
      <c r="W154" s="228">
        <v>-260</v>
      </c>
      <c r="X154" s="229">
        <v>-6.7000000000000002E-3</v>
      </c>
      <c r="Y154" s="228">
        <v>105</v>
      </c>
      <c r="Z154" s="228">
        <v>135</v>
      </c>
      <c r="AA154" s="228">
        <v>-30</v>
      </c>
      <c r="AB154" s="229">
        <v>2.7000000000000001E-3</v>
      </c>
      <c r="AC154" s="228">
        <v>105</v>
      </c>
      <c r="AD154" s="228">
        <v>135</v>
      </c>
      <c r="AE154" s="228">
        <v>-30</v>
      </c>
      <c r="AF154" s="229">
        <v>2.7000000000000001E-3</v>
      </c>
      <c r="AG154" s="228">
        <v>-175</v>
      </c>
      <c r="AH154" s="228">
        <v>-170</v>
      </c>
      <c r="AI154" s="228">
        <v>-5</v>
      </c>
      <c r="AJ154" s="229">
        <v>-4.4999999999999997E-3</v>
      </c>
      <c r="AK154" s="228">
        <v>-225</v>
      </c>
      <c r="AL154" s="228">
        <v>-210</v>
      </c>
      <c r="AM154" s="228">
        <v>-15</v>
      </c>
      <c r="AN154" s="229">
        <v>-5.7999999999999996E-3</v>
      </c>
      <c r="AO154" s="231">
        <v>38877.599999999999</v>
      </c>
      <c r="AP154" s="231">
        <v>38587.360000000001</v>
      </c>
      <c r="AQ154" s="228">
        <v>0</v>
      </c>
      <c r="AR154" s="230">
        <v>186435</v>
      </c>
      <c r="AS154" s="230">
        <v>50355</v>
      </c>
      <c r="AT154" s="230">
        <v>136080</v>
      </c>
      <c r="AU154" s="229">
        <v>2.7023999999999999</v>
      </c>
      <c r="AV154" s="230">
        <v>93765</v>
      </c>
      <c r="AW154" s="230">
        <v>31935</v>
      </c>
      <c r="AX154" s="230">
        <v>61830</v>
      </c>
      <c r="AY154" s="229">
        <v>1.9360999999999999</v>
      </c>
      <c r="AZ154" s="230">
        <v>91545</v>
      </c>
      <c r="BA154" s="230">
        <v>18045</v>
      </c>
      <c r="BB154" s="230">
        <v>73500</v>
      </c>
      <c r="BC154" s="229">
        <v>4.0731999999999999</v>
      </c>
      <c r="BD154" s="230">
        <v>1125</v>
      </c>
      <c r="BE154" s="228">
        <v>375</v>
      </c>
      <c r="BF154" s="228">
        <v>750</v>
      </c>
      <c r="BG154" s="229">
        <v>2</v>
      </c>
      <c r="BH154" s="230">
        <v>344130</v>
      </c>
      <c r="BI154" s="230">
        <v>303465</v>
      </c>
      <c r="BJ154" s="230">
        <v>40665</v>
      </c>
      <c r="BK154" s="229">
        <v>0.13400000000000001</v>
      </c>
      <c r="BL154" s="230">
        <v>70185</v>
      </c>
      <c r="BM154" s="230">
        <v>79500</v>
      </c>
      <c r="BN154" s="230">
        <v>-9315</v>
      </c>
      <c r="BO154" s="229">
        <v>-0.1172</v>
      </c>
      <c r="BP154" s="230">
        <v>600750</v>
      </c>
      <c r="BQ154" s="230">
        <v>433320</v>
      </c>
      <c r="BR154" s="230">
        <v>167430</v>
      </c>
      <c r="BS154" s="229">
        <v>0.38640000000000002</v>
      </c>
      <c r="BT154" s="230">
        <v>15346</v>
      </c>
      <c r="BU154" s="230">
        <v>20320</v>
      </c>
      <c r="BV154" s="230">
        <v>-4974</v>
      </c>
      <c r="BW154" s="229">
        <v>-0.24479999999999999</v>
      </c>
      <c r="BX154" s="230">
        <v>271185</v>
      </c>
      <c r="BY154" s="230">
        <v>285300</v>
      </c>
      <c r="BZ154" s="230">
        <v>-14115</v>
      </c>
      <c r="CA154" s="229">
        <v>-4.9500000000000002E-2</v>
      </c>
      <c r="CB154" s="230">
        <v>169950</v>
      </c>
      <c r="CC154" s="230">
        <v>234345</v>
      </c>
      <c r="CD154" s="230">
        <v>-64395</v>
      </c>
      <c r="CE154" s="229">
        <v>-0.27479999999999999</v>
      </c>
      <c r="CF154" s="230">
        <v>97065</v>
      </c>
      <c r="CG154" s="230">
        <v>47520</v>
      </c>
      <c r="CH154" s="230">
        <v>49545</v>
      </c>
      <c r="CI154" s="229">
        <v>1.0426</v>
      </c>
      <c r="CJ154" s="230">
        <v>4170</v>
      </c>
      <c r="CK154" s="230">
        <v>3435</v>
      </c>
      <c r="CL154" s="228">
        <v>735</v>
      </c>
      <c r="CM154" s="229">
        <v>0.214</v>
      </c>
      <c r="CN154" s="230">
        <v>202200</v>
      </c>
      <c r="CO154" s="230">
        <v>201420</v>
      </c>
      <c r="CP154" s="228">
        <v>780</v>
      </c>
      <c r="CQ154" s="229">
        <v>3.8999999999999998E-3</v>
      </c>
      <c r="CR154" s="230">
        <v>72870</v>
      </c>
      <c r="CS154" s="230">
        <v>69255</v>
      </c>
      <c r="CT154" s="230">
        <v>3615</v>
      </c>
      <c r="CU154" s="229">
        <v>5.2200000000000003E-2</v>
      </c>
      <c r="CV154" s="230">
        <v>546255</v>
      </c>
      <c r="CW154" s="230">
        <v>555975</v>
      </c>
      <c r="CX154" s="230">
        <v>-9720</v>
      </c>
      <c r="CY154" s="229">
        <v>-1.7500000000000002E-2</v>
      </c>
      <c r="CZ154" s="228">
        <v>23.88</v>
      </c>
      <c r="DA154" s="228">
        <v>27.53</v>
      </c>
      <c r="DB154" s="228">
        <v>-3.65</v>
      </c>
      <c r="DC154" s="228">
        <v>-3.65</v>
      </c>
      <c r="DD154" s="228">
        <v>28.59</v>
      </c>
      <c r="DE154" s="228">
        <v>28.65</v>
      </c>
      <c r="DF154" s="228">
        <v>-4.71</v>
      </c>
      <c r="DG154" s="228">
        <v>-0.06</v>
      </c>
      <c r="DH154" s="228">
        <v>24.16</v>
      </c>
      <c r="DI154" s="228">
        <v>28.15</v>
      </c>
      <c r="DJ154" s="228">
        <v>-3.99</v>
      </c>
      <c r="DK154" s="228">
        <v>-3.99</v>
      </c>
      <c r="DL154" s="228">
        <v>23.31</v>
      </c>
      <c r="DM154" s="228">
        <v>25.16</v>
      </c>
      <c r="DN154" s="228">
        <v>-1.85</v>
      </c>
      <c r="DO154" s="228">
        <v>-1.85</v>
      </c>
      <c r="DP154" s="228">
        <v>0.36</v>
      </c>
      <c r="DQ154" s="228">
        <v>0.34</v>
      </c>
      <c r="DR154" s="228">
        <v>0.02</v>
      </c>
      <c r="DS154" s="229">
        <v>5.8799999999999998E-2</v>
      </c>
      <c r="DT154" s="231">
        <v>41000</v>
      </c>
      <c r="DU154" s="231">
        <v>37000</v>
      </c>
      <c r="DV154" s="228">
        <v>0.2</v>
      </c>
      <c r="DW154" s="228">
        <v>0.26</v>
      </c>
      <c r="DX154" s="228">
        <v>-0.06</v>
      </c>
      <c r="DY154" s="229">
        <v>-0.23080000000000001</v>
      </c>
      <c r="DZ154" s="229">
        <v>0.37330000000000002</v>
      </c>
      <c r="EA154" s="230">
        <v>50955</v>
      </c>
      <c r="EB154" s="229">
        <v>-7.1999999999999998E-3</v>
      </c>
      <c r="EC154" s="229">
        <v>0.37330000000000002</v>
      </c>
      <c r="ED154" s="228">
        <v>-290.24</v>
      </c>
      <c r="EE154" s="229">
        <v>-7.4999999999999997E-3</v>
      </c>
      <c r="EF154" s="230">
        <v>8938</v>
      </c>
      <c r="EG154" s="230">
        <v>13308</v>
      </c>
      <c r="EH154" s="229">
        <v>-0.32840000000000003</v>
      </c>
      <c r="EI154" s="229">
        <v>0.58240000000000003</v>
      </c>
      <c r="EJ154" s="231">
        <v>141796.42000000001</v>
      </c>
      <c r="EK154" s="231">
        <v>26849.64</v>
      </c>
      <c r="EL154" s="231">
        <v>72211.179999999993</v>
      </c>
      <c r="EM154" s="231">
        <v>5478</v>
      </c>
      <c r="EN154" s="231">
        <v>240857.24</v>
      </c>
      <c r="EO154" s="231">
        <v>174551.31</v>
      </c>
      <c r="EP154" s="231">
        <v>66305.929999999993</v>
      </c>
      <c r="EQ154" s="229">
        <v>0.37990000000000002</v>
      </c>
      <c r="ER154" s="231">
        <v>83511</v>
      </c>
      <c r="ES154" s="231">
        <v>28009</v>
      </c>
      <c r="ET154" s="231">
        <v>104582</v>
      </c>
      <c r="EU154" s="231">
        <v>955549</v>
      </c>
      <c r="EV154" s="231">
        <v>216101</v>
      </c>
      <c r="EW154" s="231">
        <v>221217</v>
      </c>
      <c r="EX154" s="231">
        <v>-5116</v>
      </c>
      <c r="EY154" s="229">
        <v>-2.3099999999999999E-2</v>
      </c>
      <c r="EZ154" s="229">
        <v>0.57169999999999999</v>
      </c>
      <c r="FA154" s="227" t="s">
        <v>568</v>
      </c>
      <c r="FB154" s="161">
        <f t="shared" si="3"/>
        <v>0</v>
      </c>
    </row>
    <row r="155" spans="1:158" ht="17.25" thickBot="1" x14ac:dyDescent="0.3">
      <c r="A155" s="226">
        <v>45981</v>
      </c>
      <c r="B155" s="227" t="s">
        <v>168</v>
      </c>
      <c r="C155" s="227" t="s">
        <v>666</v>
      </c>
      <c r="D155" s="228">
        <v>900</v>
      </c>
      <c r="E155" s="228">
        <v>582.9</v>
      </c>
      <c r="F155" s="228">
        <v>582.04999999999995</v>
      </c>
      <c r="G155" s="228">
        <v>0.85</v>
      </c>
      <c r="H155" s="229">
        <v>1.5E-3</v>
      </c>
      <c r="I155" s="228">
        <v>584.25</v>
      </c>
      <c r="J155" s="228">
        <v>582.9</v>
      </c>
      <c r="K155" s="228">
        <v>1.35</v>
      </c>
      <c r="L155" s="229">
        <v>2.3E-3</v>
      </c>
      <c r="M155" s="228">
        <v>582.9</v>
      </c>
      <c r="N155" s="228">
        <v>582.04999999999995</v>
      </c>
      <c r="O155" s="228">
        <v>0.85</v>
      </c>
      <c r="P155" s="229">
        <v>1.5E-3</v>
      </c>
      <c r="Q155" s="228">
        <v>585.79999999999995</v>
      </c>
      <c r="R155" s="228">
        <v>586.04999999999995</v>
      </c>
      <c r="S155" s="228">
        <v>-0.25</v>
      </c>
      <c r="T155" s="229">
        <v>-4.0000000000000002E-4</v>
      </c>
      <c r="U155" s="228">
        <v>589</v>
      </c>
      <c r="V155" s="228">
        <v>585.9</v>
      </c>
      <c r="W155" s="228">
        <v>3.1</v>
      </c>
      <c r="X155" s="229">
        <v>5.3E-3</v>
      </c>
      <c r="Y155" s="228">
        <v>-1.35</v>
      </c>
      <c r="Z155" s="228">
        <v>-0.85</v>
      </c>
      <c r="AA155" s="228">
        <v>-0.5</v>
      </c>
      <c r="AB155" s="229">
        <v>-2.3E-3</v>
      </c>
      <c r="AC155" s="228">
        <v>-1.35</v>
      </c>
      <c r="AD155" s="228">
        <v>-0.85</v>
      </c>
      <c r="AE155" s="228">
        <v>-0.5</v>
      </c>
      <c r="AF155" s="229">
        <v>-2.3E-3</v>
      </c>
      <c r="AG155" s="228">
        <v>1.55</v>
      </c>
      <c r="AH155" s="228">
        <v>3.15</v>
      </c>
      <c r="AI155" s="228">
        <v>-1.6</v>
      </c>
      <c r="AJ155" s="229">
        <v>2.7000000000000001E-3</v>
      </c>
      <c r="AK155" s="228">
        <v>4.75</v>
      </c>
      <c r="AL155" s="228">
        <v>3</v>
      </c>
      <c r="AM155" s="228">
        <v>1.75</v>
      </c>
      <c r="AN155" s="229">
        <v>8.0999999999999996E-3</v>
      </c>
      <c r="AO155" s="228">
        <v>583.69000000000005</v>
      </c>
      <c r="AP155" s="228">
        <v>586.75</v>
      </c>
      <c r="AQ155" s="228">
        <v>0</v>
      </c>
      <c r="AR155" s="230">
        <v>11350800</v>
      </c>
      <c r="AS155" s="230">
        <v>3610800</v>
      </c>
      <c r="AT155" s="230">
        <v>7740000</v>
      </c>
      <c r="AU155" s="229">
        <v>2.1436000000000002</v>
      </c>
      <c r="AV155" s="230">
        <v>6186600</v>
      </c>
      <c r="AW155" s="230">
        <v>2673900</v>
      </c>
      <c r="AX155" s="230">
        <v>3512700</v>
      </c>
      <c r="AY155" s="229">
        <v>1.3137000000000001</v>
      </c>
      <c r="AZ155" s="230">
        <v>5157900</v>
      </c>
      <c r="BA155" s="230">
        <v>929700</v>
      </c>
      <c r="BB155" s="230">
        <v>4228200</v>
      </c>
      <c r="BC155" s="229">
        <v>4.5479000000000003</v>
      </c>
      <c r="BD155" s="230">
        <v>6300</v>
      </c>
      <c r="BE155" s="230">
        <v>7200</v>
      </c>
      <c r="BF155" s="228">
        <v>-900</v>
      </c>
      <c r="BG155" s="229">
        <v>-0.125</v>
      </c>
      <c r="BH155" s="230">
        <v>5426100</v>
      </c>
      <c r="BI155" s="230">
        <v>6237000</v>
      </c>
      <c r="BJ155" s="230">
        <v>-810900</v>
      </c>
      <c r="BK155" s="229">
        <v>-0.13</v>
      </c>
      <c r="BL155" s="230">
        <v>1671300</v>
      </c>
      <c r="BM155" s="230">
        <v>1793700</v>
      </c>
      <c r="BN155" s="230">
        <v>-122400</v>
      </c>
      <c r="BO155" s="229">
        <v>-6.8199999999999997E-2</v>
      </c>
      <c r="BP155" s="230">
        <v>18448200</v>
      </c>
      <c r="BQ155" s="230">
        <v>11641500</v>
      </c>
      <c r="BR155" s="230">
        <v>6806700</v>
      </c>
      <c r="BS155" s="229">
        <v>0.5847</v>
      </c>
      <c r="BT155" s="230">
        <v>588456</v>
      </c>
      <c r="BU155" s="230">
        <v>492503</v>
      </c>
      <c r="BV155" s="230">
        <v>95953</v>
      </c>
      <c r="BW155" s="229">
        <v>0.1948</v>
      </c>
      <c r="BX155" s="230">
        <v>34430400</v>
      </c>
      <c r="BY155" s="230">
        <v>34755300</v>
      </c>
      <c r="BZ155" s="230">
        <v>-324900</v>
      </c>
      <c r="CA155" s="229">
        <v>-9.2999999999999992E-3</v>
      </c>
      <c r="CB155" s="230">
        <v>28200600</v>
      </c>
      <c r="CC155" s="230">
        <v>32363100</v>
      </c>
      <c r="CD155" s="230">
        <v>-4162500</v>
      </c>
      <c r="CE155" s="229">
        <v>-0.12859999999999999</v>
      </c>
      <c r="CF155" s="230">
        <v>6191100</v>
      </c>
      <c r="CG155" s="230">
        <v>2358900</v>
      </c>
      <c r="CH155" s="230">
        <v>3832200</v>
      </c>
      <c r="CI155" s="229">
        <v>1.6246</v>
      </c>
      <c r="CJ155" s="230">
        <v>38700</v>
      </c>
      <c r="CK155" s="230">
        <v>33300</v>
      </c>
      <c r="CL155" s="230">
        <v>5400</v>
      </c>
      <c r="CM155" s="229">
        <v>0.16220000000000001</v>
      </c>
      <c r="CN155" s="230">
        <v>10307700</v>
      </c>
      <c r="CO155" s="230">
        <v>10760400</v>
      </c>
      <c r="CP155" s="230">
        <v>-452700</v>
      </c>
      <c r="CQ155" s="229">
        <v>-4.2099999999999999E-2</v>
      </c>
      <c r="CR155" s="230">
        <v>3819600</v>
      </c>
      <c r="CS155" s="230">
        <v>4050900</v>
      </c>
      <c r="CT155" s="230">
        <v>-231300</v>
      </c>
      <c r="CU155" s="229">
        <v>-5.7099999999999998E-2</v>
      </c>
      <c r="CV155" s="230">
        <v>48557700</v>
      </c>
      <c r="CW155" s="230">
        <v>49566600</v>
      </c>
      <c r="CX155" s="230">
        <v>-1008900</v>
      </c>
      <c r="CY155" s="229">
        <v>-2.0400000000000001E-2</v>
      </c>
      <c r="CZ155" s="228">
        <v>24.65</v>
      </c>
      <c r="DA155" s="228">
        <v>27.67</v>
      </c>
      <c r="DB155" s="228">
        <v>-3.02</v>
      </c>
      <c r="DC155" s="228">
        <v>-3.02</v>
      </c>
      <c r="DD155" s="228">
        <v>33.409999999999997</v>
      </c>
      <c r="DE155" s="228">
        <v>33.49</v>
      </c>
      <c r="DF155" s="228">
        <v>-8.76</v>
      </c>
      <c r="DG155" s="228">
        <v>-0.08</v>
      </c>
      <c r="DH155" s="228">
        <v>24.71</v>
      </c>
      <c r="DI155" s="228">
        <v>28.7</v>
      </c>
      <c r="DJ155" s="228">
        <v>-3.99</v>
      </c>
      <c r="DK155" s="228">
        <v>-3.99</v>
      </c>
      <c r="DL155" s="228">
        <v>24.45</v>
      </c>
      <c r="DM155" s="228">
        <v>24.09</v>
      </c>
      <c r="DN155" s="228">
        <v>0.36</v>
      </c>
      <c r="DO155" s="228">
        <v>0.36</v>
      </c>
      <c r="DP155" s="228">
        <v>0.37</v>
      </c>
      <c r="DQ155" s="228">
        <v>0.38</v>
      </c>
      <c r="DR155" s="228">
        <v>-0.01</v>
      </c>
      <c r="DS155" s="229">
        <v>-2.63E-2</v>
      </c>
      <c r="DT155" s="228">
        <v>600</v>
      </c>
      <c r="DU155" s="228">
        <v>600</v>
      </c>
      <c r="DV155" s="228">
        <v>0.31</v>
      </c>
      <c r="DW155" s="228">
        <v>0.28999999999999998</v>
      </c>
      <c r="DX155" s="228">
        <v>0.02</v>
      </c>
      <c r="DY155" s="229">
        <v>6.9000000000000006E-2</v>
      </c>
      <c r="DZ155" s="229">
        <v>0.18090000000000001</v>
      </c>
      <c r="EA155" s="230">
        <v>2392200</v>
      </c>
      <c r="EB155" s="229">
        <v>5.0000000000000001E-3</v>
      </c>
      <c r="EC155" s="229">
        <v>0.18090000000000001</v>
      </c>
      <c r="ED155" s="228">
        <v>3.06</v>
      </c>
      <c r="EE155" s="229">
        <v>5.1999999999999998E-3</v>
      </c>
      <c r="EF155" s="230">
        <v>264281</v>
      </c>
      <c r="EG155" s="230">
        <v>212679</v>
      </c>
      <c r="EH155" s="229">
        <v>0.24260000000000001</v>
      </c>
      <c r="EI155" s="229">
        <v>0.4491</v>
      </c>
      <c r="EJ155" s="231">
        <v>32813.81</v>
      </c>
      <c r="EK155" s="231">
        <v>9746</v>
      </c>
      <c r="EL155" s="231">
        <v>66411.7</v>
      </c>
      <c r="EM155" s="231">
        <v>6689</v>
      </c>
      <c r="EN155" s="231">
        <v>108971.51</v>
      </c>
      <c r="EO155" s="231">
        <v>69424.850000000006</v>
      </c>
      <c r="EP155" s="231">
        <v>39546.660000000003</v>
      </c>
      <c r="EQ155" s="229">
        <v>0.5696</v>
      </c>
      <c r="ER155" s="231">
        <v>62675</v>
      </c>
      <c r="ES155" s="231">
        <v>22173</v>
      </c>
      <c r="ET155" s="231">
        <v>200877</v>
      </c>
      <c r="EU155" s="231">
        <v>50840137</v>
      </c>
      <c r="EV155" s="231">
        <v>285725</v>
      </c>
      <c r="EW155" s="231">
        <v>291311</v>
      </c>
      <c r="EX155" s="231">
        <v>-5586</v>
      </c>
      <c r="EY155" s="229">
        <v>-1.9199999999999998E-2</v>
      </c>
      <c r="EZ155" s="229">
        <v>0.95509999999999995</v>
      </c>
      <c r="FA155" s="227" t="s">
        <v>556</v>
      </c>
      <c r="FB155" s="161">
        <f t="shared" si="3"/>
        <v>0</v>
      </c>
    </row>
    <row r="156" spans="1:158" ht="17.25" thickBot="1" x14ac:dyDescent="0.3">
      <c r="A156" s="226">
        <v>45981</v>
      </c>
      <c r="B156" s="227" t="s">
        <v>615</v>
      </c>
      <c r="C156" s="227" t="s">
        <v>575</v>
      </c>
      <c r="D156" s="228">
        <v>725</v>
      </c>
      <c r="E156" s="231">
        <v>1283.8</v>
      </c>
      <c r="F156" s="231">
        <v>1284.5999999999999</v>
      </c>
      <c r="G156" s="228">
        <v>-0.8</v>
      </c>
      <c r="H156" s="229">
        <v>-5.9999999999999995E-4</v>
      </c>
      <c r="I156" s="231">
        <v>1283.9000000000001</v>
      </c>
      <c r="J156" s="231">
        <v>1282.5999999999999</v>
      </c>
      <c r="K156" s="228">
        <v>1.3</v>
      </c>
      <c r="L156" s="229">
        <v>1E-3</v>
      </c>
      <c r="M156" s="231">
        <v>1283.8</v>
      </c>
      <c r="N156" s="231">
        <v>1284.5999999999999</v>
      </c>
      <c r="O156" s="228">
        <v>-0.8</v>
      </c>
      <c r="P156" s="229">
        <v>-5.9999999999999995E-4</v>
      </c>
      <c r="Q156" s="231">
        <v>1291.8</v>
      </c>
      <c r="R156" s="231">
        <v>1291</v>
      </c>
      <c r="S156" s="228">
        <v>0.8</v>
      </c>
      <c r="T156" s="229">
        <v>5.9999999999999995E-4</v>
      </c>
      <c r="U156" s="231">
        <v>1295.8</v>
      </c>
      <c r="V156" s="231">
        <v>1293.5</v>
      </c>
      <c r="W156" s="228">
        <v>2.2999999999999998</v>
      </c>
      <c r="X156" s="229">
        <v>1.8E-3</v>
      </c>
      <c r="Y156" s="228">
        <v>-0.1</v>
      </c>
      <c r="Z156" s="228">
        <v>2</v>
      </c>
      <c r="AA156" s="228">
        <v>-2.1</v>
      </c>
      <c r="AB156" s="229">
        <v>-1E-4</v>
      </c>
      <c r="AC156" s="228">
        <v>-0.1</v>
      </c>
      <c r="AD156" s="228">
        <v>2</v>
      </c>
      <c r="AE156" s="228">
        <v>-2.1</v>
      </c>
      <c r="AF156" s="229">
        <v>-1E-4</v>
      </c>
      <c r="AG156" s="228">
        <v>7.9</v>
      </c>
      <c r="AH156" s="228">
        <v>8.4</v>
      </c>
      <c r="AI156" s="228">
        <v>-0.5</v>
      </c>
      <c r="AJ156" s="229">
        <v>6.1999999999999998E-3</v>
      </c>
      <c r="AK156" s="228">
        <v>11.9</v>
      </c>
      <c r="AL156" s="228">
        <v>10.9</v>
      </c>
      <c r="AM156" s="228">
        <v>1</v>
      </c>
      <c r="AN156" s="229">
        <v>9.2999999999999992E-3</v>
      </c>
      <c r="AO156" s="231">
        <v>1287.1600000000001</v>
      </c>
      <c r="AP156" s="231">
        <v>1294.4100000000001</v>
      </c>
      <c r="AQ156" s="228">
        <v>0</v>
      </c>
      <c r="AR156" s="230">
        <v>10640825</v>
      </c>
      <c r="AS156" s="230">
        <v>5773175</v>
      </c>
      <c r="AT156" s="230">
        <v>4867650</v>
      </c>
      <c r="AU156" s="229">
        <v>0.84309999999999996</v>
      </c>
      <c r="AV156" s="230">
        <v>5794200</v>
      </c>
      <c r="AW156" s="230">
        <v>3876575</v>
      </c>
      <c r="AX156" s="230">
        <v>1917625</v>
      </c>
      <c r="AY156" s="229">
        <v>0.49469999999999997</v>
      </c>
      <c r="AZ156" s="230">
        <v>4829950</v>
      </c>
      <c r="BA156" s="230">
        <v>1858900</v>
      </c>
      <c r="BB156" s="230">
        <v>2971050</v>
      </c>
      <c r="BC156" s="229">
        <v>1.5983000000000001</v>
      </c>
      <c r="BD156" s="230">
        <v>16675</v>
      </c>
      <c r="BE156" s="230">
        <v>37700</v>
      </c>
      <c r="BF156" s="230">
        <v>-21025</v>
      </c>
      <c r="BG156" s="229">
        <v>-0.55769999999999997</v>
      </c>
      <c r="BH156" s="230">
        <v>19483650</v>
      </c>
      <c r="BI156" s="230">
        <v>20909725</v>
      </c>
      <c r="BJ156" s="230">
        <v>-1426075</v>
      </c>
      <c r="BK156" s="229">
        <v>-6.8199999999999997E-2</v>
      </c>
      <c r="BL156" s="230">
        <v>6762800</v>
      </c>
      <c r="BM156" s="230">
        <v>12064000</v>
      </c>
      <c r="BN156" s="230">
        <v>-5301200</v>
      </c>
      <c r="BO156" s="229">
        <v>-0.43940000000000001</v>
      </c>
      <c r="BP156" s="230">
        <v>36887275</v>
      </c>
      <c r="BQ156" s="230">
        <v>38746900</v>
      </c>
      <c r="BR156" s="230">
        <v>-1859625</v>
      </c>
      <c r="BS156" s="229">
        <v>-4.8000000000000001E-2</v>
      </c>
      <c r="BT156" s="230">
        <v>2830811</v>
      </c>
      <c r="BU156" s="230">
        <v>3814835</v>
      </c>
      <c r="BV156" s="230">
        <v>-984024</v>
      </c>
      <c r="BW156" s="229">
        <v>-0.25790000000000002</v>
      </c>
      <c r="BX156" s="230">
        <v>22621450</v>
      </c>
      <c r="BY156" s="230">
        <v>21710125</v>
      </c>
      <c r="BZ156" s="230">
        <v>911325</v>
      </c>
      <c r="CA156" s="229">
        <v>4.2000000000000003E-2</v>
      </c>
      <c r="CB156" s="230">
        <v>16305250</v>
      </c>
      <c r="CC156" s="230">
        <v>19002250</v>
      </c>
      <c r="CD156" s="230">
        <v>-2697000</v>
      </c>
      <c r="CE156" s="229">
        <v>-0.1419</v>
      </c>
      <c r="CF156" s="230">
        <v>6205275</v>
      </c>
      <c r="CG156" s="230">
        <v>2604925</v>
      </c>
      <c r="CH156" s="230">
        <v>3600350</v>
      </c>
      <c r="CI156" s="229">
        <v>1.3821000000000001</v>
      </c>
      <c r="CJ156" s="230">
        <v>110925</v>
      </c>
      <c r="CK156" s="230">
        <v>102950</v>
      </c>
      <c r="CL156" s="230">
        <v>7975</v>
      </c>
      <c r="CM156" s="229">
        <v>7.7499999999999999E-2</v>
      </c>
      <c r="CN156" s="230">
        <v>10137675</v>
      </c>
      <c r="CO156" s="230">
        <v>10313850</v>
      </c>
      <c r="CP156" s="230">
        <v>-176175</v>
      </c>
      <c r="CQ156" s="229">
        <v>-1.7100000000000001E-2</v>
      </c>
      <c r="CR156" s="230">
        <v>6452500</v>
      </c>
      <c r="CS156" s="230">
        <v>6537325</v>
      </c>
      <c r="CT156" s="230">
        <v>-84825</v>
      </c>
      <c r="CU156" s="229">
        <v>-1.2999999999999999E-2</v>
      </c>
      <c r="CV156" s="230">
        <v>39211625</v>
      </c>
      <c r="CW156" s="230">
        <v>38561300</v>
      </c>
      <c r="CX156" s="230">
        <v>650325</v>
      </c>
      <c r="CY156" s="229">
        <v>1.6899999999999998E-2</v>
      </c>
      <c r="CZ156" s="228">
        <v>31.82</v>
      </c>
      <c r="DA156" s="228">
        <v>33.299999999999997</v>
      </c>
      <c r="DB156" s="228">
        <v>-1.48</v>
      </c>
      <c r="DC156" s="228">
        <v>-1.48</v>
      </c>
      <c r="DD156" s="228">
        <v>53.69</v>
      </c>
      <c r="DE156" s="228">
        <v>53.82</v>
      </c>
      <c r="DF156" s="228">
        <v>-21.87</v>
      </c>
      <c r="DG156" s="228">
        <v>-0.13</v>
      </c>
      <c r="DH156" s="228">
        <v>31.4</v>
      </c>
      <c r="DI156" s="228">
        <v>34.01</v>
      </c>
      <c r="DJ156" s="228">
        <v>-2.61</v>
      </c>
      <c r="DK156" s="228">
        <v>-2.61</v>
      </c>
      <c r="DL156" s="228">
        <v>33.200000000000003</v>
      </c>
      <c r="DM156" s="228">
        <v>32.06</v>
      </c>
      <c r="DN156" s="228">
        <v>1.1399999999999999</v>
      </c>
      <c r="DO156" s="228">
        <v>1.1399999999999999</v>
      </c>
      <c r="DP156" s="228">
        <v>0.64</v>
      </c>
      <c r="DQ156" s="228">
        <v>0.63</v>
      </c>
      <c r="DR156" s="228">
        <v>0.01</v>
      </c>
      <c r="DS156" s="229">
        <v>1.5900000000000001E-2</v>
      </c>
      <c r="DT156" s="231">
        <v>1300</v>
      </c>
      <c r="DU156" s="231">
        <v>1200</v>
      </c>
      <c r="DV156" s="228">
        <v>0.35</v>
      </c>
      <c r="DW156" s="228">
        <v>0.57999999999999996</v>
      </c>
      <c r="DX156" s="228">
        <v>-0.23</v>
      </c>
      <c r="DY156" s="229">
        <v>-0.39660000000000001</v>
      </c>
      <c r="DZ156" s="229">
        <v>0.2792</v>
      </c>
      <c r="EA156" s="230">
        <v>2707875</v>
      </c>
      <c r="EB156" s="229">
        <v>6.1999999999999998E-3</v>
      </c>
      <c r="EC156" s="229">
        <v>0.2792</v>
      </c>
      <c r="ED156" s="228">
        <v>7.25</v>
      </c>
      <c r="EE156" s="229">
        <v>5.5999999999999999E-3</v>
      </c>
      <c r="EF156" s="230">
        <v>1540989</v>
      </c>
      <c r="EG156" s="230">
        <v>1995620</v>
      </c>
      <c r="EH156" s="229">
        <v>-0.2278</v>
      </c>
      <c r="EI156" s="229">
        <v>0.5444</v>
      </c>
      <c r="EJ156" s="231">
        <v>262505.31</v>
      </c>
      <c r="EK156" s="231">
        <v>85395.44</v>
      </c>
      <c r="EL156" s="231">
        <v>137315.93</v>
      </c>
      <c r="EM156" s="231">
        <v>6865</v>
      </c>
      <c r="EN156" s="231">
        <v>485216.68</v>
      </c>
      <c r="EO156" s="231">
        <v>509260.2</v>
      </c>
      <c r="EP156" s="231">
        <v>-24043.52</v>
      </c>
      <c r="EQ156" s="229">
        <v>-4.7199999999999999E-2</v>
      </c>
      <c r="ER156" s="231">
        <v>136939</v>
      </c>
      <c r="ES156" s="231">
        <v>80291</v>
      </c>
      <c r="ET156" s="231">
        <v>290924</v>
      </c>
      <c r="EU156" s="231">
        <v>95715382</v>
      </c>
      <c r="EV156" s="231">
        <v>508153</v>
      </c>
      <c r="EW156" s="231">
        <v>499929</v>
      </c>
      <c r="EX156" s="231">
        <v>8224</v>
      </c>
      <c r="EY156" s="229">
        <v>1.6500000000000001E-2</v>
      </c>
      <c r="EZ156" s="229">
        <v>0.40970000000000001</v>
      </c>
      <c r="FA156" s="227" t="s">
        <v>567</v>
      </c>
      <c r="FB156" s="161">
        <f t="shared" si="3"/>
        <v>0</v>
      </c>
    </row>
    <row r="157" spans="1:158" ht="17.25" thickBot="1" x14ac:dyDescent="0.3">
      <c r="A157" s="226">
        <v>45981</v>
      </c>
      <c r="B157" s="227" t="s">
        <v>221</v>
      </c>
      <c r="C157" s="227" t="s">
        <v>529</v>
      </c>
      <c r="D157" s="228">
        <v>100</v>
      </c>
      <c r="E157" s="231">
        <v>6350</v>
      </c>
      <c r="F157" s="231">
        <v>6321</v>
      </c>
      <c r="G157" s="228">
        <v>29</v>
      </c>
      <c r="H157" s="229">
        <v>4.5999999999999999E-3</v>
      </c>
      <c r="I157" s="231">
        <v>6350.5</v>
      </c>
      <c r="J157" s="231">
        <v>6316</v>
      </c>
      <c r="K157" s="228">
        <v>34.5</v>
      </c>
      <c r="L157" s="229">
        <v>5.4999999999999997E-3</v>
      </c>
      <c r="M157" s="231">
        <v>6350</v>
      </c>
      <c r="N157" s="231">
        <v>6321</v>
      </c>
      <c r="O157" s="228">
        <v>29</v>
      </c>
      <c r="P157" s="229">
        <v>4.5999999999999999E-3</v>
      </c>
      <c r="Q157" s="231">
        <v>6391.5</v>
      </c>
      <c r="R157" s="231">
        <v>6357.5</v>
      </c>
      <c r="S157" s="228">
        <v>34</v>
      </c>
      <c r="T157" s="229">
        <v>5.3E-3</v>
      </c>
      <c r="U157" s="231">
        <v>6417</v>
      </c>
      <c r="V157" s="231">
        <v>6386</v>
      </c>
      <c r="W157" s="228">
        <v>31</v>
      </c>
      <c r="X157" s="229">
        <v>4.8999999999999998E-3</v>
      </c>
      <c r="Y157" s="228">
        <v>-0.5</v>
      </c>
      <c r="Z157" s="228">
        <v>5</v>
      </c>
      <c r="AA157" s="228">
        <v>-5.5</v>
      </c>
      <c r="AB157" s="229">
        <v>-1E-4</v>
      </c>
      <c r="AC157" s="228">
        <v>-0.5</v>
      </c>
      <c r="AD157" s="228">
        <v>5</v>
      </c>
      <c r="AE157" s="228">
        <v>-5.5</v>
      </c>
      <c r="AF157" s="229">
        <v>-1E-4</v>
      </c>
      <c r="AG157" s="228">
        <v>41</v>
      </c>
      <c r="AH157" s="228">
        <v>41.5</v>
      </c>
      <c r="AI157" s="228">
        <v>-0.5</v>
      </c>
      <c r="AJ157" s="229">
        <v>6.4999999999999997E-3</v>
      </c>
      <c r="AK157" s="228">
        <v>66.5</v>
      </c>
      <c r="AL157" s="228">
        <v>70</v>
      </c>
      <c r="AM157" s="228">
        <v>-3.5</v>
      </c>
      <c r="AN157" s="229">
        <v>1.0500000000000001E-2</v>
      </c>
      <c r="AO157" s="231">
        <v>6383.83</v>
      </c>
      <c r="AP157" s="231">
        <v>6425.31</v>
      </c>
      <c r="AQ157" s="228">
        <v>0</v>
      </c>
      <c r="AR157" s="230">
        <v>1473400</v>
      </c>
      <c r="AS157" s="230">
        <v>1254500</v>
      </c>
      <c r="AT157" s="230">
        <v>218900</v>
      </c>
      <c r="AU157" s="229">
        <v>0.17449999999999999</v>
      </c>
      <c r="AV157" s="230">
        <v>809200</v>
      </c>
      <c r="AW157" s="230">
        <v>925900</v>
      </c>
      <c r="AX157" s="230">
        <v>-116700</v>
      </c>
      <c r="AY157" s="229">
        <v>-0.126</v>
      </c>
      <c r="AZ157" s="230">
        <v>653100</v>
      </c>
      <c r="BA157" s="230">
        <v>312700</v>
      </c>
      <c r="BB157" s="230">
        <v>340400</v>
      </c>
      <c r="BC157" s="229">
        <v>1.0886</v>
      </c>
      <c r="BD157" s="230">
        <v>11100</v>
      </c>
      <c r="BE157" s="230">
        <v>15900</v>
      </c>
      <c r="BF157" s="230">
        <v>-4800</v>
      </c>
      <c r="BG157" s="229">
        <v>-0.3019</v>
      </c>
      <c r="BH157" s="230">
        <v>6425500</v>
      </c>
      <c r="BI157" s="230">
        <v>16116700</v>
      </c>
      <c r="BJ157" s="230">
        <v>-9691200</v>
      </c>
      <c r="BK157" s="229">
        <v>-0.60129999999999995</v>
      </c>
      <c r="BL157" s="230">
        <v>3394300</v>
      </c>
      <c r="BM157" s="230">
        <v>6031400</v>
      </c>
      <c r="BN157" s="230">
        <v>-2637100</v>
      </c>
      <c r="BO157" s="229">
        <v>-0.43719999999999998</v>
      </c>
      <c r="BP157" s="230">
        <v>11293200</v>
      </c>
      <c r="BQ157" s="230">
        <v>23402600</v>
      </c>
      <c r="BR157" s="230">
        <v>-12109400</v>
      </c>
      <c r="BS157" s="229">
        <v>-0.51739999999999997</v>
      </c>
      <c r="BT157" s="230">
        <v>495005</v>
      </c>
      <c r="BU157" s="230">
        <v>917771</v>
      </c>
      <c r="BV157" s="230">
        <v>-422766</v>
      </c>
      <c r="BW157" s="229">
        <v>-0.46060000000000001</v>
      </c>
      <c r="BX157" s="230">
        <v>2257700</v>
      </c>
      <c r="BY157" s="230">
        <v>2301000</v>
      </c>
      <c r="BZ157" s="230">
        <v>-43300</v>
      </c>
      <c r="CA157" s="229">
        <v>-1.8800000000000001E-2</v>
      </c>
      <c r="CB157" s="230">
        <v>1656200</v>
      </c>
      <c r="CC157" s="230">
        <v>2121900</v>
      </c>
      <c r="CD157" s="230">
        <v>-465700</v>
      </c>
      <c r="CE157" s="229">
        <v>-0.2195</v>
      </c>
      <c r="CF157" s="230">
        <v>589200</v>
      </c>
      <c r="CG157" s="230">
        <v>166500</v>
      </c>
      <c r="CH157" s="230">
        <v>422700</v>
      </c>
      <c r="CI157" s="229">
        <v>2.5387</v>
      </c>
      <c r="CJ157" s="230">
        <v>12300</v>
      </c>
      <c r="CK157" s="230">
        <v>12600</v>
      </c>
      <c r="CL157" s="228">
        <v>-300</v>
      </c>
      <c r="CM157" s="229">
        <v>-2.3800000000000002E-2</v>
      </c>
      <c r="CN157" s="230">
        <v>983100</v>
      </c>
      <c r="CO157" s="230">
        <v>1020800</v>
      </c>
      <c r="CP157" s="230">
        <v>-37700</v>
      </c>
      <c r="CQ157" s="229">
        <v>-3.6900000000000002E-2</v>
      </c>
      <c r="CR157" s="230">
        <v>1133800</v>
      </c>
      <c r="CS157" s="230">
        <v>1175200</v>
      </c>
      <c r="CT157" s="230">
        <v>-41400</v>
      </c>
      <c r="CU157" s="229">
        <v>-3.5200000000000002E-2</v>
      </c>
      <c r="CV157" s="230">
        <v>4374600</v>
      </c>
      <c r="CW157" s="230">
        <v>4497000</v>
      </c>
      <c r="CX157" s="230">
        <v>-122400</v>
      </c>
      <c r="CY157" s="229">
        <v>-2.7199999999999998E-2</v>
      </c>
      <c r="CZ157" s="228">
        <v>27.37</v>
      </c>
      <c r="DA157" s="228">
        <v>30.95</v>
      </c>
      <c r="DB157" s="228">
        <v>-3.58</v>
      </c>
      <c r="DC157" s="228">
        <v>-3.58</v>
      </c>
      <c r="DD157" s="228">
        <v>40.97</v>
      </c>
      <c r="DE157" s="228">
        <v>41.07</v>
      </c>
      <c r="DF157" s="228">
        <v>-13.6</v>
      </c>
      <c r="DG157" s="228">
        <v>-0.1</v>
      </c>
      <c r="DH157" s="228">
        <v>27.14</v>
      </c>
      <c r="DI157" s="228">
        <v>30.01</v>
      </c>
      <c r="DJ157" s="228">
        <v>-2.87</v>
      </c>
      <c r="DK157" s="228">
        <v>-2.87</v>
      </c>
      <c r="DL157" s="228">
        <v>27.82</v>
      </c>
      <c r="DM157" s="228">
        <v>33.450000000000003</v>
      </c>
      <c r="DN157" s="228">
        <v>-5.63</v>
      </c>
      <c r="DO157" s="228">
        <v>-5.63</v>
      </c>
      <c r="DP157" s="228">
        <v>1.1499999999999999</v>
      </c>
      <c r="DQ157" s="228">
        <v>1.1499999999999999</v>
      </c>
      <c r="DR157" s="228">
        <v>0</v>
      </c>
      <c r="DS157" s="229">
        <v>0</v>
      </c>
      <c r="DT157" s="231">
        <v>6400</v>
      </c>
      <c r="DU157" s="231">
        <v>5800</v>
      </c>
      <c r="DV157" s="228">
        <v>0.53</v>
      </c>
      <c r="DW157" s="228">
        <v>0.37</v>
      </c>
      <c r="DX157" s="228">
        <v>0.16</v>
      </c>
      <c r="DY157" s="229">
        <v>0.43240000000000001</v>
      </c>
      <c r="DZ157" s="229">
        <v>0.26640000000000003</v>
      </c>
      <c r="EA157" s="230">
        <v>179100</v>
      </c>
      <c r="EB157" s="229">
        <v>6.4999999999999997E-3</v>
      </c>
      <c r="EC157" s="229">
        <v>0.26640000000000003</v>
      </c>
      <c r="ED157" s="228">
        <v>41.48</v>
      </c>
      <c r="EE157" s="229">
        <v>6.4999999999999997E-3</v>
      </c>
      <c r="EF157" s="230">
        <v>233017</v>
      </c>
      <c r="EG157" s="230">
        <v>314220</v>
      </c>
      <c r="EH157" s="229">
        <v>-0.25840000000000002</v>
      </c>
      <c r="EI157" s="229">
        <v>0.47070000000000001</v>
      </c>
      <c r="EJ157" s="231">
        <v>421189.53</v>
      </c>
      <c r="EK157" s="231">
        <v>210170.27</v>
      </c>
      <c r="EL157" s="231">
        <v>94336.57</v>
      </c>
      <c r="EM157" s="231">
        <v>5826</v>
      </c>
      <c r="EN157" s="231">
        <v>725696.37</v>
      </c>
      <c r="EO157" s="231">
        <v>1487828.23</v>
      </c>
      <c r="EP157" s="231">
        <v>-762131.86</v>
      </c>
      <c r="EQ157" s="229">
        <v>-0.51219999999999999</v>
      </c>
      <c r="ER157" s="231">
        <v>63100</v>
      </c>
      <c r="ES157" s="231">
        <v>67443</v>
      </c>
      <c r="ET157" s="231">
        <v>143617</v>
      </c>
      <c r="EU157" s="231">
        <v>16151851</v>
      </c>
      <c r="EV157" s="231">
        <v>274160</v>
      </c>
      <c r="EW157" s="231">
        <v>280279</v>
      </c>
      <c r="EX157" s="231">
        <v>-6119</v>
      </c>
      <c r="EY157" s="229">
        <v>-2.18E-2</v>
      </c>
      <c r="EZ157" s="229">
        <v>0.27079999999999999</v>
      </c>
      <c r="FA157" s="227" t="s">
        <v>556</v>
      </c>
      <c r="FB157" s="161">
        <f t="shared" si="3"/>
        <v>0</v>
      </c>
    </row>
    <row r="158" spans="1:158" ht="17.25" thickBot="1" x14ac:dyDescent="0.3">
      <c r="A158" s="226">
        <v>45981</v>
      </c>
      <c r="B158" s="227" t="s">
        <v>193</v>
      </c>
      <c r="C158" s="227" t="s">
        <v>272</v>
      </c>
      <c r="D158" s="228">
        <v>1800</v>
      </c>
      <c r="E158" s="228">
        <v>274.14999999999998</v>
      </c>
      <c r="F158" s="228">
        <v>274.35000000000002</v>
      </c>
      <c r="G158" s="228">
        <v>-0.2</v>
      </c>
      <c r="H158" s="229">
        <v>-6.9999999999999999E-4</v>
      </c>
      <c r="I158" s="228">
        <v>274.35000000000002</v>
      </c>
      <c r="J158" s="228">
        <v>274.25</v>
      </c>
      <c r="K158" s="228">
        <v>0.1</v>
      </c>
      <c r="L158" s="229">
        <v>4.0000000000000002E-4</v>
      </c>
      <c r="M158" s="228">
        <v>274.14999999999998</v>
      </c>
      <c r="N158" s="228">
        <v>274.35000000000002</v>
      </c>
      <c r="O158" s="228">
        <v>-0.2</v>
      </c>
      <c r="P158" s="229">
        <v>-6.9999999999999999E-4</v>
      </c>
      <c r="Q158" s="228">
        <v>276</v>
      </c>
      <c r="R158" s="228">
        <v>276.10000000000002</v>
      </c>
      <c r="S158" s="228">
        <v>-0.1</v>
      </c>
      <c r="T158" s="229">
        <v>-4.0000000000000002E-4</v>
      </c>
      <c r="U158" s="228">
        <v>277.89999999999998</v>
      </c>
      <c r="V158" s="228">
        <v>278.10000000000002</v>
      </c>
      <c r="W158" s="228">
        <v>-0.2</v>
      </c>
      <c r="X158" s="229">
        <v>-6.9999999999999999E-4</v>
      </c>
      <c r="Y158" s="228">
        <v>-0.2</v>
      </c>
      <c r="Z158" s="228">
        <v>0.1</v>
      </c>
      <c r="AA158" s="228">
        <v>-0.3</v>
      </c>
      <c r="AB158" s="229">
        <v>-6.9999999999999999E-4</v>
      </c>
      <c r="AC158" s="228">
        <v>-0.2</v>
      </c>
      <c r="AD158" s="228">
        <v>0.1</v>
      </c>
      <c r="AE158" s="228">
        <v>-0.3</v>
      </c>
      <c r="AF158" s="229">
        <v>-6.9999999999999999E-4</v>
      </c>
      <c r="AG158" s="228">
        <v>1.65</v>
      </c>
      <c r="AH158" s="228">
        <v>1.85</v>
      </c>
      <c r="AI158" s="228">
        <v>-0.2</v>
      </c>
      <c r="AJ158" s="229">
        <v>6.0000000000000001E-3</v>
      </c>
      <c r="AK158" s="228">
        <v>3.55</v>
      </c>
      <c r="AL158" s="228">
        <v>3.85</v>
      </c>
      <c r="AM158" s="228">
        <v>-0.3</v>
      </c>
      <c r="AN158" s="229">
        <v>1.29E-2</v>
      </c>
      <c r="AO158" s="228">
        <v>274.68</v>
      </c>
      <c r="AP158" s="228">
        <v>276.52</v>
      </c>
      <c r="AQ158" s="228">
        <v>0</v>
      </c>
      <c r="AR158" s="230">
        <v>26593200</v>
      </c>
      <c r="AS158" s="230">
        <v>3232800</v>
      </c>
      <c r="AT158" s="230">
        <v>23360400</v>
      </c>
      <c r="AU158" s="229">
        <v>7.2260999999999997</v>
      </c>
      <c r="AV158" s="230">
        <v>13773600</v>
      </c>
      <c r="AW158" s="230">
        <v>2068200</v>
      </c>
      <c r="AX158" s="230">
        <v>11705400</v>
      </c>
      <c r="AY158" s="229">
        <v>5.6597</v>
      </c>
      <c r="AZ158" s="230">
        <v>12774600</v>
      </c>
      <c r="BA158" s="230">
        <v>1146600</v>
      </c>
      <c r="BB158" s="230">
        <v>11628000</v>
      </c>
      <c r="BC158" s="229">
        <v>10.141299999999999</v>
      </c>
      <c r="BD158" s="230">
        <v>45000</v>
      </c>
      <c r="BE158" s="230">
        <v>18000</v>
      </c>
      <c r="BF158" s="230">
        <v>27000</v>
      </c>
      <c r="BG158" s="229">
        <v>1.5</v>
      </c>
      <c r="BH158" s="230">
        <v>7018200</v>
      </c>
      <c r="BI158" s="230">
        <v>3605400</v>
      </c>
      <c r="BJ158" s="230">
        <v>3412800</v>
      </c>
      <c r="BK158" s="229">
        <v>0.9466</v>
      </c>
      <c r="BL158" s="230">
        <v>7241400</v>
      </c>
      <c r="BM158" s="230">
        <v>3297600</v>
      </c>
      <c r="BN158" s="230">
        <v>3943800</v>
      </c>
      <c r="BO158" s="229">
        <v>1.196</v>
      </c>
      <c r="BP158" s="230">
        <v>40852800</v>
      </c>
      <c r="BQ158" s="230">
        <v>10135800</v>
      </c>
      <c r="BR158" s="230">
        <v>30717000</v>
      </c>
      <c r="BS158" s="229">
        <v>3.0305</v>
      </c>
      <c r="BT158" s="230">
        <v>2095211</v>
      </c>
      <c r="BU158" s="230">
        <v>1420372</v>
      </c>
      <c r="BV158" s="230">
        <v>674839</v>
      </c>
      <c r="BW158" s="229">
        <v>0.47510000000000002</v>
      </c>
      <c r="BX158" s="230">
        <v>43856700</v>
      </c>
      <c r="BY158" s="230">
        <v>44146400</v>
      </c>
      <c r="BZ158" s="230">
        <v>-289700</v>
      </c>
      <c r="CA158" s="229">
        <v>-6.6E-3</v>
      </c>
      <c r="CB158" s="230">
        <v>30078000</v>
      </c>
      <c r="CC158" s="230">
        <v>41743800</v>
      </c>
      <c r="CD158" s="230">
        <v>-11665800</v>
      </c>
      <c r="CE158" s="229">
        <v>-0.27950000000000003</v>
      </c>
      <c r="CF158" s="230">
        <v>13579200</v>
      </c>
      <c r="CG158" s="230">
        <v>2239200</v>
      </c>
      <c r="CH158" s="230">
        <v>11340000</v>
      </c>
      <c r="CI158" s="229">
        <v>5.0643000000000002</v>
      </c>
      <c r="CJ158" s="230">
        <v>199500</v>
      </c>
      <c r="CK158" s="230">
        <v>163400</v>
      </c>
      <c r="CL158" s="230">
        <v>36100</v>
      </c>
      <c r="CM158" s="229">
        <v>0.22090000000000001</v>
      </c>
      <c r="CN158" s="230">
        <v>14144500</v>
      </c>
      <c r="CO158" s="230">
        <v>13807900</v>
      </c>
      <c r="CP158" s="230">
        <v>336600</v>
      </c>
      <c r="CQ158" s="229">
        <v>2.4400000000000002E-2</v>
      </c>
      <c r="CR158" s="230">
        <v>17116200</v>
      </c>
      <c r="CS158" s="230">
        <v>16538400</v>
      </c>
      <c r="CT158" s="230">
        <v>577800</v>
      </c>
      <c r="CU158" s="229">
        <v>3.49E-2</v>
      </c>
      <c r="CV158" s="230">
        <v>75117400</v>
      </c>
      <c r="CW158" s="230">
        <v>74492700</v>
      </c>
      <c r="CX158" s="230">
        <v>624700</v>
      </c>
      <c r="CY158" s="229">
        <v>8.3999999999999995E-3</v>
      </c>
      <c r="CZ158" s="228">
        <v>19.760000000000002</v>
      </c>
      <c r="DA158" s="228">
        <v>22.97</v>
      </c>
      <c r="DB158" s="228">
        <v>-3.21</v>
      </c>
      <c r="DC158" s="228">
        <v>-3.21</v>
      </c>
      <c r="DD158" s="228">
        <v>31.61</v>
      </c>
      <c r="DE158" s="228">
        <v>31.69</v>
      </c>
      <c r="DF158" s="228">
        <v>-11.85</v>
      </c>
      <c r="DG158" s="228">
        <v>-0.08</v>
      </c>
      <c r="DH158" s="228">
        <v>18.84</v>
      </c>
      <c r="DI158" s="228">
        <v>22.76</v>
      </c>
      <c r="DJ158" s="228">
        <v>-3.92</v>
      </c>
      <c r="DK158" s="228">
        <v>-3.92</v>
      </c>
      <c r="DL158" s="228">
        <v>20.34</v>
      </c>
      <c r="DM158" s="228">
        <v>23.2</v>
      </c>
      <c r="DN158" s="228">
        <v>-2.86</v>
      </c>
      <c r="DO158" s="228">
        <v>-2.86</v>
      </c>
      <c r="DP158" s="228">
        <v>1.21</v>
      </c>
      <c r="DQ158" s="228">
        <v>1.2</v>
      </c>
      <c r="DR158" s="228">
        <v>0.01</v>
      </c>
      <c r="DS158" s="229">
        <v>8.3000000000000001E-3</v>
      </c>
      <c r="DT158" s="228">
        <v>293</v>
      </c>
      <c r="DU158" s="228">
        <v>263</v>
      </c>
      <c r="DV158" s="228">
        <v>1.03</v>
      </c>
      <c r="DW158" s="228">
        <v>0.91</v>
      </c>
      <c r="DX158" s="228">
        <v>0.12</v>
      </c>
      <c r="DY158" s="229">
        <v>0.13189999999999999</v>
      </c>
      <c r="DZ158" s="229">
        <v>0.31419999999999998</v>
      </c>
      <c r="EA158" s="230">
        <v>2402600</v>
      </c>
      <c r="EB158" s="229">
        <v>6.7000000000000002E-3</v>
      </c>
      <c r="EC158" s="229">
        <v>0.31419999999999998</v>
      </c>
      <c r="ED158" s="228">
        <v>1.84</v>
      </c>
      <c r="EE158" s="229">
        <v>6.7000000000000002E-3</v>
      </c>
      <c r="EF158" s="230">
        <v>1524431</v>
      </c>
      <c r="EG158" s="230">
        <v>943388</v>
      </c>
      <c r="EH158" s="229">
        <v>0.6159</v>
      </c>
      <c r="EI158" s="229">
        <v>0.72760000000000002</v>
      </c>
      <c r="EJ158" s="231">
        <v>19978.900000000001</v>
      </c>
      <c r="EK158" s="231">
        <v>20836.25</v>
      </c>
      <c r="EL158" s="231">
        <v>73289.87</v>
      </c>
      <c r="EM158" s="231">
        <v>2092</v>
      </c>
      <c r="EN158" s="231">
        <v>114105.02</v>
      </c>
      <c r="EO158" s="231">
        <v>28034.560000000001</v>
      </c>
      <c r="EP158" s="231">
        <v>86070.46</v>
      </c>
      <c r="EQ158" s="229">
        <v>3.0701999999999998</v>
      </c>
      <c r="ER158" s="231">
        <v>40624</v>
      </c>
      <c r="ES158" s="231">
        <v>46557</v>
      </c>
      <c r="ET158" s="231">
        <v>120492</v>
      </c>
      <c r="EU158" s="231">
        <v>93668136</v>
      </c>
      <c r="EV158" s="231">
        <v>207672</v>
      </c>
      <c r="EW158" s="231">
        <v>205838</v>
      </c>
      <c r="EX158" s="231">
        <v>1834</v>
      </c>
      <c r="EY158" s="229">
        <v>8.8999999999999999E-3</v>
      </c>
      <c r="EZ158" s="229">
        <v>0.80200000000000005</v>
      </c>
      <c r="FA158" s="227" t="s">
        <v>568</v>
      </c>
      <c r="FB158" s="161">
        <f t="shared" si="3"/>
        <v>0</v>
      </c>
    </row>
    <row r="159" spans="1:158" ht="17.25" thickBot="1" x14ac:dyDescent="0.3">
      <c r="A159" s="226">
        <v>45981</v>
      </c>
      <c r="B159" s="227" t="s">
        <v>175</v>
      </c>
      <c r="C159" s="227" t="s">
        <v>273</v>
      </c>
      <c r="D159" s="228">
        <v>1300</v>
      </c>
      <c r="E159" s="228">
        <v>373.4</v>
      </c>
      <c r="F159" s="228">
        <v>374.15</v>
      </c>
      <c r="G159" s="228">
        <v>-0.75</v>
      </c>
      <c r="H159" s="229">
        <v>-2E-3</v>
      </c>
      <c r="I159" s="228">
        <v>372.75</v>
      </c>
      <c r="J159" s="228">
        <v>373.65</v>
      </c>
      <c r="K159" s="228">
        <v>-0.9</v>
      </c>
      <c r="L159" s="229">
        <v>-2.3999999999999998E-3</v>
      </c>
      <c r="M159" s="228">
        <v>373.4</v>
      </c>
      <c r="N159" s="228">
        <v>374.15</v>
      </c>
      <c r="O159" s="228">
        <v>-0.75</v>
      </c>
      <c r="P159" s="229">
        <v>-2E-3</v>
      </c>
      <c r="Q159" s="228">
        <v>372.25</v>
      </c>
      <c r="R159" s="228">
        <v>373</v>
      </c>
      <c r="S159" s="228">
        <v>-0.75</v>
      </c>
      <c r="T159" s="229">
        <v>-2E-3</v>
      </c>
      <c r="U159" s="228">
        <v>374.7</v>
      </c>
      <c r="V159" s="228">
        <v>375.35</v>
      </c>
      <c r="W159" s="228">
        <v>-0.65</v>
      </c>
      <c r="X159" s="229">
        <v>-1.6999999999999999E-3</v>
      </c>
      <c r="Y159" s="228">
        <v>0.65</v>
      </c>
      <c r="Z159" s="228">
        <v>0.5</v>
      </c>
      <c r="AA159" s="228">
        <v>0.15</v>
      </c>
      <c r="AB159" s="229">
        <v>1.6999999999999999E-3</v>
      </c>
      <c r="AC159" s="228">
        <v>0.65</v>
      </c>
      <c r="AD159" s="228">
        <v>0.5</v>
      </c>
      <c r="AE159" s="228">
        <v>0.15</v>
      </c>
      <c r="AF159" s="229">
        <v>1.6999999999999999E-3</v>
      </c>
      <c r="AG159" s="228">
        <v>-0.5</v>
      </c>
      <c r="AH159" s="228">
        <v>-0.65</v>
      </c>
      <c r="AI159" s="228">
        <v>0.15</v>
      </c>
      <c r="AJ159" s="229">
        <v>-1.2999999999999999E-3</v>
      </c>
      <c r="AK159" s="228">
        <v>1.95</v>
      </c>
      <c r="AL159" s="228">
        <v>1.7</v>
      </c>
      <c r="AM159" s="228">
        <v>0.25</v>
      </c>
      <c r="AN159" s="229">
        <v>5.1999999999999998E-3</v>
      </c>
      <c r="AO159" s="228">
        <v>375.28</v>
      </c>
      <c r="AP159" s="228">
        <v>374.06</v>
      </c>
      <c r="AQ159" s="228">
        <v>0</v>
      </c>
      <c r="AR159" s="230">
        <v>24137100</v>
      </c>
      <c r="AS159" s="230">
        <v>11403600</v>
      </c>
      <c r="AT159" s="230">
        <v>12733500</v>
      </c>
      <c r="AU159" s="229">
        <v>1.1166</v>
      </c>
      <c r="AV159" s="230">
        <v>12158900</v>
      </c>
      <c r="AW159" s="230">
        <v>6150300</v>
      </c>
      <c r="AX159" s="230">
        <v>6008600</v>
      </c>
      <c r="AY159" s="229">
        <v>0.97699999999999998</v>
      </c>
      <c r="AZ159" s="230">
        <v>11443900</v>
      </c>
      <c r="BA159" s="230">
        <v>4969900</v>
      </c>
      <c r="BB159" s="230">
        <v>6474000</v>
      </c>
      <c r="BC159" s="229">
        <v>1.3026</v>
      </c>
      <c r="BD159" s="230">
        <v>534300</v>
      </c>
      <c r="BE159" s="230">
        <v>283400</v>
      </c>
      <c r="BF159" s="230">
        <v>250900</v>
      </c>
      <c r="BG159" s="229">
        <v>0.88529999999999998</v>
      </c>
      <c r="BH159" s="230">
        <v>30683900</v>
      </c>
      <c r="BI159" s="230">
        <v>30729400</v>
      </c>
      <c r="BJ159" s="230">
        <v>-45500</v>
      </c>
      <c r="BK159" s="229">
        <v>-1.5E-3</v>
      </c>
      <c r="BL159" s="230">
        <v>16048500</v>
      </c>
      <c r="BM159" s="230">
        <v>14249300</v>
      </c>
      <c r="BN159" s="230">
        <v>1799200</v>
      </c>
      <c r="BO159" s="229">
        <v>0.1263</v>
      </c>
      <c r="BP159" s="230">
        <v>70869500</v>
      </c>
      <c r="BQ159" s="230">
        <v>56382300</v>
      </c>
      <c r="BR159" s="230">
        <v>14487200</v>
      </c>
      <c r="BS159" s="229">
        <v>0.25690000000000002</v>
      </c>
      <c r="BT159" s="230">
        <v>4503949</v>
      </c>
      <c r="BU159" s="230">
        <v>5961479</v>
      </c>
      <c r="BV159" s="230">
        <v>-1457530</v>
      </c>
      <c r="BW159" s="229">
        <v>-0.2445</v>
      </c>
      <c r="BX159" s="230">
        <v>75686000</v>
      </c>
      <c r="BY159" s="230">
        <v>76388000</v>
      </c>
      <c r="BZ159" s="230">
        <v>-702000</v>
      </c>
      <c r="CA159" s="229">
        <v>-9.1999999999999998E-3</v>
      </c>
      <c r="CB159" s="230">
        <v>40729000</v>
      </c>
      <c r="CC159" s="230">
        <v>49245300</v>
      </c>
      <c r="CD159" s="230">
        <v>-8516300</v>
      </c>
      <c r="CE159" s="229">
        <v>-0.1729</v>
      </c>
      <c r="CF159" s="230">
        <v>33341100</v>
      </c>
      <c r="CG159" s="230">
        <v>25858300</v>
      </c>
      <c r="CH159" s="230">
        <v>7482800</v>
      </c>
      <c r="CI159" s="229">
        <v>0.28939999999999999</v>
      </c>
      <c r="CJ159" s="230">
        <v>1615900</v>
      </c>
      <c r="CK159" s="230">
        <v>1284400</v>
      </c>
      <c r="CL159" s="230">
        <v>331500</v>
      </c>
      <c r="CM159" s="229">
        <v>0.2581</v>
      </c>
      <c r="CN159" s="230">
        <v>43401800</v>
      </c>
      <c r="CO159" s="230">
        <v>47591700</v>
      </c>
      <c r="CP159" s="230">
        <v>-4189900</v>
      </c>
      <c r="CQ159" s="229">
        <v>-8.7999999999999995E-2</v>
      </c>
      <c r="CR159" s="230">
        <v>30690400</v>
      </c>
      <c r="CS159" s="230">
        <v>31437900</v>
      </c>
      <c r="CT159" s="230">
        <v>-747500</v>
      </c>
      <c r="CU159" s="229">
        <v>-2.3800000000000002E-2</v>
      </c>
      <c r="CV159" s="230">
        <v>149778200</v>
      </c>
      <c r="CW159" s="230">
        <v>155417600</v>
      </c>
      <c r="CX159" s="230">
        <v>-5639400</v>
      </c>
      <c r="CY159" s="229">
        <v>-3.6299999999999999E-2</v>
      </c>
      <c r="CZ159" s="228">
        <v>23.65</v>
      </c>
      <c r="DA159" s="228">
        <v>25.92</v>
      </c>
      <c r="DB159" s="228">
        <v>-2.27</v>
      </c>
      <c r="DC159" s="228">
        <v>-2.27</v>
      </c>
      <c r="DD159" s="228">
        <v>42.87</v>
      </c>
      <c r="DE159" s="228">
        <v>42.98</v>
      </c>
      <c r="DF159" s="228">
        <v>-19.22</v>
      </c>
      <c r="DG159" s="228">
        <v>-0.11</v>
      </c>
      <c r="DH159" s="228">
        <v>23.59</v>
      </c>
      <c r="DI159" s="228">
        <v>26.8</v>
      </c>
      <c r="DJ159" s="228">
        <v>-3.21</v>
      </c>
      <c r="DK159" s="228">
        <v>-3.21</v>
      </c>
      <c r="DL159" s="228">
        <v>23.73</v>
      </c>
      <c r="DM159" s="228">
        <v>24.01</v>
      </c>
      <c r="DN159" s="228">
        <v>-0.28000000000000003</v>
      </c>
      <c r="DO159" s="228">
        <v>-0.28000000000000003</v>
      </c>
      <c r="DP159" s="228">
        <v>0.71</v>
      </c>
      <c r="DQ159" s="228">
        <v>0.66</v>
      </c>
      <c r="DR159" s="228">
        <v>0.05</v>
      </c>
      <c r="DS159" s="229">
        <v>7.5800000000000006E-2</v>
      </c>
      <c r="DT159" s="228">
        <v>400</v>
      </c>
      <c r="DU159" s="228">
        <v>400</v>
      </c>
      <c r="DV159" s="228">
        <v>0.52</v>
      </c>
      <c r="DW159" s="228">
        <v>0.46</v>
      </c>
      <c r="DX159" s="228">
        <v>0.06</v>
      </c>
      <c r="DY159" s="229">
        <v>0.13039999999999999</v>
      </c>
      <c r="DZ159" s="229">
        <v>0.46189999999999998</v>
      </c>
      <c r="EA159" s="230">
        <v>27142700</v>
      </c>
      <c r="EB159" s="229">
        <v>-3.0999999999999999E-3</v>
      </c>
      <c r="EC159" s="229">
        <v>0.46189999999999998</v>
      </c>
      <c r="ED159" s="228">
        <v>-1.22</v>
      </c>
      <c r="EE159" s="229">
        <v>-3.3E-3</v>
      </c>
      <c r="EF159" s="230">
        <v>3229292</v>
      </c>
      <c r="EG159" s="230">
        <v>4008492</v>
      </c>
      <c r="EH159" s="229">
        <v>-0.19439999999999999</v>
      </c>
      <c r="EI159" s="229">
        <v>0.71699999999999997</v>
      </c>
      <c r="EJ159" s="231">
        <v>120044.94</v>
      </c>
      <c r="EK159" s="231">
        <v>61575.62</v>
      </c>
      <c r="EL159" s="231">
        <v>90448.26</v>
      </c>
      <c r="EM159" s="231">
        <v>8584</v>
      </c>
      <c r="EN159" s="231">
        <v>272068.82</v>
      </c>
      <c r="EO159" s="231">
        <v>217126</v>
      </c>
      <c r="EP159" s="231">
        <v>54942.82</v>
      </c>
      <c r="EQ159" s="229">
        <v>0.253</v>
      </c>
      <c r="ER159" s="231">
        <v>172992</v>
      </c>
      <c r="ES159" s="231">
        <v>118460</v>
      </c>
      <c r="ET159" s="231">
        <v>282249</v>
      </c>
      <c r="EU159" s="231">
        <v>203602113</v>
      </c>
      <c r="EV159" s="231">
        <v>573701</v>
      </c>
      <c r="EW159" s="231">
        <v>596581</v>
      </c>
      <c r="EX159" s="231">
        <v>-22880</v>
      </c>
      <c r="EY159" s="229">
        <v>-3.8399999999999997E-2</v>
      </c>
      <c r="EZ159" s="229">
        <v>0.73560000000000003</v>
      </c>
      <c r="FA159" s="227" t="s">
        <v>568</v>
      </c>
      <c r="FB159" s="161">
        <f t="shared" si="3"/>
        <v>0</v>
      </c>
    </row>
    <row r="160" spans="1:158" ht="17.25" thickBot="1" x14ac:dyDescent="0.3">
      <c r="A160" s="226">
        <v>45981</v>
      </c>
      <c r="B160" s="227" t="s">
        <v>184</v>
      </c>
      <c r="C160" s="227" t="s">
        <v>681</v>
      </c>
      <c r="D160" s="228">
        <v>700</v>
      </c>
      <c r="E160" s="228">
        <v>593.15</v>
      </c>
      <c r="F160" s="228">
        <v>581.35</v>
      </c>
      <c r="G160" s="228">
        <v>11.8</v>
      </c>
      <c r="H160" s="229">
        <v>2.0299999999999999E-2</v>
      </c>
      <c r="I160" s="228">
        <v>590.54999999999995</v>
      </c>
      <c r="J160" s="228">
        <v>579.79999999999995</v>
      </c>
      <c r="K160" s="228">
        <v>10.75</v>
      </c>
      <c r="L160" s="229">
        <v>1.8499999999999999E-2</v>
      </c>
      <c r="M160" s="228">
        <v>593.15</v>
      </c>
      <c r="N160" s="228">
        <v>581.35</v>
      </c>
      <c r="O160" s="228">
        <v>11.8</v>
      </c>
      <c r="P160" s="229">
        <v>2.0299999999999999E-2</v>
      </c>
      <c r="Q160" s="228">
        <v>595.79999999999995</v>
      </c>
      <c r="R160" s="228">
        <v>584.75</v>
      </c>
      <c r="S160" s="228">
        <v>11.05</v>
      </c>
      <c r="T160" s="229">
        <v>1.89E-2</v>
      </c>
      <c r="U160" s="228">
        <v>597.45000000000005</v>
      </c>
      <c r="V160" s="228">
        <v>586.9</v>
      </c>
      <c r="W160" s="228">
        <v>10.55</v>
      </c>
      <c r="X160" s="229">
        <v>1.7999999999999999E-2</v>
      </c>
      <c r="Y160" s="228">
        <v>2.6</v>
      </c>
      <c r="Z160" s="228">
        <v>1.55</v>
      </c>
      <c r="AA160" s="228">
        <v>1.05</v>
      </c>
      <c r="AB160" s="229">
        <v>4.4000000000000003E-3</v>
      </c>
      <c r="AC160" s="228">
        <v>2.6</v>
      </c>
      <c r="AD160" s="228">
        <v>1.55</v>
      </c>
      <c r="AE160" s="228">
        <v>1.05</v>
      </c>
      <c r="AF160" s="229">
        <v>4.4000000000000003E-3</v>
      </c>
      <c r="AG160" s="228">
        <v>5.25</v>
      </c>
      <c r="AH160" s="228">
        <v>4.95</v>
      </c>
      <c r="AI160" s="228">
        <v>0.3</v>
      </c>
      <c r="AJ160" s="229">
        <v>8.8999999999999999E-3</v>
      </c>
      <c r="AK160" s="228">
        <v>6.9</v>
      </c>
      <c r="AL160" s="228">
        <v>7.1</v>
      </c>
      <c r="AM160" s="228">
        <v>-0.2</v>
      </c>
      <c r="AN160" s="229">
        <v>1.17E-2</v>
      </c>
      <c r="AO160" s="228">
        <v>589.4</v>
      </c>
      <c r="AP160" s="228">
        <v>592.51</v>
      </c>
      <c r="AQ160" s="228">
        <v>0</v>
      </c>
      <c r="AR160" s="230">
        <v>9261700</v>
      </c>
      <c r="AS160" s="230">
        <v>5119800</v>
      </c>
      <c r="AT160" s="230">
        <v>4141900</v>
      </c>
      <c r="AU160" s="229">
        <v>0.80900000000000005</v>
      </c>
      <c r="AV160" s="230">
        <v>5005700</v>
      </c>
      <c r="AW160" s="230">
        <v>3374000</v>
      </c>
      <c r="AX160" s="230">
        <v>1631700</v>
      </c>
      <c r="AY160" s="229">
        <v>0.48359999999999997</v>
      </c>
      <c r="AZ160" s="230">
        <v>4169900</v>
      </c>
      <c r="BA160" s="230">
        <v>1732500</v>
      </c>
      <c r="BB160" s="230">
        <v>2437400</v>
      </c>
      <c r="BC160" s="229">
        <v>1.4069</v>
      </c>
      <c r="BD160" s="230">
        <v>86100</v>
      </c>
      <c r="BE160" s="230">
        <v>13300</v>
      </c>
      <c r="BF160" s="230">
        <v>72800</v>
      </c>
      <c r="BG160" s="229">
        <v>5.4737</v>
      </c>
      <c r="BH160" s="230">
        <v>27265700</v>
      </c>
      <c r="BI160" s="230">
        <v>13048000</v>
      </c>
      <c r="BJ160" s="230">
        <v>14217700</v>
      </c>
      <c r="BK160" s="229">
        <v>1.0895999999999999</v>
      </c>
      <c r="BL160" s="230">
        <v>8731100</v>
      </c>
      <c r="BM160" s="230">
        <v>8040200</v>
      </c>
      <c r="BN160" s="230">
        <v>690900</v>
      </c>
      <c r="BO160" s="229">
        <v>8.5900000000000004E-2</v>
      </c>
      <c r="BP160" s="230">
        <v>45258500</v>
      </c>
      <c r="BQ160" s="230">
        <v>26208000</v>
      </c>
      <c r="BR160" s="230">
        <v>19050500</v>
      </c>
      <c r="BS160" s="229">
        <v>0.72689999999999999</v>
      </c>
      <c r="BT160" s="230">
        <v>3274463</v>
      </c>
      <c r="BU160" s="230">
        <v>1932972</v>
      </c>
      <c r="BV160" s="230">
        <v>1341491</v>
      </c>
      <c r="BW160" s="229">
        <v>0.69399999999999995</v>
      </c>
      <c r="BX160" s="230">
        <v>12055750</v>
      </c>
      <c r="BY160" s="230">
        <v>12551900</v>
      </c>
      <c r="BZ160" s="230">
        <v>-496150</v>
      </c>
      <c r="CA160" s="229">
        <v>-3.95E-2</v>
      </c>
      <c r="CB160" s="230">
        <v>7485100</v>
      </c>
      <c r="CC160" s="230">
        <v>9975700</v>
      </c>
      <c r="CD160" s="230">
        <v>-2490600</v>
      </c>
      <c r="CE160" s="229">
        <v>-0.24970000000000001</v>
      </c>
      <c r="CF160" s="230">
        <v>4484200</v>
      </c>
      <c r="CG160" s="230">
        <v>2511600</v>
      </c>
      <c r="CH160" s="230">
        <v>1972600</v>
      </c>
      <c r="CI160" s="229">
        <v>0.78539999999999999</v>
      </c>
      <c r="CJ160" s="230">
        <v>86450</v>
      </c>
      <c r="CK160" s="230">
        <v>64600</v>
      </c>
      <c r="CL160" s="230">
        <v>21850</v>
      </c>
      <c r="CM160" s="229">
        <v>0.3382</v>
      </c>
      <c r="CN160" s="230">
        <v>10287300</v>
      </c>
      <c r="CO160" s="230">
        <v>9590000</v>
      </c>
      <c r="CP160" s="230">
        <v>697300</v>
      </c>
      <c r="CQ160" s="229">
        <v>7.2700000000000001E-2</v>
      </c>
      <c r="CR160" s="230">
        <v>6825100</v>
      </c>
      <c r="CS160" s="230">
        <v>7576900</v>
      </c>
      <c r="CT160" s="230">
        <v>-751800</v>
      </c>
      <c r="CU160" s="229">
        <v>-9.9199999999999997E-2</v>
      </c>
      <c r="CV160" s="230">
        <v>29168150</v>
      </c>
      <c r="CW160" s="230">
        <v>29718800</v>
      </c>
      <c r="CX160" s="230">
        <v>-550650</v>
      </c>
      <c r="CY160" s="229">
        <v>-1.8499999999999999E-2</v>
      </c>
      <c r="CZ160" s="228">
        <v>39.19</v>
      </c>
      <c r="DA160" s="228">
        <v>39.92</v>
      </c>
      <c r="DB160" s="228">
        <v>-0.73</v>
      </c>
      <c r="DC160" s="228">
        <v>-0.73</v>
      </c>
      <c r="DD160" s="228">
        <v>67.36</v>
      </c>
      <c r="DE160" s="228">
        <v>67.47</v>
      </c>
      <c r="DF160" s="228">
        <v>-28.17</v>
      </c>
      <c r="DG160" s="228">
        <v>-0.11</v>
      </c>
      <c r="DH160" s="228">
        <v>39.08</v>
      </c>
      <c r="DI160" s="228">
        <v>37.83</v>
      </c>
      <c r="DJ160" s="228">
        <v>1.25</v>
      </c>
      <c r="DK160" s="228">
        <v>1.25</v>
      </c>
      <c r="DL160" s="228">
        <v>39.51</v>
      </c>
      <c r="DM160" s="228">
        <v>43.32</v>
      </c>
      <c r="DN160" s="228">
        <v>-3.81</v>
      </c>
      <c r="DO160" s="228">
        <v>-3.81</v>
      </c>
      <c r="DP160" s="228">
        <v>0.66</v>
      </c>
      <c r="DQ160" s="228">
        <v>0.79</v>
      </c>
      <c r="DR160" s="228">
        <v>-0.13</v>
      </c>
      <c r="DS160" s="229">
        <v>-0.1646</v>
      </c>
      <c r="DT160" s="228">
        <v>580</v>
      </c>
      <c r="DU160" s="228">
        <v>560</v>
      </c>
      <c r="DV160" s="228">
        <v>0.32</v>
      </c>
      <c r="DW160" s="228">
        <v>0.62</v>
      </c>
      <c r="DX160" s="228">
        <v>-0.3</v>
      </c>
      <c r="DY160" s="229">
        <v>-0.4839</v>
      </c>
      <c r="DZ160" s="229">
        <v>0.37909999999999999</v>
      </c>
      <c r="EA160" s="230">
        <v>2576200</v>
      </c>
      <c r="EB160" s="229">
        <v>4.4999999999999997E-3</v>
      </c>
      <c r="EC160" s="229">
        <v>0.37909999999999999</v>
      </c>
      <c r="ED160" s="228">
        <v>3.11</v>
      </c>
      <c r="EE160" s="229">
        <v>5.3E-3</v>
      </c>
      <c r="EF160" s="230">
        <v>1308585</v>
      </c>
      <c r="EG160" s="230">
        <v>597127</v>
      </c>
      <c r="EH160" s="229">
        <v>1.1915</v>
      </c>
      <c r="EI160" s="229">
        <v>0.39960000000000001</v>
      </c>
      <c r="EJ160" s="231">
        <v>167499.88</v>
      </c>
      <c r="EK160" s="231">
        <v>49192.66</v>
      </c>
      <c r="EL160" s="231">
        <v>54907.89</v>
      </c>
      <c r="EM160" s="231">
        <v>11094</v>
      </c>
      <c r="EN160" s="231">
        <v>271600.43</v>
      </c>
      <c r="EO160" s="231">
        <v>152998.10999999999</v>
      </c>
      <c r="EP160" s="231">
        <v>118602.32</v>
      </c>
      <c r="EQ160" s="229">
        <v>0.7752</v>
      </c>
      <c r="ER160" s="231">
        <v>61926</v>
      </c>
      <c r="ES160" s="231">
        <v>36728</v>
      </c>
      <c r="ET160" s="231">
        <v>71631</v>
      </c>
      <c r="EU160" s="231">
        <v>23897684</v>
      </c>
      <c r="EV160" s="231">
        <v>170285</v>
      </c>
      <c r="EW160" s="231">
        <v>170993</v>
      </c>
      <c r="EX160" s="228">
        <v>-708</v>
      </c>
      <c r="EY160" s="229">
        <v>-4.1000000000000003E-3</v>
      </c>
      <c r="EZ160" s="229">
        <v>1.2204999999999999</v>
      </c>
      <c r="FA160" s="227" t="s">
        <v>556</v>
      </c>
      <c r="FB160" s="161">
        <f t="shared" si="3"/>
        <v>0</v>
      </c>
    </row>
    <row r="161" spans="1:158" ht="17.25" thickBot="1" x14ac:dyDescent="0.3">
      <c r="A161" s="226">
        <v>45981</v>
      </c>
      <c r="B161" s="227" t="s">
        <v>206</v>
      </c>
      <c r="C161" s="227" t="s">
        <v>645</v>
      </c>
      <c r="D161" s="228">
        <v>350</v>
      </c>
      <c r="E161" s="231">
        <v>1718.8</v>
      </c>
      <c r="F161" s="231">
        <v>1717.2</v>
      </c>
      <c r="G161" s="228">
        <v>1.6</v>
      </c>
      <c r="H161" s="229">
        <v>8.9999999999999998E-4</v>
      </c>
      <c r="I161" s="231">
        <v>1715.7</v>
      </c>
      <c r="J161" s="231">
        <v>1715.1</v>
      </c>
      <c r="K161" s="228">
        <v>0.6</v>
      </c>
      <c r="L161" s="229">
        <v>2.9999999999999997E-4</v>
      </c>
      <c r="M161" s="231">
        <v>1718.8</v>
      </c>
      <c r="N161" s="231">
        <v>1717.2</v>
      </c>
      <c r="O161" s="228">
        <v>1.6</v>
      </c>
      <c r="P161" s="229">
        <v>8.9999999999999998E-4</v>
      </c>
      <c r="Q161" s="231">
        <v>1730</v>
      </c>
      <c r="R161" s="231">
        <v>1728.4</v>
      </c>
      <c r="S161" s="228">
        <v>1.6</v>
      </c>
      <c r="T161" s="229">
        <v>8.9999999999999998E-4</v>
      </c>
      <c r="U161" s="231">
        <v>1730</v>
      </c>
      <c r="V161" s="231">
        <v>1724.6</v>
      </c>
      <c r="W161" s="228">
        <v>5.4</v>
      </c>
      <c r="X161" s="229">
        <v>3.0999999999999999E-3</v>
      </c>
      <c r="Y161" s="228">
        <v>3.1</v>
      </c>
      <c r="Z161" s="228">
        <v>2.1</v>
      </c>
      <c r="AA161" s="228">
        <v>1</v>
      </c>
      <c r="AB161" s="229">
        <v>1.8E-3</v>
      </c>
      <c r="AC161" s="228">
        <v>3.1</v>
      </c>
      <c r="AD161" s="228">
        <v>2.1</v>
      </c>
      <c r="AE161" s="228">
        <v>1</v>
      </c>
      <c r="AF161" s="229">
        <v>1.8E-3</v>
      </c>
      <c r="AG161" s="228">
        <v>14.3</v>
      </c>
      <c r="AH161" s="228">
        <v>13.3</v>
      </c>
      <c r="AI161" s="228">
        <v>1</v>
      </c>
      <c r="AJ161" s="229">
        <v>8.3000000000000001E-3</v>
      </c>
      <c r="AK161" s="228">
        <v>14.3</v>
      </c>
      <c r="AL161" s="228">
        <v>9.5</v>
      </c>
      <c r="AM161" s="228">
        <v>4.8</v>
      </c>
      <c r="AN161" s="229">
        <v>8.3000000000000001E-3</v>
      </c>
      <c r="AO161" s="231">
        <v>1710.11</v>
      </c>
      <c r="AP161" s="231">
        <v>1721.49</v>
      </c>
      <c r="AQ161" s="228">
        <v>0</v>
      </c>
      <c r="AR161" s="230">
        <v>1648850</v>
      </c>
      <c r="AS161" s="230">
        <v>427700</v>
      </c>
      <c r="AT161" s="230">
        <v>1221150</v>
      </c>
      <c r="AU161" s="229">
        <v>2.8552</v>
      </c>
      <c r="AV161" s="230">
        <v>822500</v>
      </c>
      <c r="AW161" s="230">
        <v>325150</v>
      </c>
      <c r="AX161" s="230">
        <v>497350</v>
      </c>
      <c r="AY161" s="229">
        <v>1.5296000000000001</v>
      </c>
      <c r="AZ161" s="230">
        <v>826000</v>
      </c>
      <c r="BA161" s="230">
        <v>102200</v>
      </c>
      <c r="BB161" s="230">
        <v>723800</v>
      </c>
      <c r="BC161" s="229">
        <v>7.0822000000000003</v>
      </c>
      <c r="BD161" s="228">
        <v>350</v>
      </c>
      <c r="BE161" s="228">
        <v>350</v>
      </c>
      <c r="BF161" s="228">
        <v>0</v>
      </c>
      <c r="BG161" s="229">
        <v>0</v>
      </c>
      <c r="BH161" s="230">
        <v>782950</v>
      </c>
      <c r="BI161" s="230">
        <v>1445500</v>
      </c>
      <c r="BJ161" s="230">
        <v>-662550</v>
      </c>
      <c r="BK161" s="229">
        <v>-0.45839999999999997</v>
      </c>
      <c r="BL161" s="230">
        <v>238700</v>
      </c>
      <c r="BM161" s="230">
        <v>293300</v>
      </c>
      <c r="BN161" s="230">
        <v>-54600</v>
      </c>
      <c r="BO161" s="229">
        <v>-0.1862</v>
      </c>
      <c r="BP161" s="230">
        <v>2670500</v>
      </c>
      <c r="BQ161" s="230">
        <v>2166500</v>
      </c>
      <c r="BR161" s="230">
        <v>504000</v>
      </c>
      <c r="BS161" s="229">
        <v>0.2326</v>
      </c>
      <c r="BT161" s="230">
        <v>335555</v>
      </c>
      <c r="BU161" s="230">
        <v>244623</v>
      </c>
      <c r="BV161" s="230">
        <v>90932</v>
      </c>
      <c r="BW161" s="229">
        <v>0.37169999999999997</v>
      </c>
      <c r="BX161" s="230">
        <v>3566850</v>
      </c>
      <c r="BY161" s="230">
        <v>3570350</v>
      </c>
      <c r="BZ161" s="230">
        <v>-3500</v>
      </c>
      <c r="CA161" s="229">
        <v>-1E-3</v>
      </c>
      <c r="CB161" s="230">
        <v>2772700</v>
      </c>
      <c r="CC161" s="230">
        <v>3434900</v>
      </c>
      <c r="CD161" s="230">
        <v>-662200</v>
      </c>
      <c r="CE161" s="229">
        <v>-0.1928</v>
      </c>
      <c r="CF161" s="230">
        <v>788550</v>
      </c>
      <c r="CG161" s="230">
        <v>129850</v>
      </c>
      <c r="CH161" s="230">
        <v>658700</v>
      </c>
      <c r="CI161" s="229">
        <v>5.0728</v>
      </c>
      <c r="CJ161" s="230">
        <v>5600</v>
      </c>
      <c r="CK161" s="230">
        <v>5600</v>
      </c>
      <c r="CL161" s="228">
        <v>0</v>
      </c>
      <c r="CM161" s="229">
        <v>0</v>
      </c>
      <c r="CN161" s="230">
        <v>1059100</v>
      </c>
      <c r="CO161" s="230">
        <v>1087450</v>
      </c>
      <c r="CP161" s="230">
        <v>-28350</v>
      </c>
      <c r="CQ161" s="229">
        <v>-2.6100000000000002E-2</v>
      </c>
      <c r="CR161" s="230">
        <v>494900</v>
      </c>
      <c r="CS161" s="230">
        <v>511350</v>
      </c>
      <c r="CT161" s="230">
        <v>-16450</v>
      </c>
      <c r="CU161" s="229">
        <v>-3.2199999999999999E-2</v>
      </c>
      <c r="CV161" s="230">
        <v>5120850</v>
      </c>
      <c r="CW161" s="230">
        <v>5169150</v>
      </c>
      <c r="CX161" s="230">
        <v>-48300</v>
      </c>
      <c r="CY161" s="229">
        <v>-9.2999999999999992E-3</v>
      </c>
      <c r="CZ161" s="228">
        <v>25.17</v>
      </c>
      <c r="DA161" s="228">
        <v>26.4</v>
      </c>
      <c r="DB161" s="228">
        <v>-1.23</v>
      </c>
      <c r="DC161" s="228">
        <v>-1.23</v>
      </c>
      <c r="DD161" s="228">
        <v>42.78</v>
      </c>
      <c r="DE161" s="228">
        <v>42.89</v>
      </c>
      <c r="DF161" s="228">
        <v>-17.61</v>
      </c>
      <c r="DG161" s="228">
        <v>-0.11</v>
      </c>
      <c r="DH161" s="228">
        <v>25.95</v>
      </c>
      <c r="DI161" s="228">
        <v>26.44</v>
      </c>
      <c r="DJ161" s="228">
        <v>-0.49</v>
      </c>
      <c r="DK161" s="228">
        <v>-0.49</v>
      </c>
      <c r="DL161" s="228">
        <v>23.31</v>
      </c>
      <c r="DM161" s="228">
        <v>26.2</v>
      </c>
      <c r="DN161" s="228">
        <v>-2.89</v>
      </c>
      <c r="DO161" s="228">
        <v>-2.89</v>
      </c>
      <c r="DP161" s="228">
        <v>0.47</v>
      </c>
      <c r="DQ161" s="228">
        <v>0.47</v>
      </c>
      <c r="DR161" s="228">
        <v>0</v>
      </c>
      <c r="DS161" s="229">
        <v>0</v>
      </c>
      <c r="DT161" s="231">
        <v>1800</v>
      </c>
      <c r="DU161" s="231">
        <v>1700</v>
      </c>
      <c r="DV161" s="228">
        <v>0.3</v>
      </c>
      <c r="DW161" s="228">
        <v>0.2</v>
      </c>
      <c r="DX161" s="228">
        <v>0.1</v>
      </c>
      <c r="DY161" s="229">
        <v>0.5</v>
      </c>
      <c r="DZ161" s="229">
        <v>0.22259999999999999</v>
      </c>
      <c r="EA161" s="230">
        <v>135450</v>
      </c>
      <c r="EB161" s="229">
        <v>6.4999999999999997E-3</v>
      </c>
      <c r="EC161" s="229">
        <v>0.22259999999999999</v>
      </c>
      <c r="ED161" s="228">
        <v>11.38</v>
      </c>
      <c r="EE161" s="229">
        <v>6.7000000000000002E-3</v>
      </c>
      <c r="EF161" s="230">
        <v>223037</v>
      </c>
      <c r="EG161" s="230">
        <v>134699</v>
      </c>
      <c r="EH161" s="229">
        <v>0.65580000000000005</v>
      </c>
      <c r="EI161" s="229">
        <v>0.66469999999999996</v>
      </c>
      <c r="EJ161" s="231">
        <v>14129.95</v>
      </c>
      <c r="EK161" s="231">
        <v>4077.28</v>
      </c>
      <c r="EL161" s="231">
        <v>28291.16</v>
      </c>
      <c r="EM161" s="231">
        <v>1065</v>
      </c>
      <c r="EN161" s="231">
        <v>46498.39</v>
      </c>
      <c r="EO161" s="231">
        <v>38383.269999999997</v>
      </c>
      <c r="EP161" s="231">
        <v>8115.12</v>
      </c>
      <c r="EQ161" s="229">
        <v>0.2114</v>
      </c>
      <c r="ER161" s="231">
        <v>18931</v>
      </c>
      <c r="ES161" s="231">
        <v>8423</v>
      </c>
      <c r="ET161" s="231">
        <v>61396</v>
      </c>
      <c r="EU161" s="231">
        <v>28283155</v>
      </c>
      <c r="EV161" s="231">
        <v>88750</v>
      </c>
      <c r="EW161" s="231">
        <v>89420</v>
      </c>
      <c r="EX161" s="228">
        <v>-670</v>
      </c>
      <c r="EY161" s="229">
        <v>-7.4999999999999997E-3</v>
      </c>
      <c r="EZ161" s="229">
        <v>0.18110000000000001</v>
      </c>
      <c r="FA161" s="227" t="s">
        <v>556</v>
      </c>
      <c r="FB161" s="161">
        <f t="shared" si="3"/>
        <v>0</v>
      </c>
    </row>
    <row r="162" spans="1:158" ht="17.25" thickBot="1" x14ac:dyDescent="0.3">
      <c r="A162" s="226">
        <v>45981</v>
      </c>
      <c r="B162" s="227" t="s">
        <v>168</v>
      </c>
      <c r="C162" s="227" t="s">
        <v>274</v>
      </c>
      <c r="D162" s="228">
        <v>500</v>
      </c>
      <c r="E162" s="231">
        <v>1488.3</v>
      </c>
      <c r="F162" s="231">
        <v>1475.8</v>
      </c>
      <c r="G162" s="228">
        <v>12.5</v>
      </c>
      <c r="H162" s="229">
        <v>8.5000000000000006E-3</v>
      </c>
      <c r="I162" s="231">
        <v>1489</v>
      </c>
      <c r="J162" s="231">
        <v>1476.7</v>
      </c>
      <c r="K162" s="228">
        <v>12.3</v>
      </c>
      <c r="L162" s="229">
        <v>8.3000000000000001E-3</v>
      </c>
      <c r="M162" s="231">
        <v>1488.3</v>
      </c>
      <c r="N162" s="231">
        <v>1475.8</v>
      </c>
      <c r="O162" s="228">
        <v>12.5</v>
      </c>
      <c r="P162" s="229">
        <v>8.5000000000000006E-3</v>
      </c>
      <c r="Q162" s="231">
        <v>1497.2</v>
      </c>
      <c r="R162" s="231">
        <v>1485.3</v>
      </c>
      <c r="S162" s="228">
        <v>11.9</v>
      </c>
      <c r="T162" s="229">
        <v>8.0000000000000002E-3</v>
      </c>
      <c r="U162" s="231">
        <v>1508.9</v>
      </c>
      <c r="V162" s="231">
        <v>1502</v>
      </c>
      <c r="W162" s="228">
        <v>6.9</v>
      </c>
      <c r="X162" s="229">
        <v>4.5999999999999999E-3</v>
      </c>
      <c r="Y162" s="228">
        <v>-0.7</v>
      </c>
      <c r="Z162" s="228">
        <v>-0.9</v>
      </c>
      <c r="AA162" s="228">
        <v>0.2</v>
      </c>
      <c r="AB162" s="229">
        <v>-5.0000000000000001E-4</v>
      </c>
      <c r="AC162" s="228">
        <v>-0.7</v>
      </c>
      <c r="AD162" s="228">
        <v>-0.9</v>
      </c>
      <c r="AE162" s="228">
        <v>0.2</v>
      </c>
      <c r="AF162" s="229">
        <v>-5.0000000000000001E-4</v>
      </c>
      <c r="AG162" s="228">
        <v>8.1999999999999993</v>
      </c>
      <c r="AH162" s="228">
        <v>8.6</v>
      </c>
      <c r="AI162" s="228">
        <v>-0.4</v>
      </c>
      <c r="AJ162" s="229">
        <v>5.4999999999999997E-3</v>
      </c>
      <c r="AK162" s="228">
        <v>19.899999999999999</v>
      </c>
      <c r="AL162" s="228">
        <v>25.3</v>
      </c>
      <c r="AM162" s="228">
        <v>-5.4</v>
      </c>
      <c r="AN162" s="229">
        <v>1.34E-2</v>
      </c>
      <c r="AO162" s="231">
        <v>1489.19</v>
      </c>
      <c r="AP162" s="231">
        <v>1498.85</v>
      </c>
      <c r="AQ162" s="228">
        <v>0</v>
      </c>
      <c r="AR162" s="230">
        <v>4570500</v>
      </c>
      <c r="AS162" s="230">
        <v>845500</v>
      </c>
      <c r="AT162" s="230">
        <v>3725000</v>
      </c>
      <c r="AU162" s="229">
        <v>4.4057000000000004</v>
      </c>
      <c r="AV162" s="230">
        <v>2559000</v>
      </c>
      <c r="AW162" s="230">
        <v>669500</v>
      </c>
      <c r="AX162" s="230">
        <v>1889500</v>
      </c>
      <c r="AY162" s="229">
        <v>2.8222999999999998</v>
      </c>
      <c r="AZ162" s="230">
        <v>2008500</v>
      </c>
      <c r="BA162" s="230">
        <v>166500</v>
      </c>
      <c r="BB162" s="230">
        <v>1842000</v>
      </c>
      <c r="BC162" s="229">
        <v>11.0631</v>
      </c>
      <c r="BD162" s="230">
        <v>3000</v>
      </c>
      <c r="BE162" s="230">
        <v>9500</v>
      </c>
      <c r="BF162" s="230">
        <v>-6500</v>
      </c>
      <c r="BG162" s="229">
        <v>-0.68420000000000003</v>
      </c>
      <c r="BH162" s="230">
        <v>2604500</v>
      </c>
      <c r="BI162" s="230">
        <v>3339500</v>
      </c>
      <c r="BJ162" s="230">
        <v>-735000</v>
      </c>
      <c r="BK162" s="229">
        <v>-0.22009999999999999</v>
      </c>
      <c r="BL162" s="230">
        <v>867500</v>
      </c>
      <c r="BM162" s="230">
        <v>1007500</v>
      </c>
      <c r="BN162" s="230">
        <v>-140000</v>
      </c>
      <c r="BO162" s="229">
        <v>-0.13900000000000001</v>
      </c>
      <c r="BP162" s="230">
        <v>8042500</v>
      </c>
      <c r="BQ162" s="230">
        <v>5192500</v>
      </c>
      <c r="BR162" s="230">
        <v>2850000</v>
      </c>
      <c r="BS162" s="229">
        <v>0.54890000000000005</v>
      </c>
      <c r="BT162" s="230">
        <v>840533</v>
      </c>
      <c r="BU162" s="230">
        <v>1020202</v>
      </c>
      <c r="BV162" s="230">
        <v>-179669</v>
      </c>
      <c r="BW162" s="229">
        <v>-0.17610000000000001</v>
      </c>
      <c r="BX162" s="230">
        <v>7592000</v>
      </c>
      <c r="BY162" s="230">
        <v>7768000</v>
      </c>
      <c r="BZ162" s="230">
        <v>-176000</v>
      </c>
      <c r="CA162" s="229">
        <v>-2.2700000000000001E-2</v>
      </c>
      <c r="CB162" s="230">
        <v>5206500</v>
      </c>
      <c r="CC162" s="230">
        <v>7143500</v>
      </c>
      <c r="CD162" s="230">
        <v>-1937000</v>
      </c>
      <c r="CE162" s="229">
        <v>-0.2712</v>
      </c>
      <c r="CF162" s="230">
        <v>2356500</v>
      </c>
      <c r="CG162" s="230">
        <v>594500</v>
      </c>
      <c r="CH162" s="230">
        <v>1762000</v>
      </c>
      <c r="CI162" s="229">
        <v>2.9638</v>
      </c>
      <c r="CJ162" s="230">
        <v>29000</v>
      </c>
      <c r="CK162" s="230">
        <v>30000</v>
      </c>
      <c r="CL162" s="230">
        <v>-1000</v>
      </c>
      <c r="CM162" s="229">
        <v>-3.3300000000000003E-2</v>
      </c>
      <c r="CN162" s="230">
        <v>2717000</v>
      </c>
      <c r="CO162" s="230">
        <v>3059500</v>
      </c>
      <c r="CP162" s="230">
        <v>-342500</v>
      </c>
      <c r="CQ162" s="229">
        <v>-0.1119</v>
      </c>
      <c r="CR162" s="230">
        <v>1587500</v>
      </c>
      <c r="CS162" s="230">
        <v>1703000</v>
      </c>
      <c r="CT162" s="230">
        <v>-115500</v>
      </c>
      <c r="CU162" s="229">
        <v>-6.7799999999999999E-2</v>
      </c>
      <c r="CV162" s="230">
        <v>11896500</v>
      </c>
      <c r="CW162" s="230">
        <v>12530500</v>
      </c>
      <c r="CX162" s="230">
        <v>-634000</v>
      </c>
      <c r="CY162" s="229">
        <v>-5.0599999999999999E-2</v>
      </c>
      <c r="CZ162" s="228">
        <v>18.47</v>
      </c>
      <c r="DA162" s="228">
        <v>21.46</v>
      </c>
      <c r="DB162" s="228">
        <v>-2.99</v>
      </c>
      <c r="DC162" s="228">
        <v>-2.99</v>
      </c>
      <c r="DD162" s="228">
        <v>21.97</v>
      </c>
      <c r="DE162" s="228">
        <v>21.99</v>
      </c>
      <c r="DF162" s="228">
        <v>-3.5</v>
      </c>
      <c r="DG162" s="228">
        <v>-0.02</v>
      </c>
      <c r="DH162" s="228">
        <v>18.71</v>
      </c>
      <c r="DI162" s="228">
        <v>21.41</v>
      </c>
      <c r="DJ162" s="228">
        <v>-2.7</v>
      </c>
      <c r="DK162" s="228">
        <v>-2.7</v>
      </c>
      <c r="DL162" s="228">
        <v>17.93</v>
      </c>
      <c r="DM162" s="228">
        <v>21.65</v>
      </c>
      <c r="DN162" s="228">
        <v>-3.72</v>
      </c>
      <c r="DO162" s="228">
        <v>-3.72</v>
      </c>
      <c r="DP162" s="228">
        <v>0.57999999999999996</v>
      </c>
      <c r="DQ162" s="228">
        <v>0.56000000000000005</v>
      </c>
      <c r="DR162" s="228">
        <v>0.02</v>
      </c>
      <c r="DS162" s="229">
        <v>3.5700000000000003E-2</v>
      </c>
      <c r="DT162" s="231">
        <v>1500</v>
      </c>
      <c r="DU162" s="231">
        <v>1500</v>
      </c>
      <c r="DV162" s="228">
        <v>0.33</v>
      </c>
      <c r="DW162" s="228">
        <v>0.3</v>
      </c>
      <c r="DX162" s="228">
        <v>0.03</v>
      </c>
      <c r="DY162" s="229">
        <v>0.1</v>
      </c>
      <c r="DZ162" s="229">
        <v>0.31419999999999998</v>
      </c>
      <c r="EA162" s="230">
        <v>624500</v>
      </c>
      <c r="EB162" s="229">
        <v>6.0000000000000001E-3</v>
      </c>
      <c r="EC162" s="229">
        <v>0.31419999999999998</v>
      </c>
      <c r="ED162" s="228">
        <v>9.66</v>
      </c>
      <c r="EE162" s="229">
        <v>6.4999999999999997E-3</v>
      </c>
      <c r="EF162" s="230">
        <v>619557</v>
      </c>
      <c r="EG162" s="230">
        <v>817743</v>
      </c>
      <c r="EH162" s="229">
        <v>-0.2424</v>
      </c>
      <c r="EI162" s="229">
        <v>0.73709999999999998</v>
      </c>
      <c r="EJ162" s="231">
        <v>39636.230000000003</v>
      </c>
      <c r="EK162" s="231">
        <v>12767.78</v>
      </c>
      <c r="EL162" s="231">
        <v>68257.919999999998</v>
      </c>
      <c r="EM162" s="231">
        <v>2768</v>
      </c>
      <c r="EN162" s="231">
        <v>120661.93</v>
      </c>
      <c r="EO162" s="231">
        <v>77995.92</v>
      </c>
      <c r="EP162" s="231">
        <v>42666.01</v>
      </c>
      <c r="EQ162" s="229">
        <v>0.54700000000000004</v>
      </c>
      <c r="ER162" s="231">
        <v>41293</v>
      </c>
      <c r="ES162" s="231">
        <v>23056</v>
      </c>
      <c r="ET162" s="231">
        <v>113207</v>
      </c>
      <c r="EU162" s="231">
        <v>31170515</v>
      </c>
      <c r="EV162" s="231">
        <v>177556</v>
      </c>
      <c r="EW162" s="231">
        <v>185901</v>
      </c>
      <c r="EX162" s="231">
        <v>-8345</v>
      </c>
      <c r="EY162" s="229">
        <v>-4.4900000000000002E-2</v>
      </c>
      <c r="EZ162" s="229">
        <v>0.38169999999999998</v>
      </c>
      <c r="FA162" s="227" t="s">
        <v>556</v>
      </c>
      <c r="FB162" s="161">
        <f t="shared" ref="FB162:FB194" si="4">BX229-CB229</f>
        <v>0</v>
      </c>
    </row>
    <row r="163" spans="1:158" ht="17.25" thickBot="1" x14ac:dyDescent="0.3">
      <c r="A163" s="226">
        <v>45981</v>
      </c>
      <c r="B163" s="227" t="s">
        <v>498</v>
      </c>
      <c r="C163" s="227" t="s">
        <v>483</v>
      </c>
      <c r="D163" s="228">
        <v>175</v>
      </c>
      <c r="E163" s="231">
        <v>3452.4</v>
      </c>
      <c r="F163" s="231">
        <v>3450.9</v>
      </c>
      <c r="G163" s="228">
        <v>1.5</v>
      </c>
      <c r="H163" s="229">
        <v>4.0000000000000002E-4</v>
      </c>
      <c r="I163" s="231">
        <v>3441.1</v>
      </c>
      <c r="J163" s="231">
        <v>3439.9</v>
      </c>
      <c r="K163" s="228">
        <v>1.2</v>
      </c>
      <c r="L163" s="229">
        <v>2.9999999999999997E-4</v>
      </c>
      <c r="M163" s="231">
        <v>3452.4</v>
      </c>
      <c r="N163" s="231">
        <v>3450.9</v>
      </c>
      <c r="O163" s="228">
        <v>1.5</v>
      </c>
      <c r="P163" s="229">
        <v>4.0000000000000002E-4</v>
      </c>
      <c r="Q163" s="231">
        <v>3464.7</v>
      </c>
      <c r="R163" s="231">
        <v>3468.8</v>
      </c>
      <c r="S163" s="228">
        <v>-4.0999999999999996</v>
      </c>
      <c r="T163" s="229">
        <v>-1.1999999999999999E-3</v>
      </c>
      <c r="U163" s="231">
        <v>3480</v>
      </c>
      <c r="V163" s="231">
        <v>3490</v>
      </c>
      <c r="W163" s="228">
        <v>-10</v>
      </c>
      <c r="X163" s="229">
        <v>-2.8999999999999998E-3</v>
      </c>
      <c r="Y163" s="228">
        <v>11.3</v>
      </c>
      <c r="Z163" s="228">
        <v>11</v>
      </c>
      <c r="AA163" s="228">
        <v>0.3</v>
      </c>
      <c r="AB163" s="229">
        <v>3.3E-3</v>
      </c>
      <c r="AC163" s="228">
        <v>11.3</v>
      </c>
      <c r="AD163" s="228">
        <v>11</v>
      </c>
      <c r="AE163" s="228">
        <v>0.3</v>
      </c>
      <c r="AF163" s="229">
        <v>3.3E-3</v>
      </c>
      <c r="AG163" s="228">
        <v>23.6</v>
      </c>
      <c r="AH163" s="228">
        <v>28.9</v>
      </c>
      <c r="AI163" s="228">
        <v>-5.3</v>
      </c>
      <c r="AJ163" s="229">
        <v>6.8999999999999999E-3</v>
      </c>
      <c r="AK163" s="228">
        <v>38.9</v>
      </c>
      <c r="AL163" s="228">
        <v>50.1</v>
      </c>
      <c r="AM163" s="228">
        <v>-11.2</v>
      </c>
      <c r="AN163" s="229">
        <v>1.1299999999999999E-2</v>
      </c>
      <c r="AO163" s="231">
        <v>3459.04</v>
      </c>
      <c r="AP163" s="231">
        <v>3470.47</v>
      </c>
      <c r="AQ163" s="228">
        <v>0</v>
      </c>
      <c r="AR163" s="230">
        <v>1694000</v>
      </c>
      <c r="AS163" s="230">
        <v>344225</v>
      </c>
      <c r="AT163" s="230">
        <v>1349775</v>
      </c>
      <c r="AU163" s="229">
        <v>3.9211999999999998</v>
      </c>
      <c r="AV163" s="230">
        <v>862575</v>
      </c>
      <c r="AW163" s="230">
        <v>252175</v>
      </c>
      <c r="AX163" s="230">
        <v>610400</v>
      </c>
      <c r="AY163" s="229">
        <v>2.4205000000000001</v>
      </c>
      <c r="AZ163" s="230">
        <v>829325</v>
      </c>
      <c r="BA163" s="230">
        <v>90650</v>
      </c>
      <c r="BB163" s="230">
        <v>738675</v>
      </c>
      <c r="BC163" s="229">
        <v>8.1486000000000001</v>
      </c>
      <c r="BD163" s="230">
        <v>2100</v>
      </c>
      <c r="BE163" s="230">
        <v>1400</v>
      </c>
      <c r="BF163" s="228">
        <v>700</v>
      </c>
      <c r="BG163" s="229">
        <v>0.5</v>
      </c>
      <c r="BH163" s="230">
        <v>2237375</v>
      </c>
      <c r="BI163" s="230">
        <v>2835700</v>
      </c>
      <c r="BJ163" s="230">
        <v>-598325</v>
      </c>
      <c r="BK163" s="229">
        <v>-0.21099999999999999</v>
      </c>
      <c r="BL163" s="230">
        <v>772100</v>
      </c>
      <c r="BM163" s="230">
        <v>1223250</v>
      </c>
      <c r="BN163" s="230">
        <v>-451150</v>
      </c>
      <c r="BO163" s="229">
        <v>-0.36880000000000002</v>
      </c>
      <c r="BP163" s="230">
        <v>4703475</v>
      </c>
      <c r="BQ163" s="230">
        <v>4403175</v>
      </c>
      <c r="BR163" s="230">
        <v>300300</v>
      </c>
      <c r="BS163" s="229">
        <v>6.8199999999999997E-2</v>
      </c>
      <c r="BT163" s="230">
        <v>290113</v>
      </c>
      <c r="BU163" s="230">
        <v>275028</v>
      </c>
      <c r="BV163" s="230">
        <v>15085</v>
      </c>
      <c r="BW163" s="229">
        <v>5.4800000000000001E-2</v>
      </c>
      <c r="BX163" s="230">
        <v>2643200</v>
      </c>
      <c r="BY163" s="230">
        <v>2757475</v>
      </c>
      <c r="BZ163" s="230">
        <v>-114275</v>
      </c>
      <c r="CA163" s="229">
        <v>-4.1399999999999999E-2</v>
      </c>
      <c r="CB163" s="230">
        <v>1824025</v>
      </c>
      <c r="CC163" s="230">
        <v>2466450</v>
      </c>
      <c r="CD163" s="230">
        <v>-642425</v>
      </c>
      <c r="CE163" s="229">
        <v>-0.26050000000000001</v>
      </c>
      <c r="CF163" s="230">
        <v>800100</v>
      </c>
      <c r="CG163" s="230">
        <v>273875</v>
      </c>
      <c r="CH163" s="230">
        <v>526225</v>
      </c>
      <c r="CI163" s="229">
        <v>1.9214</v>
      </c>
      <c r="CJ163" s="230">
        <v>19075</v>
      </c>
      <c r="CK163" s="230">
        <v>17150</v>
      </c>
      <c r="CL163" s="230">
        <v>1925</v>
      </c>
      <c r="CM163" s="229">
        <v>0.11219999999999999</v>
      </c>
      <c r="CN163" s="230">
        <v>1387225</v>
      </c>
      <c r="CO163" s="230">
        <v>1578850</v>
      </c>
      <c r="CP163" s="230">
        <v>-191625</v>
      </c>
      <c r="CQ163" s="229">
        <v>-0.12139999999999999</v>
      </c>
      <c r="CR163" s="230">
        <v>935900</v>
      </c>
      <c r="CS163" s="230">
        <v>973700</v>
      </c>
      <c r="CT163" s="230">
        <v>-37800</v>
      </c>
      <c r="CU163" s="229">
        <v>-3.8800000000000001E-2</v>
      </c>
      <c r="CV163" s="230">
        <v>4966325</v>
      </c>
      <c r="CW163" s="230">
        <v>5310025</v>
      </c>
      <c r="CX163" s="230">
        <v>-343700</v>
      </c>
      <c r="CY163" s="229">
        <v>-6.4699999999999994E-2</v>
      </c>
      <c r="CZ163" s="228">
        <v>23.69</v>
      </c>
      <c r="DA163" s="228">
        <v>27.22</v>
      </c>
      <c r="DB163" s="228">
        <v>-3.53</v>
      </c>
      <c r="DC163" s="228">
        <v>-3.53</v>
      </c>
      <c r="DD163" s="228">
        <v>30.13</v>
      </c>
      <c r="DE163" s="228">
        <v>30.21</v>
      </c>
      <c r="DF163" s="228">
        <v>-6.44</v>
      </c>
      <c r="DG163" s="228">
        <v>-0.08</v>
      </c>
      <c r="DH163" s="228">
        <v>23.66</v>
      </c>
      <c r="DI163" s="228">
        <v>28.49</v>
      </c>
      <c r="DJ163" s="228">
        <v>-4.83</v>
      </c>
      <c r="DK163" s="228">
        <v>-4.83</v>
      </c>
      <c r="DL163" s="228">
        <v>23.77</v>
      </c>
      <c r="DM163" s="228">
        <v>24.27</v>
      </c>
      <c r="DN163" s="228">
        <v>-0.5</v>
      </c>
      <c r="DO163" s="228">
        <v>-0.5</v>
      </c>
      <c r="DP163" s="228">
        <v>0.67</v>
      </c>
      <c r="DQ163" s="228">
        <v>0.62</v>
      </c>
      <c r="DR163" s="228">
        <v>0.05</v>
      </c>
      <c r="DS163" s="229">
        <v>8.0600000000000005E-2</v>
      </c>
      <c r="DT163" s="231">
        <v>3600</v>
      </c>
      <c r="DU163" s="231">
        <v>3600</v>
      </c>
      <c r="DV163" s="228">
        <v>0.35</v>
      </c>
      <c r="DW163" s="228">
        <v>0.43</v>
      </c>
      <c r="DX163" s="228">
        <v>-0.08</v>
      </c>
      <c r="DY163" s="229">
        <v>-0.186</v>
      </c>
      <c r="DZ163" s="229">
        <v>0.30990000000000001</v>
      </c>
      <c r="EA163" s="230">
        <v>291025</v>
      </c>
      <c r="EB163" s="229">
        <v>3.5999999999999999E-3</v>
      </c>
      <c r="EC163" s="229">
        <v>0.30990000000000001</v>
      </c>
      <c r="ED163" s="228">
        <v>11.43</v>
      </c>
      <c r="EE163" s="229">
        <v>3.3E-3</v>
      </c>
      <c r="EF163" s="230">
        <v>232131</v>
      </c>
      <c r="EG163" s="230">
        <v>224007</v>
      </c>
      <c r="EH163" s="229">
        <v>3.6299999999999999E-2</v>
      </c>
      <c r="EI163" s="229">
        <v>0.80010000000000003</v>
      </c>
      <c r="EJ163" s="231">
        <v>80811.09</v>
      </c>
      <c r="EK163" s="231">
        <v>26655.54</v>
      </c>
      <c r="EL163" s="231">
        <v>58691.78</v>
      </c>
      <c r="EM163" s="231">
        <v>3043</v>
      </c>
      <c r="EN163" s="231">
        <v>166158.41</v>
      </c>
      <c r="EO163" s="231">
        <v>157730.99</v>
      </c>
      <c r="EP163" s="231">
        <v>8427.42</v>
      </c>
      <c r="EQ163" s="229">
        <v>5.3400000000000003E-2</v>
      </c>
      <c r="ER163" s="231">
        <v>51437</v>
      </c>
      <c r="ES163" s="231">
        <v>32935</v>
      </c>
      <c r="ET163" s="231">
        <v>91358</v>
      </c>
      <c r="EU163" s="231">
        <v>8178275</v>
      </c>
      <c r="EV163" s="231">
        <v>175730</v>
      </c>
      <c r="EW163" s="231">
        <v>188085</v>
      </c>
      <c r="EX163" s="231">
        <v>-12355</v>
      </c>
      <c r="EY163" s="229">
        <v>-6.5699999999999995E-2</v>
      </c>
      <c r="EZ163" s="229">
        <v>0.60729999999999995</v>
      </c>
      <c r="FA163" s="227" t="s">
        <v>556</v>
      </c>
      <c r="FB163" s="161">
        <f t="shared" si="4"/>
        <v>0</v>
      </c>
    </row>
    <row r="164" spans="1:158" ht="17.25" thickBot="1" x14ac:dyDescent="0.3">
      <c r="A164" s="226">
        <v>45981</v>
      </c>
      <c r="B164" s="227" t="s">
        <v>172</v>
      </c>
      <c r="C164" s="227" t="s">
        <v>275</v>
      </c>
      <c r="D164" s="228">
        <v>8000</v>
      </c>
      <c r="E164" s="228">
        <v>123.83</v>
      </c>
      <c r="F164" s="228">
        <v>125.24</v>
      </c>
      <c r="G164" s="228">
        <v>-1.41</v>
      </c>
      <c r="H164" s="229">
        <v>-1.1299999999999999E-2</v>
      </c>
      <c r="I164" s="228">
        <v>123.86</v>
      </c>
      <c r="J164" s="228">
        <v>125.06</v>
      </c>
      <c r="K164" s="228">
        <v>-1.2</v>
      </c>
      <c r="L164" s="229">
        <v>-9.5999999999999992E-3</v>
      </c>
      <c r="M164" s="228">
        <v>123.83</v>
      </c>
      <c r="N164" s="228">
        <v>125.24</v>
      </c>
      <c r="O164" s="228">
        <v>-1.41</v>
      </c>
      <c r="P164" s="229">
        <v>-1.1299999999999999E-2</v>
      </c>
      <c r="Q164" s="228">
        <v>124.68</v>
      </c>
      <c r="R164" s="228">
        <v>126.15</v>
      </c>
      <c r="S164" s="228">
        <v>-1.47</v>
      </c>
      <c r="T164" s="229">
        <v>-1.17E-2</v>
      </c>
      <c r="U164" s="228">
        <v>125.42</v>
      </c>
      <c r="V164" s="228">
        <v>126.94</v>
      </c>
      <c r="W164" s="228">
        <v>-1.52</v>
      </c>
      <c r="X164" s="229">
        <v>-1.2E-2</v>
      </c>
      <c r="Y164" s="228">
        <v>-0.03</v>
      </c>
      <c r="Z164" s="228">
        <v>0.18</v>
      </c>
      <c r="AA164" s="228">
        <v>-0.21</v>
      </c>
      <c r="AB164" s="229">
        <v>-2.0000000000000001E-4</v>
      </c>
      <c r="AC164" s="228">
        <v>-0.03</v>
      </c>
      <c r="AD164" s="228">
        <v>0.18</v>
      </c>
      <c r="AE164" s="228">
        <v>-0.21</v>
      </c>
      <c r="AF164" s="229">
        <v>-2.0000000000000001E-4</v>
      </c>
      <c r="AG164" s="228">
        <v>0.82</v>
      </c>
      <c r="AH164" s="228">
        <v>1.0900000000000001</v>
      </c>
      <c r="AI164" s="228">
        <v>-0.27</v>
      </c>
      <c r="AJ164" s="229">
        <v>6.6E-3</v>
      </c>
      <c r="AK164" s="228">
        <v>1.56</v>
      </c>
      <c r="AL164" s="228">
        <v>1.88</v>
      </c>
      <c r="AM164" s="228">
        <v>-0.32</v>
      </c>
      <c r="AN164" s="229">
        <v>1.26E-2</v>
      </c>
      <c r="AO164" s="228">
        <v>124.69</v>
      </c>
      <c r="AP164" s="228">
        <v>125.53</v>
      </c>
      <c r="AQ164" s="228">
        <v>0</v>
      </c>
      <c r="AR164" s="230">
        <v>125288000</v>
      </c>
      <c r="AS164" s="230">
        <v>86496000</v>
      </c>
      <c r="AT164" s="230">
        <v>38792000</v>
      </c>
      <c r="AU164" s="229">
        <v>0.44850000000000001</v>
      </c>
      <c r="AV164" s="230">
        <v>64328000</v>
      </c>
      <c r="AW164" s="230">
        <v>54224000</v>
      </c>
      <c r="AX164" s="230">
        <v>10104000</v>
      </c>
      <c r="AY164" s="229">
        <v>0.18629999999999999</v>
      </c>
      <c r="AZ164" s="230">
        <v>58928000</v>
      </c>
      <c r="BA164" s="230">
        <v>30288000</v>
      </c>
      <c r="BB164" s="230">
        <v>28640000</v>
      </c>
      <c r="BC164" s="229">
        <v>0.9456</v>
      </c>
      <c r="BD164" s="230">
        <v>2032000</v>
      </c>
      <c r="BE164" s="230">
        <v>1984000</v>
      </c>
      <c r="BF164" s="230">
        <v>48000</v>
      </c>
      <c r="BG164" s="229">
        <v>2.4199999999999999E-2</v>
      </c>
      <c r="BH164" s="230">
        <v>215856000</v>
      </c>
      <c r="BI164" s="230">
        <v>310344000</v>
      </c>
      <c r="BJ164" s="230">
        <v>-94488000</v>
      </c>
      <c r="BK164" s="229">
        <v>-0.30449999999999999</v>
      </c>
      <c r="BL164" s="230">
        <v>144696000</v>
      </c>
      <c r="BM164" s="230">
        <v>131208000</v>
      </c>
      <c r="BN164" s="230">
        <v>13488000</v>
      </c>
      <c r="BO164" s="229">
        <v>0.1028</v>
      </c>
      <c r="BP164" s="230">
        <v>485840000</v>
      </c>
      <c r="BQ164" s="230">
        <v>528048000</v>
      </c>
      <c r="BR164" s="230">
        <v>-42208000</v>
      </c>
      <c r="BS164" s="229">
        <v>-7.9899999999999999E-2</v>
      </c>
      <c r="BT164" s="230">
        <v>18370102</v>
      </c>
      <c r="BU164" s="230">
        <v>22854859</v>
      </c>
      <c r="BV164" s="230">
        <v>-4484757</v>
      </c>
      <c r="BW164" s="229">
        <v>-0.19620000000000001</v>
      </c>
      <c r="BX164" s="230">
        <v>233096000</v>
      </c>
      <c r="BY164" s="230">
        <v>229480000</v>
      </c>
      <c r="BZ164" s="230">
        <v>3616000</v>
      </c>
      <c r="CA164" s="229">
        <v>1.5800000000000002E-2</v>
      </c>
      <c r="CB164" s="230">
        <v>148928000</v>
      </c>
      <c r="CC164" s="230">
        <v>186184000</v>
      </c>
      <c r="CD164" s="230">
        <v>-37256000</v>
      </c>
      <c r="CE164" s="229">
        <v>-0.2001</v>
      </c>
      <c r="CF164" s="230">
        <v>80672000</v>
      </c>
      <c r="CG164" s="230">
        <v>39760000</v>
      </c>
      <c r="CH164" s="230">
        <v>40912000</v>
      </c>
      <c r="CI164" s="229">
        <v>1.0289999999999999</v>
      </c>
      <c r="CJ164" s="230">
        <v>3496000</v>
      </c>
      <c r="CK164" s="230">
        <v>3536000</v>
      </c>
      <c r="CL164" s="230">
        <v>-40000</v>
      </c>
      <c r="CM164" s="229">
        <v>-1.1299999999999999E-2</v>
      </c>
      <c r="CN164" s="230">
        <v>119448000</v>
      </c>
      <c r="CO164" s="230">
        <v>119744000</v>
      </c>
      <c r="CP164" s="230">
        <v>-296000</v>
      </c>
      <c r="CQ164" s="229">
        <v>-2.5000000000000001E-3</v>
      </c>
      <c r="CR164" s="230">
        <v>84248000</v>
      </c>
      <c r="CS164" s="230">
        <v>85216000</v>
      </c>
      <c r="CT164" s="230">
        <v>-968000</v>
      </c>
      <c r="CU164" s="229">
        <v>-1.14E-2</v>
      </c>
      <c r="CV164" s="230">
        <v>436792000</v>
      </c>
      <c r="CW164" s="230">
        <v>434440000</v>
      </c>
      <c r="CX164" s="230">
        <v>2352000</v>
      </c>
      <c r="CY164" s="229">
        <v>5.4000000000000003E-3</v>
      </c>
      <c r="CZ164" s="228">
        <v>24.56</v>
      </c>
      <c r="DA164" s="228">
        <v>27.31</v>
      </c>
      <c r="DB164" s="228">
        <v>-2.75</v>
      </c>
      <c r="DC164" s="228">
        <v>-2.75</v>
      </c>
      <c r="DD164" s="228">
        <v>36.08</v>
      </c>
      <c r="DE164" s="228">
        <v>36.14</v>
      </c>
      <c r="DF164" s="228">
        <v>-11.52</v>
      </c>
      <c r="DG164" s="228">
        <v>-0.06</v>
      </c>
      <c r="DH164" s="228">
        <v>24.64</v>
      </c>
      <c r="DI164" s="228">
        <v>26.65</v>
      </c>
      <c r="DJ164" s="228">
        <v>-2.0099999999999998</v>
      </c>
      <c r="DK164" s="228">
        <v>-2.0099999999999998</v>
      </c>
      <c r="DL164" s="228">
        <v>24.4</v>
      </c>
      <c r="DM164" s="228">
        <v>28.88</v>
      </c>
      <c r="DN164" s="228">
        <v>-4.4800000000000004</v>
      </c>
      <c r="DO164" s="228">
        <v>-4.4800000000000004</v>
      </c>
      <c r="DP164" s="228">
        <v>0.71</v>
      </c>
      <c r="DQ164" s="228">
        <v>0.71</v>
      </c>
      <c r="DR164" s="228">
        <v>0</v>
      </c>
      <c r="DS164" s="229">
        <v>0</v>
      </c>
      <c r="DT164" s="228">
        <v>125</v>
      </c>
      <c r="DU164" s="228">
        <v>125</v>
      </c>
      <c r="DV164" s="228">
        <v>0.67</v>
      </c>
      <c r="DW164" s="228">
        <v>0.42</v>
      </c>
      <c r="DX164" s="228">
        <v>0.25</v>
      </c>
      <c r="DY164" s="229">
        <v>0.59519999999999995</v>
      </c>
      <c r="DZ164" s="229">
        <v>0.36109999999999998</v>
      </c>
      <c r="EA164" s="230">
        <v>43296000</v>
      </c>
      <c r="EB164" s="229">
        <v>6.8999999999999999E-3</v>
      </c>
      <c r="EC164" s="229">
        <v>0.36109999999999998</v>
      </c>
      <c r="ED164" s="228">
        <v>0.84</v>
      </c>
      <c r="EE164" s="229">
        <v>6.7000000000000002E-3</v>
      </c>
      <c r="EF164" s="230">
        <v>7016751</v>
      </c>
      <c r="EG164" s="230">
        <v>10351700</v>
      </c>
      <c r="EH164" s="229">
        <v>-0.32219999999999999</v>
      </c>
      <c r="EI164" s="229">
        <v>0.38200000000000001</v>
      </c>
      <c r="EJ164" s="231">
        <v>277069.48</v>
      </c>
      <c r="EK164" s="231">
        <v>179014.86</v>
      </c>
      <c r="EL164" s="231">
        <v>156751.9</v>
      </c>
      <c r="EM164" s="231">
        <v>6076</v>
      </c>
      <c r="EN164" s="231">
        <v>612836.24</v>
      </c>
      <c r="EO164" s="231">
        <v>664993.16</v>
      </c>
      <c r="EP164" s="231">
        <v>-52156.92</v>
      </c>
      <c r="EQ164" s="229">
        <v>-7.8399999999999997E-2</v>
      </c>
      <c r="ER164" s="231">
        <v>151437</v>
      </c>
      <c r="ES164" s="231">
        <v>100661</v>
      </c>
      <c r="ET164" s="231">
        <v>289384</v>
      </c>
      <c r="EU164" s="231">
        <v>447910372</v>
      </c>
      <c r="EV164" s="231">
        <v>541482</v>
      </c>
      <c r="EW164" s="231">
        <v>540711</v>
      </c>
      <c r="EX164" s="228">
        <v>771</v>
      </c>
      <c r="EY164" s="229">
        <v>1.4E-3</v>
      </c>
      <c r="EZ164" s="229">
        <v>0.97519999999999996</v>
      </c>
      <c r="FA164" s="227" t="s">
        <v>567</v>
      </c>
      <c r="FB164" s="161">
        <f t="shared" si="4"/>
        <v>0</v>
      </c>
    </row>
    <row r="165" spans="1:158" ht="17.25" thickBot="1" x14ac:dyDescent="0.3">
      <c r="A165" s="226">
        <v>45981</v>
      </c>
      <c r="B165" s="227" t="s">
        <v>175</v>
      </c>
      <c r="C165" s="227" t="s">
        <v>671</v>
      </c>
      <c r="D165" s="228">
        <v>650</v>
      </c>
      <c r="E165" s="228">
        <v>904.8</v>
      </c>
      <c r="F165" s="228">
        <v>908.9</v>
      </c>
      <c r="G165" s="228">
        <v>-4.0999999999999996</v>
      </c>
      <c r="H165" s="229">
        <v>-4.4999999999999997E-3</v>
      </c>
      <c r="I165" s="228">
        <v>905.25</v>
      </c>
      <c r="J165" s="228">
        <v>908.85</v>
      </c>
      <c r="K165" s="228">
        <v>-3.6</v>
      </c>
      <c r="L165" s="229">
        <v>-4.0000000000000001E-3</v>
      </c>
      <c r="M165" s="228">
        <v>904.8</v>
      </c>
      <c r="N165" s="228">
        <v>908.9</v>
      </c>
      <c r="O165" s="228">
        <v>-4.0999999999999996</v>
      </c>
      <c r="P165" s="229">
        <v>-4.4999999999999997E-3</v>
      </c>
      <c r="Q165" s="228">
        <v>910.75</v>
      </c>
      <c r="R165" s="228">
        <v>914.9</v>
      </c>
      <c r="S165" s="228">
        <v>-4.1500000000000004</v>
      </c>
      <c r="T165" s="229">
        <v>-4.4999999999999997E-3</v>
      </c>
      <c r="U165" s="228">
        <v>915.75</v>
      </c>
      <c r="V165" s="228">
        <v>921</v>
      </c>
      <c r="W165" s="228">
        <v>-5.25</v>
      </c>
      <c r="X165" s="229">
        <v>-5.7000000000000002E-3</v>
      </c>
      <c r="Y165" s="228">
        <v>-0.45</v>
      </c>
      <c r="Z165" s="228">
        <v>0.05</v>
      </c>
      <c r="AA165" s="228">
        <v>-0.5</v>
      </c>
      <c r="AB165" s="229">
        <v>-5.0000000000000001E-4</v>
      </c>
      <c r="AC165" s="228">
        <v>-0.45</v>
      </c>
      <c r="AD165" s="228">
        <v>0.05</v>
      </c>
      <c r="AE165" s="228">
        <v>-0.5</v>
      </c>
      <c r="AF165" s="229">
        <v>-5.0000000000000001E-4</v>
      </c>
      <c r="AG165" s="228">
        <v>5.5</v>
      </c>
      <c r="AH165" s="228">
        <v>6.05</v>
      </c>
      <c r="AI165" s="228">
        <v>-0.55000000000000004</v>
      </c>
      <c r="AJ165" s="229">
        <v>6.1000000000000004E-3</v>
      </c>
      <c r="AK165" s="228">
        <v>10.5</v>
      </c>
      <c r="AL165" s="228">
        <v>12.15</v>
      </c>
      <c r="AM165" s="228">
        <v>-1.65</v>
      </c>
      <c r="AN165" s="229">
        <v>1.1599999999999999E-2</v>
      </c>
      <c r="AO165" s="228">
        <v>909.35</v>
      </c>
      <c r="AP165" s="228">
        <v>915.7</v>
      </c>
      <c r="AQ165" s="228">
        <v>0</v>
      </c>
      <c r="AR165" s="230">
        <v>5413200</v>
      </c>
      <c r="AS165" s="230">
        <v>2785900</v>
      </c>
      <c r="AT165" s="230">
        <v>2627300</v>
      </c>
      <c r="AU165" s="229">
        <v>0.94310000000000005</v>
      </c>
      <c r="AV165" s="230">
        <v>2905500</v>
      </c>
      <c r="AW165" s="230">
        <v>1743300</v>
      </c>
      <c r="AX165" s="230">
        <v>1162200</v>
      </c>
      <c r="AY165" s="229">
        <v>0.66669999999999996</v>
      </c>
      <c r="AZ165" s="230">
        <v>2492750</v>
      </c>
      <c r="BA165" s="230">
        <v>1022450</v>
      </c>
      <c r="BB165" s="230">
        <v>1470300</v>
      </c>
      <c r="BC165" s="229">
        <v>1.4379999999999999</v>
      </c>
      <c r="BD165" s="230">
        <v>14950</v>
      </c>
      <c r="BE165" s="230">
        <v>20150</v>
      </c>
      <c r="BF165" s="230">
        <v>-5200</v>
      </c>
      <c r="BG165" s="229">
        <v>-0.2581</v>
      </c>
      <c r="BH165" s="230">
        <v>3433300</v>
      </c>
      <c r="BI165" s="230">
        <v>7686250</v>
      </c>
      <c r="BJ165" s="230">
        <v>-4252950</v>
      </c>
      <c r="BK165" s="229">
        <v>-0.55330000000000001</v>
      </c>
      <c r="BL165" s="230">
        <v>1290250</v>
      </c>
      <c r="BM165" s="230">
        <v>4202900</v>
      </c>
      <c r="BN165" s="230">
        <v>-2912650</v>
      </c>
      <c r="BO165" s="229">
        <v>-0.69299999999999995</v>
      </c>
      <c r="BP165" s="230">
        <v>10136750</v>
      </c>
      <c r="BQ165" s="230">
        <v>14675050</v>
      </c>
      <c r="BR165" s="230">
        <v>-4538300</v>
      </c>
      <c r="BS165" s="229">
        <v>-0.30930000000000002</v>
      </c>
      <c r="BT165" s="230">
        <v>377555</v>
      </c>
      <c r="BU165" s="230">
        <v>1043023</v>
      </c>
      <c r="BV165" s="230">
        <v>-665468</v>
      </c>
      <c r="BW165" s="229">
        <v>-0.63800000000000001</v>
      </c>
      <c r="BX165" s="230">
        <v>15870400</v>
      </c>
      <c r="BY165" s="230">
        <v>16166150</v>
      </c>
      <c r="BZ165" s="230">
        <v>-295750</v>
      </c>
      <c r="CA165" s="229">
        <v>-1.83E-2</v>
      </c>
      <c r="CB165" s="230">
        <v>12636650</v>
      </c>
      <c r="CC165" s="230">
        <v>14906450</v>
      </c>
      <c r="CD165" s="230">
        <v>-2269800</v>
      </c>
      <c r="CE165" s="229">
        <v>-0.15229999999999999</v>
      </c>
      <c r="CF165" s="230">
        <v>3173300</v>
      </c>
      <c r="CG165" s="230">
        <v>1207050</v>
      </c>
      <c r="CH165" s="230">
        <v>1966250</v>
      </c>
      <c r="CI165" s="229">
        <v>1.629</v>
      </c>
      <c r="CJ165" s="230">
        <v>60450</v>
      </c>
      <c r="CK165" s="230">
        <v>52650</v>
      </c>
      <c r="CL165" s="230">
        <v>7800</v>
      </c>
      <c r="CM165" s="229">
        <v>0.14810000000000001</v>
      </c>
      <c r="CN165" s="230">
        <v>5909800</v>
      </c>
      <c r="CO165" s="230">
        <v>6203600</v>
      </c>
      <c r="CP165" s="230">
        <v>-293800</v>
      </c>
      <c r="CQ165" s="229">
        <v>-4.7399999999999998E-2</v>
      </c>
      <c r="CR165" s="230">
        <v>4717050</v>
      </c>
      <c r="CS165" s="230">
        <v>4821050</v>
      </c>
      <c r="CT165" s="230">
        <v>-104000</v>
      </c>
      <c r="CU165" s="229">
        <v>-2.1600000000000001E-2</v>
      </c>
      <c r="CV165" s="230">
        <v>26497250</v>
      </c>
      <c r="CW165" s="230">
        <v>27190800</v>
      </c>
      <c r="CX165" s="230">
        <v>-693550</v>
      </c>
      <c r="CY165" s="229">
        <v>-2.5499999999999998E-2</v>
      </c>
      <c r="CZ165" s="228">
        <v>29.32</v>
      </c>
      <c r="DA165" s="228">
        <v>30.93</v>
      </c>
      <c r="DB165" s="228">
        <v>-1.61</v>
      </c>
      <c r="DC165" s="228">
        <v>-1.61</v>
      </c>
      <c r="DD165" s="228">
        <v>47.04</v>
      </c>
      <c r="DE165" s="228">
        <v>47.16</v>
      </c>
      <c r="DF165" s="228">
        <v>-17.72</v>
      </c>
      <c r="DG165" s="228">
        <v>-0.12</v>
      </c>
      <c r="DH165" s="228">
        <v>29.42</v>
      </c>
      <c r="DI165" s="228">
        <v>31.24</v>
      </c>
      <c r="DJ165" s="228">
        <v>-1.82</v>
      </c>
      <c r="DK165" s="228">
        <v>-1.82</v>
      </c>
      <c r="DL165" s="228">
        <v>29.15</v>
      </c>
      <c r="DM165" s="228">
        <v>30.37</v>
      </c>
      <c r="DN165" s="228">
        <v>-1.22</v>
      </c>
      <c r="DO165" s="228">
        <v>-1.22</v>
      </c>
      <c r="DP165" s="228">
        <v>0.8</v>
      </c>
      <c r="DQ165" s="228">
        <v>0.78</v>
      </c>
      <c r="DR165" s="228">
        <v>0.02</v>
      </c>
      <c r="DS165" s="229">
        <v>2.5600000000000001E-2</v>
      </c>
      <c r="DT165" s="231">
        <v>1000</v>
      </c>
      <c r="DU165" s="228">
        <v>900</v>
      </c>
      <c r="DV165" s="228">
        <v>0.38</v>
      </c>
      <c r="DW165" s="228">
        <v>0.55000000000000004</v>
      </c>
      <c r="DX165" s="228">
        <v>-0.17</v>
      </c>
      <c r="DY165" s="229">
        <v>-0.30909999999999999</v>
      </c>
      <c r="DZ165" s="229">
        <v>0.20380000000000001</v>
      </c>
      <c r="EA165" s="230">
        <v>1259700</v>
      </c>
      <c r="EB165" s="229">
        <v>6.6E-3</v>
      </c>
      <c r="EC165" s="229">
        <v>0.20380000000000001</v>
      </c>
      <c r="ED165" s="228">
        <v>6.35</v>
      </c>
      <c r="EE165" s="229">
        <v>7.0000000000000001E-3</v>
      </c>
      <c r="EF165" s="230">
        <v>162159</v>
      </c>
      <c r="EG165" s="230">
        <v>380841</v>
      </c>
      <c r="EH165" s="229">
        <v>-0.57420000000000004</v>
      </c>
      <c r="EI165" s="229">
        <v>0.42949999999999999</v>
      </c>
      <c r="EJ165" s="231">
        <v>32520.07</v>
      </c>
      <c r="EK165" s="231">
        <v>11558.11</v>
      </c>
      <c r="EL165" s="231">
        <v>49384.91</v>
      </c>
      <c r="EM165" s="231">
        <v>3202</v>
      </c>
      <c r="EN165" s="231">
        <v>93463.09</v>
      </c>
      <c r="EO165" s="231">
        <v>135768.43</v>
      </c>
      <c r="EP165" s="231">
        <v>-42305.34</v>
      </c>
      <c r="EQ165" s="229">
        <v>-0.31159999999999999</v>
      </c>
      <c r="ER165" s="231">
        <v>56340</v>
      </c>
      <c r="ES165" s="231">
        <v>41693</v>
      </c>
      <c r="ET165" s="231">
        <v>143791</v>
      </c>
      <c r="EU165" s="231">
        <v>28062406</v>
      </c>
      <c r="EV165" s="231">
        <v>241824</v>
      </c>
      <c r="EW165" s="231">
        <v>248814</v>
      </c>
      <c r="EX165" s="231">
        <v>-6990</v>
      </c>
      <c r="EY165" s="229">
        <v>-2.81E-2</v>
      </c>
      <c r="EZ165" s="229">
        <v>0.94420000000000004</v>
      </c>
      <c r="FA165" s="227" t="s">
        <v>568</v>
      </c>
      <c r="FB165" s="161">
        <f t="shared" si="4"/>
        <v>0</v>
      </c>
    </row>
    <row r="166" spans="1:158" ht="17.25" thickBot="1" x14ac:dyDescent="0.3">
      <c r="A166" s="226">
        <v>45981</v>
      </c>
      <c r="B166" s="227" t="s">
        <v>615</v>
      </c>
      <c r="C166" s="227" t="s">
        <v>573</v>
      </c>
      <c r="D166" s="228">
        <v>350</v>
      </c>
      <c r="E166" s="231">
        <v>1842.6</v>
      </c>
      <c r="F166" s="231">
        <v>1853</v>
      </c>
      <c r="G166" s="228">
        <v>-10.4</v>
      </c>
      <c r="H166" s="229">
        <v>-5.5999999999999999E-3</v>
      </c>
      <c r="I166" s="231">
        <v>1843.9</v>
      </c>
      <c r="J166" s="231">
        <v>1850.7</v>
      </c>
      <c r="K166" s="228">
        <v>-6.8</v>
      </c>
      <c r="L166" s="229">
        <v>-3.7000000000000002E-3</v>
      </c>
      <c r="M166" s="231">
        <v>1842.6</v>
      </c>
      <c r="N166" s="231">
        <v>1853</v>
      </c>
      <c r="O166" s="228">
        <v>-10.4</v>
      </c>
      <c r="P166" s="229">
        <v>-5.5999999999999999E-3</v>
      </c>
      <c r="Q166" s="231">
        <v>1855</v>
      </c>
      <c r="R166" s="231">
        <v>1865.7</v>
      </c>
      <c r="S166" s="228">
        <v>-10.7</v>
      </c>
      <c r="T166" s="229">
        <v>-5.7000000000000002E-3</v>
      </c>
      <c r="U166" s="231">
        <v>1869.5</v>
      </c>
      <c r="V166" s="231">
        <v>1871.8</v>
      </c>
      <c r="W166" s="228">
        <v>-2.2999999999999998</v>
      </c>
      <c r="X166" s="229">
        <v>-1.1999999999999999E-3</v>
      </c>
      <c r="Y166" s="228">
        <v>-1.3</v>
      </c>
      <c r="Z166" s="228">
        <v>2.2999999999999998</v>
      </c>
      <c r="AA166" s="228">
        <v>-3.6</v>
      </c>
      <c r="AB166" s="229">
        <v>-6.9999999999999999E-4</v>
      </c>
      <c r="AC166" s="228">
        <v>-1.3</v>
      </c>
      <c r="AD166" s="228">
        <v>2.2999999999999998</v>
      </c>
      <c r="AE166" s="228">
        <v>-3.6</v>
      </c>
      <c r="AF166" s="229">
        <v>-6.9999999999999999E-4</v>
      </c>
      <c r="AG166" s="228">
        <v>11.1</v>
      </c>
      <c r="AH166" s="228">
        <v>15</v>
      </c>
      <c r="AI166" s="228">
        <v>-3.9</v>
      </c>
      <c r="AJ166" s="229">
        <v>6.0000000000000001E-3</v>
      </c>
      <c r="AK166" s="228">
        <v>25.6</v>
      </c>
      <c r="AL166" s="228">
        <v>21.1</v>
      </c>
      <c r="AM166" s="228">
        <v>4.5</v>
      </c>
      <c r="AN166" s="229">
        <v>1.3899999999999999E-2</v>
      </c>
      <c r="AO166" s="231">
        <v>1846.42</v>
      </c>
      <c r="AP166" s="231">
        <v>1859</v>
      </c>
      <c r="AQ166" s="228">
        <v>0</v>
      </c>
      <c r="AR166" s="230">
        <v>4518150</v>
      </c>
      <c r="AS166" s="230">
        <v>2341850</v>
      </c>
      <c r="AT166" s="230">
        <v>2176300</v>
      </c>
      <c r="AU166" s="229">
        <v>0.92930000000000001</v>
      </c>
      <c r="AV166" s="230">
        <v>2482900</v>
      </c>
      <c r="AW166" s="230">
        <v>1830500</v>
      </c>
      <c r="AX166" s="230">
        <v>652400</v>
      </c>
      <c r="AY166" s="229">
        <v>0.35639999999999999</v>
      </c>
      <c r="AZ166" s="230">
        <v>2032100</v>
      </c>
      <c r="BA166" s="230">
        <v>503650</v>
      </c>
      <c r="BB166" s="230">
        <v>1528450</v>
      </c>
      <c r="BC166" s="229">
        <v>3.0347</v>
      </c>
      <c r="BD166" s="230">
        <v>3150</v>
      </c>
      <c r="BE166" s="230">
        <v>7700</v>
      </c>
      <c r="BF166" s="230">
        <v>-4550</v>
      </c>
      <c r="BG166" s="229">
        <v>-0.59089999999999998</v>
      </c>
      <c r="BH166" s="230">
        <v>3333400</v>
      </c>
      <c r="BI166" s="230">
        <v>10927350</v>
      </c>
      <c r="BJ166" s="230">
        <v>-7593950</v>
      </c>
      <c r="BK166" s="229">
        <v>-0.69489999999999996</v>
      </c>
      <c r="BL166" s="230">
        <v>1938300</v>
      </c>
      <c r="BM166" s="230">
        <v>4716250</v>
      </c>
      <c r="BN166" s="230">
        <v>-2777950</v>
      </c>
      <c r="BO166" s="229">
        <v>-0.58899999999999997</v>
      </c>
      <c r="BP166" s="230">
        <v>9789850</v>
      </c>
      <c r="BQ166" s="230">
        <v>17985450</v>
      </c>
      <c r="BR166" s="230">
        <v>-8195600</v>
      </c>
      <c r="BS166" s="229">
        <v>-0.45569999999999999</v>
      </c>
      <c r="BT166" s="230">
        <v>861080</v>
      </c>
      <c r="BU166" s="230">
        <v>2517227</v>
      </c>
      <c r="BV166" s="230">
        <v>-1656147</v>
      </c>
      <c r="BW166" s="229">
        <v>-0.65790000000000004</v>
      </c>
      <c r="BX166" s="230">
        <v>8534400</v>
      </c>
      <c r="BY166" s="230">
        <v>8706600</v>
      </c>
      <c r="BZ166" s="230">
        <v>-172200</v>
      </c>
      <c r="CA166" s="229">
        <v>-1.9800000000000002E-2</v>
      </c>
      <c r="CB166" s="230">
        <v>6220900</v>
      </c>
      <c r="CC166" s="230">
        <v>8040200</v>
      </c>
      <c r="CD166" s="230">
        <v>-1819300</v>
      </c>
      <c r="CE166" s="229">
        <v>-0.2263</v>
      </c>
      <c r="CF166" s="230">
        <v>2297750</v>
      </c>
      <c r="CG166" s="230">
        <v>651000</v>
      </c>
      <c r="CH166" s="230">
        <v>1646750</v>
      </c>
      <c r="CI166" s="229">
        <v>2.5295999999999998</v>
      </c>
      <c r="CJ166" s="230">
        <v>15750</v>
      </c>
      <c r="CK166" s="230">
        <v>15400</v>
      </c>
      <c r="CL166" s="228">
        <v>350</v>
      </c>
      <c r="CM166" s="229">
        <v>2.2700000000000001E-2</v>
      </c>
      <c r="CN166" s="230">
        <v>2612050</v>
      </c>
      <c r="CO166" s="230">
        <v>2806300</v>
      </c>
      <c r="CP166" s="230">
        <v>-194250</v>
      </c>
      <c r="CQ166" s="229">
        <v>-6.9199999999999998E-2</v>
      </c>
      <c r="CR166" s="230">
        <v>1538600</v>
      </c>
      <c r="CS166" s="230">
        <v>1607900</v>
      </c>
      <c r="CT166" s="230">
        <v>-69300</v>
      </c>
      <c r="CU166" s="229">
        <v>-4.3099999999999999E-2</v>
      </c>
      <c r="CV166" s="230">
        <v>12685050</v>
      </c>
      <c r="CW166" s="230">
        <v>13120800</v>
      </c>
      <c r="CX166" s="230">
        <v>-435750</v>
      </c>
      <c r="CY166" s="229">
        <v>-3.32E-2</v>
      </c>
      <c r="CZ166" s="228">
        <v>31.4</v>
      </c>
      <c r="DA166" s="228">
        <v>29.17</v>
      </c>
      <c r="DB166" s="228">
        <v>2.23</v>
      </c>
      <c r="DC166" s="228">
        <v>2.23</v>
      </c>
      <c r="DD166" s="228">
        <v>47.63</v>
      </c>
      <c r="DE166" s="228">
        <v>47.75</v>
      </c>
      <c r="DF166" s="228">
        <v>-16.23</v>
      </c>
      <c r="DG166" s="228">
        <v>-0.12</v>
      </c>
      <c r="DH166" s="228">
        <v>31.03</v>
      </c>
      <c r="DI166" s="228">
        <v>28.24</v>
      </c>
      <c r="DJ166" s="228">
        <v>2.79</v>
      </c>
      <c r="DK166" s="228">
        <v>2.79</v>
      </c>
      <c r="DL166" s="228">
        <v>31.78</v>
      </c>
      <c r="DM166" s="228">
        <v>31.33</v>
      </c>
      <c r="DN166" s="228">
        <v>0.45</v>
      </c>
      <c r="DO166" s="228">
        <v>0.45</v>
      </c>
      <c r="DP166" s="228">
        <v>0.59</v>
      </c>
      <c r="DQ166" s="228">
        <v>0.56999999999999995</v>
      </c>
      <c r="DR166" s="228">
        <v>0.02</v>
      </c>
      <c r="DS166" s="229">
        <v>3.5099999999999999E-2</v>
      </c>
      <c r="DT166" s="231">
        <v>1900</v>
      </c>
      <c r="DU166" s="231">
        <v>1800</v>
      </c>
      <c r="DV166" s="228">
        <v>0.57999999999999996</v>
      </c>
      <c r="DW166" s="228">
        <v>0.43</v>
      </c>
      <c r="DX166" s="228">
        <v>0.15</v>
      </c>
      <c r="DY166" s="229">
        <v>0.3488</v>
      </c>
      <c r="DZ166" s="229">
        <v>0.27110000000000001</v>
      </c>
      <c r="EA166" s="230">
        <v>666400</v>
      </c>
      <c r="EB166" s="229">
        <v>6.7000000000000002E-3</v>
      </c>
      <c r="EC166" s="229">
        <v>0.27110000000000001</v>
      </c>
      <c r="ED166" s="228">
        <v>12.58</v>
      </c>
      <c r="EE166" s="229">
        <v>6.7999999999999996E-3</v>
      </c>
      <c r="EF166" s="230">
        <v>511820</v>
      </c>
      <c r="EG166" s="230">
        <v>1707339</v>
      </c>
      <c r="EH166" s="229">
        <v>-0.70020000000000004</v>
      </c>
      <c r="EI166" s="229">
        <v>0.59440000000000004</v>
      </c>
      <c r="EJ166" s="231">
        <v>63712.97</v>
      </c>
      <c r="EK166" s="231">
        <v>34832.5</v>
      </c>
      <c r="EL166" s="231">
        <v>83680.11</v>
      </c>
      <c r="EM166" s="231">
        <v>5279</v>
      </c>
      <c r="EN166" s="231">
        <v>182225.58</v>
      </c>
      <c r="EO166" s="231">
        <v>335810.88</v>
      </c>
      <c r="EP166" s="231">
        <v>-153585.29999999999</v>
      </c>
      <c r="EQ166" s="229">
        <v>-0.45739999999999997</v>
      </c>
      <c r="ER166" s="231">
        <v>49630</v>
      </c>
      <c r="ES166" s="231">
        <v>26579</v>
      </c>
      <c r="ET166" s="231">
        <v>157544</v>
      </c>
      <c r="EU166" s="231">
        <v>51720057</v>
      </c>
      <c r="EV166" s="231">
        <v>233753</v>
      </c>
      <c r="EW166" s="231">
        <v>242576</v>
      </c>
      <c r="EX166" s="231">
        <v>-8823</v>
      </c>
      <c r="EY166" s="229">
        <v>-3.6400000000000002E-2</v>
      </c>
      <c r="EZ166" s="229">
        <v>0.24529999999999999</v>
      </c>
      <c r="FA166" s="227" t="s">
        <v>568</v>
      </c>
      <c r="FB166" s="161">
        <f t="shared" si="4"/>
        <v>0</v>
      </c>
    </row>
    <row r="167" spans="1:158" ht="17.25" thickBot="1" x14ac:dyDescent="0.3">
      <c r="A167" s="226">
        <v>45981</v>
      </c>
      <c r="B167" s="227" t="s">
        <v>184</v>
      </c>
      <c r="C167" s="227" t="s">
        <v>519</v>
      </c>
      <c r="D167" s="228">
        <v>125</v>
      </c>
      <c r="E167" s="231">
        <v>7658.5</v>
      </c>
      <c r="F167" s="231">
        <v>7693.5</v>
      </c>
      <c r="G167" s="228">
        <v>-35</v>
      </c>
      <c r="H167" s="229">
        <v>-4.4999999999999997E-3</v>
      </c>
      <c r="I167" s="231">
        <v>7648.5</v>
      </c>
      <c r="J167" s="231">
        <v>7688</v>
      </c>
      <c r="K167" s="228">
        <v>-39.5</v>
      </c>
      <c r="L167" s="229">
        <v>-5.1000000000000004E-3</v>
      </c>
      <c r="M167" s="231">
        <v>7658.5</v>
      </c>
      <c r="N167" s="231">
        <v>7693.5</v>
      </c>
      <c r="O167" s="228">
        <v>-35</v>
      </c>
      <c r="P167" s="229">
        <v>-4.4999999999999997E-3</v>
      </c>
      <c r="Q167" s="231">
        <v>7712</v>
      </c>
      <c r="R167" s="231">
        <v>7743</v>
      </c>
      <c r="S167" s="228">
        <v>-31</v>
      </c>
      <c r="T167" s="229">
        <v>-4.0000000000000001E-3</v>
      </c>
      <c r="U167" s="231">
        <v>7746</v>
      </c>
      <c r="V167" s="231">
        <v>7786.5</v>
      </c>
      <c r="W167" s="228">
        <v>-40.5</v>
      </c>
      <c r="X167" s="229">
        <v>-5.1999999999999998E-3</v>
      </c>
      <c r="Y167" s="228">
        <v>10</v>
      </c>
      <c r="Z167" s="228">
        <v>5.5</v>
      </c>
      <c r="AA167" s="228">
        <v>4.5</v>
      </c>
      <c r="AB167" s="229">
        <v>1.2999999999999999E-3</v>
      </c>
      <c r="AC167" s="228">
        <v>10</v>
      </c>
      <c r="AD167" s="228">
        <v>5.5</v>
      </c>
      <c r="AE167" s="228">
        <v>4.5</v>
      </c>
      <c r="AF167" s="229">
        <v>1.2999999999999999E-3</v>
      </c>
      <c r="AG167" s="228">
        <v>63.5</v>
      </c>
      <c r="AH167" s="228">
        <v>55</v>
      </c>
      <c r="AI167" s="228">
        <v>8.5</v>
      </c>
      <c r="AJ167" s="229">
        <v>8.3000000000000001E-3</v>
      </c>
      <c r="AK167" s="228">
        <v>97.5</v>
      </c>
      <c r="AL167" s="228">
        <v>98.5</v>
      </c>
      <c r="AM167" s="228">
        <v>-1</v>
      </c>
      <c r="AN167" s="229">
        <v>1.2699999999999999E-2</v>
      </c>
      <c r="AO167" s="231">
        <v>7689.88</v>
      </c>
      <c r="AP167" s="231">
        <v>7741.29</v>
      </c>
      <c r="AQ167" s="228">
        <v>0</v>
      </c>
      <c r="AR167" s="230">
        <v>1070125</v>
      </c>
      <c r="AS167" s="230">
        <v>194375</v>
      </c>
      <c r="AT167" s="230">
        <v>875750</v>
      </c>
      <c r="AU167" s="229">
        <v>4.5054999999999996</v>
      </c>
      <c r="AV167" s="230">
        <v>520375</v>
      </c>
      <c r="AW167" s="230">
        <v>154625</v>
      </c>
      <c r="AX167" s="230">
        <v>365750</v>
      </c>
      <c r="AY167" s="229">
        <v>2.3654000000000002</v>
      </c>
      <c r="AZ167" s="230">
        <v>548375</v>
      </c>
      <c r="BA167" s="230">
        <v>38250</v>
      </c>
      <c r="BB167" s="230">
        <v>510125</v>
      </c>
      <c r="BC167" s="229">
        <v>13.336600000000001</v>
      </c>
      <c r="BD167" s="230">
        <v>1375</v>
      </c>
      <c r="BE167" s="230">
        <v>1500</v>
      </c>
      <c r="BF167" s="228">
        <v>-125</v>
      </c>
      <c r="BG167" s="229">
        <v>-8.3299999999999999E-2</v>
      </c>
      <c r="BH167" s="230">
        <v>960500</v>
      </c>
      <c r="BI167" s="230">
        <v>850750</v>
      </c>
      <c r="BJ167" s="230">
        <v>109750</v>
      </c>
      <c r="BK167" s="229">
        <v>0.129</v>
      </c>
      <c r="BL167" s="230">
        <v>405250</v>
      </c>
      <c r="BM167" s="230">
        <v>286000</v>
      </c>
      <c r="BN167" s="230">
        <v>119250</v>
      </c>
      <c r="BO167" s="229">
        <v>0.41699999999999998</v>
      </c>
      <c r="BP167" s="230">
        <v>2435875</v>
      </c>
      <c r="BQ167" s="230">
        <v>1331125</v>
      </c>
      <c r="BR167" s="230">
        <v>1104750</v>
      </c>
      <c r="BS167" s="229">
        <v>0.82989999999999997</v>
      </c>
      <c r="BT167" s="230">
        <v>226372</v>
      </c>
      <c r="BU167" s="230">
        <v>142545</v>
      </c>
      <c r="BV167" s="230">
        <v>83827</v>
      </c>
      <c r="BW167" s="229">
        <v>0.58809999999999996</v>
      </c>
      <c r="BX167" s="230">
        <v>1524875</v>
      </c>
      <c r="BY167" s="230">
        <v>1459875</v>
      </c>
      <c r="BZ167" s="230">
        <v>65000</v>
      </c>
      <c r="CA167" s="229">
        <v>4.4499999999999998E-2</v>
      </c>
      <c r="CB167" s="230">
        <v>1005250</v>
      </c>
      <c r="CC167" s="230">
        <v>1375750</v>
      </c>
      <c r="CD167" s="230">
        <v>-370500</v>
      </c>
      <c r="CE167" s="229">
        <v>-0.26929999999999998</v>
      </c>
      <c r="CF167" s="230">
        <v>513750</v>
      </c>
      <c r="CG167" s="230">
        <v>78750</v>
      </c>
      <c r="CH167" s="230">
        <v>435000</v>
      </c>
      <c r="CI167" s="229">
        <v>5.5237999999999996</v>
      </c>
      <c r="CJ167" s="230">
        <v>5875</v>
      </c>
      <c r="CK167" s="230">
        <v>5375</v>
      </c>
      <c r="CL167" s="228">
        <v>500</v>
      </c>
      <c r="CM167" s="229">
        <v>9.2999999999999999E-2</v>
      </c>
      <c r="CN167" s="230">
        <v>762875</v>
      </c>
      <c r="CO167" s="230">
        <v>829875</v>
      </c>
      <c r="CP167" s="230">
        <v>-67000</v>
      </c>
      <c r="CQ167" s="229">
        <v>-8.0699999999999994E-2</v>
      </c>
      <c r="CR167" s="230">
        <v>377250</v>
      </c>
      <c r="CS167" s="230">
        <v>430625</v>
      </c>
      <c r="CT167" s="230">
        <v>-53375</v>
      </c>
      <c r="CU167" s="229">
        <v>-0.1239</v>
      </c>
      <c r="CV167" s="230">
        <v>2665000</v>
      </c>
      <c r="CW167" s="230">
        <v>2720375</v>
      </c>
      <c r="CX167" s="230">
        <v>-55375</v>
      </c>
      <c r="CY167" s="229">
        <v>-2.0400000000000001E-2</v>
      </c>
      <c r="CZ167" s="228">
        <v>21.58</v>
      </c>
      <c r="DA167" s="228">
        <v>23.72</v>
      </c>
      <c r="DB167" s="228">
        <v>-2.14</v>
      </c>
      <c r="DC167" s="228">
        <v>-2.14</v>
      </c>
      <c r="DD167" s="228">
        <v>39.46</v>
      </c>
      <c r="DE167" s="228">
        <v>39.549999999999997</v>
      </c>
      <c r="DF167" s="228">
        <v>-17.88</v>
      </c>
      <c r="DG167" s="228">
        <v>-0.09</v>
      </c>
      <c r="DH167" s="228">
        <v>22.13</v>
      </c>
      <c r="DI167" s="228">
        <v>23.23</v>
      </c>
      <c r="DJ167" s="228">
        <v>-1.1000000000000001</v>
      </c>
      <c r="DK167" s="228">
        <v>-1.1000000000000001</v>
      </c>
      <c r="DL167" s="228">
        <v>20.96</v>
      </c>
      <c r="DM167" s="228">
        <v>25.17</v>
      </c>
      <c r="DN167" s="228">
        <v>-4.21</v>
      </c>
      <c r="DO167" s="228">
        <v>-4.21</v>
      </c>
      <c r="DP167" s="228">
        <v>0.49</v>
      </c>
      <c r="DQ167" s="228">
        <v>0.52</v>
      </c>
      <c r="DR167" s="228">
        <v>-0.03</v>
      </c>
      <c r="DS167" s="229">
        <v>-5.7700000000000001E-2</v>
      </c>
      <c r="DT167" s="231">
        <v>7800</v>
      </c>
      <c r="DU167" s="231">
        <v>7700</v>
      </c>
      <c r="DV167" s="228">
        <v>0.42</v>
      </c>
      <c r="DW167" s="228">
        <v>0.34</v>
      </c>
      <c r="DX167" s="228">
        <v>0.08</v>
      </c>
      <c r="DY167" s="229">
        <v>0.23530000000000001</v>
      </c>
      <c r="DZ167" s="229">
        <v>0.34079999999999999</v>
      </c>
      <c r="EA167" s="230">
        <v>84125</v>
      </c>
      <c r="EB167" s="229">
        <v>7.0000000000000001E-3</v>
      </c>
      <c r="EC167" s="229">
        <v>0.34079999999999999</v>
      </c>
      <c r="ED167" s="228">
        <v>51.41</v>
      </c>
      <c r="EE167" s="229">
        <v>6.7000000000000002E-3</v>
      </c>
      <c r="EF167" s="230">
        <v>166105</v>
      </c>
      <c r="EG167" s="230">
        <v>90393</v>
      </c>
      <c r="EH167" s="229">
        <v>0.83760000000000001</v>
      </c>
      <c r="EI167" s="229">
        <v>0.73380000000000001</v>
      </c>
      <c r="EJ167" s="231">
        <v>75887.899999999994</v>
      </c>
      <c r="EK167" s="231">
        <v>30692.89</v>
      </c>
      <c r="EL167" s="231">
        <v>82574.38</v>
      </c>
      <c r="EM167" s="231">
        <v>2085</v>
      </c>
      <c r="EN167" s="231">
        <v>189155.17</v>
      </c>
      <c r="EO167" s="231">
        <v>103550.88</v>
      </c>
      <c r="EP167" s="231">
        <v>85604.29</v>
      </c>
      <c r="EQ167" s="229">
        <v>0.82669999999999999</v>
      </c>
      <c r="ER167" s="231">
        <v>60445</v>
      </c>
      <c r="ES167" s="231">
        <v>28175</v>
      </c>
      <c r="ET167" s="231">
        <v>117063</v>
      </c>
      <c r="EU167" s="231">
        <v>8350688</v>
      </c>
      <c r="EV167" s="231">
        <v>205683</v>
      </c>
      <c r="EW167" s="231">
        <v>210385</v>
      </c>
      <c r="EX167" s="231">
        <v>-4702</v>
      </c>
      <c r="EY167" s="229">
        <v>-2.23E-2</v>
      </c>
      <c r="EZ167" s="229">
        <v>0.31909999999999999</v>
      </c>
      <c r="FA167" s="227" t="s">
        <v>567</v>
      </c>
      <c r="FB167" s="161">
        <f t="shared" si="4"/>
        <v>0</v>
      </c>
    </row>
    <row r="168" spans="1:158" ht="17.25" thickBot="1" x14ac:dyDescent="0.3">
      <c r="A168" s="226">
        <v>45981</v>
      </c>
      <c r="B168" s="227" t="s">
        <v>161</v>
      </c>
      <c r="C168" s="227" t="s">
        <v>276</v>
      </c>
      <c r="D168" s="228">
        <v>1900</v>
      </c>
      <c r="E168" s="228">
        <v>276.95</v>
      </c>
      <c r="F168" s="228">
        <v>275</v>
      </c>
      <c r="G168" s="228">
        <v>1.95</v>
      </c>
      <c r="H168" s="229">
        <v>7.1000000000000004E-3</v>
      </c>
      <c r="I168" s="228">
        <v>277.2</v>
      </c>
      <c r="J168" s="228">
        <v>275.14999999999998</v>
      </c>
      <c r="K168" s="228">
        <v>2.0499999999999998</v>
      </c>
      <c r="L168" s="229">
        <v>7.4999999999999997E-3</v>
      </c>
      <c r="M168" s="228">
        <v>276.95</v>
      </c>
      <c r="N168" s="228">
        <v>275</v>
      </c>
      <c r="O168" s="228">
        <v>1.95</v>
      </c>
      <c r="P168" s="229">
        <v>7.1000000000000004E-3</v>
      </c>
      <c r="Q168" s="228">
        <v>278.8</v>
      </c>
      <c r="R168" s="228">
        <v>276.89999999999998</v>
      </c>
      <c r="S168" s="228">
        <v>1.9</v>
      </c>
      <c r="T168" s="229">
        <v>6.8999999999999999E-3</v>
      </c>
      <c r="U168" s="228">
        <v>280.60000000000002</v>
      </c>
      <c r="V168" s="228">
        <v>278.35000000000002</v>
      </c>
      <c r="W168" s="228">
        <v>2.25</v>
      </c>
      <c r="X168" s="229">
        <v>8.0999999999999996E-3</v>
      </c>
      <c r="Y168" s="228">
        <v>-0.25</v>
      </c>
      <c r="Z168" s="228">
        <v>-0.15</v>
      </c>
      <c r="AA168" s="228">
        <v>-0.1</v>
      </c>
      <c r="AB168" s="229">
        <v>-8.9999999999999998E-4</v>
      </c>
      <c r="AC168" s="228">
        <v>-0.25</v>
      </c>
      <c r="AD168" s="228">
        <v>-0.15</v>
      </c>
      <c r="AE168" s="228">
        <v>-0.1</v>
      </c>
      <c r="AF168" s="229">
        <v>-8.9999999999999998E-4</v>
      </c>
      <c r="AG168" s="228">
        <v>1.6</v>
      </c>
      <c r="AH168" s="228">
        <v>1.75</v>
      </c>
      <c r="AI168" s="228">
        <v>-0.15</v>
      </c>
      <c r="AJ168" s="229">
        <v>5.7999999999999996E-3</v>
      </c>
      <c r="AK168" s="228">
        <v>3.4</v>
      </c>
      <c r="AL168" s="228">
        <v>3.2</v>
      </c>
      <c r="AM168" s="228">
        <v>0.2</v>
      </c>
      <c r="AN168" s="229">
        <v>1.23E-2</v>
      </c>
      <c r="AO168" s="228">
        <v>277.51</v>
      </c>
      <c r="AP168" s="228">
        <v>279.33999999999997</v>
      </c>
      <c r="AQ168" s="228">
        <v>0</v>
      </c>
      <c r="AR168" s="230">
        <v>49122600</v>
      </c>
      <c r="AS168" s="230">
        <v>11945300</v>
      </c>
      <c r="AT168" s="230">
        <v>37177300</v>
      </c>
      <c r="AU168" s="229">
        <v>3.1122999999999998</v>
      </c>
      <c r="AV168" s="230">
        <v>27759000</v>
      </c>
      <c r="AW168" s="230">
        <v>9049700</v>
      </c>
      <c r="AX168" s="230">
        <v>18709300</v>
      </c>
      <c r="AY168" s="229">
        <v>2.0674000000000001</v>
      </c>
      <c r="AZ168" s="230">
        <v>21215400</v>
      </c>
      <c r="BA168" s="230">
        <v>2798700</v>
      </c>
      <c r="BB168" s="230">
        <v>18416700</v>
      </c>
      <c r="BC168" s="229">
        <v>6.5804</v>
      </c>
      <c r="BD168" s="230">
        <v>148200</v>
      </c>
      <c r="BE168" s="230">
        <v>96900</v>
      </c>
      <c r="BF168" s="230">
        <v>51300</v>
      </c>
      <c r="BG168" s="229">
        <v>0.52939999999999998</v>
      </c>
      <c r="BH168" s="230">
        <v>38410400</v>
      </c>
      <c r="BI168" s="230">
        <v>34555300</v>
      </c>
      <c r="BJ168" s="230">
        <v>3855100</v>
      </c>
      <c r="BK168" s="229">
        <v>0.1116</v>
      </c>
      <c r="BL168" s="230">
        <v>15849800</v>
      </c>
      <c r="BM168" s="230">
        <v>10351200</v>
      </c>
      <c r="BN168" s="230">
        <v>5498600</v>
      </c>
      <c r="BO168" s="229">
        <v>0.53120000000000001</v>
      </c>
      <c r="BP168" s="230">
        <v>103382800</v>
      </c>
      <c r="BQ168" s="230">
        <v>56851800</v>
      </c>
      <c r="BR168" s="230">
        <v>46531000</v>
      </c>
      <c r="BS168" s="229">
        <v>0.81850000000000001</v>
      </c>
      <c r="BT168" s="230">
        <v>16428419</v>
      </c>
      <c r="BU168" s="230">
        <v>16507447</v>
      </c>
      <c r="BV168" s="230">
        <v>-79028</v>
      </c>
      <c r="BW168" s="229">
        <v>-4.7999999999999996E-3</v>
      </c>
      <c r="BX168" s="230">
        <v>77320500</v>
      </c>
      <c r="BY168" s="230">
        <v>80816500</v>
      </c>
      <c r="BZ168" s="230">
        <v>-3496000</v>
      </c>
      <c r="CA168" s="229">
        <v>-4.3299999999999998E-2</v>
      </c>
      <c r="CB168" s="230">
        <v>49329700</v>
      </c>
      <c r="CC168" s="230">
        <v>69363300</v>
      </c>
      <c r="CD168" s="230">
        <v>-20033600</v>
      </c>
      <c r="CE168" s="229">
        <v>-0.2888</v>
      </c>
      <c r="CF168" s="230">
        <v>26938200</v>
      </c>
      <c r="CG168" s="230">
        <v>10410100</v>
      </c>
      <c r="CH168" s="230">
        <v>16528100</v>
      </c>
      <c r="CI168" s="229">
        <v>1.5876999999999999</v>
      </c>
      <c r="CJ168" s="230">
        <v>1052600</v>
      </c>
      <c r="CK168" s="230">
        <v>1043100</v>
      </c>
      <c r="CL168" s="230">
        <v>9500</v>
      </c>
      <c r="CM168" s="229">
        <v>9.1000000000000004E-3</v>
      </c>
      <c r="CN168" s="230">
        <v>36920800</v>
      </c>
      <c r="CO168" s="230">
        <v>40528900</v>
      </c>
      <c r="CP168" s="230">
        <v>-3608100</v>
      </c>
      <c r="CQ168" s="229">
        <v>-8.8999999999999996E-2</v>
      </c>
      <c r="CR168" s="230">
        <v>20816400</v>
      </c>
      <c r="CS168" s="230">
        <v>21652400</v>
      </c>
      <c r="CT168" s="230">
        <v>-836000</v>
      </c>
      <c r="CU168" s="229">
        <v>-3.8600000000000002E-2</v>
      </c>
      <c r="CV168" s="230">
        <v>135057700</v>
      </c>
      <c r="CW168" s="230">
        <v>142997800</v>
      </c>
      <c r="CX168" s="230">
        <v>-7940100</v>
      </c>
      <c r="CY168" s="229">
        <v>-5.5500000000000001E-2</v>
      </c>
      <c r="CZ168" s="228">
        <v>18.34</v>
      </c>
      <c r="DA168" s="228">
        <v>19.940000000000001</v>
      </c>
      <c r="DB168" s="228">
        <v>-1.6</v>
      </c>
      <c r="DC168" s="228">
        <v>-1.6</v>
      </c>
      <c r="DD168" s="228">
        <v>28.83</v>
      </c>
      <c r="DE168" s="228">
        <v>28.88</v>
      </c>
      <c r="DF168" s="228">
        <v>-10.49</v>
      </c>
      <c r="DG168" s="228">
        <v>-0.05</v>
      </c>
      <c r="DH168" s="228">
        <v>18.72</v>
      </c>
      <c r="DI168" s="228">
        <v>20.02</v>
      </c>
      <c r="DJ168" s="228">
        <v>-1.3</v>
      </c>
      <c r="DK168" s="228">
        <v>-1.3</v>
      </c>
      <c r="DL168" s="228">
        <v>17.84</v>
      </c>
      <c r="DM168" s="228">
        <v>19.690000000000001</v>
      </c>
      <c r="DN168" s="228">
        <v>-1.85</v>
      </c>
      <c r="DO168" s="228">
        <v>-1.85</v>
      </c>
      <c r="DP168" s="228">
        <v>0.56000000000000005</v>
      </c>
      <c r="DQ168" s="228">
        <v>0.53</v>
      </c>
      <c r="DR168" s="228">
        <v>0.03</v>
      </c>
      <c r="DS168" s="229">
        <v>5.6599999999999998E-2</v>
      </c>
      <c r="DT168" s="228">
        <v>290</v>
      </c>
      <c r="DU168" s="228">
        <v>270</v>
      </c>
      <c r="DV168" s="228">
        <v>0.41</v>
      </c>
      <c r="DW168" s="228">
        <v>0.3</v>
      </c>
      <c r="DX168" s="228">
        <v>0.11</v>
      </c>
      <c r="DY168" s="229">
        <v>0.36670000000000003</v>
      </c>
      <c r="DZ168" s="229">
        <v>0.36199999999999999</v>
      </c>
      <c r="EA168" s="230">
        <v>11453200</v>
      </c>
      <c r="EB168" s="229">
        <v>6.7000000000000002E-3</v>
      </c>
      <c r="EC168" s="229">
        <v>0.36199999999999999</v>
      </c>
      <c r="ED168" s="228">
        <v>1.83</v>
      </c>
      <c r="EE168" s="229">
        <v>6.6E-3</v>
      </c>
      <c r="EF168" s="230">
        <v>12189053</v>
      </c>
      <c r="EG168" s="230">
        <v>12535538</v>
      </c>
      <c r="EH168" s="229">
        <v>-2.76E-2</v>
      </c>
      <c r="EI168" s="229">
        <v>0.7419</v>
      </c>
      <c r="EJ168" s="231">
        <v>109191.92</v>
      </c>
      <c r="EK168" s="231">
        <v>44334.55</v>
      </c>
      <c r="EL168" s="231">
        <v>136711.62</v>
      </c>
      <c r="EM168" s="231">
        <v>5829</v>
      </c>
      <c r="EN168" s="231">
        <v>290238.09000000003</v>
      </c>
      <c r="EO168" s="231">
        <v>159183.76999999999</v>
      </c>
      <c r="EP168" s="231">
        <v>131054.32</v>
      </c>
      <c r="EQ168" s="229">
        <v>0.82330000000000003</v>
      </c>
      <c r="ER168" s="231">
        <v>108152</v>
      </c>
      <c r="ES168" s="231">
        <v>57787</v>
      </c>
      <c r="ET168" s="231">
        <v>214676</v>
      </c>
      <c r="EU168" s="231">
        <v>488832949</v>
      </c>
      <c r="EV168" s="231">
        <v>380615</v>
      </c>
      <c r="EW168" s="231">
        <v>400939</v>
      </c>
      <c r="EX168" s="231">
        <v>-20324</v>
      </c>
      <c r="EY168" s="229">
        <v>-5.0700000000000002E-2</v>
      </c>
      <c r="EZ168" s="229">
        <v>0.27629999999999999</v>
      </c>
      <c r="FA168" s="227" t="s">
        <v>556</v>
      </c>
      <c r="FB168" s="161">
        <f t="shared" si="4"/>
        <v>0</v>
      </c>
    </row>
    <row r="169" spans="1:158" ht="17.25" thickBot="1" x14ac:dyDescent="0.3">
      <c r="A169" s="226">
        <v>45981</v>
      </c>
      <c r="B169" s="227" t="s">
        <v>184</v>
      </c>
      <c r="C169" s="227" t="s">
        <v>688</v>
      </c>
      <c r="D169" s="228">
        <v>50</v>
      </c>
      <c r="E169" s="231">
        <v>22389</v>
      </c>
      <c r="F169" s="231">
        <v>21665</v>
      </c>
      <c r="G169" s="228">
        <v>724</v>
      </c>
      <c r="H169" s="229">
        <v>3.3399999999999999E-2</v>
      </c>
      <c r="I169" s="231">
        <v>22397</v>
      </c>
      <c r="J169" s="231">
        <v>21624</v>
      </c>
      <c r="K169" s="228">
        <v>773</v>
      </c>
      <c r="L169" s="229">
        <v>3.5700000000000003E-2</v>
      </c>
      <c r="M169" s="231">
        <v>22389</v>
      </c>
      <c r="N169" s="231">
        <v>21665</v>
      </c>
      <c r="O169" s="228">
        <v>724</v>
      </c>
      <c r="P169" s="229">
        <v>3.3399999999999999E-2</v>
      </c>
      <c r="Q169" s="231">
        <v>22515</v>
      </c>
      <c r="R169" s="231">
        <v>21770</v>
      </c>
      <c r="S169" s="228">
        <v>745</v>
      </c>
      <c r="T169" s="229">
        <v>3.4200000000000001E-2</v>
      </c>
      <c r="U169" s="231">
        <v>22561</v>
      </c>
      <c r="V169" s="231">
        <v>21815</v>
      </c>
      <c r="W169" s="228">
        <v>746</v>
      </c>
      <c r="X169" s="229">
        <v>3.4200000000000001E-2</v>
      </c>
      <c r="Y169" s="228">
        <v>-8</v>
      </c>
      <c r="Z169" s="228">
        <v>41</v>
      </c>
      <c r="AA169" s="228">
        <v>-49</v>
      </c>
      <c r="AB169" s="229">
        <v>-4.0000000000000002E-4</v>
      </c>
      <c r="AC169" s="228">
        <v>-8</v>
      </c>
      <c r="AD169" s="228">
        <v>41</v>
      </c>
      <c r="AE169" s="228">
        <v>-49</v>
      </c>
      <c r="AF169" s="229">
        <v>-4.0000000000000002E-4</v>
      </c>
      <c r="AG169" s="228">
        <v>118</v>
      </c>
      <c r="AH169" s="228">
        <v>146</v>
      </c>
      <c r="AI169" s="228">
        <v>-28</v>
      </c>
      <c r="AJ169" s="229">
        <v>5.3E-3</v>
      </c>
      <c r="AK169" s="228">
        <v>164</v>
      </c>
      <c r="AL169" s="228">
        <v>191</v>
      </c>
      <c r="AM169" s="228">
        <v>-27</v>
      </c>
      <c r="AN169" s="229">
        <v>7.3000000000000001E-3</v>
      </c>
      <c r="AO169" s="231">
        <v>22288.5</v>
      </c>
      <c r="AP169" s="231">
        <v>22395.24</v>
      </c>
      <c r="AQ169" s="228">
        <v>0</v>
      </c>
      <c r="AR169" s="230">
        <v>228950</v>
      </c>
      <c r="AS169" s="230">
        <v>56700</v>
      </c>
      <c r="AT169" s="230">
        <v>172250</v>
      </c>
      <c r="AU169" s="229">
        <v>3.0379</v>
      </c>
      <c r="AV169" s="230">
        <v>140450</v>
      </c>
      <c r="AW169" s="230">
        <v>43050</v>
      </c>
      <c r="AX169" s="230">
        <v>97400</v>
      </c>
      <c r="AY169" s="229">
        <v>2.2625000000000002</v>
      </c>
      <c r="AZ169" s="230">
        <v>85550</v>
      </c>
      <c r="BA169" s="230">
        <v>13350</v>
      </c>
      <c r="BB169" s="230">
        <v>72200</v>
      </c>
      <c r="BC169" s="229">
        <v>5.4081999999999999</v>
      </c>
      <c r="BD169" s="230">
        <v>2950</v>
      </c>
      <c r="BE169" s="228">
        <v>300</v>
      </c>
      <c r="BF169" s="230">
        <v>2650</v>
      </c>
      <c r="BG169" s="229">
        <v>8.8332999999999995</v>
      </c>
      <c r="BH169" s="230">
        <v>3036650</v>
      </c>
      <c r="BI169" s="230">
        <v>376950</v>
      </c>
      <c r="BJ169" s="230">
        <v>2659700</v>
      </c>
      <c r="BK169" s="229">
        <v>7.0557999999999996</v>
      </c>
      <c r="BL169" s="230">
        <v>993700</v>
      </c>
      <c r="BM169" s="230">
        <v>274500</v>
      </c>
      <c r="BN169" s="230">
        <v>719200</v>
      </c>
      <c r="BO169" s="229">
        <v>2.62</v>
      </c>
      <c r="BP169" s="230">
        <v>4259300</v>
      </c>
      <c r="BQ169" s="230">
        <v>708150</v>
      </c>
      <c r="BR169" s="230">
        <v>3551150</v>
      </c>
      <c r="BS169" s="229">
        <v>5.0147000000000004</v>
      </c>
      <c r="BT169" s="230">
        <v>197540</v>
      </c>
      <c r="BU169" s="230">
        <v>79354</v>
      </c>
      <c r="BV169" s="230">
        <v>118186</v>
      </c>
      <c r="BW169" s="229">
        <v>1.4894000000000001</v>
      </c>
      <c r="BX169" s="230">
        <v>177250</v>
      </c>
      <c r="BY169" s="230">
        <v>167350</v>
      </c>
      <c r="BZ169" s="230">
        <v>9900</v>
      </c>
      <c r="CA169" s="229">
        <v>5.9200000000000003E-2</v>
      </c>
      <c r="CB169" s="230">
        <v>121500</v>
      </c>
      <c r="CC169" s="230">
        <v>146850</v>
      </c>
      <c r="CD169" s="230">
        <v>-25350</v>
      </c>
      <c r="CE169" s="229">
        <v>-0.1726</v>
      </c>
      <c r="CF169" s="230">
        <v>52850</v>
      </c>
      <c r="CG169" s="230">
        <v>18650</v>
      </c>
      <c r="CH169" s="230">
        <v>34200</v>
      </c>
      <c r="CI169" s="229">
        <v>1.8338000000000001</v>
      </c>
      <c r="CJ169" s="230">
        <v>2900</v>
      </c>
      <c r="CK169" s="230">
        <v>1850</v>
      </c>
      <c r="CL169" s="230">
        <v>1050</v>
      </c>
      <c r="CM169" s="229">
        <v>0.56759999999999999</v>
      </c>
      <c r="CN169" s="230">
        <v>397600</v>
      </c>
      <c r="CO169" s="230">
        <v>285150</v>
      </c>
      <c r="CP169" s="230">
        <v>112450</v>
      </c>
      <c r="CQ169" s="229">
        <v>0.39439999999999997</v>
      </c>
      <c r="CR169" s="230">
        <v>315750</v>
      </c>
      <c r="CS169" s="230">
        <v>274900</v>
      </c>
      <c r="CT169" s="230">
        <v>40850</v>
      </c>
      <c r="CU169" s="229">
        <v>0.14860000000000001</v>
      </c>
      <c r="CV169" s="230">
        <v>890600</v>
      </c>
      <c r="CW169" s="230">
        <v>727400</v>
      </c>
      <c r="CX169" s="230">
        <v>163200</v>
      </c>
      <c r="CY169" s="229">
        <v>0.22439999999999999</v>
      </c>
      <c r="CZ169" s="228">
        <v>33.19</v>
      </c>
      <c r="DA169" s="228">
        <v>35.36</v>
      </c>
      <c r="DB169" s="228">
        <v>-2.17</v>
      </c>
      <c r="DC169" s="228">
        <v>-2.17</v>
      </c>
      <c r="DD169" s="228">
        <v>58.57</v>
      </c>
      <c r="DE169" s="228">
        <v>58.53</v>
      </c>
      <c r="DF169" s="228">
        <v>-25.38</v>
      </c>
      <c r="DG169" s="228">
        <v>0.04</v>
      </c>
      <c r="DH169" s="228">
        <v>33.08</v>
      </c>
      <c r="DI169" s="228">
        <v>30.61</v>
      </c>
      <c r="DJ169" s="228">
        <v>2.4700000000000002</v>
      </c>
      <c r="DK169" s="228">
        <v>2.4700000000000002</v>
      </c>
      <c r="DL169" s="228">
        <v>33.520000000000003</v>
      </c>
      <c r="DM169" s="228">
        <v>41.89</v>
      </c>
      <c r="DN169" s="228">
        <v>-8.3699999999999992</v>
      </c>
      <c r="DO169" s="228">
        <v>-8.3699999999999992</v>
      </c>
      <c r="DP169" s="228">
        <v>0.79</v>
      </c>
      <c r="DQ169" s="228">
        <v>0.96</v>
      </c>
      <c r="DR169" s="228">
        <v>-0.17</v>
      </c>
      <c r="DS169" s="229">
        <v>-0.17710000000000001</v>
      </c>
      <c r="DT169" s="231">
        <v>24000</v>
      </c>
      <c r="DU169" s="231">
        <v>22000</v>
      </c>
      <c r="DV169" s="228">
        <v>0.33</v>
      </c>
      <c r="DW169" s="228">
        <v>0.73</v>
      </c>
      <c r="DX169" s="228">
        <v>-0.4</v>
      </c>
      <c r="DY169" s="229">
        <v>-0.54790000000000005</v>
      </c>
      <c r="DZ169" s="229">
        <v>0.3145</v>
      </c>
      <c r="EA169" s="230">
        <v>20500</v>
      </c>
      <c r="EB169" s="229">
        <v>5.5999999999999999E-3</v>
      </c>
      <c r="EC169" s="229">
        <v>0.3145</v>
      </c>
      <c r="ED169" s="228">
        <v>106.74</v>
      </c>
      <c r="EE169" s="229">
        <v>4.7999999999999996E-3</v>
      </c>
      <c r="EF169" s="230">
        <v>58885</v>
      </c>
      <c r="EG169" s="230">
        <v>25472</v>
      </c>
      <c r="EH169" s="229">
        <v>1.3118000000000001</v>
      </c>
      <c r="EI169" s="229">
        <v>0.29809999999999998</v>
      </c>
      <c r="EJ169" s="231">
        <v>702641.92</v>
      </c>
      <c r="EK169" s="231">
        <v>207611.2</v>
      </c>
      <c r="EL169" s="231">
        <v>51126.14</v>
      </c>
      <c r="EM169" s="231">
        <v>1098</v>
      </c>
      <c r="EN169" s="231">
        <v>961379.26</v>
      </c>
      <c r="EO169" s="231">
        <v>152110.42000000001</v>
      </c>
      <c r="EP169" s="231">
        <v>809268.84</v>
      </c>
      <c r="EQ169" s="229">
        <v>5.3202999999999996</v>
      </c>
      <c r="ER169" s="231">
        <v>88222</v>
      </c>
      <c r="ES169" s="231">
        <v>64148</v>
      </c>
      <c r="ET169" s="231">
        <v>39756</v>
      </c>
      <c r="EU169" s="231">
        <v>1917916</v>
      </c>
      <c r="EV169" s="231">
        <v>192126</v>
      </c>
      <c r="EW169" s="231">
        <v>152077</v>
      </c>
      <c r="EX169" s="231">
        <v>40049</v>
      </c>
      <c r="EY169" s="229">
        <v>0.26329999999999998</v>
      </c>
      <c r="EZ169" s="229">
        <v>0.46439999999999998</v>
      </c>
      <c r="FA169" s="227" t="s">
        <v>555</v>
      </c>
      <c r="FB169" s="161">
        <f t="shared" si="4"/>
        <v>0</v>
      </c>
    </row>
    <row r="170" spans="1:158" ht="17.25" thickBot="1" x14ac:dyDescent="0.3">
      <c r="A170" s="226">
        <v>45981</v>
      </c>
      <c r="B170" s="227" t="s">
        <v>170</v>
      </c>
      <c r="C170" s="227" t="s">
        <v>679</v>
      </c>
      <c r="D170" s="228">
        <v>2500</v>
      </c>
      <c r="E170" s="228">
        <v>189.63</v>
      </c>
      <c r="F170" s="228">
        <v>189.34</v>
      </c>
      <c r="G170" s="228">
        <v>0.28999999999999998</v>
      </c>
      <c r="H170" s="229">
        <v>1.5E-3</v>
      </c>
      <c r="I170" s="228">
        <v>189.64</v>
      </c>
      <c r="J170" s="228">
        <v>188.8</v>
      </c>
      <c r="K170" s="228">
        <v>0.84</v>
      </c>
      <c r="L170" s="229">
        <v>4.4000000000000003E-3</v>
      </c>
      <c r="M170" s="228">
        <v>189.63</v>
      </c>
      <c r="N170" s="228">
        <v>189.34</v>
      </c>
      <c r="O170" s="228">
        <v>0.28999999999999998</v>
      </c>
      <c r="P170" s="229">
        <v>1.5E-3</v>
      </c>
      <c r="Q170" s="228">
        <v>190.18</v>
      </c>
      <c r="R170" s="228">
        <v>190.12</v>
      </c>
      <c r="S170" s="228">
        <v>0.06</v>
      </c>
      <c r="T170" s="229">
        <v>2.9999999999999997E-4</v>
      </c>
      <c r="U170" s="228">
        <v>191.8</v>
      </c>
      <c r="V170" s="228">
        <v>191.2</v>
      </c>
      <c r="W170" s="228">
        <v>0.6</v>
      </c>
      <c r="X170" s="229">
        <v>3.0999999999999999E-3</v>
      </c>
      <c r="Y170" s="228">
        <v>-0.01</v>
      </c>
      <c r="Z170" s="228">
        <v>0.54</v>
      </c>
      <c r="AA170" s="228">
        <v>-0.55000000000000004</v>
      </c>
      <c r="AB170" s="229">
        <v>-1E-4</v>
      </c>
      <c r="AC170" s="228">
        <v>-0.01</v>
      </c>
      <c r="AD170" s="228">
        <v>0.54</v>
      </c>
      <c r="AE170" s="228">
        <v>-0.55000000000000004</v>
      </c>
      <c r="AF170" s="229">
        <v>-1E-4</v>
      </c>
      <c r="AG170" s="228">
        <v>0.54</v>
      </c>
      <c r="AH170" s="228">
        <v>1.32</v>
      </c>
      <c r="AI170" s="228">
        <v>-0.78</v>
      </c>
      <c r="AJ170" s="229">
        <v>2.8E-3</v>
      </c>
      <c r="AK170" s="228">
        <v>2.16</v>
      </c>
      <c r="AL170" s="228">
        <v>2.4</v>
      </c>
      <c r="AM170" s="228">
        <v>-0.24</v>
      </c>
      <c r="AN170" s="229">
        <v>1.14E-2</v>
      </c>
      <c r="AO170" s="228">
        <v>190.21</v>
      </c>
      <c r="AP170" s="228">
        <v>190.7</v>
      </c>
      <c r="AQ170" s="228">
        <v>0</v>
      </c>
      <c r="AR170" s="230">
        <v>15485000</v>
      </c>
      <c r="AS170" s="230">
        <v>4832500</v>
      </c>
      <c r="AT170" s="230">
        <v>10652500</v>
      </c>
      <c r="AU170" s="229">
        <v>2.2042999999999999</v>
      </c>
      <c r="AV170" s="230">
        <v>7912500</v>
      </c>
      <c r="AW170" s="230">
        <v>3052500</v>
      </c>
      <c r="AX170" s="230">
        <v>4860000</v>
      </c>
      <c r="AY170" s="229">
        <v>1.5921000000000001</v>
      </c>
      <c r="AZ170" s="230">
        <v>7535000</v>
      </c>
      <c r="BA170" s="230">
        <v>1727500</v>
      </c>
      <c r="BB170" s="230">
        <v>5807500</v>
      </c>
      <c r="BC170" s="229">
        <v>3.3618000000000001</v>
      </c>
      <c r="BD170" s="230">
        <v>37500</v>
      </c>
      <c r="BE170" s="230">
        <v>52500</v>
      </c>
      <c r="BF170" s="230">
        <v>-15000</v>
      </c>
      <c r="BG170" s="229">
        <v>-0.28570000000000001</v>
      </c>
      <c r="BH170" s="230">
        <v>9280000</v>
      </c>
      <c r="BI170" s="230">
        <v>13187500</v>
      </c>
      <c r="BJ170" s="230">
        <v>-3907500</v>
      </c>
      <c r="BK170" s="229">
        <v>-0.29630000000000001</v>
      </c>
      <c r="BL170" s="230">
        <v>2310000</v>
      </c>
      <c r="BM170" s="230">
        <v>4937500</v>
      </c>
      <c r="BN170" s="230">
        <v>-2627500</v>
      </c>
      <c r="BO170" s="229">
        <v>-0.53220000000000001</v>
      </c>
      <c r="BP170" s="230">
        <v>27075000</v>
      </c>
      <c r="BQ170" s="230">
        <v>22957500</v>
      </c>
      <c r="BR170" s="230">
        <v>4117500</v>
      </c>
      <c r="BS170" s="229">
        <v>0.1794</v>
      </c>
      <c r="BT170" s="230">
        <v>1707080</v>
      </c>
      <c r="BU170" s="230">
        <v>3459667</v>
      </c>
      <c r="BV170" s="230">
        <v>-1752587</v>
      </c>
      <c r="BW170" s="229">
        <v>-0.50660000000000005</v>
      </c>
      <c r="BX170" s="230">
        <v>21829875</v>
      </c>
      <c r="BY170" s="230">
        <v>24100750</v>
      </c>
      <c r="BZ170" s="230">
        <v>-2270875</v>
      </c>
      <c r="CA170" s="229">
        <v>-9.4200000000000006E-2</v>
      </c>
      <c r="CB170" s="230">
        <v>14262500</v>
      </c>
      <c r="CC170" s="230">
        <v>19702500</v>
      </c>
      <c r="CD170" s="230">
        <v>-5440000</v>
      </c>
      <c r="CE170" s="229">
        <v>-0.27610000000000001</v>
      </c>
      <c r="CF170" s="230">
        <v>7045000</v>
      </c>
      <c r="CG170" s="230">
        <v>3910000</v>
      </c>
      <c r="CH170" s="230">
        <v>3135000</v>
      </c>
      <c r="CI170" s="229">
        <v>0.80179999999999996</v>
      </c>
      <c r="CJ170" s="230">
        <v>522375</v>
      </c>
      <c r="CK170" s="230">
        <v>488250</v>
      </c>
      <c r="CL170" s="230">
        <v>34125</v>
      </c>
      <c r="CM170" s="229">
        <v>6.9900000000000004E-2</v>
      </c>
      <c r="CN170" s="230">
        <v>17490625</v>
      </c>
      <c r="CO170" s="230">
        <v>17950375</v>
      </c>
      <c r="CP170" s="230">
        <v>-459750</v>
      </c>
      <c r="CQ170" s="229">
        <v>-2.5600000000000001E-2</v>
      </c>
      <c r="CR170" s="230">
        <v>7638125</v>
      </c>
      <c r="CS170" s="230">
        <v>7675625</v>
      </c>
      <c r="CT170" s="230">
        <v>-37500</v>
      </c>
      <c r="CU170" s="229">
        <v>-4.8999999999999998E-3</v>
      </c>
      <c r="CV170" s="230">
        <v>46958625</v>
      </c>
      <c r="CW170" s="230">
        <v>49726750</v>
      </c>
      <c r="CX170" s="230">
        <v>-2768125</v>
      </c>
      <c r="CY170" s="229">
        <v>-5.57E-2</v>
      </c>
      <c r="CZ170" s="228">
        <v>28.01</v>
      </c>
      <c r="DA170" s="228">
        <v>30.01</v>
      </c>
      <c r="DB170" s="228">
        <v>-2</v>
      </c>
      <c r="DC170" s="228">
        <v>-2</v>
      </c>
      <c r="DD170" s="228">
        <v>45.1</v>
      </c>
      <c r="DE170" s="228">
        <v>45.21</v>
      </c>
      <c r="DF170" s="228">
        <v>-17.09</v>
      </c>
      <c r="DG170" s="228">
        <v>-0.11</v>
      </c>
      <c r="DH170" s="228">
        <v>28.25</v>
      </c>
      <c r="DI170" s="228">
        <v>31.43</v>
      </c>
      <c r="DJ170" s="228">
        <v>-3.18</v>
      </c>
      <c r="DK170" s="228">
        <v>-3.18</v>
      </c>
      <c r="DL170" s="228">
        <v>27.54</v>
      </c>
      <c r="DM170" s="228">
        <v>26.2</v>
      </c>
      <c r="DN170" s="228">
        <v>1.34</v>
      </c>
      <c r="DO170" s="228">
        <v>1.34</v>
      </c>
      <c r="DP170" s="228">
        <v>0.44</v>
      </c>
      <c r="DQ170" s="228">
        <v>0.43</v>
      </c>
      <c r="DR170" s="228">
        <v>0.01</v>
      </c>
      <c r="DS170" s="229">
        <v>2.3300000000000001E-2</v>
      </c>
      <c r="DT170" s="228">
        <v>210</v>
      </c>
      <c r="DU170" s="228">
        <v>190</v>
      </c>
      <c r="DV170" s="228">
        <v>0.25</v>
      </c>
      <c r="DW170" s="228">
        <v>0.37</v>
      </c>
      <c r="DX170" s="228">
        <v>-0.12</v>
      </c>
      <c r="DY170" s="229">
        <v>-0.32429999999999998</v>
      </c>
      <c r="DZ170" s="229">
        <v>0.34670000000000001</v>
      </c>
      <c r="EA170" s="230">
        <v>4398250</v>
      </c>
      <c r="EB170" s="229">
        <v>2.8999999999999998E-3</v>
      </c>
      <c r="EC170" s="229">
        <v>0.34670000000000001</v>
      </c>
      <c r="ED170" s="228">
        <v>0.49</v>
      </c>
      <c r="EE170" s="229">
        <v>2.5999999999999999E-3</v>
      </c>
      <c r="EF170" s="230">
        <v>689304</v>
      </c>
      <c r="EG170" s="230">
        <v>2012888</v>
      </c>
      <c r="EH170" s="229">
        <v>-0.65759999999999996</v>
      </c>
      <c r="EI170" s="229">
        <v>0.40379999999999999</v>
      </c>
      <c r="EJ170" s="231">
        <v>18481.03</v>
      </c>
      <c r="EK170" s="231">
        <v>4454.41</v>
      </c>
      <c r="EL170" s="231">
        <v>29494.6</v>
      </c>
      <c r="EM170" s="231">
        <v>1763</v>
      </c>
      <c r="EN170" s="231">
        <v>52430.04</v>
      </c>
      <c r="EO170" s="231">
        <v>45171.94</v>
      </c>
      <c r="EP170" s="231">
        <v>7258.1</v>
      </c>
      <c r="EQ170" s="229">
        <v>0.16070000000000001</v>
      </c>
      <c r="ER170" s="231">
        <v>36049</v>
      </c>
      <c r="ES170" s="231">
        <v>14726</v>
      </c>
      <c r="ET170" s="231">
        <v>41446</v>
      </c>
      <c r="EU170" s="231">
        <v>120138597</v>
      </c>
      <c r="EV170" s="231">
        <v>92221</v>
      </c>
      <c r="EW170" s="231">
        <v>97564</v>
      </c>
      <c r="EX170" s="231">
        <v>-5343</v>
      </c>
      <c r="EY170" s="229">
        <v>-5.4800000000000001E-2</v>
      </c>
      <c r="EZ170" s="229">
        <v>0.39090000000000003</v>
      </c>
      <c r="FA170" s="227" t="s">
        <v>556</v>
      </c>
      <c r="FB170" s="161">
        <f t="shared" si="4"/>
        <v>0</v>
      </c>
    </row>
    <row r="171" spans="1:158" ht="17.25" thickBot="1" x14ac:dyDescent="0.3">
      <c r="A171" s="226">
        <v>45981</v>
      </c>
      <c r="B171" s="227" t="s">
        <v>206</v>
      </c>
      <c r="C171" s="227" t="s">
        <v>605</v>
      </c>
      <c r="D171" s="228">
        <v>450</v>
      </c>
      <c r="E171" s="231">
        <v>1716.8</v>
      </c>
      <c r="F171" s="231">
        <v>1722.3</v>
      </c>
      <c r="G171" s="228">
        <v>-5.5</v>
      </c>
      <c r="H171" s="229">
        <v>-3.2000000000000002E-3</v>
      </c>
      <c r="I171" s="231">
        <v>1717.2</v>
      </c>
      <c r="J171" s="231">
        <v>1717.3</v>
      </c>
      <c r="K171" s="228">
        <v>-0.1</v>
      </c>
      <c r="L171" s="229">
        <v>-1E-4</v>
      </c>
      <c r="M171" s="231">
        <v>1716.8</v>
      </c>
      <c r="N171" s="231">
        <v>1722.3</v>
      </c>
      <c r="O171" s="228">
        <v>-5.5</v>
      </c>
      <c r="P171" s="229">
        <v>-3.2000000000000002E-3</v>
      </c>
      <c r="Q171" s="231">
        <v>1726.8</v>
      </c>
      <c r="R171" s="231">
        <v>1732.1</v>
      </c>
      <c r="S171" s="228">
        <v>-5.3</v>
      </c>
      <c r="T171" s="229">
        <v>-3.0999999999999999E-3</v>
      </c>
      <c r="U171" s="231">
        <v>1737.8</v>
      </c>
      <c r="V171" s="231">
        <v>1742.2</v>
      </c>
      <c r="W171" s="228">
        <v>-4.4000000000000004</v>
      </c>
      <c r="X171" s="229">
        <v>-2.5000000000000001E-3</v>
      </c>
      <c r="Y171" s="228">
        <v>-0.4</v>
      </c>
      <c r="Z171" s="228">
        <v>5</v>
      </c>
      <c r="AA171" s="228">
        <v>-5.4</v>
      </c>
      <c r="AB171" s="229">
        <v>-2.0000000000000001E-4</v>
      </c>
      <c r="AC171" s="228">
        <v>-0.4</v>
      </c>
      <c r="AD171" s="228">
        <v>5</v>
      </c>
      <c r="AE171" s="228">
        <v>-5.4</v>
      </c>
      <c r="AF171" s="229">
        <v>-2.0000000000000001E-4</v>
      </c>
      <c r="AG171" s="228">
        <v>9.6</v>
      </c>
      <c r="AH171" s="228">
        <v>14.8</v>
      </c>
      <c r="AI171" s="228">
        <v>-5.2</v>
      </c>
      <c r="AJ171" s="229">
        <v>5.5999999999999999E-3</v>
      </c>
      <c r="AK171" s="228">
        <v>20.6</v>
      </c>
      <c r="AL171" s="228">
        <v>24.9</v>
      </c>
      <c r="AM171" s="228">
        <v>-4.3</v>
      </c>
      <c r="AN171" s="229">
        <v>1.2E-2</v>
      </c>
      <c r="AO171" s="231">
        <v>1714.65</v>
      </c>
      <c r="AP171" s="231">
        <v>1725.22</v>
      </c>
      <c r="AQ171" s="228">
        <v>0</v>
      </c>
      <c r="AR171" s="230">
        <v>2151900</v>
      </c>
      <c r="AS171" s="230">
        <v>1103850</v>
      </c>
      <c r="AT171" s="230">
        <v>1048050</v>
      </c>
      <c r="AU171" s="229">
        <v>0.94940000000000002</v>
      </c>
      <c r="AV171" s="230">
        <v>1119150</v>
      </c>
      <c r="AW171" s="230">
        <v>884250</v>
      </c>
      <c r="AX171" s="230">
        <v>234900</v>
      </c>
      <c r="AY171" s="229">
        <v>0.2656</v>
      </c>
      <c r="AZ171" s="230">
        <v>1030050</v>
      </c>
      <c r="BA171" s="230">
        <v>214650</v>
      </c>
      <c r="BB171" s="230">
        <v>815400</v>
      </c>
      <c r="BC171" s="229">
        <v>3.7987000000000002</v>
      </c>
      <c r="BD171" s="230">
        <v>2700</v>
      </c>
      <c r="BE171" s="230">
        <v>4950</v>
      </c>
      <c r="BF171" s="230">
        <v>-2250</v>
      </c>
      <c r="BG171" s="229">
        <v>-0.45450000000000002</v>
      </c>
      <c r="BH171" s="230">
        <v>3933000</v>
      </c>
      <c r="BI171" s="230">
        <v>4907700</v>
      </c>
      <c r="BJ171" s="230">
        <v>-974700</v>
      </c>
      <c r="BK171" s="229">
        <v>-0.1986</v>
      </c>
      <c r="BL171" s="230">
        <v>922500</v>
      </c>
      <c r="BM171" s="230">
        <v>918000</v>
      </c>
      <c r="BN171" s="230">
        <v>4500</v>
      </c>
      <c r="BO171" s="229">
        <v>4.8999999999999998E-3</v>
      </c>
      <c r="BP171" s="230">
        <v>7007400</v>
      </c>
      <c r="BQ171" s="230">
        <v>6929550</v>
      </c>
      <c r="BR171" s="230">
        <v>77850</v>
      </c>
      <c r="BS171" s="229">
        <v>1.12E-2</v>
      </c>
      <c r="BT171" s="230">
        <v>490912</v>
      </c>
      <c r="BU171" s="230">
        <v>851135</v>
      </c>
      <c r="BV171" s="230">
        <v>-360223</v>
      </c>
      <c r="BW171" s="229">
        <v>-0.42320000000000002</v>
      </c>
      <c r="BX171" s="230">
        <v>3762000</v>
      </c>
      <c r="BY171" s="230">
        <v>3758850</v>
      </c>
      <c r="BZ171" s="230">
        <v>3150</v>
      </c>
      <c r="CA171" s="229">
        <v>8.0000000000000004E-4</v>
      </c>
      <c r="CB171" s="230">
        <v>2813400</v>
      </c>
      <c r="CC171" s="230">
        <v>3518550</v>
      </c>
      <c r="CD171" s="230">
        <v>-705150</v>
      </c>
      <c r="CE171" s="229">
        <v>-0.20039999999999999</v>
      </c>
      <c r="CF171" s="230">
        <v>943200</v>
      </c>
      <c r="CG171" s="230">
        <v>235350</v>
      </c>
      <c r="CH171" s="230">
        <v>707850</v>
      </c>
      <c r="CI171" s="229">
        <v>3.0076000000000001</v>
      </c>
      <c r="CJ171" s="230">
        <v>5400</v>
      </c>
      <c r="CK171" s="230">
        <v>4950</v>
      </c>
      <c r="CL171" s="228">
        <v>450</v>
      </c>
      <c r="CM171" s="229">
        <v>9.0899999999999995E-2</v>
      </c>
      <c r="CN171" s="230">
        <v>2170800</v>
      </c>
      <c r="CO171" s="230">
        <v>2470950</v>
      </c>
      <c r="CP171" s="230">
        <v>-300150</v>
      </c>
      <c r="CQ171" s="229">
        <v>-0.1215</v>
      </c>
      <c r="CR171" s="230">
        <v>1225350</v>
      </c>
      <c r="CS171" s="230">
        <v>1267650</v>
      </c>
      <c r="CT171" s="230">
        <v>-42300</v>
      </c>
      <c r="CU171" s="229">
        <v>-3.3399999999999999E-2</v>
      </c>
      <c r="CV171" s="230">
        <v>7158150</v>
      </c>
      <c r="CW171" s="230">
        <v>7497450</v>
      </c>
      <c r="CX171" s="230">
        <v>-339300</v>
      </c>
      <c r="CY171" s="229">
        <v>-4.53E-2</v>
      </c>
      <c r="CZ171" s="228">
        <v>30.44</v>
      </c>
      <c r="DA171" s="228">
        <v>32.6</v>
      </c>
      <c r="DB171" s="228">
        <v>-2.16</v>
      </c>
      <c r="DC171" s="228">
        <v>-2.16</v>
      </c>
      <c r="DD171" s="228">
        <v>45.69</v>
      </c>
      <c r="DE171" s="228">
        <v>45.8</v>
      </c>
      <c r="DF171" s="228">
        <v>-15.25</v>
      </c>
      <c r="DG171" s="228">
        <v>-0.11</v>
      </c>
      <c r="DH171" s="228">
        <v>31.16</v>
      </c>
      <c r="DI171" s="228">
        <v>32.86</v>
      </c>
      <c r="DJ171" s="228">
        <v>-1.7</v>
      </c>
      <c r="DK171" s="228">
        <v>-1.7</v>
      </c>
      <c r="DL171" s="228">
        <v>29.47</v>
      </c>
      <c r="DM171" s="228">
        <v>31.23</v>
      </c>
      <c r="DN171" s="228">
        <v>-1.76</v>
      </c>
      <c r="DO171" s="228">
        <v>-1.76</v>
      </c>
      <c r="DP171" s="228">
        <v>0.56000000000000005</v>
      </c>
      <c r="DQ171" s="228">
        <v>0.51</v>
      </c>
      <c r="DR171" s="228">
        <v>0.05</v>
      </c>
      <c r="DS171" s="229">
        <v>9.8000000000000004E-2</v>
      </c>
      <c r="DT171" s="231">
        <v>1800</v>
      </c>
      <c r="DU171" s="231">
        <v>1660</v>
      </c>
      <c r="DV171" s="228">
        <v>0.23</v>
      </c>
      <c r="DW171" s="228">
        <v>0.19</v>
      </c>
      <c r="DX171" s="228">
        <v>0.04</v>
      </c>
      <c r="DY171" s="229">
        <v>0.21049999999999999</v>
      </c>
      <c r="DZ171" s="229">
        <v>0.25219999999999998</v>
      </c>
      <c r="EA171" s="230">
        <v>240300</v>
      </c>
      <c r="EB171" s="229">
        <v>5.7999999999999996E-3</v>
      </c>
      <c r="EC171" s="229">
        <v>0.25219999999999998</v>
      </c>
      <c r="ED171" s="228">
        <v>10.57</v>
      </c>
      <c r="EE171" s="229">
        <v>6.1999999999999998E-3</v>
      </c>
      <c r="EF171" s="230">
        <v>247059</v>
      </c>
      <c r="EG171" s="230">
        <v>386495</v>
      </c>
      <c r="EH171" s="229">
        <v>-0.36080000000000001</v>
      </c>
      <c r="EI171" s="229">
        <v>0.50329999999999997</v>
      </c>
      <c r="EJ171" s="231">
        <v>70502.33</v>
      </c>
      <c r="EK171" s="231">
        <v>15961.45</v>
      </c>
      <c r="EL171" s="231">
        <v>37007.050000000003</v>
      </c>
      <c r="EM171" s="231">
        <v>2852</v>
      </c>
      <c r="EN171" s="231">
        <v>123470.83</v>
      </c>
      <c r="EO171" s="231">
        <v>123283.65</v>
      </c>
      <c r="EP171" s="228">
        <v>187.18</v>
      </c>
      <c r="EQ171" s="229">
        <v>1.5E-3</v>
      </c>
      <c r="ER171" s="231">
        <v>39234</v>
      </c>
      <c r="ES171" s="231">
        <v>20684</v>
      </c>
      <c r="ET171" s="231">
        <v>64681</v>
      </c>
      <c r="EU171" s="231">
        <v>25234534</v>
      </c>
      <c r="EV171" s="231">
        <v>124599</v>
      </c>
      <c r="EW171" s="231">
        <v>130813</v>
      </c>
      <c r="EX171" s="231">
        <v>-6214</v>
      </c>
      <c r="EY171" s="229">
        <v>-4.7500000000000001E-2</v>
      </c>
      <c r="EZ171" s="229">
        <v>0.28370000000000001</v>
      </c>
      <c r="FA171" s="227" t="s">
        <v>567</v>
      </c>
      <c r="FB171" s="161">
        <f t="shared" si="4"/>
        <v>0</v>
      </c>
    </row>
    <row r="172" spans="1:158" ht="17.25" thickBot="1" x14ac:dyDescent="0.3">
      <c r="A172" s="226">
        <v>45981</v>
      </c>
      <c r="B172" s="227" t="s">
        <v>172</v>
      </c>
      <c r="C172" s="227" t="s">
        <v>279</v>
      </c>
      <c r="D172" s="228">
        <v>3175</v>
      </c>
      <c r="E172" s="228">
        <v>313.5</v>
      </c>
      <c r="F172" s="228">
        <v>310.5</v>
      </c>
      <c r="G172" s="228">
        <v>3</v>
      </c>
      <c r="H172" s="229">
        <v>9.7000000000000003E-3</v>
      </c>
      <c r="I172" s="228">
        <v>313.64999999999998</v>
      </c>
      <c r="J172" s="228">
        <v>309.60000000000002</v>
      </c>
      <c r="K172" s="228">
        <v>4.05</v>
      </c>
      <c r="L172" s="229">
        <v>1.3100000000000001E-2</v>
      </c>
      <c r="M172" s="228">
        <v>313.5</v>
      </c>
      <c r="N172" s="228">
        <v>310.5</v>
      </c>
      <c r="O172" s="228">
        <v>3</v>
      </c>
      <c r="P172" s="229">
        <v>9.7000000000000003E-3</v>
      </c>
      <c r="Q172" s="228">
        <v>315.55</v>
      </c>
      <c r="R172" s="228">
        <v>312.5</v>
      </c>
      <c r="S172" s="228">
        <v>3.05</v>
      </c>
      <c r="T172" s="229">
        <v>9.7999999999999997E-3</v>
      </c>
      <c r="U172" s="228">
        <v>316.89999999999998</v>
      </c>
      <c r="V172" s="228">
        <v>314.14999999999998</v>
      </c>
      <c r="W172" s="228">
        <v>2.75</v>
      </c>
      <c r="X172" s="229">
        <v>8.8000000000000005E-3</v>
      </c>
      <c r="Y172" s="228">
        <v>-0.15</v>
      </c>
      <c r="Z172" s="228">
        <v>0.9</v>
      </c>
      <c r="AA172" s="228">
        <v>-1.05</v>
      </c>
      <c r="AB172" s="229">
        <v>-5.0000000000000001E-4</v>
      </c>
      <c r="AC172" s="228">
        <v>-0.15</v>
      </c>
      <c r="AD172" s="228">
        <v>0.9</v>
      </c>
      <c r="AE172" s="228">
        <v>-1.05</v>
      </c>
      <c r="AF172" s="229">
        <v>-5.0000000000000001E-4</v>
      </c>
      <c r="AG172" s="228">
        <v>1.9</v>
      </c>
      <c r="AH172" s="228">
        <v>2.9</v>
      </c>
      <c r="AI172" s="228">
        <v>-1</v>
      </c>
      <c r="AJ172" s="229">
        <v>6.1000000000000004E-3</v>
      </c>
      <c r="AK172" s="228">
        <v>3.25</v>
      </c>
      <c r="AL172" s="228">
        <v>4.55</v>
      </c>
      <c r="AM172" s="228">
        <v>-1.3</v>
      </c>
      <c r="AN172" s="229">
        <v>1.04E-2</v>
      </c>
      <c r="AO172" s="228">
        <v>313.56</v>
      </c>
      <c r="AP172" s="228">
        <v>315.64999999999998</v>
      </c>
      <c r="AQ172" s="228">
        <v>0</v>
      </c>
      <c r="AR172" s="230">
        <v>31670625</v>
      </c>
      <c r="AS172" s="230">
        <v>14912975</v>
      </c>
      <c r="AT172" s="230">
        <v>16757650</v>
      </c>
      <c r="AU172" s="229">
        <v>1.1236999999999999</v>
      </c>
      <c r="AV172" s="230">
        <v>16278225</v>
      </c>
      <c r="AW172" s="230">
        <v>8362950</v>
      </c>
      <c r="AX172" s="230">
        <v>7915275</v>
      </c>
      <c r="AY172" s="229">
        <v>0.94650000000000001</v>
      </c>
      <c r="AZ172" s="230">
        <v>15360650</v>
      </c>
      <c r="BA172" s="230">
        <v>6473825</v>
      </c>
      <c r="BB172" s="230">
        <v>8886825</v>
      </c>
      <c r="BC172" s="229">
        <v>1.3727</v>
      </c>
      <c r="BD172" s="230">
        <v>31750</v>
      </c>
      <c r="BE172" s="230">
        <v>76200</v>
      </c>
      <c r="BF172" s="230">
        <v>-44450</v>
      </c>
      <c r="BG172" s="229">
        <v>-0.58330000000000004</v>
      </c>
      <c r="BH172" s="230">
        <v>14122400</v>
      </c>
      <c r="BI172" s="230">
        <v>19103975</v>
      </c>
      <c r="BJ172" s="230">
        <v>-4981575</v>
      </c>
      <c r="BK172" s="229">
        <v>-0.26079999999999998</v>
      </c>
      <c r="BL172" s="230">
        <v>5864225</v>
      </c>
      <c r="BM172" s="230">
        <v>8305800</v>
      </c>
      <c r="BN172" s="230">
        <v>-2441575</v>
      </c>
      <c r="BO172" s="229">
        <v>-0.29399999999999998</v>
      </c>
      <c r="BP172" s="230">
        <v>51657250</v>
      </c>
      <c r="BQ172" s="230">
        <v>42322750</v>
      </c>
      <c r="BR172" s="230">
        <v>9334500</v>
      </c>
      <c r="BS172" s="229">
        <v>0.22059999999999999</v>
      </c>
      <c r="BT172" s="230">
        <v>5081457</v>
      </c>
      <c r="BU172" s="230">
        <v>6624846</v>
      </c>
      <c r="BV172" s="230">
        <v>-1543389</v>
      </c>
      <c r="BW172" s="229">
        <v>-0.23300000000000001</v>
      </c>
      <c r="BX172" s="230">
        <v>78673325</v>
      </c>
      <c r="BY172" s="230">
        <v>79508350</v>
      </c>
      <c r="BZ172" s="230">
        <v>-835025</v>
      </c>
      <c r="CA172" s="229">
        <v>-1.0500000000000001E-2</v>
      </c>
      <c r="CB172" s="230">
        <v>56610250</v>
      </c>
      <c r="CC172" s="230">
        <v>69837300</v>
      </c>
      <c r="CD172" s="230">
        <v>-13227050</v>
      </c>
      <c r="CE172" s="229">
        <v>-0.18940000000000001</v>
      </c>
      <c r="CF172" s="230">
        <v>21907500</v>
      </c>
      <c r="CG172" s="230">
        <v>9521825</v>
      </c>
      <c r="CH172" s="230">
        <v>12385675</v>
      </c>
      <c r="CI172" s="229">
        <v>1.3008</v>
      </c>
      <c r="CJ172" s="230">
        <v>155575</v>
      </c>
      <c r="CK172" s="230">
        <v>149225</v>
      </c>
      <c r="CL172" s="230">
        <v>6350</v>
      </c>
      <c r="CM172" s="229">
        <v>4.2599999999999999E-2</v>
      </c>
      <c r="CN172" s="230">
        <v>22139275</v>
      </c>
      <c r="CO172" s="230">
        <v>22913975</v>
      </c>
      <c r="CP172" s="230">
        <v>-774700</v>
      </c>
      <c r="CQ172" s="229">
        <v>-3.3799999999999997E-2</v>
      </c>
      <c r="CR172" s="230">
        <v>15598775</v>
      </c>
      <c r="CS172" s="230">
        <v>16414750</v>
      </c>
      <c r="CT172" s="230">
        <v>-815975</v>
      </c>
      <c r="CU172" s="229">
        <v>-4.9700000000000001E-2</v>
      </c>
      <c r="CV172" s="230">
        <v>116411375</v>
      </c>
      <c r="CW172" s="230">
        <v>118837075</v>
      </c>
      <c r="CX172" s="230">
        <v>-2425700</v>
      </c>
      <c r="CY172" s="229">
        <v>-2.0400000000000001E-2</v>
      </c>
      <c r="CZ172" s="228">
        <v>21.58</v>
      </c>
      <c r="DA172" s="228">
        <v>27.15</v>
      </c>
      <c r="DB172" s="228">
        <v>-5.57</v>
      </c>
      <c r="DC172" s="228">
        <v>-5.57</v>
      </c>
      <c r="DD172" s="228">
        <v>45.89</v>
      </c>
      <c r="DE172" s="228">
        <v>45.97</v>
      </c>
      <c r="DF172" s="228">
        <v>-24.31</v>
      </c>
      <c r="DG172" s="228">
        <v>-0.08</v>
      </c>
      <c r="DH172" s="228">
        <v>21.34</v>
      </c>
      <c r="DI172" s="228">
        <v>27.8</v>
      </c>
      <c r="DJ172" s="228">
        <v>-6.46</v>
      </c>
      <c r="DK172" s="228">
        <v>-6.46</v>
      </c>
      <c r="DL172" s="228">
        <v>22.25</v>
      </c>
      <c r="DM172" s="228">
        <v>25.65</v>
      </c>
      <c r="DN172" s="228">
        <v>-3.4</v>
      </c>
      <c r="DO172" s="228">
        <v>-3.4</v>
      </c>
      <c r="DP172" s="228">
        <v>0.7</v>
      </c>
      <c r="DQ172" s="228">
        <v>0.72</v>
      </c>
      <c r="DR172" s="228">
        <v>-0.02</v>
      </c>
      <c r="DS172" s="229">
        <v>-2.7799999999999998E-2</v>
      </c>
      <c r="DT172" s="228">
        <v>330</v>
      </c>
      <c r="DU172" s="228">
        <v>300</v>
      </c>
      <c r="DV172" s="228">
        <v>0.42</v>
      </c>
      <c r="DW172" s="228">
        <v>0.43</v>
      </c>
      <c r="DX172" s="228">
        <v>-0.01</v>
      </c>
      <c r="DY172" s="229">
        <v>-2.3300000000000001E-2</v>
      </c>
      <c r="DZ172" s="229">
        <v>0.28039999999999998</v>
      </c>
      <c r="EA172" s="230">
        <v>9671050</v>
      </c>
      <c r="EB172" s="229">
        <v>6.4999999999999997E-3</v>
      </c>
      <c r="EC172" s="229">
        <v>0.28039999999999998</v>
      </c>
      <c r="ED172" s="228">
        <v>2.09</v>
      </c>
      <c r="EE172" s="229">
        <v>6.7000000000000002E-3</v>
      </c>
      <c r="EF172" s="230">
        <v>2399705</v>
      </c>
      <c r="EG172" s="230">
        <v>3368778</v>
      </c>
      <c r="EH172" s="229">
        <v>-0.28770000000000001</v>
      </c>
      <c r="EI172" s="229">
        <v>0.47220000000000001</v>
      </c>
      <c r="EJ172" s="231">
        <v>45996.06</v>
      </c>
      <c r="EK172" s="231">
        <v>18388.96</v>
      </c>
      <c r="EL172" s="231">
        <v>99628.18</v>
      </c>
      <c r="EM172" s="231">
        <v>2818</v>
      </c>
      <c r="EN172" s="231">
        <v>164013.20000000001</v>
      </c>
      <c r="EO172" s="231">
        <v>134673.95000000001</v>
      </c>
      <c r="EP172" s="231">
        <v>29339.25</v>
      </c>
      <c r="EQ172" s="229">
        <v>0.21790000000000001</v>
      </c>
      <c r="ER172" s="231">
        <v>72145</v>
      </c>
      <c r="ES172" s="231">
        <v>48612</v>
      </c>
      <c r="ET172" s="231">
        <v>247095</v>
      </c>
      <c r="EU172" s="231">
        <v>91351468</v>
      </c>
      <c r="EV172" s="231">
        <v>367853</v>
      </c>
      <c r="EW172" s="231">
        <v>373130</v>
      </c>
      <c r="EX172" s="231">
        <v>-5277</v>
      </c>
      <c r="EY172" s="229">
        <v>-1.41E-2</v>
      </c>
      <c r="EZ172" s="229">
        <v>1.2743</v>
      </c>
      <c r="FA172" s="227" t="s">
        <v>556</v>
      </c>
      <c r="FB172" s="161">
        <f t="shared" si="4"/>
        <v>0</v>
      </c>
    </row>
    <row r="173" spans="1:158" ht="17.25" thickBot="1" x14ac:dyDescent="0.3">
      <c r="A173" s="226">
        <v>45981</v>
      </c>
      <c r="B173" s="227" t="s">
        <v>175</v>
      </c>
      <c r="C173" s="227" t="s">
        <v>280</v>
      </c>
      <c r="D173" s="228">
        <v>1275</v>
      </c>
      <c r="E173" s="228">
        <v>361.1</v>
      </c>
      <c r="F173" s="228">
        <v>359.2</v>
      </c>
      <c r="G173" s="228">
        <v>1.9</v>
      </c>
      <c r="H173" s="229">
        <v>5.3E-3</v>
      </c>
      <c r="I173" s="228">
        <v>361.4</v>
      </c>
      <c r="J173" s="228">
        <v>359.45</v>
      </c>
      <c r="K173" s="228">
        <v>1.95</v>
      </c>
      <c r="L173" s="229">
        <v>5.4000000000000003E-3</v>
      </c>
      <c r="M173" s="228">
        <v>361.1</v>
      </c>
      <c r="N173" s="228">
        <v>359.2</v>
      </c>
      <c r="O173" s="228">
        <v>1.9</v>
      </c>
      <c r="P173" s="229">
        <v>5.3E-3</v>
      </c>
      <c r="Q173" s="228">
        <v>363.35</v>
      </c>
      <c r="R173" s="228">
        <v>361.55</v>
      </c>
      <c r="S173" s="228">
        <v>1.8</v>
      </c>
      <c r="T173" s="229">
        <v>5.0000000000000001E-3</v>
      </c>
      <c r="U173" s="228">
        <v>365.75</v>
      </c>
      <c r="V173" s="228">
        <v>364.3</v>
      </c>
      <c r="W173" s="228">
        <v>1.45</v>
      </c>
      <c r="X173" s="229">
        <v>4.0000000000000001E-3</v>
      </c>
      <c r="Y173" s="228">
        <v>-0.3</v>
      </c>
      <c r="Z173" s="228">
        <v>-0.25</v>
      </c>
      <c r="AA173" s="228">
        <v>-0.05</v>
      </c>
      <c r="AB173" s="229">
        <v>-8.0000000000000004E-4</v>
      </c>
      <c r="AC173" s="228">
        <v>-0.3</v>
      </c>
      <c r="AD173" s="228">
        <v>-0.25</v>
      </c>
      <c r="AE173" s="228">
        <v>-0.05</v>
      </c>
      <c r="AF173" s="229">
        <v>-8.0000000000000004E-4</v>
      </c>
      <c r="AG173" s="228">
        <v>1.95</v>
      </c>
      <c r="AH173" s="228">
        <v>2.1</v>
      </c>
      <c r="AI173" s="228">
        <v>-0.15</v>
      </c>
      <c r="AJ173" s="229">
        <v>5.4000000000000003E-3</v>
      </c>
      <c r="AK173" s="228">
        <v>4.3499999999999996</v>
      </c>
      <c r="AL173" s="228">
        <v>4.8499999999999996</v>
      </c>
      <c r="AM173" s="228">
        <v>-0.5</v>
      </c>
      <c r="AN173" s="229">
        <v>1.2E-2</v>
      </c>
      <c r="AO173" s="228">
        <v>362.11</v>
      </c>
      <c r="AP173" s="228">
        <v>364.43</v>
      </c>
      <c r="AQ173" s="228">
        <v>0</v>
      </c>
      <c r="AR173" s="230">
        <v>38901525</v>
      </c>
      <c r="AS173" s="230">
        <v>18437775</v>
      </c>
      <c r="AT173" s="230">
        <v>20463750</v>
      </c>
      <c r="AU173" s="229">
        <v>1.1099000000000001</v>
      </c>
      <c r="AV173" s="230">
        <v>20396175</v>
      </c>
      <c r="AW173" s="230">
        <v>10168125</v>
      </c>
      <c r="AX173" s="230">
        <v>10228050</v>
      </c>
      <c r="AY173" s="229">
        <v>1.0059</v>
      </c>
      <c r="AZ173" s="230">
        <v>18302625</v>
      </c>
      <c r="BA173" s="230">
        <v>8050350</v>
      </c>
      <c r="BB173" s="230">
        <v>10252275</v>
      </c>
      <c r="BC173" s="229">
        <v>1.2735000000000001</v>
      </c>
      <c r="BD173" s="230">
        <v>202725</v>
      </c>
      <c r="BE173" s="230">
        <v>219300</v>
      </c>
      <c r="BF173" s="230">
        <v>-16575</v>
      </c>
      <c r="BG173" s="229">
        <v>-7.5600000000000001E-2</v>
      </c>
      <c r="BH173" s="230">
        <v>33267300</v>
      </c>
      <c r="BI173" s="230">
        <v>31373925</v>
      </c>
      <c r="BJ173" s="230">
        <v>1893375</v>
      </c>
      <c r="BK173" s="229">
        <v>6.0299999999999999E-2</v>
      </c>
      <c r="BL173" s="230">
        <v>18251625</v>
      </c>
      <c r="BM173" s="230">
        <v>14515875</v>
      </c>
      <c r="BN173" s="230">
        <v>3735750</v>
      </c>
      <c r="BO173" s="229">
        <v>0.25740000000000002</v>
      </c>
      <c r="BP173" s="230">
        <v>90420450</v>
      </c>
      <c r="BQ173" s="230">
        <v>64327575</v>
      </c>
      <c r="BR173" s="230">
        <v>26092875</v>
      </c>
      <c r="BS173" s="229">
        <v>0.40560000000000002</v>
      </c>
      <c r="BT173" s="230">
        <v>4397114</v>
      </c>
      <c r="BU173" s="230">
        <v>3680596</v>
      </c>
      <c r="BV173" s="230">
        <v>716518</v>
      </c>
      <c r="BW173" s="229">
        <v>0.19470000000000001</v>
      </c>
      <c r="BX173" s="230">
        <v>103604125</v>
      </c>
      <c r="BY173" s="230">
        <v>106085150</v>
      </c>
      <c r="BZ173" s="230">
        <v>-2481025</v>
      </c>
      <c r="CA173" s="229">
        <v>-2.3400000000000001E-2</v>
      </c>
      <c r="CB173" s="230">
        <v>69876375</v>
      </c>
      <c r="CC173" s="230">
        <v>85439025</v>
      </c>
      <c r="CD173" s="230">
        <v>-15562650</v>
      </c>
      <c r="CE173" s="229">
        <v>-0.18210000000000001</v>
      </c>
      <c r="CF173" s="230">
        <v>31969350</v>
      </c>
      <c r="CG173" s="230">
        <v>18960525</v>
      </c>
      <c r="CH173" s="230">
        <v>13008825</v>
      </c>
      <c r="CI173" s="229">
        <v>0.68610000000000004</v>
      </c>
      <c r="CJ173" s="230">
        <v>1758400</v>
      </c>
      <c r="CK173" s="230">
        <v>1685600</v>
      </c>
      <c r="CL173" s="230">
        <v>72800</v>
      </c>
      <c r="CM173" s="229">
        <v>4.3200000000000002E-2</v>
      </c>
      <c r="CN173" s="230">
        <v>42331950</v>
      </c>
      <c r="CO173" s="230">
        <v>47142325</v>
      </c>
      <c r="CP173" s="230">
        <v>-4810375</v>
      </c>
      <c r="CQ173" s="229">
        <v>-0.10199999999999999</v>
      </c>
      <c r="CR173" s="230">
        <v>30677300</v>
      </c>
      <c r="CS173" s="230">
        <v>32081500</v>
      </c>
      <c r="CT173" s="230">
        <v>-1404200</v>
      </c>
      <c r="CU173" s="229">
        <v>-4.3799999999999999E-2</v>
      </c>
      <c r="CV173" s="230">
        <v>176613375</v>
      </c>
      <c r="CW173" s="230">
        <v>185308975</v>
      </c>
      <c r="CX173" s="230">
        <v>-8695600</v>
      </c>
      <c r="CY173" s="229">
        <v>-4.6899999999999997E-2</v>
      </c>
      <c r="CZ173" s="228">
        <v>22.93</v>
      </c>
      <c r="DA173" s="228">
        <v>26.5</v>
      </c>
      <c r="DB173" s="228">
        <v>-3.57</v>
      </c>
      <c r="DC173" s="228">
        <v>-3.57</v>
      </c>
      <c r="DD173" s="228">
        <v>43.48</v>
      </c>
      <c r="DE173" s="228">
        <v>43.58</v>
      </c>
      <c r="DF173" s="228">
        <v>-20.55</v>
      </c>
      <c r="DG173" s="228">
        <v>-0.1</v>
      </c>
      <c r="DH173" s="228">
        <v>23.17</v>
      </c>
      <c r="DI173" s="228">
        <v>27.21</v>
      </c>
      <c r="DJ173" s="228">
        <v>-4.04</v>
      </c>
      <c r="DK173" s="228">
        <v>-4.04</v>
      </c>
      <c r="DL173" s="228">
        <v>22.51</v>
      </c>
      <c r="DM173" s="228">
        <v>24.95</v>
      </c>
      <c r="DN173" s="228">
        <v>-2.44</v>
      </c>
      <c r="DO173" s="228">
        <v>-2.44</v>
      </c>
      <c r="DP173" s="228">
        <v>0.72</v>
      </c>
      <c r="DQ173" s="228">
        <v>0.68</v>
      </c>
      <c r="DR173" s="228">
        <v>0.04</v>
      </c>
      <c r="DS173" s="229">
        <v>5.8799999999999998E-2</v>
      </c>
      <c r="DT173" s="228">
        <v>380</v>
      </c>
      <c r="DU173" s="228">
        <v>370</v>
      </c>
      <c r="DV173" s="228">
        <v>0.55000000000000004</v>
      </c>
      <c r="DW173" s="228">
        <v>0.46</v>
      </c>
      <c r="DX173" s="228">
        <v>0.09</v>
      </c>
      <c r="DY173" s="229">
        <v>0.19570000000000001</v>
      </c>
      <c r="DZ173" s="229">
        <v>0.32550000000000001</v>
      </c>
      <c r="EA173" s="230">
        <v>20646125</v>
      </c>
      <c r="EB173" s="229">
        <v>6.1999999999999998E-3</v>
      </c>
      <c r="EC173" s="229">
        <v>0.32550000000000001</v>
      </c>
      <c r="ED173" s="228">
        <v>2.3199999999999998</v>
      </c>
      <c r="EE173" s="229">
        <v>6.4000000000000003E-3</v>
      </c>
      <c r="EF173" s="230">
        <v>2808958</v>
      </c>
      <c r="EG173" s="230">
        <v>2253176</v>
      </c>
      <c r="EH173" s="229">
        <v>0.2467</v>
      </c>
      <c r="EI173" s="229">
        <v>0.63880000000000003</v>
      </c>
      <c r="EJ173" s="231">
        <v>125515.89</v>
      </c>
      <c r="EK173" s="231">
        <v>66734.09</v>
      </c>
      <c r="EL173" s="231">
        <v>141372.09</v>
      </c>
      <c r="EM173" s="231">
        <v>9846</v>
      </c>
      <c r="EN173" s="231">
        <v>333622.07</v>
      </c>
      <c r="EO173" s="231">
        <v>236930.66</v>
      </c>
      <c r="EP173" s="231">
        <v>96691.41</v>
      </c>
      <c r="EQ173" s="229">
        <v>0.40810000000000002</v>
      </c>
      <c r="ER173" s="231">
        <v>162380</v>
      </c>
      <c r="ES173" s="231">
        <v>112276</v>
      </c>
      <c r="ET173" s="231">
        <v>374916</v>
      </c>
      <c r="EU173" s="231">
        <v>187084550</v>
      </c>
      <c r="EV173" s="231">
        <v>649572</v>
      </c>
      <c r="EW173" s="231">
        <v>679811</v>
      </c>
      <c r="EX173" s="231">
        <v>-30239</v>
      </c>
      <c r="EY173" s="229">
        <v>-4.4499999999999998E-2</v>
      </c>
      <c r="EZ173" s="229">
        <v>0.94399999999999995</v>
      </c>
      <c r="FA173" s="227" t="s">
        <v>556</v>
      </c>
      <c r="FB173" s="161">
        <f t="shared" si="4"/>
        <v>0</v>
      </c>
    </row>
    <row r="174" spans="1:158" ht="17.25" thickBot="1" x14ac:dyDescent="0.3">
      <c r="A174" s="226">
        <v>45981</v>
      </c>
      <c r="B174" s="227" t="s">
        <v>193</v>
      </c>
      <c r="C174" s="227" t="s">
        <v>281</v>
      </c>
      <c r="D174" s="228">
        <v>500</v>
      </c>
      <c r="E174" s="231">
        <v>1548</v>
      </c>
      <c r="F174" s="231">
        <v>1518.1</v>
      </c>
      <c r="G174" s="228">
        <v>29.9</v>
      </c>
      <c r="H174" s="229">
        <v>1.9699999999999999E-2</v>
      </c>
      <c r="I174" s="231">
        <v>1549.1</v>
      </c>
      <c r="J174" s="231">
        <v>1518.9</v>
      </c>
      <c r="K174" s="228">
        <v>30.2</v>
      </c>
      <c r="L174" s="229">
        <v>1.9900000000000001E-2</v>
      </c>
      <c r="M174" s="231">
        <v>1548</v>
      </c>
      <c r="N174" s="231">
        <v>1518.1</v>
      </c>
      <c r="O174" s="228">
        <v>29.9</v>
      </c>
      <c r="P174" s="229">
        <v>1.9699999999999999E-2</v>
      </c>
      <c r="Q174" s="231">
        <v>1558.6</v>
      </c>
      <c r="R174" s="231">
        <v>1528.4</v>
      </c>
      <c r="S174" s="228">
        <v>30.2</v>
      </c>
      <c r="T174" s="229">
        <v>1.9800000000000002E-2</v>
      </c>
      <c r="U174" s="231">
        <v>1567.4</v>
      </c>
      <c r="V174" s="231">
        <v>1537.5</v>
      </c>
      <c r="W174" s="228">
        <v>29.9</v>
      </c>
      <c r="X174" s="229">
        <v>1.9400000000000001E-2</v>
      </c>
      <c r="Y174" s="228">
        <v>-1.1000000000000001</v>
      </c>
      <c r="Z174" s="228">
        <v>-0.8</v>
      </c>
      <c r="AA174" s="228">
        <v>-0.3</v>
      </c>
      <c r="AB174" s="229">
        <v>-6.9999999999999999E-4</v>
      </c>
      <c r="AC174" s="228">
        <v>-1.1000000000000001</v>
      </c>
      <c r="AD174" s="228">
        <v>-0.8</v>
      </c>
      <c r="AE174" s="228">
        <v>-0.3</v>
      </c>
      <c r="AF174" s="229">
        <v>-6.9999999999999999E-4</v>
      </c>
      <c r="AG174" s="228">
        <v>9.5</v>
      </c>
      <c r="AH174" s="228">
        <v>9.5</v>
      </c>
      <c r="AI174" s="228">
        <v>0</v>
      </c>
      <c r="AJ174" s="229">
        <v>6.1000000000000004E-3</v>
      </c>
      <c r="AK174" s="228">
        <v>18.3</v>
      </c>
      <c r="AL174" s="228">
        <v>18.600000000000001</v>
      </c>
      <c r="AM174" s="228">
        <v>-0.3</v>
      </c>
      <c r="AN174" s="229">
        <v>1.18E-2</v>
      </c>
      <c r="AO174" s="231">
        <v>1541.92</v>
      </c>
      <c r="AP174" s="231">
        <v>1552.45</v>
      </c>
      <c r="AQ174" s="228">
        <v>0</v>
      </c>
      <c r="AR174" s="230">
        <v>59613000</v>
      </c>
      <c r="AS174" s="230">
        <v>16993000</v>
      </c>
      <c r="AT174" s="230">
        <v>42620000</v>
      </c>
      <c r="AU174" s="229">
        <v>2.5081000000000002</v>
      </c>
      <c r="AV174" s="230">
        <v>33936000</v>
      </c>
      <c r="AW174" s="230">
        <v>10192000</v>
      </c>
      <c r="AX174" s="230">
        <v>23744000</v>
      </c>
      <c r="AY174" s="229">
        <v>2.3296999999999999</v>
      </c>
      <c r="AZ174" s="230">
        <v>25213000</v>
      </c>
      <c r="BA174" s="230">
        <v>6504500</v>
      </c>
      <c r="BB174" s="230">
        <v>18708500</v>
      </c>
      <c r="BC174" s="229">
        <v>2.8761999999999999</v>
      </c>
      <c r="BD174" s="230">
        <v>464000</v>
      </c>
      <c r="BE174" s="230">
        <v>296500</v>
      </c>
      <c r="BF174" s="230">
        <v>167500</v>
      </c>
      <c r="BG174" s="229">
        <v>0.56489999999999996</v>
      </c>
      <c r="BH174" s="230">
        <v>204455500</v>
      </c>
      <c r="BI174" s="230">
        <v>64689000</v>
      </c>
      <c r="BJ174" s="230">
        <v>139766500</v>
      </c>
      <c r="BK174" s="229">
        <v>2.1606000000000001</v>
      </c>
      <c r="BL174" s="230">
        <v>93888000</v>
      </c>
      <c r="BM174" s="230">
        <v>38693500</v>
      </c>
      <c r="BN174" s="230">
        <v>55194500</v>
      </c>
      <c r="BO174" s="229">
        <v>1.4265000000000001</v>
      </c>
      <c r="BP174" s="230">
        <v>357956500</v>
      </c>
      <c r="BQ174" s="230">
        <v>120375500</v>
      </c>
      <c r="BR174" s="230">
        <v>237581000</v>
      </c>
      <c r="BS174" s="229">
        <v>1.9737</v>
      </c>
      <c r="BT174" s="230">
        <v>20045267</v>
      </c>
      <c r="BU174" s="230">
        <v>5982320</v>
      </c>
      <c r="BV174" s="230">
        <v>14062947</v>
      </c>
      <c r="BW174" s="229">
        <v>2.3508</v>
      </c>
      <c r="BX174" s="230">
        <v>107776500</v>
      </c>
      <c r="BY174" s="230">
        <v>107717500</v>
      </c>
      <c r="BZ174" s="230">
        <v>59000</v>
      </c>
      <c r="CA174" s="229">
        <v>5.0000000000000001E-4</v>
      </c>
      <c r="CB174" s="230">
        <v>68346500</v>
      </c>
      <c r="CC174" s="230">
        <v>88726500</v>
      </c>
      <c r="CD174" s="230">
        <v>-20380000</v>
      </c>
      <c r="CE174" s="229">
        <v>-0.22969999999999999</v>
      </c>
      <c r="CF174" s="230">
        <v>38439000</v>
      </c>
      <c r="CG174" s="230">
        <v>18119500</v>
      </c>
      <c r="CH174" s="230">
        <v>20319500</v>
      </c>
      <c r="CI174" s="229">
        <v>1.1214</v>
      </c>
      <c r="CJ174" s="230">
        <v>991000</v>
      </c>
      <c r="CK174" s="230">
        <v>871500</v>
      </c>
      <c r="CL174" s="230">
        <v>119500</v>
      </c>
      <c r="CM174" s="229">
        <v>0.1371</v>
      </c>
      <c r="CN174" s="230">
        <v>48184500</v>
      </c>
      <c r="CO174" s="230">
        <v>46298500</v>
      </c>
      <c r="CP174" s="230">
        <v>1886000</v>
      </c>
      <c r="CQ174" s="229">
        <v>4.07E-2</v>
      </c>
      <c r="CR174" s="230">
        <v>35374000</v>
      </c>
      <c r="CS174" s="230">
        <v>30002000</v>
      </c>
      <c r="CT174" s="230">
        <v>5372000</v>
      </c>
      <c r="CU174" s="229">
        <v>0.17910000000000001</v>
      </c>
      <c r="CV174" s="230">
        <v>191335000</v>
      </c>
      <c r="CW174" s="230">
        <v>184018000</v>
      </c>
      <c r="CX174" s="230">
        <v>7317000</v>
      </c>
      <c r="CY174" s="229">
        <v>3.9800000000000002E-2</v>
      </c>
      <c r="CZ174" s="228">
        <v>16.97</v>
      </c>
      <c r="DA174" s="228">
        <v>17.47</v>
      </c>
      <c r="DB174" s="228">
        <v>-0.5</v>
      </c>
      <c r="DC174" s="228">
        <v>-0.5</v>
      </c>
      <c r="DD174" s="228">
        <v>24.11</v>
      </c>
      <c r="DE174" s="228">
        <v>24.03</v>
      </c>
      <c r="DF174" s="228">
        <v>-7.14</v>
      </c>
      <c r="DG174" s="228">
        <v>0.08</v>
      </c>
      <c r="DH174" s="228">
        <v>16.78</v>
      </c>
      <c r="DI174" s="228">
        <v>16.989999999999998</v>
      </c>
      <c r="DJ174" s="228">
        <v>-0.21</v>
      </c>
      <c r="DK174" s="228">
        <v>-0.21</v>
      </c>
      <c r="DL174" s="228">
        <v>17.38</v>
      </c>
      <c r="DM174" s="228">
        <v>18.27</v>
      </c>
      <c r="DN174" s="228">
        <v>-0.89</v>
      </c>
      <c r="DO174" s="228">
        <v>-0.89</v>
      </c>
      <c r="DP174" s="228">
        <v>0.73</v>
      </c>
      <c r="DQ174" s="228">
        <v>0.65</v>
      </c>
      <c r="DR174" s="228">
        <v>0.08</v>
      </c>
      <c r="DS174" s="229">
        <v>0.1231</v>
      </c>
      <c r="DT174" s="231">
        <v>1520</v>
      </c>
      <c r="DU174" s="231">
        <v>1500</v>
      </c>
      <c r="DV174" s="228">
        <v>0.46</v>
      </c>
      <c r="DW174" s="228">
        <v>0.6</v>
      </c>
      <c r="DX174" s="228">
        <v>-0.14000000000000001</v>
      </c>
      <c r="DY174" s="229">
        <v>-0.23330000000000001</v>
      </c>
      <c r="DZ174" s="229">
        <v>0.36580000000000001</v>
      </c>
      <c r="EA174" s="230">
        <v>18991000</v>
      </c>
      <c r="EB174" s="229">
        <v>6.7999999999999996E-3</v>
      </c>
      <c r="EC174" s="229">
        <v>0.36580000000000001</v>
      </c>
      <c r="ED174" s="228">
        <v>10.53</v>
      </c>
      <c r="EE174" s="229">
        <v>6.7999999999999996E-3</v>
      </c>
      <c r="EF174" s="230">
        <v>13349682</v>
      </c>
      <c r="EG174" s="230">
        <v>3601275</v>
      </c>
      <c r="EH174" s="229">
        <v>2.7069000000000001</v>
      </c>
      <c r="EI174" s="229">
        <v>0.66600000000000004</v>
      </c>
      <c r="EJ174" s="231">
        <v>3200823.38</v>
      </c>
      <c r="EK174" s="231">
        <v>1427683.94</v>
      </c>
      <c r="EL174" s="231">
        <v>921915.83</v>
      </c>
      <c r="EM174" s="231">
        <v>25367</v>
      </c>
      <c r="EN174" s="231">
        <v>5550423.1500000004</v>
      </c>
      <c r="EO174" s="231">
        <v>1843511.22</v>
      </c>
      <c r="EP174" s="231">
        <v>3706911.93</v>
      </c>
      <c r="EQ174" s="229">
        <v>2.0108000000000001</v>
      </c>
      <c r="ER174" s="231">
        <v>743517</v>
      </c>
      <c r="ES174" s="231">
        <v>523780</v>
      </c>
      <c r="ET174" s="231">
        <v>1672647</v>
      </c>
      <c r="EU174" s="231">
        <v>662701060</v>
      </c>
      <c r="EV174" s="231">
        <v>2939944</v>
      </c>
      <c r="EW174" s="231">
        <v>2786830</v>
      </c>
      <c r="EX174" s="231">
        <v>153114</v>
      </c>
      <c r="EY174" s="229">
        <v>5.4899999999999997E-2</v>
      </c>
      <c r="EZ174" s="229">
        <v>0.28870000000000001</v>
      </c>
      <c r="FA174" s="227" t="s">
        <v>555</v>
      </c>
      <c r="FB174" s="161">
        <f t="shared" si="4"/>
        <v>0</v>
      </c>
    </row>
    <row r="175" spans="1:158" ht="17.25" thickBot="1" x14ac:dyDescent="0.3">
      <c r="A175" s="226">
        <v>45981</v>
      </c>
      <c r="B175" s="227" t="s">
        <v>215</v>
      </c>
      <c r="C175" s="227" t="s">
        <v>676</v>
      </c>
      <c r="D175" s="228">
        <v>1375</v>
      </c>
      <c r="E175" s="228">
        <v>319.60000000000002</v>
      </c>
      <c r="F175" s="228">
        <v>319.10000000000002</v>
      </c>
      <c r="G175" s="228">
        <v>0.5</v>
      </c>
      <c r="H175" s="229">
        <v>1.6000000000000001E-3</v>
      </c>
      <c r="I175" s="228">
        <v>319.10000000000002</v>
      </c>
      <c r="J175" s="228">
        <v>320.14999999999998</v>
      </c>
      <c r="K175" s="228">
        <v>-1.05</v>
      </c>
      <c r="L175" s="229">
        <v>-3.3E-3</v>
      </c>
      <c r="M175" s="228">
        <v>319.60000000000002</v>
      </c>
      <c r="N175" s="228">
        <v>319.10000000000002</v>
      </c>
      <c r="O175" s="228">
        <v>0.5</v>
      </c>
      <c r="P175" s="229">
        <v>1.6000000000000001E-3</v>
      </c>
      <c r="Q175" s="228">
        <v>314.5</v>
      </c>
      <c r="R175" s="228">
        <v>314</v>
      </c>
      <c r="S175" s="228">
        <v>0.5</v>
      </c>
      <c r="T175" s="229">
        <v>1.6000000000000001E-3</v>
      </c>
      <c r="U175" s="228">
        <v>313.10000000000002</v>
      </c>
      <c r="V175" s="228">
        <v>311.95</v>
      </c>
      <c r="W175" s="228">
        <v>1.1499999999999999</v>
      </c>
      <c r="X175" s="229">
        <v>3.7000000000000002E-3</v>
      </c>
      <c r="Y175" s="228">
        <v>0.5</v>
      </c>
      <c r="Z175" s="228">
        <v>-1.05</v>
      </c>
      <c r="AA175" s="228">
        <v>1.55</v>
      </c>
      <c r="AB175" s="229">
        <v>1.6000000000000001E-3</v>
      </c>
      <c r="AC175" s="228">
        <v>0.5</v>
      </c>
      <c r="AD175" s="228">
        <v>-1.05</v>
      </c>
      <c r="AE175" s="228">
        <v>1.55</v>
      </c>
      <c r="AF175" s="229">
        <v>1.6000000000000001E-3</v>
      </c>
      <c r="AG175" s="228">
        <v>-4.5999999999999996</v>
      </c>
      <c r="AH175" s="228">
        <v>-6.15</v>
      </c>
      <c r="AI175" s="228">
        <v>1.55</v>
      </c>
      <c r="AJ175" s="229">
        <v>-1.44E-2</v>
      </c>
      <c r="AK175" s="228">
        <v>-6</v>
      </c>
      <c r="AL175" s="228">
        <v>-8.1999999999999993</v>
      </c>
      <c r="AM175" s="228">
        <v>2.2000000000000002</v>
      </c>
      <c r="AN175" s="229">
        <v>-1.8800000000000001E-2</v>
      </c>
      <c r="AO175" s="228">
        <v>321.60000000000002</v>
      </c>
      <c r="AP175" s="228">
        <v>316.29000000000002</v>
      </c>
      <c r="AQ175" s="228">
        <v>0</v>
      </c>
      <c r="AR175" s="230">
        <v>34358500</v>
      </c>
      <c r="AS175" s="230">
        <v>7940625</v>
      </c>
      <c r="AT175" s="230">
        <v>26417875</v>
      </c>
      <c r="AU175" s="229">
        <v>3.3269000000000002</v>
      </c>
      <c r="AV175" s="230">
        <v>17391000</v>
      </c>
      <c r="AW175" s="230">
        <v>4324375</v>
      </c>
      <c r="AX175" s="230">
        <v>13066625</v>
      </c>
      <c r="AY175" s="229">
        <v>3.0215999999999998</v>
      </c>
      <c r="AZ175" s="230">
        <v>16736500</v>
      </c>
      <c r="BA175" s="230">
        <v>3400375</v>
      </c>
      <c r="BB175" s="230">
        <v>13336125</v>
      </c>
      <c r="BC175" s="229">
        <v>3.9220000000000002</v>
      </c>
      <c r="BD175" s="230">
        <v>231000</v>
      </c>
      <c r="BE175" s="230">
        <v>215875</v>
      </c>
      <c r="BF175" s="230">
        <v>15125</v>
      </c>
      <c r="BG175" s="229">
        <v>7.0099999999999996E-2</v>
      </c>
      <c r="BH175" s="230">
        <v>14712500</v>
      </c>
      <c r="BI175" s="230">
        <v>17536750</v>
      </c>
      <c r="BJ175" s="230">
        <v>-2824250</v>
      </c>
      <c r="BK175" s="229">
        <v>-0.161</v>
      </c>
      <c r="BL175" s="230">
        <v>5715875</v>
      </c>
      <c r="BM175" s="230">
        <v>6300250</v>
      </c>
      <c r="BN175" s="230">
        <v>-584375</v>
      </c>
      <c r="BO175" s="229">
        <v>-9.2799999999999994E-2</v>
      </c>
      <c r="BP175" s="230">
        <v>54786875</v>
      </c>
      <c r="BQ175" s="230">
        <v>31777625</v>
      </c>
      <c r="BR175" s="230">
        <v>23009250</v>
      </c>
      <c r="BS175" s="229">
        <v>0.72409999999999997</v>
      </c>
      <c r="BT175" s="230">
        <v>2675638</v>
      </c>
      <c r="BU175" s="230">
        <v>3086851</v>
      </c>
      <c r="BV175" s="230">
        <v>-411213</v>
      </c>
      <c r="BW175" s="229">
        <v>-0.13320000000000001</v>
      </c>
      <c r="BX175" s="230">
        <v>39582675</v>
      </c>
      <c r="BY175" s="230">
        <v>48445925</v>
      </c>
      <c r="BZ175" s="230">
        <v>-8863250</v>
      </c>
      <c r="CA175" s="229">
        <v>-0.183</v>
      </c>
      <c r="CB175" s="230">
        <v>21088375</v>
      </c>
      <c r="CC175" s="230">
        <v>34505625</v>
      </c>
      <c r="CD175" s="230">
        <v>-13417250</v>
      </c>
      <c r="CE175" s="229">
        <v>-0.38879999999999998</v>
      </c>
      <c r="CF175" s="230">
        <v>17118750</v>
      </c>
      <c r="CG175" s="230">
        <v>12648625</v>
      </c>
      <c r="CH175" s="230">
        <v>4470125</v>
      </c>
      <c r="CI175" s="229">
        <v>0.35339999999999999</v>
      </c>
      <c r="CJ175" s="230">
        <v>1375550</v>
      </c>
      <c r="CK175" s="230">
        <v>1291675</v>
      </c>
      <c r="CL175" s="230">
        <v>83875</v>
      </c>
      <c r="CM175" s="229">
        <v>6.4899999999999999E-2</v>
      </c>
      <c r="CN175" s="230">
        <v>16655350</v>
      </c>
      <c r="CO175" s="230">
        <v>18510850</v>
      </c>
      <c r="CP175" s="230">
        <v>-1855500</v>
      </c>
      <c r="CQ175" s="229">
        <v>-0.1002</v>
      </c>
      <c r="CR175" s="230">
        <v>8963550</v>
      </c>
      <c r="CS175" s="230">
        <v>9435175</v>
      </c>
      <c r="CT175" s="230">
        <v>-471625</v>
      </c>
      <c r="CU175" s="229">
        <v>-0.05</v>
      </c>
      <c r="CV175" s="230">
        <v>65201575</v>
      </c>
      <c r="CW175" s="230">
        <v>76391950</v>
      </c>
      <c r="CX175" s="230">
        <v>-11190375</v>
      </c>
      <c r="CY175" s="229">
        <v>-0.14649999999999999</v>
      </c>
      <c r="CZ175" s="228">
        <v>31.18</v>
      </c>
      <c r="DA175" s="228">
        <v>33.54</v>
      </c>
      <c r="DB175" s="228">
        <v>-2.36</v>
      </c>
      <c r="DC175" s="228">
        <v>-2.36</v>
      </c>
      <c r="DD175" s="228">
        <v>55.35</v>
      </c>
      <c r="DE175" s="228">
        <v>55.49</v>
      </c>
      <c r="DF175" s="228">
        <v>-24.17</v>
      </c>
      <c r="DG175" s="228">
        <v>-0.14000000000000001</v>
      </c>
      <c r="DH175" s="228">
        <v>31.44</v>
      </c>
      <c r="DI175" s="228">
        <v>34.68</v>
      </c>
      <c r="DJ175" s="228">
        <v>-3.24</v>
      </c>
      <c r="DK175" s="228">
        <v>-3.24</v>
      </c>
      <c r="DL175" s="228">
        <v>30.4</v>
      </c>
      <c r="DM175" s="228">
        <v>30.36</v>
      </c>
      <c r="DN175" s="228">
        <v>0.04</v>
      </c>
      <c r="DO175" s="228">
        <v>0.04</v>
      </c>
      <c r="DP175" s="228">
        <v>0.54</v>
      </c>
      <c r="DQ175" s="228">
        <v>0.51</v>
      </c>
      <c r="DR175" s="228">
        <v>0.03</v>
      </c>
      <c r="DS175" s="229">
        <v>5.8799999999999998E-2</v>
      </c>
      <c r="DT175" s="228">
        <v>330</v>
      </c>
      <c r="DU175" s="228">
        <v>310</v>
      </c>
      <c r="DV175" s="228">
        <v>0.39</v>
      </c>
      <c r="DW175" s="228">
        <v>0.36</v>
      </c>
      <c r="DX175" s="228">
        <v>0.03</v>
      </c>
      <c r="DY175" s="229">
        <v>8.3299999999999999E-2</v>
      </c>
      <c r="DZ175" s="229">
        <v>0.4672</v>
      </c>
      <c r="EA175" s="230">
        <v>13940300</v>
      </c>
      <c r="EB175" s="229">
        <v>-1.6E-2</v>
      </c>
      <c r="EC175" s="229">
        <v>0.4672</v>
      </c>
      <c r="ED175" s="228">
        <v>-5.31</v>
      </c>
      <c r="EE175" s="229">
        <v>-1.6500000000000001E-2</v>
      </c>
      <c r="EF175" s="230">
        <v>895199</v>
      </c>
      <c r="EG175" s="230">
        <v>999578</v>
      </c>
      <c r="EH175" s="229">
        <v>-0.10440000000000001</v>
      </c>
      <c r="EI175" s="229">
        <v>0.33460000000000001</v>
      </c>
      <c r="EJ175" s="231">
        <v>49319.97</v>
      </c>
      <c r="EK175" s="231">
        <v>18295.96</v>
      </c>
      <c r="EL175" s="231">
        <v>109672.43</v>
      </c>
      <c r="EM175" s="231">
        <v>7781</v>
      </c>
      <c r="EN175" s="231">
        <v>177288.36</v>
      </c>
      <c r="EO175" s="231">
        <v>104121.55</v>
      </c>
      <c r="EP175" s="231">
        <v>73166.81</v>
      </c>
      <c r="EQ175" s="229">
        <v>0.70269999999999999</v>
      </c>
      <c r="ER175" s="231">
        <v>56413</v>
      </c>
      <c r="ES175" s="231">
        <v>28118</v>
      </c>
      <c r="ET175" s="231">
        <v>125544</v>
      </c>
      <c r="EU175" s="231">
        <v>84941460</v>
      </c>
      <c r="EV175" s="231">
        <v>210075</v>
      </c>
      <c r="EW175" s="231">
        <v>246065</v>
      </c>
      <c r="EX175" s="231">
        <v>-35990</v>
      </c>
      <c r="EY175" s="229">
        <v>-0.14630000000000001</v>
      </c>
      <c r="EZ175" s="229">
        <v>0.76759999999999995</v>
      </c>
      <c r="FA175" s="227" t="s">
        <v>556</v>
      </c>
      <c r="FB175" s="161">
        <f t="shared" si="4"/>
        <v>0</v>
      </c>
    </row>
    <row r="176" spans="1:158" ht="17.25" thickBot="1" x14ac:dyDescent="0.3">
      <c r="A176" s="226">
        <v>45981</v>
      </c>
      <c r="B176" s="227" t="s">
        <v>227</v>
      </c>
      <c r="C176" s="227" t="s">
        <v>282</v>
      </c>
      <c r="D176" s="228">
        <v>4700</v>
      </c>
      <c r="E176" s="228">
        <v>138.38</v>
      </c>
      <c r="F176" s="228">
        <v>139.93</v>
      </c>
      <c r="G176" s="228">
        <v>-1.55</v>
      </c>
      <c r="H176" s="229">
        <v>-1.11E-2</v>
      </c>
      <c r="I176" s="228">
        <v>138.19</v>
      </c>
      <c r="J176" s="228">
        <v>139.99</v>
      </c>
      <c r="K176" s="228">
        <v>-1.8</v>
      </c>
      <c r="L176" s="229">
        <v>-1.29E-2</v>
      </c>
      <c r="M176" s="228">
        <v>138.38</v>
      </c>
      <c r="N176" s="228">
        <v>139.93</v>
      </c>
      <c r="O176" s="228">
        <v>-1.55</v>
      </c>
      <c r="P176" s="229">
        <v>-1.11E-2</v>
      </c>
      <c r="Q176" s="228">
        <v>139.49</v>
      </c>
      <c r="R176" s="228">
        <v>140.66</v>
      </c>
      <c r="S176" s="228">
        <v>-1.17</v>
      </c>
      <c r="T176" s="229">
        <v>-8.3000000000000001E-3</v>
      </c>
      <c r="U176" s="228">
        <v>141.16999999999999</v>
      </c>
      <c r="V176" s="228">
        <v>140</v>
      </c>
      <c r="W176" s="228">
        <v>1.17</v>
      </c>
      <c r="X176" s="229">
        <v>8.3999999999999995E-3</v>
      </c>
      <c r="Y176" s="228">
        <v>0.19</v>
      </c>
      <c r="Z176" s="228">
        <v>-0.06</v>
      </c>
      <c r="AA176" s="228">
        <v>0.25</v>
      </c>
      <c r="AB176" s="229">
        <v>1.4E-3</v>
      </c>
      <c r="AC176" s="228">
        <v>0.19</v>
      </c>
      <c r="AD176" s="228">
        <v>-0.06</v>
      </c>
      <c r="AE176" s="228">
        <v>0.25</v>
      </c>
      <c r="AF176" s="229">
        <v>1.4E-3</v>
      </c>
      <c r="AG176" s="228">
        <v>1.3</v>
      </c>
      <c r="AH176" s="228">
        <v>0.67</v>
      </c>
      <c r="AI176" s="228">
        <v>0.63</v>
      </c>
      <c r="AJ176" s="229">
        <v>9.4000000000000004E-3</v>
      </c>
      <c r="AK176" s="228">
        <v>2.98</v>
      </c>
      <c r="AL176" s="228">
        <v>0.01</v>
      </c>
      <c r="AM176" s="228">
        <v>2.97</v>
      </c>
      <c r="AN176" s="229">
        <v>2.1600000000000001E-2</v>
      </c>
      <c r="AO176" s="228">
        <v>138.9</v>
      </c>
      <c r="AP176" s="228">
        <v>139.9</v>
      </c>
      <c r="AQ176" s="228">
        <v>0</v>
      </c>
      <c r="AR176" s="230">
        <v>12041400</v>
      </c>
      <c r="AS176" s="230">
        <v>1184400</v>
      </c>
      <c r="AT176" s="230">
        <v>10857000</v>
      </c>
      <c r="AU176" s="229">
        <v>9.1667000000000005</v>
      </c>
      <c r="AV176" s="230">
        <v>6692800</v>
      </c>
      <c r="AW176" s="230">
        <v>1085700</v>
      </c>
      <c r="AX176" s="230">
        <v>5607100</v>
      </c>
      <c r="AY176" s="229">
        <v>5.1645000000000003</v>
      </c>
      <c r="AZ176" s="230">
        <v>5329800</v>
      </c>
      <c r="BA176" s="230">
        <v>98700</v>
      </c>
      <c r="BB176" s="230">
        <v>5231100</v>
      </c>
      <c r="BC176" s="229">
        <v>53</v>
      </c>
      <c r="BD176" s="230">
        <v>18800</v>
      </c>
      <c r="BE176" s="228">
        <v>0</v>
      </c>
      <c r="BF176" s="230">
        <v>18800</v>
      </c>
      <c r="BG176" s="229">
        <v>0</v>
      </c>
      <c r="BH176" s="230">
        <v>3083200</v>
      </c>
      <c r="BI176" s="230">
        <v>2039800</v>
      </c>
      <c r="BJ176" s="230">
        <v>1043400</v>
      </c>
      <c r="BK176" s="229">
        <v>0.51149999999999995</v>
      </c>
      <c r="BL176" s="230">
        <v>893000</v>
      </c>
      <c r="BM176" s="230">
        <v>893000</v>
      </c>
      <c r="BN176" s="228">
        <v>0</v>
      </c>
      <c r="BO176" s="229">
        <v>0</v>
      </c>
      <c r="BP176" s="230">
        <v>16017600</v>
      </c>
      <c r="BQ176" s="230">
        <v>4117200</v>
      </c>
      <c r="BR176" s="230">
        <v>11900400</v>
      </c>
      <c r="BS176" s="229">
        <v>2.8904000000000001</v>
      </c>
      <c r="BT176" s="230">
        <v>10666281</v>
      </c>
      <c r="BU176" s="230">
        <v>11503469</v>
      </c>
      <c r="BV176" s="230">
        <v>-837188</v>
      </c>
      <c r="BW176" s="229">
        <v>-7.2800000000000004E-2</v>
      </c>
      <c r="BX176" s="230">
        <v>181791300</v>
      </c>
      <c r="BY176" s="230">
        <v>182797100</v>
      </c>
      <c r="BZ176" s="230">
        <v>-1005800</v>
      </c>
      <c r="CA176" s="229">
        <v>-5.4999999999999997E-3</v>
      </c>
      <c r="CB176" s="230">
        <v>163484800</v>
      </c>
      <c r="CC176" s="230">
        <v>169167100</v>
      </c>
      <c r="CD176" s="230">
        <v>-5682300</v>
      </c>
      <c r="CE176" s="229">
        <v>-3.3599999999999998E-2</v>
      </c>
      <c r="CF176" s="230">
        <v>17441700</v>
      </c>
      <c r="CG176" s="230">
        <v>12751100</v>
      </c>
      <c r="CH176" s="230">
        <v>4690600</v>
      </c>
      <c r="CI176" s="229">
        <v>0.3679</v>
      </c>
      <c r="CJ176" s="230">
        <v>864800</v>
      </c>
      <c r="CK176" s="230">
        <v>878900</v>
      </c>
      <c r="CL176" s="230">
        <v>-14100</v>
      </c>
      <c r="CM176" s="229">
        <v>-1.6E-2</v>
      </c>
      <c r="CN176" s="230">
        <v>48076300</v>
      </c>
      <c r="CO176" s="230">
        <v>50022100</v>
      </c>
      <c r="CP176" s="230">
        <v>-1945800</v>
      </c>
      <c r="CQ176" s="229">
        <v>-3.8899999999999997E-2</v>
      </c>
      <c r="CR176" s="230">
        <v>42647800</v>
      </c>
      <c r="CS176" s="230">
        <v>43235300</v>
      </c>
      <c r="CT176" s="230">
        <v>-587500</v>
      </c>
      <c r="CU176" s="229">
        <v>-1.3599999999999999E-2</v>
      </c>
      <c r="CV176" s="230">
        <v>272515400</v>
      </c>
      <c r="CW176" s="230">
        <v>276054500</v>
      </c>
      <c r="CX176" s="230">
        <v>-3539100</v>
      </c>
      <c r="CY176" s="229">
        <v>-1.2800000000000001E-2</v>
      </c>
      <c r="CZ176" s="228">
        <v>29.73</v>
      </c>
      <c r="DA176" s="228">
        <v>34.380000000000003</v>
      </c>
      <c r="DB176" s="228">
        <v>-4.6500000000000004</v>
      </c>
      <c r="DC176" s="228">
        <v>-4.6500000000000004</v>
      </c>
      <c r="DD176" s="228">
        <v>44.45</v>
      </c>
      <c r="DE176" s="228">
        <v>44.54</v>
      </c>
      <c r="DF176" s="228">
        <v>-14.72</v>
      </c>
      <c r="DG176" s="228">
        <v>-0.09</v>
      </c>
      <c r="DH176" s="228">
        <v>29.73</v>
      </c>
      <c r="DI176" s="228">
        <v>31.8</v>
      </c>
      <c r="DJ176" s="228">
        <v>-2.0699999999999998</v>
      </c>
      <c r="DK176" s="228">
        <v>-2.0699999999999998</v>
      </c>
      <c r="DL176" s="228">
        <v>29.73</v>
      </c>
      <c r="DM176" s="228">
        <v>40.29</v>
      </c>
      <c r="DN176" s="228">
        <v>-10.56</v>
      </c>
      <c r="DO176" s="228">
        <v>-10.56</v>
      </c>
      <c r="DP176" s="228">
        <v>0.89</v>
      </c>
      <c r="DQ176" s="228">
        <v>0.86</v>
      </c>
      <c r="DR176" s="228">
        <v>0.03</v>
      </c>
      <c r="DS176" s="229">
        <v>3.49E-2</v>
      </c>
      <c r="DT176" s="228">
        <v>145</v>
      </c>
      <c r="DU176" s="228">
        <v>145</v>
      </c>
      <c r="DV176" s="228">
        <v>0.28999999999999998</v>
      </c>
      <c r="DW176" s="228">
        <v>0.44</v>
      </c>
      <c r="DX176" s="228">
        <v>-0.15</v>
      </c>
      <c r="DY176" s="229">
        <v>-0.34089999999999998</v>
      </c>
      <c r="DZ176" s="229">
        <v>0.1007</v>
      </c>
      <c r="EA176" s="230">
        <v>13630000</v>
      </c>
      <c r="EB176" s="229">
        <v>8.0000000000000002E-3</v>
      </c>
      <c r="EC176" s="229">
        <v>0.1007</v>
      </c>
      <c r="ED176" s="228">
        <v>1</v>
      </c>
      <c r="EE176" s="229">
        <v>7.1999999999999998E-3</v>
      </c>
      <c r="EF176" s="230">
        <v>5102453</v>
      </c>
      <c r="EG176" s="230">
        <v>5935870</v>
      </c>
      <c r="EH176" s="229">
        <v>-0.1404</v>
      </c>
      <c r="EI176" s="229">
        <v>0.47839999999999999</v>
      </c>
      <c r="EJ176" s="231">
        <v>4517.12</v>
      </c>
      <c r="EK176" s="231">
        <v>1229.52</v>
      </c>
      <c r="EL176" s="231">
        <v>16778.96</v>
      </c>
      <c r="EM176" s="228">
        <v>701</v>
      </c>
      <c r="EN176" s="231">
        <v>22525.599999999999</v>
      </c>
      <c r="EO176" s="231">
        <v>5938.1</v>
      </c>
      <c r="EP176" s="231">
        <v>16587.5</v>
      </c>
      <c r="EQ176" s="229">
        <v>2.7934000000000001</v>
      </c>
      <c r="ER176" s="231">
        <v>68879</v>
      </c>
      <c r="ES176" s="231">
        <v>58326</v>
      </c>
      <c r="ET176" s="231">
        <v>251781</v>
      </c>
      <c r="EU176" s="231">
        <v>216861410</v>
      </c>
      <c r="EV176" s="231">
        <v>378985</v>
      </c>
      <c r="EW176" s="231">
        <v>386738</v>
      </c>
      <c r="EX176" s="231">
        <v>-7753</v>
      </c>
      <c r="EY176" s="229">
        <v>-0.02</v>
      </c>
      <c r="EZ176" s="229">
        <v>1.2565999999999999</v>
      </c>
      <c r="FA176" s="227" t="s">
        <v>568</v>
      </c>
      <c r="FB176" s="161">
        <f t="shared" si="4"/>
        <v>0</v>
      </c>
    </row>
    <row r="177" spans="1:158" ht="17.25" thickBot="1" x14ac:dyDescent="0.3">
      <c r="A177" s="226">
        <v>45981</v>
      </c>
      <c r="B177" s="227" t="s">
        <v>175</v>
      </c>
      <c r="C177" s="227" t="s">
        <v>687</v>
      </c>
      <c r="D177" s="228">
        <v>4300</v>
      </c>
      <c r="E177" s="228">
        <v>157.49</v>
      </c>
      <c r="F177" s="228">
        <v>160.13</v>
      </c>
      <c r="G177" s="228">
        <v>-2.64</v>
      </c>
      <c r="H177" s="229">
        <v>-1.6500000000000001E-2</v>
      </c>
      <c r="I177" s="228">
        <v>157.02000000000001</v>
      </c>
      <c r="J177" s="228">
        <v>159.55000000000001</v>
      </c>
      <c r="K177" s="228">
        <v>-2.5299999999999998</v>
      </c>
      <c r="L177" s="229">
        <v>-1.5900000000000001E-2</v>
      </c>
      <c r="M177" s="228">
        <v>157.49</v>
      </c>
      <c r="N177" s="228">
        <v>160.13</v>
      </c>
      <c r="O177" s="228">
        <v>-2.64</v>
      </c>
      <c r="P177" s="229">
        <v>-1.6500000000000001E-2</v>
      </c>
      <c r="Q177" s="228">
        <v>158.78</v>
      </c>
      <c r="R177" s="228">
        <v>161.12</v>
      </c>
      <c r="S177" s="228">
        <v>-2.34</v>
      </c>
      <c r="T177" s="229">
        <v>-1.4500000000000001E-2</v>
      </c>
      <c r="U177" s="228">
        <v>157.80000000000001</v>
      </c>
      <c r="V177" s="228">
        <v>161.96</v>
      </c>
      <c r="W177" s="228">
        <v>-4.16</v>
      </c>
      <c r="X177" s="229">
        <v>-2.5700000000000001E-2</v>
      </c>
      <c r="Y177" s="228">
        <v>0.47</v>
      </c>
      <c r="Z177" s="228">
        <v>0.57999999999999996</v>
      </c>
      <c r="AA177" s="228">
        <v>-0.11</v>
      </c>
      <c r="AB177" s="229">
        <v>3.0000000000000001E-3</v>
      </c>
      <c r="AC177" s="228">
        <v>0.47</v>
      </c>
      <c r="AD177" s="228">
        <v>0.57999999999999996</v>
      </c>
      <c r="AE177" s="228">
        <v>-0.11</v>
      </c>
      <c r="AF177" s="229">
        <v>3.0000000000000001E-3</v>
      </c>
      <c r="AG177" s="228">
        <v>1.76</v>
      </c>
      <c r="AH177" s="228">
        <v>1.57</v>
      </c>
      <c r="AI177" s="228">
        <v>0.19</v>
      </c>
      <c r="AJ177" s="229">
        <v>1.12E-2</v>
      </c>
      <c r="AK177" s="228">
        <v>0.78</v>
      </c>
      <c r="AL177" s="228">
        <v>2.41</v>
      </c>
      <c r="AM177" s="228">
        <v>-1.63</v>
      </c>
      <c r="AN177" s="229">
        <v>5.0000000000000001E-3</v>
      </c>
      <c r="AO177" s="228">
        <v>159.08000000000001</v>
      </c>
      <c r="AP177" s="228">
        <v>160.72999999999999</v>
      </c>
      <c r="AQ177" s="228">
        <v>0</v>
      </c>
      <c r="AR177" s="230">
        <v>30671900</v>
      </c>
      <c r="AS177" s="230">
        <v>150882700</v>
      </c>
      <c r="AT177" s="230">
        <v>-120210800</v>
      </c>
      <c r="AU177" s="229">
        <v>-0.79669999999999996</v>
      </c>
      <c r="AV177" s="230">
        <v>20128300</v>
      </c>
      <c r="AW177" s="230">
        <v>91559900</v>
      </c>
      <c r="AX177" s="230">
        <v>-71431600</v>
      </c>
      <c r="AY177" s="229">
        <v>-0.7802</v>
      </c>
      <c r="AZ177" s="230">
        <v>10504900</v>
      </c>
      <c r="BA177" s="230">
        <v>54257400</v>
      </c>
      <c r="BB177" s="230">
        <v>-43752500</v>
      </c>
      <c r="BC177" s="229">
        <v>-0.80640000000000001</v>
      </c>
      <c r="BD177" s="230">
        <v>38700</v>
      </c>
      <c r="BE177" s="230">
        <v>5065400</v>
      </c>
      <c r="BF177" s="230">
        <v>-5026700</v>
      </c>
      <c r="BG177" s="229">
        <v>-0.99239999999999995</v>
      </c>
      <c r="BH177" s="230">
        <v>21401100</v>
      </c>
      <c r="BI177" s="230">
        <v>298699500</v>
      </c>
      <c r="BJ177" s="230">
        <v>-277298400</v>
      </c>
      <c r="BK177" s="229">
        <v>-0.9284</v>
      </c>
      <c r="BL177" s="230">
        <v>18975900</v>
      </c>
      <c r="BM177" s="230">
        <v>286530500</v>
      </c>
      <c r="BN177" s="230">
        <v>-267554600</v>
      </c>
      <c r="BO177" s="229">
        <v>-0.93379999999999996</v>
      </c>
      <c r="BP177" s="230">
        <v>71048900</v>
      </c>
      <c r="BQ177" s="230">
        <v>736112700</v>
      </c>
      <c r="BR177" s="230">
        <v>-665063800</v>
      </c>
      <c r="BS177" s="229">
        <v>-0.90349999999999997</v>
      </c>
      <c r="BT177" s="230">
        <v>102179494</v>
      </c>
      <c r="BU177" s="230">
        <v>67471907</v>
      </c>
      <c r="BV177" s="230">
        <v>34707587</v>
      </c>
      <c r="BW177" s="229">
        <v>0.51439999999999997</v>
      </c>
      <c r="BX177" s="230">
        <v>110217600</v>
      </c>
      <c r="BY177" s="230">
        <v>122472600</v>
      </c>
      <c r="BZ177" s="230">
        <v>-12255000</v>
      </c>
      <c r="CA177" s="229">
        <v>-0.10009999999999999</v>
      </c>
      <c r="CB177" s="230">
        <v>56910500</v>
      </c>
      <c r="CC177" s="230">
        <v>71040300</v>
      </c>
      <c r="CD177" s="230">
        <v>-14129800</v>
      </c>
      <c r="CE177" s="229">
        <v>-0.19889999999999999</v>
      </c>
      <c r="CF177" s="230">
        <v>51862300</v>
      </c>
      <c r="CG177" s="230">
        <v>49953100</v>
      </c>
      <c r="CH177" s="230">
        <v>1909200</v>
      </c>
      <c r="CI177" s="229">
        <v>3.8199999999999998E-2</v>
      </c>
      <c r="CJ177" s="230">
        <v>1444800</v>
      </c>
      <c r="CK177" s="230">
        <v>1479200</v>
      </c>
      <c r="CL177" s="230">
        <v>-34400</v>
      </c>
      <c r="CM177" s="229">
        <v>-2.3300000000000001E-2</v>
      </c>
      <c r="CN177" s="230">
        <v>66336100</v>
      </c>
      <c r="CO177" s="230">
        <v>75899300</v>
      </c>
      <c r="CP177" s="230">
        <v>-9563200</v>
      </c>
      <c r="CQ177" s="229">
        <v>-0.126</v>
      </c>
      <c r="CR177" s="230">
        <v>38837600</v>
      </c>
      <c r="CS177" s="230">
        <v>46990400</v>
      </c>
      <c r="CT177" s="230">
        <v>-8152800</v>
      </c>
      <c r="CU177" s="229">
        <v>-0.17349999999999999</v>
      </c>
      <c r="CV177" s="230">
        <v>215391300</v>
      </c>
      <c r="CW177" s="230">
        <v>245362300</v>
      </c>
      <c r="CX177" s="230">
        <v>-29971000</v>
      </c>
      <c r="CY177" s="229">
        <v>-0.1221</v>
      </c>
      <c r="CZ177" s="228">
        <v>39.56</v>
      </c>
      <c r="DA177" s="228">
        <v>62.88</v>
      </c>
      <c r="DB177" s="228">
        <v>-23.32</v>
      </c>
      <c r="DC177" s="228">
        <v>-23.32</v>
      </c>
      <c r="DD177" s="228">
        <v>58.9</v>
      </c>
      <c r="DE177" s="228">
        <v>59.01</v>
      </c>
      <c r="DF177" s="228">
        <v>-19.34</v>
      </c>
      <c r="DG177" s="228">
        <v>-0.11</v>
      </c>
      <c r="DH177" s="228">
        <v>39.61</v>
      </c>
      <c r="DI177" s="228">
        <v>63</v>
      </c>
      <c r="DJ177" s="228">
        <v>-23.39</v>
      </c>
      <c r="DK177" s="228">
        <v>-23.39</v>
      </c>
      <c r="DL177" s="228">
        <v>39.51</v>
      </c>
      <c r="DM177" s="228">
        <v>62.75</v>
      </c>
      <c r="DN177" s="228">
        <v>-23.24</v>
      </c>
      <c r="DO177" s="228">
        <v>-23.24</v>
      </c>
      <c r="DP177" s="228">
        <v>0.59</v>
      </c>
      <c r="DQ177" s="228">
        <v>0.62</v>
      </c>
      <c r="DR177" s="228">
        <v>-0.03</v>
      </c>
      <c r="DS177" s="229">
        <v>-4.8399999999999999E-2</v>
      </c>
      <c r="DT177" s="228">
        <v>190</v>
      </c>
      <c r="DU177" s="228">
        <v>190</v>
      </c>
      <c r="DV177" s="228">
        <v>0.89</v>
      </c>
      <c r="DW177" s="228">
        <v>0.96</v>
      </c>
      <c r="DX177" s="228">
        <v>-7.0000000000000007E-2</v>
      </c>
      <c r="DY177" s="229">
        <v>-7.2900000000000006E-2</v>
      </c>
      <c r="DZ177" s="229">
        <v>0.48370000000000002</v>
      </c>
      <c r="EA177" s="230">
        <v>51432300</v>
      </c>
      <c r="EB177" s="229">
        <v>8.2000000000000007E-3</v>
      </c>
      <c r="EC177" s="229">
        <v>0.48370000000000002</v>
      </c>
      <c r="ED177" s="228">
        <v>1.65</v>
      </c>
      <c r="EE177" s="229">
        <v>1.04E-2</v>
      </c>
      <c r="EF177" s="230">
        <v>22183564</v>
      </c>
      <c r="EG177" s="230">
        <v>20891223</v>
      </c>
      <c r="EH177" s="229">
        <v>6.1899999999999997E-2</v>
      </c>
      <c r="EI177" s="229">
        <v>0.21709999999999999</v>
      </c>
      <c r="EJ177" s="231">
        <v>37420.83</v>
      </c>
      <c r="EK177" s="231">
        <v>31167.97</v>
      </c>
      <c r="EL177" s="231">
        <v>48968.36</v>
      </c>
      <c r="EM177" s="231">
        <v>11958</v>
      </c>
      <c r="EN177" s="231">
        <v>117557.16</v>
      </c>
      <c r="EO177" s="231">
        <v>1275333.92</v>
      </c>
      <c r="EP177" s="231">
        <v>-1157776.76</v>
      </c>
      <c r="EQ177" s="229">
        <v>-0.90780000000000005</v>
      </c>
      <c r="ER177" s="231">
        <v>120746</v>
      </c>
      <c r="ES177" s="231">
        <v>65076</v>
      </c>
      <c r="ET177" s="231">
        <v>174255</v>
      </c>
      <c r="EU177" s="231">
        <v>122326971</v>
      </c>
      <c r="EV177" s="231">
        <v>360077</v>
      </c>
      <c r="EW177" s="231">
        <v>412100</v>
      </c>
      <c r="EX177" s="231">
        <v>-52023</v>
      </c>
      <c r="EY177" s="229">
        <v>-0.12620000000000001</v>
      </c>
      <c r="EZ177" s="229">
        <v>1.7607999999999999</v>
      </c>
      <c r="FA177" s="227" t="s">
        <v>568</v>
      </c>
      <c r="FB177" s="161">
        <f t="shared" si="4"/>
        <v>0</v>
      </c>
    </row>
    <row r="178" spans="1:158" ht="17.25" thickBot="1" x14ac:dyDescent="0.3">
      <c r="A178" s="226">
        <v>45981</v>
      </c>
      <c r="B178" s="227" t="s">
        <v>175</v>
      </c>
      <c r="C178" s="227" t="s">
        <v>536</v>
      </c>
      <c r="D178" s="228">
        <v>800</v>
      </c>
      <c r="E178" s="228">
        <v>875.35</v>
      </c>
      <c r="F178" s="228">
        <v>866.6</v>
      </c>
      <c r="G178" s="228">
        <v>8.75</v>
      </c>
      <c r="H178" s="229">
        <v>1.01E-2</v>
      </c>
      <c r="I178" s="228">
        <v>874.1</v>
      </c>
      <c r="J178" s="228">
        <v>863.7</v>
      </c>
      <c r="K178" s="228">
        <v>10.4</v>
      </c>
      <c r="L178" s="229">
        <v>1.2E-2</v>
      </c>
      <c r="M178" s="228">
        <v>875.35</v>
      </c>
      <c r="N178" s="228">
        <v>866.6</v>
      </c>
      <c r="O178" s="228">
        <v>8.75</v>
      </c>
      <c r="P178" s="229">
        <v>1.01E-2</v>
      </c>
      <c r="Q178" s="228">
        <v>868.05</v>
      </c>
      <c r="R178" s="228">
        <v>858.75</v>
      </c>
      <c r="S178" s="228">
        <v>9.3000000000000007</v>
      </c>
      <c r="T178" s="229">
        <v>1.0800000000000001E-2</v>
      </c>
      <c r="U178" s="228">
        <v>862.6</v>
      </c>
      <c r="V178" s="228">
        <v>854.5</v>
      </c>
      <c r="W178" s="228">
        <v>8.1</v>
      </c>
      <c r="X178" s="229">
        <v>9.4999999999999998E-3</v>
      </c>
      <c r="Y178" s="228">
        <v>1.25</v>
      </c>
      <c r="Z178" s="228">
        <v>2.9</v>
      </c>
      <c r="AA178" s="228">
        <v>-1.65</v>
      </c>
      <c r="AB178" s="229">
        <v>1.4E-3</v>
      </c>
      <c r="AC178" s="228">
        <v>1.25</v>
      </c>
      <c r="AD178" s="228">
        <v>2.9</v>
      </c>
      <c r="AE178" s="228">
        <v>-1.65</v>
      </c>
      <c r="AF178" s="229">
        <v>1.4E-3</v>
      </c>
      <c r="AG178" s="228">
        <v>-6.05</v>
      </c>
      <c r="AH178" s="228">
        <v>-4.95</v>
      </c>
      <c r="AI178" s="228">
        <v>-1.1000000000000001</v>
      </c>
      <c r="AJ178" s="229">
        <v>-6.8999999999999999E-3</v>
      </c>
      <c r="AK178" s="228">
        <v>-11.5</v>
      </c>
      <c r="AL178" s="228">
        <v>-9.1999999999999993</v>
      </c>
      <c r="AM178" s="228">
        <v>-2.2999999999999998</v>
      </c>
      <c r="AN178" s="229">
        <v>-1.32E-2</v>
      </c>
      <c r="AO178" s="228">
        <v>874.85</v>
      </c>
      <c r="AP178" s="228">
        <v>866.72</v>
      </c>
      <c r="AQ178" s="228">
        <v>0</v>
      </c>
      <c r="AR178" s="230">
        <v>12435200</v>
      </c>
      <c r="AS178" s="230">
        <v>3909600</v>
      </c>
      <c r="AT178" s="230">
        <v>8525600</v>
      </c>
      <c r="AU178" s="229">
        <v>2.1806999999999999</v>
      </c>
      <c r="AV178" s="230">
        <v>6464000</v>
      </c>
      <c r="AW178" s="230">
        <v>2430400</v>
      </c>
      <c r="AX178" s="230">
        <v>4033600</v>
      </c>
      <c r="AY178" s="229">
        <v>1.6596</v>
      </c>
      <c r="AZ178" s="230">
        <v>5883200</v>
      </c>
      <c r="BA178" s="230">
        <v>1401600</v>
      </c>
      <c r="BB178" s="230">
        <v>4481600</v>
      </c>
      <c r="BC178" s="229">
        <v>3.1974999999999998</v>
      </c>
      <c r="BD178" s="230">
        <v>88000</v>
      </c>
      <c r="BE178" s="230">
        <v>77600</v>
      </c>
      <c r="BF178" s="230">
        <v>10400</v>
      </c>
      <c r="BG178" s="229">
        <v>0.13400000000000001</v>
      </c>
      <c r="BH178" s="230">
        <v>7314400</v>
      </c>
      <c r="BI178" s="230">
        <v>12779200</v>
      </c>
      <c r="BJ178" s="230">
        <v>-5464800</v>
      </c>
      <c r="BK178" s="229">
        <v>-0.42759999999999998</v>
      </c>
      <c r="BL178" s="230">
        <v>2806400</v>
      </c>
      <c r="BM178" s="230">
        <v>4049600</v>
      </c>
      <c r="BN178" s="230">
        <v>-1243200</v>
      </c>
      <c r="BO178" s="229">
        <v>-0.307</v>
      </c>
      <c r="BP178" s="230">
        <v>22556000</v>
      </c>
      <c r="BQ178" s="230">
        <v>20738400</v>
      </c>
      <c r="BR178" s="230">
        <v>1817600</v>
      </c>
      <c r="BS178" s="229">
        <v>8.7599999999999997E-2</v>
      </c>
      <c r="BT178" s="230">
        <v>406565</v>
      </c>
      <c r="BU178" s="230">
        <v>893110</v>
      </c>
      <c r="BV178" s="230">
        <v>-486545</v>
      </c>
      <c r="BW178" s="229">
        <v>-0.54479999999999995</v>
      </c>
      <c r="BX178" s="230">
        <v>19987200</v>
      </c>
      <c r="BY178" s="230">
        <v>22680000</v>
      </c>
      <c r="BZ178" s="230">
        <v>-2692800</v>
      </c>
      <c r="CA178" s="229">
        <v>-0.1187</v>
      </c>
      <c r="CB178" s="230">
        <v>13812000</v>
      </c>
      <c r="CC178" s="230">
        <v>18608800</v>
      </c>
      <c r="CD178" s="230">
        <v>-4796800</v>
      </c>
      <c r="CE178" s="229">
        <v>-0.25779999999999997</v>
      </c>
      <c r="CF178" s="230">
        <v>5521600</v>
      </c>
      <c r="CG178" s="230">
        <v>3420000</v>
      </c>
      <c r="CH178" s="230">
        <v>2101600</v>
      </c>
      <c r="CI178" s="229">
        <v>0.61450000000000005</v>
      </c>
      <c r="CJ178" s="230">
        <v>653600</v>
      </c>
      <c r="CK178" s="230">
        <v>651200</v>
      </c>
      <c r="CL178" s="230">
        <v>2400</v>
      </c>
      <c r="CM178" s="229">
        <v>3.7000000000000002E-3</v>
      </c>
      <c r="CN178" s="230">
        <v>8404800</v>
      </c>
      <c r="CO178" s="230">
        <v>9592800</v>
      </c>
      <c r="CP178" s="230">
        <v>-1188000</v>
      </c>
      <c r="CQ178" s="229">
        <v>-0.12379999999999999</v>
      </c>
      <c r="CR178" s="230">
        <v>4082400</v>
      </c>
      <c r="CS178" s="230">
        <v>4434400</v>
      </c>
      <c r="CT178" s="230">
        <v>-352000</v>
      </c>
      <c r="CU178" s="229">
        <v>-7.9399999999999998E-2</v>
      </c>
      <c r="CV178" s="230">
        <v>32474400</v>
      </c>
      <c r="CW178" s="230">
        <v>36707200</v>
      </c>
      <c r="CX178" s="230">
        <v>-4232800</v>
      </c>
      <c r="CY178" s="229">
        <v>-0.1153</v>
      </c>
      <c r="CZ178" s="228">
        <v>21.97</v>
      </c>
      <c r="DA178" s="228">
        <v>26.71</v>
      </c>
      <c r="DB178" s="228">
        <v>-4.74</v>
      </c>
      <c r="DC178" s="228">
        <v>-4.74</v>
      </c>
      <c r="DD178" s="228">
        <v>29.69</v>
      </c>
      <c r="DE178" s="228">
        <v>29.72</v>
      </c>
      <c r="DF178" s="228">
        <v>-7.72</v>
      </c>
      <c r="DG178" s="228">
        <v>-0.03</v>
      </c>
      <c r="DH178" s="228">
        <v>22.11</v>
      </c>
      <c r="DI178" s="228">
        <v>27.43</v>
      </c>
      <c r="DJ178" s="228">
        <v>-5.32</v>
      </c>
      <c r="DK178" s="228">
        <v>-5.32</v>
      </c>
      <c r="DL178" s="228">
        <v>21.8</v>
      </c>
      <c r="DM178" s="228">
        <v>24.43</v>
      </c>
      <c r="DN178" s="228">
        <v>-2.63</v>
      </c>
      <c r="DO178" s="228">
        <v>-2.63</v>
      </c>
      <c r="DP178" s="228">
        <v>0.49</v>
      </c>
      <c r="DQ178" s="228">
        <v>0.46</v>
      </c>
      <c r="DR178" s="228">
        <v>0.03</v>
      </c>
      <c r="DS178" s="229">
        <v>6.5199999999999994E-2</v>
      </c>
      <c r="DT178" s="228">
        <v>950</v>
      </c>
      <c r="DU178" s="228">
        <v>800</v>
      </c>
      <c r="DV178" s="228">
        <v>0.38</v>
      </c>
      <c r="DW178" s="228">
        <v>0.32</v>
      </c>
      <c r="DX178" s="228">
        <v>0.06</v>
      </c>
      <c r="DY178" s="229">
        <v>0.1875</v>
      </c>
      <c r="DZ178" s="229">
        <v>0.309</v>
      </c>
      <c r="EA178" s="230">
        <v>4071200</v>
      </c>
      <c r="EB178" s="229">
        <v>-8.3000000000000001E-3</v>
      </c>
      <c r="EC178" s="229">
        <v>0.309</v>
      </c>
      <c r="ED178" s="228">
        <v>-8.1300000000000008</v>
      </c>
      <c r="EE178" s="229">
        <v>-9.2999999999999992E-3</v>
      </c>
      <c r="EF178" s="230">
        <v>187591</v>
      </c>
      <c r="EG178" s="230">
        <v>453790</v>
      </c>
      <c r="EH178" s="229">
        <v>-0.58660000000000001</v>
      </c>
      <c r="EI178" s="229">
        <v>0.46139999999999998</v>
      </c>
      <c r="EJ178" s="231">
        <v>66498.33</v>
      </c>
      <c r="EK178" s="231">
        <v>24074.46</v>
      </c>
      <c r="EL178" s="231">
        <v>108298.55</v>
      </c>
      <c r="EM178" s="231">
        <v>4403</v>
      </c>
      <c r="EN178" s="231">
        <v>198871.34</v>
      </c>
      <c r="EO178" s="231">
        <v>184539.66</v>
      </c>
      <c r="EP178" s="231">
        <v>14331.68</v>
      </c>
      <c r="EQ178" s="229">
        <v>7.7700000000000005E-2</v>
      </c>
      <c r="ER178" s="231">
        <v>78517</v>
      </c>
      <c r="ES178" s="231">
        <v>34699</v>
      </c>
      <c r="ET178" s="231">
        <v>174472</v>
      </c>
      <c r="EU178" s="231">
        <v>39583537</v>
      </c>
      <c r="EV178" s="231">
        <v>287688</v>
      </c>
      <c r="EW178" s="231">
        <v>323069</v>
      </c>
      <c r="EX178" s="231">
        <v>-35381</v>
      </c>
      <c r="EY178" s="229">
        <v>-0.1095</v>
      </c>
      <c r="EZ178" s="229">
        <v>0.82040000000000002</v>
      </c>
      <c r="FA178" s="227" t="s">
        <v>556</v>
      </c>
      <c r="FB178" s="161">
        <f t="shared" si="4"/>
        <v>0</v>
      </c>
    </row>
    <row r="179" spans="1:158" ht="17.25" thickBot="1" x14ac:dyDescent="0.3">
      <c r="A179" s="226">
        <v>45981</v>
      </c>
      <c r="B179" s="227" t="s">
        <v>175</v>
      </c>
      <c r="C179" s="227" t="s">
        <v>462</v>
      </c>
      <c r="D179" s="228">
        <v>375</v>
      </c>
      <c r="E179" s="231">
        <v>2021.1</v>
      </c>
      <c r="F179" s="231">
        <v>2002.4</v>
      </c>
      <c r="G179" s="228">
        <v>18.7</v>
      </c>
      <c r="H179" s="229">
        <v>9.2999999999999992E-3</v>
      </c>
      <c r="I179" s="231">
        <v>2027.1</v>
      </c>
      <c r="J179" s="231">
        <v>2004.8</v>
      </c>
      <c r="K179" s="228">
        <v>22.3</v>
      </c>
      <c r="L179" s="229">
        <v>1.11E-2</v>
      </c>
      <c r="M179" s="231">
        <v>2021.1</v>
      </c>
      <c r="N179" s="231">
        <v>2002.4</v>
      </c>
      <c r="O179" s="228">
        <v>18.7</v>
      </c>
      <c r="P179" s="229">
        <v>9.2999999999999992E-3</v>
      </c>
      <c r="Q179" s="231">
        <v>2035</v>
      </c>
      <c r="R179" s="231">
        <v>2015.5</v>
      </c>
      <c r="S179" s="228">
        <v>19.5</v>
      </c>
      <c r="T179" s="229">
        <v>9.7000000000000003E-3</v>
      </c>
      <c r="U179" s="231">
        <v>2047.1</v>
      </c>
      <c r="V179" s="231">
        <v>2028</v>
      </c>
      <c r="W179" s="228">
        <v>19.100000000000001</v>
      </c>
      <c r="X179" s="229">
        <v>9.4000000000000004E-3</v>
      </c>
      <c r="Y179" s="228">
        <v>-6</v>
      </c>
      <c r="Z179" s="228">
        <v>-2.4</v>
      </c>
      <c r="AA179" s="228">
        <v>-3.6</v>
      </c>
      <c r="AB179" s="229">
        <v>-3.0000000000000001E-3</v>
      </c>
      <c r="AC179" s="228">
        <v>-6</v>
      </c>
      <c r="AD179" s="228">
        <v>-2.4</v>
      </c>
      <c r="AE179" s="228">
        <v>-3.6</v>
      </c>
      <c r="AF179" s="229">
        <v>-3.0000000000000001E-3</v>
      </c>
      <c r="AG179" s="228">
        <v>7.9</v>
      </c>
      <c r="AH179" s="228">
        <v>10.7</v>
      </c>
      <c r="AI179" s="228">
        <v>-2.8</v>
      </c>
      <c r="AJ179" s="229">
        <v>3.8999999999999998E-3</v>
      </c>
      <c r="AK179" s="228">
        <v>20</v>
      </c>
      <c r="AL179" s="228">
        <v>23.2</v>
      </c>
      <c r="AM179" s="228">
        <v>-3.2</v>
      </c>
      <c r="AN179" s="229">
        <v>9.9000000000000008E-3</v>
      </c>
      <c r="AO179" s="231">
        <v>2012.34</v>
      </c>
      <c r="AP179" s="231">
        <v>2025.88</v>
      </c>
      <c r="AQ179" s="228">
        <v>0</v>
      </c>
      <c r="AR179" s="230">
        <v>5208000</v>
      </c>
      <c r="AS179" s="230">
        <v>1062000</v>
      </c>
      <c r="AT179" s="230">
        <v>4146000</v>
      </c>
      <c r="AU179" s="229">
        <v>3.9039999999999999</v>
      </c>
      <c r="AV179" s="230">
        <v>2892375</v>
      </c>
      <c r="AW179" s="230">
        <v>807000</v>
      </c>
      <c r="AX179" s="230">
        <v>2085375</v>
      </c>
      <c r="AY179" s="229">
        <v>2.5840999999999998</v>
      </c>
      <c r="AZ179" s="230">
        <v>2295750</v>
      </c>
      <c r="BA179" s="230">
        <v>251625</v>
      </c>
      <c r="BB179" s="230">
        <v>2044125</v>
      </c>
      <c r="BC179" s="229">
        <v>8.1236999999999995</v>
      </c>
      <c r="BD179" s="230">
        <v>19875</v>
      </c>
      <c r="BE179" s="230">
        <v>3375</v>
      </c>
      <c r="BF179" s="230">
        <v>16500</v>
      </c>
      <c r="BG179" s="229">
        <v>4.8888999999999996</v>
      </c>
      <c r="BH179" s="230">
        <v>8334375</v>
      </c>
      <c r="BI179" s="230">
        <v>3388875</v>
      </c>
      <c r="BJ179" s="230">
        <v>4945500</v>
      </c>
      <c r="BK179" s="229">
        <v>1.4593</v>
      </c>
      <c r="BL179" s="230">
        <v>3393375</v>
      </c>
      <c r="BM179" s="230">
        <v>2509875</v>
      </c>
      <c r="BN179" s="230">
        <v>883500</v>
      </c>
      <c r="BO179" s="229">
        <v>0.35199999999999998</v>
      </c>
      <c r="BP179" s="230">
        <v>16935750</v>
      </c>
      <c r="BQ179" s="230">
        <v>6960750</v>
      </c>
      <c r="BR179" s="230">
        <v>9975000</v>
      </c>
      <c r="BS179" s="229">
        <v>1.4330000000000001</v>
      </c>
      <c r="BT179" s="230">
        <v>817218</v>
      </c>
      <c r="BU179" s="230">
        <v>902870</v>
      </c>
      <c r="BV179" s="230">
        <v>-85652</v>
      </c>
      <c r="BW179" s="229">
        <v>-9.4899999999999998E-2</v>
      </c>
      <c r="BX179" s="230">
        <v>8203125</v>
      </c>
      <c r="BY179" s="230">
        <v>7881000</v>
      </c>
      <c r="BZ179" s="230">
        <v>322125</v>
      </c>
      <c r="CA179" s="229">
        <v>4.0899999999999999E-2</v>
      </c>
      <c r="CB179" s="230">
        <v>5598375</v>
      </c>
      <c r="CC179" s="230">
        <v>7210125</v>
      </c>
      <c r="CD179" s="230">
        <v>-1611750</v>
      </c>
      <c r="CE179" s="229">
        <v>-0.2235</v>
      </c>
      <c r="CF179" s="230">
        <v>2570625</v>
      </c>
      <c r="CG179" s="230">
        <v>643125</v>
      </c>
      <c r="CH179" s="230">
        <v>1927500</v>
      </c>
      <c r="CI179" s="229">
        <v>2.9971000000000001</v>
      </c>
      <c r="CJ179" s="230">
        <v>34125</v>
      </c>
      <c r="CK179" s="230">
        <v>27750</v>
      </c>
      <c r="CL179" s="230">
        <v>6375</v>
      </c>
      <c r="CM179" s="229">
        <v>0.22969999999999999</v>
      </c>
      <c r="CN179" s="230">
        <v>5697750</v>
      </c>
      <c r="CO179" s="230">
        <v>5248125</v>
      </c>
      <c r="CP179" s="230">
        <v>449625</v>
      </c>
      <c r="CQ179" s="229">
        <v>8.5699999999999998E-2</v>
      </c>
      <c r="CR179" s="230">
        <v>3728625</v>
      </c>
      <c r="CS179" s="230">
        <v>3350625</v>
      </c>
      <c r="CT179" s="230">
        <v>378000</v>
      </c>
      <c r="CU179" s="229">
        <v>0.1128</v>
      </c>
      <c r="CV179" s="230">
        <v>17629500</v>
      </c>
      <c r="CW179" s="230">
        <v>16479750</v>
      </c>
      <c r="CX179" s="230">
        <v>1149750</v>
      </c>
      <c r="CY179" s="229">
        <v>6.9800000000000001E-2</v>
      </c>
      <c r="CZ179" s="228">
        <v>19.489999999999998</v>
      </c>
      <c r="DA179" s="228">
        <v>16.11</v>
      </c>
      <c r="DB179" s="228">
        <v>3.38</v>
      </c>
      <c r="DC179" s="228">
        <v>3.38</v>
      </c>
      <c r="DD179" s="228">
        <v>25.06</v>
      </c>
      <c r="DE179" s="228">
        <v>25.08</v>
      </c>
      <c r="DF179" s="228">
        <v>-5.57</v>
      </c>
      <c r="DG179" s="228">
        <v>-0.02</v>
      </c>
      <c r="DH179" s="228">
        <v>19.350000000000001</v>
      </c>
      <c r="DI179" s="228">
        <v>13.83</v>
      </c>
      <c r="DJ179" s="228">
        <v>5.52</v>
      </c>
      <c r="DK179" s="228">
        <v>5.52</v>
      </c>
      <c r="DL179" s="228">
        <v>19.93</v>
      </c>
      <c r="DM179" s="228">
        <v>19.2</v>
      </c>
      <c r="DN179" s="228">
        <v>0.73</v>
      </c>
      <c r="DO179" s="228">
        <v>0.73</v>
      </c>
      <c r="DP179" s="228">
        <v>0.65</v>
      </c>
      <c r="DQ179" s="228">
        <v>0.64</v>
      </c>
      <c r="DR179" s="228">
        <v>0.01</v>
      </c>
      <c r="DS179" s="229">
        <v>1.5599999999999999E-2</v>
      </c>
      <c r="DT179" s="231">
        <v>2020</v>
      </c>
      <c r="DU179" s="231">
        <v>2000</v>
      </c>
      <c r="DV179" s="228">
        <v>0.41</v>
      </c>
      <c r="DW179" s="228">
        <v>0.74</v>
      </c>
      <c r="DX179" s="228">
        <v>-0.33</v>
      </c>
      <c r="DY179" s="229">
        <v>-0.44590000000000002</v>
      </c>
      <c r="DZ179" s="229">
        <v>0.3175</v>
      </c>
      <c r="EA179" s="230">
        <v>670875</v>
      </c>
      <c r="EB179" s="229">
        <v>6.8999999999999999E-3</v>
      </c>
      <c r="EC179" s="229">
        <v>0.3175</v>
      </c>
      <c r="ED179" s="228">
        <v>13.54</v>
      </c>
      <c r="EE179" s="229">
        <v>6.7000000000000002E-3</v>
      </c>
      <c r="EF179" s="230">
        <v>559028</v>
      </c>
      <c r="EG179" s="230">
        <v>691084</v>
      </c>
      <c r="EH179" s="229">
        <v>-0.19109999999999999</v>
      </c>
      <c r="EI179" s="229">
        <v>0.68410000000000004</v>
      </c>
      <c r="EJ179" s="231">
        <v>170412.48</v>
      </c>
      <c r="EK179" s="231">
        <v>67266.490000000005</v>
      </c>
      <c r="EL179" s="231">
        <v>105118.86</v>
      </c>
      <c r="EM179" s="231">
        <v>2798</v>
      </c>
      <c r="EN179" s="231">
        <v>342797.83</v>
      </c>
      <c r="EO179" s="231">
        <v>139294.34</v>
      </c>
      <c r="EP179" s="231">
        <v>203503.49</v>
      </c>
      <c r="EQ179" s="229">
        <v>1.4610000000000001</v>
      </c>
      <c r="ER179" s="231">
        <v>115308</v>
      </c>
      <c r="ES179" s="231">
        <v>72170</v>
      </c>
      <c r="ET179" s="231">
        <v>166160</v>
      </c>
      <c r="EU179" s="231">
        <v>44735132</v>
      </c>
      <c r="EV179" s="231">
        <v>353637</v>
      </c>
      <c r="EW179" s="231">
        <v>328308</v>
      </c>
      <c r="EX179" s="231">
        <v>25329</v>
      </c>
      <c r="EY179" s="229">
        <v>7.7200000000000005E-2</v>
      </c>
      <c r="EZ179" s="229">
        <v>0.39410000000000001</v>
      </c>
      <c r="FA179" s="227" t="s">
        <v>555</v>
      </c>
      <c r="FB179" s="161">
        <f t="shared" si="4"/>
        <v>0</v>
      </c>
    </row>
    <row r="180" spans="1:158" ht="17.25" thickBot="1" x14ac:dyDescent="0.3">
      <c r="A180" s="226">
        <v>45981</v>
      </c>
      <c r="B180" s="227" t="s">
        <v>172</v>
      </c>
      <c r="C180" s="227" t="s">
        <v>283</v>
      </c>
      <c r="D180" s="228">
        <v>750</v>
      </c>
      <c r="E180" s="228">
        <v>980.5</v>
      </c>
      <c r="F180" s="228">
        <v>982.15</v>
      </c>
      <c r="G180" s="228">
        <v>-1.65</v>
      </c>
      <c r="H180" s="229">
        <v>-1.6999999999999999E-3</v>
      </c>
      <c r="I180" s="228">
        <v>981.55</v>
      </c>
      <c r="J180" s="228">
        <v>982.75</v>
      </c>
      <c r="K180" s="228">
        <v>-1.2</v>
      </c>
      <c r="L180" s="229">
        <v>-1.1999999999999999E-3</v>
      </c>
      <c r="M180" s="228">
        <v>980.5</v>
      </c>
      <c r="N180" s="228">
        <v>982.15</v>
      </c>
      <c r="O180" s="228">
        <v>-1.65</v>
      </c>
      <c r="P180" s="229">
        <v>-1.6999999999999999E-3</v>
      </c>
      <c r="Q180" s="228">
        <v>987.55</v>
      </c>
      <c r="R180" s="228">
        <v>988.65</v>
      </c>
      <c r="S180" s="228">
        <v>-1.1000000000000001</v>
      </c>
      <c r="T180" s="229">
        <v>-1.1000000000000001E-3</v>
      </c>
      <c r="U180" s="228">
        <v>993.6</v>
      </c>
      <c r="V180" s="228">
        <v>994.6</v>
      </c>
      <c r="W180" s="228">
        <v>-1</v>
      </c>
      <c r="X180" s="229">
        <v>-1E-3</v>
      </c>
      <c r="Y180" s="228">
        <v>-1.05</v>
      </c>
      <c r="Z180" s="228">
        <v>-0.6</v>
      </c>
      <c r="AA180" s="228">
        <v>-0.45</v>
      </c>
      <c r="AB180" s="229">
        <v>-1.1000000000000001E-3</v>
      </c>
      <c r="AC180" s="228">
        <v>-1.05</v>
      </c>
      <c r="AD180" s="228">
        <v>-0.6</v>
      </c>
      <c r="AE180" s="228">
        <v>-0.45</v>
      </c>
      <c r="AF180" s="229">
        <v>-1.1000000000000001E-3</v>
      </c>
      <c r="AG180" s="228">
        <v>6</v>
      </c>
      <c r="AH180" s="228">
        <v>5.9</v>
      </c>
      <c r="AI180" s="228">
        <v>0.1</v>
      </c>
      <c r="AJ180" s="229">
        <v>6.1000000000000004E-3</v>
      </c>
      <c r="AK180" s="228">
        <v>12.05</v>
      </c>
      <c r="AL180" s="228">
        <v>11.85</v>
      </c>
      <c r="AM180" s="228">
        <v>0.2</v>
      </c>
      <c r="AN180" s="229">
        <v>1.23E-2</v>
      </c>
      <c r="AO180" s="228">
        <v>981.26</v>
      </c>
      <c r="AP180" s="228">
        <v>987.98</v>
      </c>
      <c r="AQ180" s="228">
        <v>0</v>
      </c>
      <c r="AR180" s="230">
        <v>42530250</v>
      </c>
      <c r="AS180" s="230">
        <v>20482500</v>
      </c>
      <c r="AT180" s="230">
        <v>22047750</v>
      </c>
      <c r="AU180" s="229">
        <v>1.0764</v>
      </c>
      <c r="AV180" s="230">
        <v>22831500</v>
      </c>
      <c r="AW180" s="230">
        <v>14047500</v>
      </c>
      <c r="AX180" s="230">
        <v>8784000</v>
      </c>
      <c r="AY180" s="229">
        <v>0.62529999999999997</v>
      </c>
      <c r="AZ180" s="230">
        <v>19535250</v>
      </c>
      <c r="BA180" s="230">
        <v>6051750</v>
      </c>
      <c r="BB180" s="230">
        <v>13483500</v>
      </c>
      <c r="BC180" s="229">
        <v>2.2280000000000002</v>
      </c>
      <c r="BD180" s="230">
        <v>163500</v>
      </c>
      <c r="BE180" s="230">
        <v>383250</v>
      </c>
      <c r="BF180" s="230">
        <v>-219750</v>
      </c>
      <c r="BG180" s="229">
        <v>-0.57340000000000002</v>
      </c>
      <c r="BH180" s="230">
        <v>71884500</v>
      </c>
      <c r="BI180" s="230">
        <v>105961500</v>
      </c>
      <c r="BJ180" s="230">
        <v>-34077000</v>
      </c>
      <c r="BK180" s="229">
        <v>-0.3216</v>
      </c>
      <c r="BL180" s="230">
        <v>49363500</v>
      </c>
      <c r="BM180" s="230">
        <v>75172500</v>
      </c>
      <c r="BN180" s="230">
        <v>-25809000</v>
      </c>
      <c r="BO180" s="229">
        <v>-0.34329999999999999</v>
      </c>
      <c r="BP180" s="230">
        <v>163778250</v>
      </c>
      <c r="BQ180" s="230">
        <v>201616500</v>
      </c>
      <c r="BR180" s="230">
        <v>-37838250</v>
      </c>
      <c r="BS180" s="229">
        <v>-0.18770000000000001</v>
      </c>
      <c r="BT180" s="230">
        <v>7450855</v>
      </c>
      <c r="BU180" s="230">
        <v>8532004</v>
      </c>
      <c r="BV180" s="230">
        <v>-1081149</v>
      </c>
      <c r="BW180" s="229">
        <v>-0.12670000000000001</v>
      </c>
      <c r="BX180" s="230">
        <v>74055750</v>
      </c>
      <c r="BY180" s="230">
        <v>75156000</v>
      </c>
      <c r="BZ180" s="230">
        <v>-1100250</v>
      </c>
      <c r="CA180" s="229">
        <v>-1.46E-2</v>
      </c>
      <c r="CB180" s="230">
        <v>45949500</v>
      </c>
      <c r="CC180" s="230">
        <v>62091000</v>
      </c>
      <c r="CD180" s="230">
        <v>-16141500</v>
      </c>
      <c r="CE180" s="229">
        <v>-0.26</v>
      </c>
      <c r="CF180" s="230">
        <v>27114750</v>
      </c>
      <c r="CG180" s="230">
        <v>12152250</v>
      </c>
      <c r="CH180" s="230">
        <v>14962500</v>
      </c>
      <c r="CI180" s="229">
        <v>1.2313000000000001</v>
      </c>
      <c r="CJ180" s="230">
        <v>991500</v>
      </c>
      <c r="CK180" s="230">
        <v>912750</v>
      </c>
      <c r="CL180" s="230">
        <v>78750</v>
      </c>
      <c r="CM180" s="229">
        <v>8.6300000000000002E-2</v>
      </c>
      <c r="CN180" s="230">
        <v>48297000</v>
      </c>
      <c r="CO180" s="230">
        <v>47626500</v>
      </c>
      <c r="CP180" s="230">
        <v>670500</v>
      </c>
      <c r="CQ180" s="229">
        <v>1.41E-2</v>
      </c>
      <c r="CR180" s="230">
        <v>44024250</v>
      </c>
      <c r="CS180" s="230">
        <v>47034000</v>
      </c>
      <c r="CT180" s="230">
        <v>-3009750</v>
      </c>
      <c r="CU180" s="229">
        <v>-6.4000000000000001E-2</v>
      </c>
      <c r="CV180" s="230">
        <v>166377000</v>
      </c>
      <c r="CW180" s="230">
        <v>169816500</v>
      </c>
      <c r="CX180" s="230">
        <v>-3439500</v>
      </c>
      <c r="CY180" s="229">
        <v>-2.0299999999999999E-2</v>
      </c>
      <c r="CZ180" s="228">
        <v>16.98</v>
      </c>
      <c r="DA180" s="228">
        <v>17.059999999999999</v>
      </c>
      <c r="DB180" s="228">
        <v>-0.08</v>
      </c>
      <c r="DC180" s="228">
        <v>-0.08</v>
      </c>
      <c r="DD180" s="228">
        <v>25.3</v>
      </c>
      <c r="DE180" s="228">
        <v>25.36</v>
      </c>
      <c r="DF180" s="228">
        <v>-8.32</v>
      </c>
      <c r="DG180" s="228">
        <v>-0.06</v>
      </c>
      <c r="DH180" s="228">
        <v>16.63</v>
      </c>
      <c r="DI180" s="228">
        <v>15.74</v>
      </c>
      <c r="DJ180" s="228">
        <v>0.89</v>
      </c>
      <c r="DK180" s="228">
        <v>0.89</v>
      </c>
      <c r="DL180" s="228">
        <v>17.600000000000001</v>
      </c>
      <c r="DM180" s="228">
        <v>18.920000000000002</v>
      </c>
      <c r="DN180" s="228">
        <v>-1.32</v>
      </c>
      <c r="DO180" s="228">
        <v>-1.32</v>
      </c>
      <c r="DP180" s="228">
        <v>0.91</v>
      </c>
      <c r="DQ180" s="228">
        <v>0.99</v>
      </c>
      <c r="DR180" s="228">
        <v>-0.08</v>
      </c>
      <c r="DS180" s="229">
        <v>-8.0799999999999997E-2</v>
      </c>
      <c r="DT180" s="228">
        <v>970</v>
      </c>
      <c r="DU180" s="228">
        <v>960</v>
      </c>
      <c r="DV180" s="228">
        <v>0.69</v>
      </c>
      <c r="DW180" s="228">
        <v>0.71</v>
      </c>
      <c r="DX180" s="228">
        <v>-0.02</v>
      </c>
      <c r="DY180" s="229">
        <v>-2.8199999999999999E-2</v>
      </c>
      <c r="DZ180" s="229">
        <v>0.3795</v>
      </c>
      <c r="EA180" s="230">
        <v>13065000</v>
      </c>
      <c r="EB180" s="229">
        <v>7.1999999999999998E-3</v>
      </c>
      <c r="EC180" s="229">
        <v>0.3795</v>
      </c>
      <c r="ED180" s="228">
        <v>6.72</v>
      </c>
      <c r="EE180" s="229">
        <v>6.7999999999999996E-3</v>
      </c>
      <c r="EF180" s="230">
        <v>4119040</v>
      </c>
      <c r="EG180" s="230">
        <v>5026102</v>
      </c>
      <c r="EH180" s="229">
        <v>-0.18049999999999999</v>
      </c>
      <c r="EI180" s="229">
        <v>0.55279999999999996</v>
      </c>
      <c r="EJ180" s="231">
        <v>717246.92</v>
      </c>
      <c r="EK180" s="231">
        <v>476473.9</v>
      </c>
      <c r="EL180" s="231">
        <v>418664.39</v>
      </c>
      <c r="EM180" s="231">
        <v>19001</v>
      </c>
      <c r="EN180" s="231">
        <v>1612385.21</v>
      </c>
      <c r="EO180" s="231">
        <v>1976264.08</v>
      </c>
      <c r="EP180" s="231">
        <v>-363878.87</v>
      </c>
      <c r="EQ180" s="229">
        <v>-0.18410000000000001</v>
      </c>
      <c r="ER180" s="231">
        <v>471961</v>
      </c>
      <c r="ES180" s="231">
        <v>409830</v>
      </c>
      <c r="ET180" s="231">
        <v>728158</v>
      </c>
      <c r="EU180" s="231">
        <v>407307212</v>
      </c>
      <c r="EV180" s="231">
        <v>1609949</v>
      </c>
      <c r="EW180" s="231">
        <v>1640951</v>
      </c>
      <c r="EX180" s="231">
        <v>-31002</v>
      </c>
      <c r="EY180" s="229">
        <v>-1.89E-2</v>
      </c>
      <c r="EZ180" s="229">
        <v>0.40849999999999997</v>
      </c>
      <c r="FA180" s="227" t="s">
        <v>568</v>
      </c>
      <c r="FB180" s="161">
        <f t="shared" si="4"/>
        <v>0</v>
      </c>
    </row>
    <row r="181" spans="1:158" ht="17.25" thickBot="1" x14ac:dyDescent="0.3">
      <c r="A181" s="226">
        <v>45981</v>
      </c>
      <c r="B181" s="227" t="s">
        <v>157</v>
      </c>
      <c r="C181" s="227" t="s">
        <v>284</v>
      </c>
      <c r="D181" s="228">
        <v>25</v>
      </c>
      <c r="E181" s="231">
        <v>26565</v>
      </c>
      <c r="F181" s="231">
        <v>26550</v>
      </c>
      <c r="G181" s="228">
        <v>15</v>
      </c>
      <c r="H181" s="229">
        <v>5.9999999999999995E-4</v>
      </c>
      <c r="I181" s="231">
        <v>26480</v>
      </c>
      <c r="J181" s="231">
        <v>26510</v>
      </c>
      <c r="K181" s="228">
        <v>-30</v>
      </c>
      <c r="L181" s="229">
        <v>-1.1000000000000001E-3</v>
      </c>
      <c r="M181" s="231">
        <v>26565</v>
      </c>
      <c r="N181" s="231">
        <v>26550</v>
      </c>
      <c r="O181" s="228">
        <v>15</v>
      </c>
      <c r="P181" s="229">
        <v>5.9999999999999995E-4</v>
      </c>
      <c r="Q181" s="231">
        <v>26685</v>
      </c>
      <c r="R181" s="231">
        <v>26685</v>
      </c>
      <c r="S181" s="228">
        <v>0</v>
      </c>
      <c r="T181" s="229">
        <v>0</v>
      </c>
      <c r="U181" s="231">
        <v>26830</v>
      </c>
      <c r="V181" s="231">
        <v>26850</v>
      </c>
      <c r="W181" s="228">
        <v>-20</v>
      </c>
      <c r="X181" s="229">
        <v>-6.9999999999999999E-4</v>
      </c>
      <c r="Y181" s="228">
        <v>85</v>
      </c>
      <c r="Z181" s="228">
        <v>40</v>
      </c>
      <c r="AA181" s="228">
        <v>45</v>
      </c>
      <c r="AB181" s="229">
        <v>3.2000000000000002E-3</v>
      </c>
      <c r="AC181" s="228">
        <v>85</v>
      </c>
      <c r="AD181" s="228">
        <v>40</v>
      </c>
      <c r="AE181" s="228">
        <v>45</v>
      </c>
      <c r="AF181" s="229">
        <v>3.2000000000000002E-3</v>
      </c>
      <c r="AG181" s="228">
        <v>205</v>
      </c>
      <c r="AH181" s="228">
        <v>175</v>
      </c>
      <c r="AI181" s="228">
        <v>30</v>
      </c>
      <c r="AJ181" s="229">
        <v>7.7000000000000002E-3</v>
      </c>
      <c r="AK181" s="228">
        <v>350</v>
      </c>
      <c r="AL181" s="228">
        <v>340</v>
      </c>
      <c r="AM181" s="228">
        <v>10</v>
      </c>
      <c r="AN181" s="229">
        <v>1.32E-2</v>
      </c>
      <c r="AO181" s="231">
        <v>26596.38</v>
      </c>
      <c r="AP181" s="231">
        <v>26702.400000000001</v>
      </c>
      <c r="AQ181" s="228">
        <v>0</v>
      </c>
      <c r="AR181" s="230">
        <v>190325</v>
      </c>
      <c r="AS181" s="230">
        <v>28075</v>
      </c>
      <c r="AT181" s="230">
        <v>162250</v>
      </c>
      <c r="AU181" s="229">
        <v>5.7792000000000003</v>
      </c>
      <c r="AV181" s="230">
        <v>103250</v>
      </c>
      <c r="AW181" s="230">
        <v>20750</v>
      </c>
      <c r="AX181" s="230">
        <v>82500</v>
      </c>
      <c r="AY181" s="229">
        <v>3.9759000000000002</v>
      </c>
      <c r="AZ181" s="230">
        <v>86525</v>
      </c>
      <c r="BA181" s="230">
        <v>7250</v>
      </c>
      <c r="BB181" s="230">
        <v>79275</v>
      </c>
      <c r="BC181" s="229">
        <v>10.9345</v>
      </c>
      <c r="BD181" s="228">
        <v>550</v>
      </c>
      <c r="BE181" s="228">
        <v>75</v>
      </c>
      <c r="BF181" s="228">
        <v>475</v>
      </c>
      <c r="BG181" s="229">
        <v>6.3333000000000004</v>
      </c>
      <c r="BH181" s="230">
        <v>130300</v>
      </c>
      <c r="BI181" s="230">
        <v>169675</v>
      </c>
      <c r="BJ181" s="230">
        <v>-39375</v>
      </c>
      <c r="BK181" s="229">
        <v>-0.2321</v>
      </c>
      <c r="BL181" s="230">
        <v>14175</v>
      </c>
      <c r="BM181" s="230">
        <v>21825</v>
      </c>
      <c r="BN181" s="230">
        <v>-7650</v>
      </c>
      <c r="BO181" s="229">
        <v>-0.35049999999999998</v>
      </c>
      <c r="BP181" s="230">
        <v>334800</v>
      </c>
      <c r="BQ181" s="230">
        <v>219575</v>
      </c>
      <c r="BR181" s="230">
        <v>115225</v>
      </c>
      <c r="BS181" s="229">
        <v>0.52480000000000004</v>
      </c>
      <c r="BT181" s="230">
        <v>15843</v>
      </c>
      <c r="BU181" s="230">
        <v>12747</v>
      </c>
      <c r="BV181" s="230">
        <v>3096</v>
      </c>
      <c r="BW181" s="229">
        <v>0.2429</v>
      </c>
      <c r="BX181" s="230">
        <v>299175</v>
      </c>
      <c r="BY181" s="230">
        <v>307625</v>
      </c>
      <c r="BZ181" s="230">
        <v>-8450</v>
      </c>
      <c r="CA181" s="229">
        <v>-2.75E-2</v>
      </c>
      <c r="CB181" s="230">
        <v>211750</v>
      </c>
      <c r="CC181" s="230">
        <v>285200</v>
      </c>
      <c r="CD181" s="230">
        <v>-73450</v>
      </c>
      <c r="CE181" s="229">
        <v>-0.25750000000000001</v>
      </c>
      <c r="CF181" s="230">
        <v>85375</v>
      </c>
      <c r="CG181" s="230">
        <v>20700</v>
      </c>
      <c r="CH181" s="230">
        <v>64675</v>
      </c>
      <c r="CI181" s="229">
        <v>3.1244000000000001</v>
      </c>
      <c r="CJ181" s="230">
        <v>2050</v>
      </c>
      <c r="CK181" s="230">
        <v>1725</v>
      </c>
      <c r="CL181" s="228">
        <v>325</v>
      </c>
      <c r="CM181" s="229">
        <v>0.18840000000000001</v>
      </c>
      <c r="CN181" s="230">
        <v>165475</v>
      </c>
      <c r="CO181" s="230">
        <v>186000</v>
      </c>
      <c r="CP181" s="230">
        <v>-20525</v>
      </c>
      <c r="CQ181" s="229">
        <v>-0.1103</v>
      </c>
      <c r="CR181" s="230">
        <v>57300</v>
      </c>
      <c r="CS181" s="230">
        <v>58150</v>
      </c>
      <c r="CT181" s="228">
        <v>-850</v>
      </c>
      <c r="CU181" s="229">
        <v>-1.46E-2</v>
      </c>
      <c r="CV181" s="230">
        <v>521950</v>
      </c>
      <c r="CW181" s="230">
        <v>551775</v>
      </c>
      <c r="CX181" s="230">
        <v>-29825</v>
      </c>
      <c r="CY181" s="229">
        <v>-5.4100000000000002E-2</v>
      </c>
      <c r="CZ181" s="228">
        <v>21.38</v>
      </c>
      <c r="DA181" s="228">
        <v>25.5</v>
      </c>
      <c r="DB181" s="228">
        <v>-4.12</v>
      </c>
      <c r="DC181" s="228">
        <v>-4.12</v>
      </c>
      <c r="DD181" s="228">
        <v>25.15</v>
      </c>
      <c r="DE181" s="228">
        <v>25.21</v>
      </c>
      <c r="DF181" s="228">
        <v>-3.77</v>
      </c>
      <c r="DG181" s="228">
        <v>-0.06</v>
      </c>
      <c r="DH181" s="228">
        <v>21.47</v>
      </c>
      <c r="DI181" s="228">
        <v>26</v>
      </c>
      <c r="DJ181" s="228">
        <v>-4.53</v>
      </c>
      <c r="DK181" s="228">
        <v>-4.53</v>
      </c>
      <c r="DL181" s="228">
        <v>21.17</v>
      </c>
      <c r="DM181" s="228">
        <v>21.6</v>
      </c>
      <c r="DN181" s="228">
        <v>-0.43</v>
      </c>
      <c r="DO181" s="228">
        <v>-0.43</v>
      </c>
      <c r="DP181" s="228">
        <v>0.35</v>
      </c>
      <c r="DQ181" s="228">
        <v>0.31</v>
      </c>
      <c r="DR181" s="228">
        <v>0.04</v>
      </c>
      <c r="DS181" s="229">
        <v>0.129</v>
      </c>
      <c r="DT181" s="231">
        <v>30000</v>
      </c>
      <c r="DU181" s="231">
        <v>27000</v>
      </c>
      <c r="DV181" s="228">
        <v>0.11</v>
      </c>
      <c r="DW181" s="228">
        <v>0.13</v>
      </c>
      <c r="DX181" s="228">
        <v>-0.02</v>
      </c>
      <c r="DY181" s="229">
        <v>-0.15379999999999999</v>
      </c>
      <c r="DZ181" s="229">
        <v>0.29220000000000002</v>
      </c>
      <c r="EA181" s="230">
        <v>22425</v>
      </c>
      <c r="EB181" s="229">
        <v>4.4999999999999997E-3</v>
      </c>
      <c r="EC181" s="229">
        <v>0.29220000000000002</v>
      </c>
      <c r="ED181" s="228">
        <v>106.02</v>
      </c>
      <c r="EE181" s="229">
        <v>4.0000000000000001E-3</v>
      </c>
      <c r="EF181" s="230">
        <v>10818</v>
      </c>
      <c r="EG181" s="230">
        <v>7794</v>
      </c>
      <c r="EH181" s="229">
        <v>0.38800000000000001</v>
      </c>
      <c r="EI181" s="229">
        <v>0.68279999999999996</v>
      </c>
      <c r="EJ181" s="231">
        <v>36570.25</v>
      </c>
      <c r="EK181" s="231">
        <v>3821.17</v>
      </c>
      <c r="EL181" s="231">
        <v>50712.73</v>
      </c>
      <c r="EM181" s="231">
        <v>1478</v>
      </c>
      <c r="EN181" s="231">
        <v>91104.15</v>
      </c>
      <c r="EO181" s="231">
        <v>60855.87</v>
      </c>
      <c r="EP181" s="231">
        <v>30248.28</v>
      </c>
      <c r="EQ181" s="229">
        <v>0.497</v>
      </c>
      <c r="ER181" s="231">
        <v>47120</v>
      </c>
      <c r="ES181" s="231">
        <v>15535</v>
      </c>
      <c r="ET181" s="231">
        <v>79584</v>
      </c>
      <c r="EU181" s="231">
        <v>1548028</v>
      </c>
      <c r="EV181" s="231">
        <v>142238</v>
      </c>
      <c r="EW181" s="231">
        <v>150492</v>
      </c>
      <c r="EX181" s="231">
        <v>-8254</v>
      </c>
      <c r="EY181" s="229">
        <v>-5.4800000000000001E-2</v>
      </c>
      <c r="EZ181" s="229">
        <v>0.3372</v>
      </c>
      <c r="FA181" s="227" t="s">
        <v>556</v>
      </c>
      <c r="FB181" s="161">
        <f t="shared" si="4"/>
        <v>0</v>
      </c>
    </row>
    <row r="182" spans="1:158" ht="17.25" thickBot="1" x14ac:dyDescent="0.3">
      <c r="A182" s="226">
        <v>45981</v>
      </c>
      <c r="B182" s="227" t="s">
        <v>175</v>
      </c>
      <c r="C182" s="227" t="s">
        <v>562</v>
      </c>
      <c r="D182" s="228">
        <v>825</v>
      </c>
      <c r="E182" s="228">
        <v>826.6</v>
      </c>
      <c r="F182" s="228">
        <v>819.3</v>
      </c>
      <c r="G182" s="228">
        <v>7.3</v>
      </c>
      <c r="H182" s="229">
        <v>8.8999999999999999E-3</v>
      </c>
      <c r="I182" s="228">
        <v>826.6</v>
      </c>
      <c r="J182" s="228">
        <v>818.05</v>
      </c>
      <c r="K182" s="228">
        <v>8.5500000000000007</v>
      </c>
      <c r="L182" s="229">
        <v>1.0500000000000001E-2</v>
      </c>
      <c r="M182" s="228">
        <v>826.6</v>
      </c>
      <c r="N182" s="228">
        <v>819.3</v>
      </c>
      <c r="O182" s="228">
        <v>7.3</v>
      </c>
      <c r="P182" s="229">
        <v>8.8999999999999999E-3</v>
      </c>
      <c r="Q182" s="228">
        <v>832.2</v>
      </c>
      <c r="R182" s="228">
        <v>824.7</v>
      </c>
      <c r="S182" s="228">
        <v>7.5</v>
      </c>
      <c r="T182" s="229">
        <v>9.1000000000000004E-3</v>
      </c>
      <c r="U182" s="228">
        <v>836.65</v>
      </c>
      <c r="V182" s="228">
        <v>829.9</v>
      </c>
      <c r="W182" s="228">
        <v>6.75</v>
      </c>
      <c r="X182" s="229">
        <v>8.0999999999999996E-3</v>
      </c>
      <c r="Y182" s="228">
        <v>0</v>
      </c>
      <c r="Z182" s="228">
        <v>1.25</v>
      </c>
      <c r="AA182" s="228">
        <v>-1.25</v>
      </c>
      <c r="AB182" s="229">
        <v>0</v>
      </c>
      <c r="AC182" s="228">
        <v>0</v>
      </c>
      <c r="AD182" s="228">
        <v>1.25</v>
      </c>
      <c r="AE182" s="228">
        <v>-1.25</v>
      </c>
      <c r="AF182" s="229">
        <v>0</v>
      </c>
      <c r="AG182" s="228">
        <v>5.6</v>
      </c>
      <c r="AH182" s="228">
        <v>6.65</v>
      </c>
      <c r="AI182" s="228">
        <v>-1.05</v>
      </c>
      <c r="AJ182" s="229">
        <v>6.7999999999999996E-3</v>
      </c>
      <c r="AK182" s="228">
        <v>10.050000000000001</v>
      </c>
      <c r="AL182" s="228">
        <v>11.85</v>
      </c>
      <c r="AM182" s="228">
        <v>-1.8</v>
      </c>
      <c r="AN182" s="229">
        <v>1.2200000000000001E-2</v>
      </c>
      <c r="AO182" s="228">
        <v>822.73</v>
      </c>
      <c r="AP182" s="228">
        <v>828.31</v>
      </c>
      <c r="AQ182" s="228">
        <v>0</v>
      </c>
      <c r="AR182" s="230">
        <v>28611000</v>
      </c>
      <c r="AS182" s="230">
        <v>7990125</v>
      </c>
      <c r="AT182" s="230">
        <v>20620875</v>
      </c>
      <c r="AU182" s="229">
        <v>2.5808</v>
      </c>
      <c r="AV182" s="230">
        <v>15147825</v>
      </c>
      <c r="AW182" s="230">
        <v>4895550</v>
      </c>
      <c r="AX182" s="230">
        <v>10252275</v>
      </c>
      <c r="AY182" s="229">
        <v>2.0941999999999998</v>
      </c>
      <c r="AZ182" s="230">
        <v>13421925</v>
      </c>
      <c r="BA182" s="230">
        <v>3049200</v>
      </c>
      <c r="BB182" s="230">
        <v>10372725</v>
      </c>
      <c r="BC182" s="229">
        <v>3.4018000000000002</v>
      </c>
      <c r="BD182" s="230">
        <v>41250</v>
      </c>
      <c r="BE182" s="230">
        <v>45375</v>
      </c>
      <c r="BF182" s="230">
        <v>-4125</v>
      </c>
      <c r="BG182" s="229">
        <v>-9.0899999999999995E-2</v>
      </c>
      <c r="BH182" s="230">
        <v>16704600</v>
      </c>
      <c r="BI182" s="230">
        <v>16069350</v>
      </c>
      <c r="BJ182" s="230">
        <v>635250</v>
      </c>
      <c r="BK182" s="229">
        <v>3.95E-2</v>
      </c>
      <c r="BL182" s="230">
        <v>9467700</v>
      </c>
      <c r="BM182" s="230">
        <v>10616925</v>
      </c>
      <c r="BN182" s="230">
        <v>-1149225</v>
      </c>
      <c r="BO182" s="229">
        <v>-0.1082</v>
      </c>
      <c r="BP182" s="230">
        <v>54783300</v>
      </c>
      <c r="BQ182" s="230">
        <v>34676400</v>
      </c>
      <c r="BR182" s="230">
        <v>20106900</v>
      </c>
      <c r="BS182" s="229">
        <v>0.57979999999999998</v>
      </c>
      <c r="BT182" s="230">
        <v>3266810</v>
      </c>
      <c r="BU182" s="230">
        <v>3805005</v>
      </c>
      <c r="BV182" s="230">
        <v>-538195</v>
      </c>
      <c r="BW182" s="229">
        <v>-0.1414</v>
      </c>
      <c r="BX182" s="230">
        <v>56429175</v>
      </c>
      <c r="BY182" s="230">
        <v>56970375</v>
      </c>
      <c r="BZ182" s="230">
        <v>-541200</v>
      </c>
      <c r="CA182" s="229">
        <v>-9.4999999999999998E-3</v>
      </c>
      <c r="CB182" s="230">
        <v>36209250</v>
      </c>
      <c r="CC182" s="230">
        <v>48283125</v>
      </c>
      <c r="CD182" s="230">
        <v>-12073875</v>
      </c>
      <c r="CE182" s="229">
        <v>-0.25009999999999999</v>
      </c>
      <c r="CF182" s="230">
        <v>19799175</v>
      </c>
      <c r="CG182" s="230">
        <v>8273925</v>
      </c>
      <c r="CH182" s="230">
        <v>11525250</v>
      </c>
      <c r="CI182" s="229">
        <v>1.393</v>
      </c>
      <c r="CJ182" s="230">
        <v>420750</v>
      </c>
      <c r="CK182" s="230">
        <v>413325</v>
      </c>
      <c r="CL182" s="230">
        <v>7425</v>
      </c>
      <c r="CM182" s="229">
        <v>1.7999999999999999E-2</v>
      </c>
      <c r="CN182" s="230">
        <v>16382850</v>
      </c>
      <c r="CO182" s="230">
        <v>17776275</v>
      </c>
      <c r="CP182" s="230">
        <v>-1393425</v>
      </c>
      <c r="CQ182" s="229">
        <v>-7.8399999999999997E-2</v>
      </c>
      <c r="CR182" s="230">
        <v>14878050</v>
      </c>
      <c r="CS182" s="230">
        <v>15579300</v>
      </c>
      <c r="CT182" s="230">
        <v>-701250</v>
      </c>
      <c r="CU182" s="229">
        <v>-4.4999999999999998E-2</v>
      </c>
      <c r="CV182" s="230">
        <v>87690075</v>
      </c>
      <c r="CW182" s="230">
        <v>90325950</v>
      </c>
      <c r="CX182" s="230">
        <v>-2635875</v>
      </c>
      <c r="CY182" s="229">
        <v>-2.92E-2</v>
      </c>
      <c r="CZ182" s="228">
        <v>29.51</v>
      </c>
      <c r="DA182" s="228">
        <v>30.75</v>
      </c>
      <c r="DB182" s="228">
        <v>-1.24</v>
      </c>
      <c r="DC182" s="228">
        <v>-1.24</v>
      </c>
      <c r="DD182" s="228">
        <v>40.049999999999997</v>
      </c>
      <c r="DE182" s="228">
        <v>40.119999999999997</v>
      </c>
      <c r="DF182" s="228">
        <v>-10.54</v>
      </c>
      <c r="DG182" s="228">
        <v>-7.0000000000000007E-2</v>
      </c>
      <c r="DH182" s="228">
        <v>29.27</v>
      </c>
      <c r="DI182" s="228">
        <v>29.96</v>
      </c>
      <c r="DJ182" s="228">
        <v>-0.69</v>
      </c>
      <c r="DK182" s="228">
        <v>-0.69</v>
      </c>
      <c r="DL182" s="228">
        <v>29.89</v>
      </c>
      <c r="DM182" s="228">
        <v>31.94</v>
      </c>
      <c r="DN182" s="228">
        <v>-2.0499999999999998</v>
      </c>
      <c r="DO182" s="228">
        <v>-2.0499999999999998</v>
      </c>
      <c r="DP182" s="228">
        <v>0.91</v>
      </c>
      <c r="DQ182" s="228">
        <v>0.88</v>
      </c>
      <c r="DR182" s="228">
        <v>0.03</v>
      </c>
      <c r="DS182" s="229">
        <v>3.4099999999999998E-2</v>
      </c>
      <c r="DT182" s="228">
        <v>820</v>
      </c>
      <c r="DU182" s="228">
        <v>800</v>
      </c>
      <c r="DV182" s="228">
        <v>0.56999999999999995</v>
      </c>
      <c r="DW182" s="228">
        <v>0.66</v>
      </c>
      <c r="DX182" s="228">
        <v>-0.09</v>
      </c>
      <c r="DY182" s="229">
        <v>-0.13639999999999999</v>
      </c>
      <c r="DZ182" s="229">
        <v>0.35830000000000001</v>
      </c>
      <c r="EA182" s="230">
        <v>8687250</v>
      </c>
      <c r="EB182" s="229">
        <v>6.7999999999999996E-3</v>
      </c>
      <c r="EC182" s="229">
        <v>0.35830000000000001</v>
      </c>
      <c r="ED182" s="228">
        <v>5.58</v>
      </c>
      <c r="EE182" s="229">
        <v>6.7999999999999996E-3</v>
      </c>
      <c r="EF182" s="230">
        <v>1639400</v>
      </c>
      <c r="EG182" s="230">
        <v>2184574</v>
      </c>
      <c r="EH182" s="229">
        <v>-0.24959999999999999</v>
      </c>
      <c r="EI182" s="229">
        <v>0.50180000000000002</v>
      </c>
      <c r="EJ182" s="231">
        <v>141656.38</v>
      </c>
      <c r="EK182" s="231">
        <v>75402.5</v>
      </c>
      <c r="EL182" s="231">
        <v>236144.79</v>
      </c>
      <c r="EM182" s="231">
        <v>11118</v>
      </c>
      <c r="EN182" s="231">
        <v>453203.67</v>
      </c>
      <c r="EO182" s="231">
        <v>286997.3</v>
      </c>
      <c r="EP182" s="231">
        <v>166206.37</v>
      </c>
      <c r="EQ182" s="229">
        <v>0.57909999999999995</v>
      </c>
      <c r="ER182" s="231">
        <v>135369</v>
      </c>
      <c r="ES182" s="231">
        <v>112518</v>
      </c>
      <c r="ET182" s="231">
        <v>467595</v>
      </c>
      <c r="EU182" s="231">
        <v>210459276</v>
      </c>
      <c r="EV182" s="231">
        <v>715482</v>
      </c>
      <c r="EW182" s="231">
        <v>732119</v>
      </c>
      <c r="EX182" s="231">
        <v>-16637</v>
      </c>
      <c r="EY182" s="229">
        <v>-2.2700000000000001E-2</v>
      </c>
      <c r="EZ182" s="229">
        <v>0.41670000000000001</v>
      </c>
      <c r="FA182" s="227" t="s">
        <v>556</v>
      </c>
      <c r="FB182" s="161">
        <f t="shared" si="4"/>
        <v>0</v>
      </c>
    </row>
    <row r="183" spans="1:158" ht="17.25" thickBot="1" x14ac:dyDescent="0.3">
      <c r="A183" s="226">
        <v>45981</v>
      </c>
      <c r="B183" s="227" t="s">
        <v>184</v>
      </c>
      <c r="C183" s="227" t="s">
        <v>285</v>
      </c>
      <c r="D183" s="228">
        <v>125</v>
      </c>
      <c r="E183" s="231">
        <v>3222.8</v>
      </c>
      <c r="F183" s="231">
        <v>3212.7</v>
      </c>
      <c r="G183" s="228">
        <v>10.1</v>
      </c>
      <c r="H183" s="229">
        <v>3.0999999999999999E-3</v>
      </c>
      <c r="I183" s="231">
        <v>3216.3</v>
      </c>
      <c r="J183" s="231">
        <v>3211.5</v>
      </c>
      <c r="K183" s="228">
        <v>4.8</v>
      </c>
      <c r="L183" s="229">
        <v>1.5E-3</v>
      </c>
      <c r="M183" s="231">
        <v>3222.8</v>
      </c>
      <c r="N183" s="231">
        <v>3212.7</v>
      </c>
      <c r="O183" s="228">
        <v>10.1</v>
      </c>
      <c r="P183" s="229">
        <v>3.0999999999999999E-3</v>
      </c>
      <c r="Q183" s="231">
        <v>3238.1</v>
      </c>
      <c r="R183" s="231">
        <v>3227.3</v>
      </c>
      <c r="S183" s="228">
        <v>10.8</v>
      </c>
      <c r="T183" s="229">
        <v>3.3E-3</v>
      </c>
      <c r="U183" s="231">
        <v>3261.2</v>
      </c>
      <c r="V183" s="231">
        <v>3273.3</v>
      </c>
      <c r="W183" s="228">
        <v>-12.1</v>
      </c>
      <c r="X183" s="229">
        <v>-3.7000000000000002E-3</v>
      </c>
      <c r="Y183" s="228">
        <v>6.5</v>
      </c>
      <c r="Z183" s="228">
        <v>1.2</v>
      </c>
      <c r="AA183" s="228">
        <v>5.3</v>
      </c>
      <c r="AB183" s="229">
        <v>2E-3</v>
      </c>
      <c r="AC183" s="228">
        <v>6.5</v>
      </c>
      <c r="AD183" s="228">
        <v>1.2</v>
      </c>
      <c r="AE183" s="228">
        <v>5.3</v>
      </c>
      <c r="AF183" s="229">
        <v>2E-3</v>
      </c>
      <c r="AG183" s="228">
        <v>21.8</v>
      </c>
      <c r="AH183" s="228">
        <v>15.8</v>
      </c>
      <c r="AI183" s="228">
        <v>6</v>
      </c>
      <c r="AJ183" s="229">
        <v>6.7999999999999996E-3</v>
      </c>
      <c r="AK183" s="228">
        <v>44.9</v>
      </c>
      <c r="AL183" s="228">
        <v>61.8</v>
      </c>
      <c r="AM183" s="228">
        <v>-16.899999999999999</v>
      </c>
      <c r="AN183" s="229">
        <v>1.4E-2</v>
      </c>
      <c r="AO183" s="231">
        <v>3229.66</v>
      </c>
      <c r="AP183" s="231">
        <v>3245.34</v>
      </c>
      <c r="AQ183" s="228">
        <v>0</v>
      </c>
      <c r="AR183" s="230">
        <v>1933375</v>
      </c>
      <c r="AS183" s="230">
        <v>596375</v>
      </c>
      <c r="AT183" s="230">
        <v>1337000</v>
      </c>
      <c r="AU183" s="229">
        <v>2.2418999999999998</v>
      </c>
      <c r="AV183" s="230">
        <v>1031000</v>
      </c>
      <c r="AW183" s="230">
        <v>432000</v>
      </c>
      <c r="AX183" s="230">
        <v>599000</v>
      </c>
      <c r="AY183" s="229">
        <v>1.3866000000000001</v>
      </c>
      <c r="AZ183" s="230">
        <v>900750</v>
      </c>
      <c r="BA183" s="230">
        <v>162125</v>
      </c>
      <c r="BB183" s="230">
        <v>738625</v>
      </c>
      <c r="BC183" s="229">
        <v>4.5559000000000003</v>
      </c>
      <c r="BD183" s="230">
        <v>1625</v>
      </c>
      <c r="BE183" s="230">
        <v>2250</v>
      </c>
      <c r="BF183" s="228">
        <v>-625</v>
      </c>
      <c r="BG183" s="229">
        <v>-0.27779999999999999</v>
      </c>
      <c r="BH183" s="230">
        <v>4672875</v>
      </c>
      <c r="BI183" s="230">
        <v>4560250</v>
      </c>
      <c r="BJ183" s="230">
        <v>112625</v>
      </c>
      <c r="BK183" s="229">
        <v>2.47E-2</v>
      </c>
      <c r="BL183" s="230">
        <v>2059500</v>
      </c>
      <c r="BM183" s="230">
        <v>3247375</v>
      </c>
      <c r="BN183" s="230">
        <v>-1187875</v>
      </c>
      <c r="BO183" s="229">
        <v>-0.36580000000000001</v>
      </c>
      <c r="BP183" s="230">
        <v>8665750</v>
      </c>
      <c r="BQ183" s="230">
        <v>8404000</v>
      </c>
      <c r="BR183" s="230">
        <v>261750</v>
      </c>
      <c r="BS183" s="229">
        <v>3.1099999999999999E-2</v>
      </c>
      <c r="BT183" s="230">
        <v>352759</v>
      </c>
      <c r="BU183" s="230">
        <v>352370</v>
      </c>
      <c r="BV183" s="228">
        <v>389</v>
      </c>
      <c r="BW183" s="229">
        <v>1.1000000000000001E-3</v>
      </c>
      <c r="BX183" s="230">
        <v>2874425</v>
      </c>
      <c r="BY183" s="230">
        <v>2955450</v>
      </c>
      <c r="BZ183" s="230">
        <v>-81025</v>
      </c>
      <c r="CA183" s="229">
        <v>-2.7400000000000001E-2</v>
      </c>
      <c r="CB183" s="230">
        <v>2033625</v>
      </c>
      <c r="CC183" s="230">
        <v>2663625</v>
      </c>
      <c r="CD183" s="230">
        <v>-630000</v>
      </c>
      <c r="CE183" s="229">
        <v>-0.23649999999999999</v>
      </c>
      <c r="CF183" s="230">
        <v>824875</v>
      </c>
      <c r="CG183" s="230">
        <v>277125</v>
      </c>
      <c r="CH183" s="230">
        <v>547750</v>
      </c>
      <c r="CI183" s="229">
        <v>1.9764999999999999</v>
      </c>
      <c r="CJ183" s="230">
        <v>15925</v>
      </c>
      <c r="CK183" s="230">
        <v>14700</v>
      </c>
      <c r="CL183" s="230">
        <v>1225</v>
      </c>
      <c r="CM183" s="229">
        <v>8.3299999999999999E-2</v>
      </c>
      <c r="CN183" s="230">
        <v>1264275</v>
      </c>
      <c r="CO183" s="230">
        <v>1458775</v>
      </c>
      <c r="CP183" s="230">
        <v>-194500</v>
      </c>
      <c r="CQ183" s="229">
        <v>-0.1333</v>
      </c>
      <c r="CR183" s="230">
        <v>888725</v>
      </c>
      <c r="CS183" s="230">
        <v>1010225</v>
      </c>
      <c r="CT183" s="230">
        <v>-121500</v>
      </c>
      <c r="CU183" s="229">
        <v>-0.1203</v>
      </c>
      <c r="CV183" s="230">
        <v>5027425</v>
      </c>
      <c r="CW183" s="230">
        <v>5424450</v>
      </c>
      <c r="CX183" s="230">
        <v>-397025</v>
      </c>
      <c r="CY183" s="229">
        <v>-7.3200000000000001E-2</v>
      </c>
      <c r="CZ183" s="228">
        <v>25.56</v>
      </c>
      <c r="DA183" s="228">
        <v>26.56</v>
      </c>
      <c r="DB183" s="228">
        <v>-1</v>
      </c>
      <c r="DC183" s="228">
        <v>-1</v>
      </c>
      <c r="DD183" s="228">
        <v>38.46</v>
      </c>
      <c r="DE183" s="228">
        <v>38.56</v>
      </c>
      <c r="DF183" s="228">
        <v>-12.9</v>
      </c>
      <c r="DG183" s="228">
        <v>-0.1</v>
      </c>
      <c r="DH183" s="228">
        <v>25.57</v>
      </c>
      <c r="DI183" s="228">
        <v>26.74</v>
      </c>
      <c r="DJ183" s="228">
        <v>-1.17</v>
      </c>
      <c r="DK183" s="228">
        <v>-1.17</v>
      </c>
      <c r="DL183" s="228">
        <v>25.53</v>
      </c>
      <c r="DM183" s="228">
        <v>26.31</v>
      </c>
      <c r="DN183" s="228">
        <v>-0.78</v>
      </c>
      <c r="DO183" s="228">
        <v>-0.78</v>
      </c>
      <c r="DP183" s="228">
        <v>0.7</v>
      </c>
      <c r="DQ183" s="228">
        <v>0.69</v>
      </c>
      <c r="DR183" s="228">
        <v>0.01</v>
      </c>
      <c r="DS183" s="229">
        <v>1.4500000000000001E-2</v>
      </c>
      <c r="DT183" s="231">
        <v>3300</v>
      </c>
      <c r="DU183" s="231">
        <v>3100</v>
      </c>
      <c r="DV183" s="228">
        <v>0.44</v>
      </c>
      <c r="DW183" s="228">
        <v>0.71</v>
      </c>
      <c r="DX183" s="228">
        <v>-0.27</v>
      </c>
      <c r="DY183" s="229">
        <v>-0.38030000000000003</v>
      </c>
      <c r="DZ183" s="229">
        <v>0.29249999999999998</v>
      </c>
      <c r="EA183" s="230">
        <v>291825</v>
      </c>
      <c r="EB183" s="229">
        <v>4.7000000000000002E-3</v>
      </c>
      <c r="EC183" s="229">
        <v>0.29249999999999998</v>
      </c>
      <c r="ED183" s="228">
        <v>15.68</v>
      </c>
      <c r="EE183" s="229">
        <v>4.8999999999999998E-3</v>
      </c>
      <c r="EF183" s="230">
        <v>166577</v>
      </c>
      <c r="EG183" s="230">
        <v>173110</v>
      </c>
      <c r="EH183" s="229">
        <v>-3.7699999999999997E-2</v>
      </c>
      <c r="EI183" s="229">
        <v>0.47220000000000001</v>
      </c>
      <c r="EJ183" s="231">
        <v>155629.45000000001</v>
      </c>
      <c r="EK183" s="231">
        <v>65428.61</v>
      </c>
      <c r="EL183" s="231">
        <v>62604.54</v>
      </c>
      <c r="EM183" s="231">
        <v>7500</v>
      </c>
      <c r="EN183" s="231">
        <v>283662.59999999998</v>
      </c>
      <c r="EO183" s="231">
        <v>273429.45</v>
      </c>
      <c r="EP183" s="231">
        <v>10233.15</v>
      </c>
      <c r="EQ183" s="229">
        <v>3.7400000000000003E-2</v>
      </c>
      <c r="ER183" s="231">
        <v>41872</v>
      </c>
      <c r="ES183" s="231">
        <v>27247</v>
      </c>
      <c r="ET183" s="231">
        <v>92769</v>
      </c>
      <c r="EU183" s="231">
        <v>13354588</v>
      </c>
      <c r="EV183" s="231">
        <v>161889</v>
      </c>
      <c r="EW183" s="231">
        <v>174295</v>
      </c>
      <c r="EX183" s="231">
        <v>-12406</v>
      </c>
      <c r="EY183" s="229">
        <v>-7.1199999999999999E-2</v>
      </c>
      <c r="EZ183" s="229">
        <v>0.3765</v>
      </c>
      <c r="FA183" s="227" t="s">
        <v>556</v>
      </c>
      <c r="FB183" s="161">
        <f t="shared" si="4"/>
        <v>0</v>
      </c>
    </row>
    <row r="184" spans="1:158" ht="17.25" thickBot="1" x14ac:dyDescent="0.3">
      <c r="A184" s="226">
        <v>45981</v>
      </c>
      <c r="B184" s="227" t="s">
        <v>498</v>
      </c>
      <c r="C184" s="227" t="s">
        <v>646</v>
      </c>
      <c r="D184" s="228">
        <v>75</v>
      </c>
      <c r="E184" s="231">
        <v>13968</v>
      </c>
      <c r="F184" s="231">
        <v>13804</v>
      </c>
      <c r="G184" s="228">
        <v>164</v>
      </c>
      <c r="H184" s="229">
        <v>1.1900000000000001E-2</v>
      </c>
      <c r="I184" s="231">
        <v>13951</v>
      </c>
      <c r="J184" s="231">
        <v>13809</v>
      </c>
      <c r="K184" s="228">
        <v>142</v>
      </c>
      <c r="L184" s="229">
        <v>1.03E-2</v>
      </c>
      <c r="M184" s="231">
        <v>13968</v>
      </c>
      <c r="N184" s="231">
        <v>13804</v>
      </c>
      <c r="O184" s="228">
        <v>164</v>
      </c>
      <c r="P184" s="229">
        <v>1.1900000000000001E-2</v>
      </c>
      <c r="Q184" s="231">
        <v>14063</v>
      </c>
      <c r="R184" s="231">
        <v>13890</v>
      </c>
      <c r="S184" s="228">
        <v>173</v>
      </c>
      <c r="T184" s="229">
        <v>1.2500000000000001E-2</v>
      </c>
      <c r="U184" s="231">
        <v>14190</v>
      </c>
      <c r="V184" s="231">
        <v>13986</v>
      </c>
      <c r="W184" s="228">
        <v>204</v>
      </c>
      <c r="X184" s="229">
        <v>1.46E-2</v>
      </c>
      <c r="Y184" s="228">
        <v>17</v>
      </c>
      <c r="Z184" s="228">
        <v>-5</v>
      </c>
      <c r="AA184" s="228">
        <v>22</v>
      </c>
      <c r="AB184" s="229">
        <v>1.1999999999999999E-3</v>
      </c>
      <c r="AC184" s="228">
        <v>17</v>
      </c>
      <c r="AD184" s="228">
        <v>-5</v>
      </c>
      <c r="AE184" s="228">
        <v>22</v>
      </c>
      <c r="AF184" s="229">
        <v>1.1999999999999999E-3</v>
      </c>
      <c r="AG184" s="228">
        <v>112</v>
      </c>
      <c r="AH184" s="228">
        <v>81</v>
      </c>
      <c r="AI184" s="228">
        <v>31</v>
      </c>
      <c r="AJ184" s="229">
        <v>8.0000000000000002E-3</v>
      </c>
      <c r="AK184" s="228">
        <v>239</v>
      </c>
      <c r="AL184" s="228">
        <v>177</v>
      </c>
      <c r="AM184" s="228">
        <v>62</v>
      </c>
      <c r="AN184" s="229">
        <v>1.7100000000000001E-2</v>
      </c>
      <c r="AO184" s="231">
        <v>13942.29</v>
      </c>
      <c r="AP184" s="231">
        <v>14034.22</v>
      </c>
      <c r="AQ184" s="228">
        <v>0</v>
      </c>
      <c r="AR184" s="230">
        <v>464025</v>
      </c>
      <c r="AS184" s="230">
        <v>297750</v>
      </c>
      <c r="AT184" s="230">
        <v>166275</v>
      </c>
      <c r="AU184" s="229">
        <v>0.55840000000000001</v>
      </c>
      <c r="AV184" s="230">
        <v>269550</v>
      </c>
      <c r="AW184" s="230">
        <v>207075</v>
      </c>
      <c r="AX184" s="230">
        <v>62475</v>
      </c>
      <c r="AY184" s="229">
        <v>0.30170000000000002</v>
      </c>
      <c r="AZ184" s="230">
        <v>190200</v>
      </c>
      <c r="BA184" s="230">
        <v>80550</v>
      </c>
      <c r="BB184" s="230">
        <v>109650</v>
      </c>
      <c r="BC184" s="229">
        <v>1.3613</v>
      </c>
      <c r="BD184" s="230">
        <v>4275</v>
      </c>
      <c r="BE184" s="230">
        <v>10125</v>
      </c>
      <c r="BF184" s="230">
        <v>-5850</v>
      </c>
      <c r="BG184" s="229">
        <v>-0.57779999999999998</v>
      </c>
      <c r="BH184" s="230">
        <v>2088450</v>
      </c>
      <c r="BI184" s="230">
        <v>3934650</v>
      </c>
      <c r="BJ184" s="230">
        <v>-1846200</v>
      </c>
      <c r="BK184" s="229">
        <v>-0.46920000000000001</v>
      </c>
      <c r="BL184" s="230">
        <v>605700</v>
      </c>
      <c r="BM184" s="230">
        <v>627450</v>
      </c>
      <c r="BN184" s="230">
        <v>-21750</v>
      </c>
      <c r="BO184" s="229">
        <v>-3.4700000000000002E-2</v>
      </c>
      <c r="BP184" s="230">
        <v>3158175</v>
      </c>
      <c r="BQ184" s="230">
        <v>4859850</v>
      </c>
      <c r="BR184" s="230">
        <v>-1701675</v>
      </c>
      <c r="BS184" s="229">
        <v>-0.35010000000000002</v>
      </c>
      <c r="BT184" s="230">
        <v>107895</v>
      </c>
      <c r="BU184" s="230">
        <v>185709</v>
      </c>
      <c r="BV184" s="230">
        <v>-77814</v>
      </c>
      <c r="BW184" s="229">
        <v>-0.41899999999999998</v>
      </c>
      <c r="BX184" s="230">
        <v>906050</v>
      </c>
      <c r="BY184" s="230">
        <v>980950</v>
      </c>
      <c r="BZ184" s="230">
        <v>-74900</v>
      </c>
      <c r="CA184" s="229">
        <v>-7.6399999999999996E-2</v>
      </c>
      <c r="CB184" s="230">
        <v>683250</v>
      </c>
      <c r="CC184" s="230">
        <v>850725</v>
      </c>
      <c r="CD184" s="230">
        <v>-167475</v>
      </c>
      <c r="CE184" s="229">
        <v>-0.19689999999999999</v>
      </c>
      <c r="CF184" s="230">
        <v>204750</v>
      </c>
      <c r="CG184" s="230">
        <v>111825</v>
      </c>
      <c r="CH184" s="230">
        <v>92925</v>
      </c>
      <c r="CI184" s="229">
        <v>0.83099999999999996</v>
      </c>
      <c r="CJ184" s="230">
        <v>18050</v>
      </c>
      <c r="CK184" s="230">
        <v>18400</v>
      </c>
      <c r="CL184" s="228">
        <v>-350</v>
      </c>
      <c r="CM184" s="229">
        <v>-1.9E-2</v>
      </c>
      <c r="CN184" s="230">
        <v>625250</v>
      </c>
      <c r="CO184" s="230">
        <v>868325</v>
      </c>
      <c r="CP184" s="230">
        <v>-243075</v>
      </c>
      <c r="CQ184" s="229">
        <v>-0.27989999999999998</v>
      </c>
      <c r="CR184" s="230">
        <v>290150</v>
      </c>
      <c r="CS184" s="230">
        <v>326550</v>
      </c>
      <c r="CT184" s="230">
        <v>-36400</v>
      </c>
      <c r="CU184" s="229">
        <v>-0.1115</v>
      </c>
      <c r="CV184" s="230">
        <v>1821450</v>
      </c>
      <c r="CW184" s="230">
        <v>2175825</v>
      </c>
      <c r="CX184" s="230">
        <v>-354375</v>
      </c>
      <c r="CY184" s="229">
        <v>-0.16289999999999999</v>
      </c>
      <c r="CZ184" s="228">
        <v>27.8</v>
      </c>
      <c r="DA184" s="228">
        <v>34.729999999999997</v>
      </c>
      <c r="DB184" s="228">
        <v>-6.93</v>
      </c>
      <c r="DC184" s="228">
        <v>-6.93</v>
      </c>
      <c r="DD184" s="228">
        <v>39.92</v>
      </c>
      <c r="DE184" s="228">
        <v>39.99</v>
      </c>
      <c r="DF184" s="228">
        <v>-12.12</v>
      </c>
      <c r="DG184" s="228">
        <v>-7.0000000000000007E-2</v>
      </c>
      <c r="DH184" s="228">
        <v>27.9</v>
      </c>
      <c r="DI184" s="228">
        <v>35</v>
      </c>
      <c r="DJ184" s="228">
        <v>-7.1</v>
      </c>
      <c r="DK184" s="228">
        <v>-7.1</v>
      </c>
      <c r="DL184" s="228">
        <v>27.54</v>
      </c>
      <c r="DM184" s="228">
        <v>33</v>
      </c>
      <c r="DN184" s="228">
        <v>-5.46</v>
      </c>
      <c r="DO184" s="228">
        <v>-5.46</v>
      </c>
      <c r="DP184" s="228">
        <v>0.46</v>
      </c>
      <c r="DQ184" s="228">
        <v>0.38</v>
      </c>
      <c r="DR184" s="228">
        <v>0.08</v>
      </c>
      <c r="DS184" s="229">
        <v>0.21049999999999999</v>
      </c>
      <c r="DT184" s="231">
        <v>15000</v>
      </c>
      <c r="DU184" s="231">
        <v>13000</v>
      </c>
      <c r="DV184" s="228">
        <v>0.28999999999999998</v>
      </c>
      <c r="DW184" s="228">
        <v>0.16</v>
      </c>
      <c r="DX184" s="228">
        <v>0.13</v>
      </c>
      <c r="DY184" s="229">
        <v>0.8125</v>
      </c>
      <c r="DZ184" s="229">
        <v>0.24590000000000001</v>
      </c>
      <c r="EA184" s="230">
        <v>130225</v>
      </c>
      <c r="EB184" s="229">
        <v>6.7999999999999996E-3</v>
      </c>
      <c r="EC184" s="229">
        <v>0.24590000000000001</v>
      </c>
      <c r="ED184" s="228">
        <v>91.93</v>
      </c>
      <c r="EE184" s="229">
        <v>6.6E-3</v>
      </c>
      <c r="EF184" s="230">
        <v>43088</v>
      </c>
      <c r="EG184" s="230">
        <v>57675</v>
      </c>
      <c r="EH184" s="229">
        <v>-0.25290000000000001</v>
      </c>
      <c r="EI184" s="229">
        <v>0.39939999999999998</v>
      </c>
      <c r="EJ184" s="231">
        <v>304756.84000000003</v>
      </c>
      <c r="EK184" s="231">
        <v>81850.06</v>
      </c>
      <c r="EL184" s="231">
        <v>64676.54</v>
      </c>
      <c r="EM184" s="231">
        <v>2664</v>
      </c>
      <c r="EN184" s="231">
        <v>451283.44</v>
      </c>
      <c r="EO184" s="231">
        <v>696459.88</v>
      </c>
      <c r="EP184" s="231">
        <v>-245176.44</v>
      </c>
      <c r="EQ184" s="229">
        <v>-0.35199999999999998</v>
      </c>
      <c r="ER184" s="231">
        <v>91973</v>
      </c>
      <c r="ES184" s="231">
        <v>39066</v>
      </c>
      <c r="ET184" s="231">
        <v>126792</v>
      </c>
      <c r="EU184" s="231">
        <v>3644817</v>
      </c>
      <c r="EV184" s="231">
        <v>257830</v>
      </c>
      <c r="EW184" s="231">
        <v>306153</v>
      </c>
      <c r="EX184" s="231">
        <v>-48323</v>
      </c>
      <c r="EY184" s="229">
        <v>-0.1578</v>
      </c>
      <c r="EZ184" s="229">
        <v>0.49969999999999998</v>
      </c>
      <c r="FA184" s="227" t="s">
        <v>556</v>
      </c>
      <c r="FB184" s="161">
        <f t="shared" si="4"/>
        <v>0</v>
      </c>
    </row>
    <row r="185" spans="1:158" ht="17.25" thickBot="1" x14ac:dyDescent="0.3">
      <c r="A185" s="226">
        <v>45981</v>
      </c>
      <c r="B185" s="227" t="s">
        <v>162</v>
      </c>
      <c r="C185" s="227" t="s">
        <v>614</v>
      </c>
      <c r="D185" s="228">
        <v>1050</v>
      </c>
      <c r="E185" s="228">
        <v>507.6</v>
      </c>
      <c r="F185" s="228">
        <v>506.65</v>
      </c>
      <c r="G185" s="228">
        <v>0.95</v>
      </c>
      <c r="H185" s="229">
        <v>1.9E-3</v>
      </c>
      <c r="I185" s="228">
        <v>507.65</v>
      </c>
      <c r="J185" s="228">
        <v>506.95</v>
      </c>
      <c r="K185" s="228">
        <v>0.7</v>
      </c>
      <c r="L185" s="229">
        <v>1.4E-3</v>
      </c>
      <c r="M185" s="228">
        <v>507.6</v>
      </c>
      <c r="N185" s="228">
        <v>506.65</v>
      </c>
      <c r="O185" s="228">
        <v>0.95</v>
      </c>
      <c r="P185" s="229">
        <v>1.9E-3</v>
      </c>
      <c r="Q185" s="228">
        <v>510.9</v>
      </c>
      <c r="R185" s="228">
        <v>509.95</v>
      </c>
      <c r="S185" s="228">
        <v>0.95</v>
      </c>
      <c r="T185" s="229">
        <v>1.9E-3</v>
      </c>
      <c r="U185" s="228">
        <v>514.70000000000005</v>
      </c>
      <c r="V185" s="228">
        <v>513.15</v>
      </c>
      <c r="W185" s="228">
        <v>1.55</v>
      </c>
      <c r="X185" s="229">
        <v>3.0000000000000001E-3</v>
      </c>
      <c r="Y185" s="228">
        <v>-0.05</v>
      </c>
      <c r="Z185" s="228">
        <v>-0.3</v>
      </c>
      <c r="AA185" s="228">
        <v>0.25</v>
      </c>
      <c r="AB185" s="229">
        <v>-1E-4</v>
      </c>
      <c r="AC185" s="228">
        <v>-0.05</v>
      </c>
      <c r="AD185" s="228">
        <v>-0.3</v>
      </c>
      <c r="AE185" s="228">
        <v>0.25</v>
      </c>
      <c r="AF185" s="229">
        <v>-1E-4</v>
      </c>
      <c r="AG185" s="228">
        <v>3.25</v>
      </c>
      <c r="AH185" s="228">
        <v>3</v>
      </c>
      <c r="AI185" s="228">
        <v>0.25</v>
      </c>
      <c r="AJ185" s="229">
        <v>6.4000000000000003E-3</v>
      </c>
      <c r="AK185" s="228">
        <v>7.05</v>
      </c>
      <c r="AL185" s="228">
        <v>6.2</v>
      </c>
      <c r="AM185" s="228">
        <v>0.85</v>
      </c>
      <c r="AN185" s="229">
        <v>1.3899999999999999E-2</v>
      </c>
      <c r="AO185" s="228">
        <v>508.9</v>
      </c>
      <c r="AP185" s="228">
        <v>512.1</v>
      </c>
      <c r="AQ185" s="228">
        <v>0</v>
      </c>
      <c r="AR185" s="230">
        <v>9998100</v>
      </c>
      <c r="AS185" s="230">
        <v>6010200</v>
      </c>
      <c r="AT185" s="230">
        <v>3987900</v>
      </c>
      <c r="AU185" s="229">
        <v>0.66349999999999998</v>
      </c>
      <c r="AV185" s="230">
        <v>5150250</v>
      </c>
      <c r="AW185" s="230">
        <v>4196850</v>
      </c>
      <c r="AX185" s="230">
        <v>953400</v>
      </c>
      <c r="AY185" s="229">
        <v>0.22720000000000001</v>
      </c>
      <c r="AZ185" s="230">
        <v>4816350</v>
      </c>
      <c r="BA185" s="230">
        <v>1761900</v>
      </c>
      <c r="BB185" s="230">
        <v>3054450</v>
      </c>
      <c r="BC185" s="229">
        <v>1.7336</v>
      </c>
      <c r="BD185" s="230">
        <v>31500</v>
      </c>
      <c r="BE185" s="230">
        <v>51450</v>
      </c>
      <c r="BF185" s="230">
        <v>-19950</v>
      </c>
      <c r="BG185" s="229">
        <v>-0.38779999999999998</v>
      </c>
      <c r="BH185" s="230">
        <v>16424100</v>
      </c>
      <c r="BI185" s="230">
        <v>50405250</v>
      </c>
      <c r="BJ185" s="230">
        <v>-33981150</v>
      </c>
      <c r="BK185" s="229">
        <v>-0.67420000000000002</v>
      </c>
      <c r="BL185" s="230">
        <v>6846000</v>
      </c>
      <c r="BM185" s="230">
        <v>12955950</v>
      </c>
      <c r="BN185" s="230">
        <v>-6109950</v>
      </c>
      <c r="BO185" s="229">
        <v>-0.47160000000000002</v>
      </c>
      <c r="BP185" s="230">
        <v>33268200</v>
      </c>
      <c r="BQ185" s="230">
        <v>69371400</v>
      </c>
      <c r="BR185" s="230">
        <v>-36103200</v>
      </c>
      <c r="BS185" s="229">
        <v>-0.52039999999999997</v>
      </c>
      <c r="BT185" s="230">
        <v>2790487</v>
      </c>
      <c r="BU185" s="230">
        <v>6044250</v>
      </c>
      <c r="BV185" s="230">
        <v>-3253763</v>
      </c>
      <c r="BW185" s="229">
        <v>-0.5383</v>
      </c>
      <c r="BX185" s="230">
        <v>15175650</v>
      </c>
      <c r="BY185" s="230">
        <v>15325100</v>
      </c>
      <c r="BZ185" s="230">
        <v>-149450</v>
      </c>
      <c r="CA185" s="229">
        <v>-9.7999999999999997E-3</v>
      </c>
      <c r="CB185" s="230">
        <v>10259550</v>
      </c>
      <c r="CC185" s="230">
        <v>13702500</v>
      </c>
      <c r="CD185" s="230">
        <v>-3442950</v>
      </c>
      <c r="CE185" s="229">
        <v>-0.25130000000000002</v>
      </c>
      <c r="CF185" s="230">
        <v>4849950</v>
      </c>
      <c r="CG185" s="230">
        <v>1568700</v>
      </c>
      <c r="CH185" s="230">
        <v>3281250</v>
      </c>
      <c r="CI185" s="229">
        <v>2.0916999999999999</v>
      </c>
      <c r="CJ185" s="230">
        <v>66150</v>
      </c>
      <c r="CK185" s="230">
        <v>53900</v>
      </c>
      <c r="CL185" s="230">
        <v>12250</v>
      </c>
      <c r="CM185" s="229">
        <v>0.2273</v>
      </c>
      <c r="CN185" s="230">
        <v>6107150</v>
      </c>
      <c r="CO185" s="230">
        <v>6238400</v>
      </c>
      <c r="CP185" s="230">
        <v>-131250</v>
      </c>
      <c r="CQ185" s="229">
        <v>-2.1000000000000001E-2</v>
      </c>
      <c r="CR185" s="230">
        <v>3659425</v>
      </c>
      <c r="CS185" s="230">
        <v>3349675</v>
      </c>
      <c r="CT185" s="230">
        <v>309750</v>
      </c>
      <c r="CU185" s="229">
        <v>9.2499999999999999E-2</v>
      </c>
      <c r="CV185" s="230">
        <v>24942225</v>
      </c>
      <c r="CW185" s="230">
        <v>24913175</v>
      </c>
      <c r="CX185" s="230">
        <v>29050</v>
      </c>
      <c r="CY185" s="229">
        <v>1.1999999999999999E-3</v>
      </c>
      <c r="CZ185" s="228">
        <v>31.14</v>
      </c>
      <c r="DA185" s="228">
        <v>32.17</v>
      </c>
      <c r="DB185" s="228">
        <v>-1.03</v>
      </c>
      <c r="DC185" s="228">
        <v>-1.03</v>
      </c>
      <c r="DD185" s="228">
        <v>40.06</v>
      </c>
      <c r="DE185" s="228">
        <v>40.159999999999997</v>
      </c>
      <c r="DF185" s="228">
        <v>-8.92</v>
      </c>
      <c r="DG185" s="228">
        <v>-0.1</v>
      </c>
      <c r="DH185" s="228">
        <v>31.19</v>
      </c>
      <c r="DI185" s="228">
        <v>31.8</v>
      </c>
      <c r="DJ185" s="228">
        <v>-0.61</v>
      </c>
      <c r="DK185" s="228">
        <v>-0.61</v>
      </c>
      <c r="DL185" s="228">
        <v>30.8</v>
      </c>
      <c r="DM185" s="228">
        <v>33.61</v>
      </c>
      <c r="DN185" s="228">
        <v>-2.81</v>
      </c>
      <c r="DO185" s="228">
        <v>-2.81</v>
      </c>
      <c r="DP185" s="228">
        <v>0.6</v>
      </c>
      <c r="DQ185" s="228">
        <v>0.54</v>
      </c>
      <c r="DR185" s="228">
        <v>0.06</v>
      </c>
      <c r="DS185" s="229">
        <v>0.1111</v>
      </c>
      <c r="DT185" s="228">
        <v>520</v>
      </c>
      <c r="DU185" s="228">
        <v>500</v>
      </c>
      <c r="DV185" s="228">
        <v>0.42</v>
      </c>
      <c r="DW185" s="228">
        <v>0.26</v>
      </c>
      <c r="DX185" s="228">
        <v>0.16</v>
      </c>
      <c r="DY185" s="229">
        <v>0.61539999999999995</v>
      </c>
      <c r="DZ185" s="229">
        <v>0.32390000000000002</v>
      </c>
      <c r="EA185" s="230">
        <v>1622600</v>
      </c>
      <c r="EB185" s="229">
        <v>6.4999999999999997E-3</v>
      </c>
      <c r="EC185" s="229">
        <v>0.32390000000000002</v>
      </c>
      <c r="ED185" s="228">
        <v>3.2</v>
      </c>
      <c r="EE185" s="229">
        <v>6.3E-3</v>
      </c>
      <c r="EF185" s="230">
        <v>1181561</v>
      </c>
      <c r="EG185" s="230">
        <v>1871425</v>
      </c>
      <c r="EH185" s="229">
        <v>-0.36859999999999998</v>
      </c>
      <c r="EI185" s="229">
        <v>0.4234</v>
      </c>
      <c r="EJ185" s="231">
        <v>86092.63</v>
      </c>
      <c r="EK185" s="231">
        <v>34233.410000000003</v>
      </c>
      <c r="EL185" s="231">
        <v>51064.05</v>
      </c>
      <c r="EM185" s="231">
        <v>3036</v>
      </c>
      <c r="EN185" s="231">
        <v>171390.09</v>
      </c>
      <c r="EO185" s="231">
        <v>354705.99</v>
      </c>
      <c r="EP185" s="231">
        <v>-183315.9</v>
      </c>
      <c r="EQ185" s="229">
        <v>-0.51680000000000004</v>
      </c>
      <c r="ER185" s="231">
        <v>31327</v>
      </c>
      <c r="ES185" s="231">
        <v>17543</v>
      </c>
      <c r="ET185" s="231">
        <v>77196</v>
      </c>
      <c r="EU185" s="231">
        <v>67126548</v>
      </c>
      <c r="EV185" s="231">
        <v>126066</v>
      </c>
      <c r="EW185" s="231">
        <v>125461</v>
      </c>
      <c r="EX185" s="228">
        <v>605</v>
      </c>
      <c r="EY185" s="229">
        <v>4.7999999999999996E-3</v>
      </c>
      <c r="EZ185" s="229">
        <v>0.37159999999999999</v>
      </c>
      <c r="FA185" s="227" t="s">
        <v>556</v>
      </c>
      <c r="FB185" s="161">
        <f t="shared" si="4"/>
        <v>0</v>
      </c>
    </row>
    <row r="186" spans="1:158" ht="17.25" thickBot="1" x14ac:dyDescent="0.3">
      <c r="A186" s="226">
        <v>45981</v>
      </c>
      <c r="B186" s="227" t="s">
        <v>197</v>
      </c>
      <c r="C186" s="227" t="s">
        <v>286</v>
      </c>
      <c r="D186" s="228">
        <v>200</v>
      </c>
      <c r="E186" s="231">
        <v>2856.8</v>
      </c>
      <c r="F186" s="231">
        <v>2794.7</v>
      </c>
      <c r="G186" s="228">
        <v>62.1</v>
      </c>
      <c r="H186" s="229">
        <v>2.2200000000000001E-2</v>
      </c>
      <c r="I186" s="231">
        <v>2851.6</v>
      </c>
      <c r="J186" s="231">
        <v>2786.4</v>
      </c>
      <c r="K186" s="228">
        <v>65.2</v>
      </c>
      <c r="L186" s="229">
        <v>2.3400000000000001E-2</v>
      </c>
      <c r="M186" s="231">
        <v>2856.8</v>
      </c>
      <c r="N186" s="231">
        <v>2794.7</v>
      </c>
      <c r="O186" s="228">
        <v>62.1</v>
      </c>
      <c r="P186" s="229">
        <v>2.2200000000000001E-2</v>
      </c>
      <c r="Q186" s="231">
        <v>2875.4</v>
      </c>
      <c r="R186" s="231">
        <v>2810.4</v>
      </c>
      <c r="S186" s="228">
        <v>65</v>
      </c>
      <c r="T186" s="229">
        <v>2.3099999999999999E-2</v>
      </c>
      <c r="U186" s="231">
        <v>2898.2</v>
      </c>
      <c r="V186" s="231">
        <v>2829.2</v>
      </c>
      <c r="W186" s="228">
        <v>69</v>
      </c>
      <c r="X186" s="229">
        <v>2.4400000000000002E-2</v>
      </c>
      <c r="Y186" s="228">
        <v>5.2</v>
      </c>
      <c r="Z186" s="228">
        <v>8.3000000000000007</v>
      </c>
      <c r="AA186" s="228">
        <v>-3.1</v>
      </c>
      <c r="AB186" s="229">
        <v>1.8E-3</v>
      </c>
      <c r="AC186" s="228">
        <v>5.2</v>
      </c>
      <c r="AD186" s="228">
        <v>8.3000000000000007</v>
      </c>
      <c r="AE186" s="228">
        <v>-3.1</v>
      </c>
      <c r="AF186" s="229">
        <v>1.8E-3</v>
      </c>
      <c r="AG186" s="228">
        <v>23.8</v>
      </c>
      <c r="AH186" s="228">
        <v>24</v>
      </c>
      <c r="AI186" s="228">
        <v>-0.2</v>
      </c>
      <c r="AJ186" s="229">
        <v>8.3000000000000001E-3</v>
      </c>
      <c r="AK186" s="228">
        <v>46.6</v>
      </c>
      <c r="AL186" s="228">
        <v>42.8</v>
      </c>
      <c r="AM186" s="228">
        <v>3.8</v>
      </c>
      <c r="AN186" s="229">
        <v>1.6299999999999999E-2</v>
      </c>
      <c r="AO186" s="231">
        <v>2846.77</v>
      </c>
      <c r="AP186" s="231">
        <v>2864.88</v>
      </c>
      <c r="AQ186" s="228">
        <v>0</v>
      </c>
      <c r="AR186" s="230">
        <v>2965000</v>
      </c>
      <c r="AS186" s="230">
        <v>1057000</v>
      </c>
      <c r="AT186" s="230">
        <v>1908000</v>
      </c>
      <c r="AU186" s="229">
        <v>1.8050999999999999</v>
      </c>
      <c r="AV186" s="230">
        <v>1618800</v>
      </c>
      <c r="AW186" s="230">
        <v>650600</v>
      </c>
      <c r="AX186" s="230">
        <v>968200</v>
      </c>
      <c r="AY186" s="229">
        <v>1.4882</v>
      </c>
      <c r="AZ186" s="230">
        <v>1327000</v>
      </c>
      <c r="BA186" s="230">
        <v>383800</v>
      </c>
      <c r="BB186" s="230">
        <v>943200</v>
      </c>
      <c r="BC186" s="229">
        <v>2.4575</v>
      </c>
      <c r="BD186" s="230">
        <v>19200</v>
      </c>
      <c r="BE186" s="230">
        <v>22600</v>
      </c>
      <c r="BF186" s="230">
        <v>-3400</v>
      </c>
      <c r="BG186" s="229">
        <v>-0.15040000000000001</v>
      </c>
      <c r="BH186" s="230">
        <v>9555200</v>
      </c>
      <c r="BI186" s="230">
        <v>3877800</v>
      </c>
      <c r="BJ186" s="230">
        <v>5677400</v>
      </c>
      <c r="BK186" s="229">
        <v>1.4641</v>
      </c>
      <c r="BL186" s="230">
        <v>2266400</v>
      </c>
      <c r="BM186" s="230">
        <v>1269400</v>
      </c>
      <c r="BN186" s="230">
        <v>997000</v>
      </c>
      <c r="BO186" s="229">
        <v>0.78539999999999999</v>
      </c>
      <c r="BP186" s="230">
        <v>14786600</v>
      </c>
      <c r="BQ186" s="230">
        <v>6204200</v>
      </c>
      <c r="BR186" s="230">
        <v>8582400</v>
      </c>
      <c r="BS186" s="229">
        <v>1.3833</v>
      </c>
      <c r="BT186" s="230">
        <v>1068703</v>
      </c>
      <c r="BU186" s="230">
        <v>625106</v>
      </c>
      <c r="BV186" s="230">
        <v>443597</v>
      </c>
      <c r="BW186" s="229">
        <v>0.70960000000000001</v>
      </c>
      <c r="BX186" s="230">
        <v>4324800</v>
      </c>
      <c r="BY186" s="230">
        <v>4278200</v>
      </c>
      <c r="BZ186" s="230">
        <v>46600</v>
      </c>
      <c r="CA186" s="229">
        <v>1.09E-2</v>
      </c>
      <c r="CB186" s="230">
        <v>3062400</v>
      </c>
      <c r="CC186" s="230">
        <v>3699600</v>
      </c>
      <c r="CD186" s="230">
        <v>-637200</v>
      </c>
      <c r="CE186" s="229">
        <v>-0.17219999999999999</v>
      </c>
      <c r="CF186" s="230">
        <v>1220800</v>
      </c>
      <c r="CG186" s="230">
        <v>535200</v>
      </c>
      <c r="CH186" s="230">
        <v>685600</v>
      </c>
      <c r="CI186" s="229">
        <v>1.2809999999999999</v>
      </c>
      <c r="CJ186" s="230">
        <v>41600</v>
      </c>
      <c r="CK186" s="230">
        <v>43400</v>
      </c>
      <c r="CL186" s="230">
        <v>-1800</v>
      </c>
      <c r="CM186" s="229">
        <v>-4.1500000000000002E-2</v>
      </c>
      <c r="CN186" s="230">
        <v>3174000</v>
      </c>
      <c r="CO186" s="230">
        <v>3233600</v>
      </c>
      <c r="CP186" s="230">
        <v>-59600</v>
      </c>
      <c r="CQ186" s="229">
        <v>-1.84E-2</v>
      </c>
      <c r="CR186" s="230">
        <v>1523800</v>
      </c>
      <c r="CS186" s="230">
        <v>1395400</v>
      </c>
      <c r="CT186" s="230">
        <v>128400</v>
      </c>
      <c r="CU186" s="229">
        <v>9.1999999999999998E-2</v>
      </c>
      <c r="CV186" s="230">
        <v>9022600</v>
      </c>
      <c r="CW186" s="230">
        <v>8907200</v>
      </c>
      <c r="CX186" s="230">
        <v>115400</v>
      </c>
      <c r="CY186" s="229">
        <v>1.2999999999999999E-2</v>
      </c>
      <c r="CZ186" s="228">
        <v>24.7</v>
      </c>
      <c r="DA186" s="228">
        <v>28.98</v>
      </c>
      <c r="DB186" s="228">
        <v>-4.28</v>
      </c>
      <c r="DC186" s="228">
        <v>-4.28</v>
      </c>
      <c r="DD186" s="228">
        <v>31.37</v>
      </c>
      <c r="DE186" s="228">
        <v>31.3</v>
      </c>
      <c r="DF186" s="228">
        <v>-6.67</v>
      </c>
      <c r="DG186" s="228">
        <v>7.0000000000000007E-2</v>
      </c>
      <c r="DH186" s="228">
        <v>24.84</v>
      </c>
      <c r="DI186" s="228">
        <v>29.81</v>
      </c>
      <c r="DJ186" s="228">
        <v>-4.97</v>
      </c>
      <c r="DK186" s="228">
        <v>-4.97</v>
      </c>
      <c r="DL186" s="228">
        <v>24.26</v>
      </c>
      <c r="DM186" s="228">
        <v>26.44</v>
      </c>
      <c r="DN186" s="228">
        <v>-2.1800000000000002</v>
      </c>
      <c r="DO186" s="228">
        <v>-2.1800000000000002</v>
      </c>
      <c r="DP186" s="228">
        <v>0.48</v>
      </c>
      <c r="DQ186" s="228">
        <v>0.43</v>
      </c>
      <c r="DR186" s="228">
        <v>0.05</v>
      </c>
      <c r="DS186" s="229">
        <v>0.1163</v>
      </c>
      <c r="DT186" s="231">
        <v>3000</v>
      </c>
      <c r="DU186" s="231">
        <v>2800</v>
      </c>
      <c r="DV186" s="228">
        <v>0.24</v>
      </c>
      <c r="DW186" s="228">
        <v>0.33</v>
      </c>
      <c r="DX186" s="228">
        <v>-0.09</v>
      </c>
      <c r="DY186" s="229">
        <v>-0.2727</v>
      </c>
      <c r="DZ186" s="229">
        <v>0.29189999999999999</v>
      </c>
      <c r="EA186" s="230">
        <v>578600</v>
      </c>
      <c r="EB186" s="229">
        <v>6.4999999999999997E-3</v>
      </c>
      <c r="EC186" s="229">
        <v>0.29189999999999999</v>
      </c>
      <c r="ED186" s="228">
        <v>18.11</v>
      </c>
      <c r="EE186" s="229">
        <v>6.4000000000000003E-3</v>
      </c>
      <c r="EF186" s="230">
        <v>641881</v>
      </c>
      <c r="EG186" s="230">
        <v>441761</v>
      </c>
      <c r="EH186" s="229">
        <v>0.45300000000000001</v>
      </c>
      <c r="EI186" s="229">
        <v>0.60060000000000002</v>
      </c>
      <c r="EJ186" s="231">
        <v>281988.36</v>
      </c>
      <c r="EK186" s="231">
        <v>64107.02</v>
      </c>
      <c r="EL186" s="231">
        <v>84654.21</v>
      </c>
      <c r="EM186" s="231">
        <v>4283</v>
      </c>
      <c r="EN186" s="231">
        <v>430749.59</v>
      </c>
      <c r="EO186" s="231">
        <v>180292.46</v>
      </c>
      <c r="EP186" s="231">
        <v>250457.13</v>
      </c>
      <c r="EQ186" s="229">
        <v>1.3892</v>
      </c>
      <c r="ER186" s="231">
        <v>96575</v>
      </c>
      <c r="ES186" s="231">
        <v>43568</v>
      </c>
      <c r="ET186" s="231">
        <v>123795</v>
      </c>
      <c r="EU186" s="231">
        <v>21205300</v>
      </c>
      <c r="EV186" s="231">
        <v>263937</v>
      </c>
      <c r="EW186" s="231">
        <v>257985</v>
      </c>
      <c r="EX186" s="231">
        <v>5952</v>
      </c>
      <c r="EY186" s="229">
        <v>2.3099999999999999E-2</v>
      </c>
      <c r="EZ186" s="229">
        <v>0.42549999999999999</v>
      </c>
      <c r="FA186" s="227" t="s">
        <v>555</v>
      </c>
      <c r="FB186" s="161">
        <f t="shared" si="4"/>
        <v>0</v>
      </c>
    </row>
    <row r="187" spans="1:158" ht="17.25" thickBot="1" x14ac:dyDescent="0.3">
      <c r="A187" s="226">
        <v>45981</v>
      </c>
      <c r="B187" s="227" t="s">
        <v>170</v>
      </c>
      <c r="C187" s="227" t="s">
        <v>288</v>
      </c>
      <c r="D187" s="228">
        <v>350</v>
      </c>
      <c r="E187" s="231">
        <v>1779.1</v>
      </c>
      <c r="F187" s="231">
        <v>1782.8</v>
      </c>
      <c r="G187" s="228">
        <v>-3.7</v>
      </c>
      <c r="H187" s="229">
        <v>-2.0999999999999999E-3</v>
      </c>
      <c r="I187" s="231">
        <v>1777.4</v>
      </c>
      <c r="J187" s="231">
        <v>1784.1</v>
      </c>
      <c r="K187" s="228">
        <v>-6.7</v>
      </c>
      <c r="L187" s="229">
        <v>-3.8E-3</v>
      </c>
      <c r="M187" s="231">
        <v>1779.1</v>
      </c>
      <c r="N187" s="231">
        <v>1782.8</v>
      </c>
      <c r="O187" s="228">
        <v>-3.7</v>
      </c>
      <c r="P187" s="229">
        <v>-2.0999999999999999E-3</v>
      </c>
      <c r="Q187" s="231">
        <v>1791.1</v>
      </c>
      <c r="R187" s="231">
        <v>1794.9</v>
      </c>
      <c r="S187" s="228">
        <v>-3.8</v>
      </c>
      <c r="T187" s="229">
        <v>-2.0999999999999999E-3</v>
      </c>
      <c r="U187" s="231">
        <v>1801.4</v>
      </c>
      <c r="V187" s="231">
        <v>1809.2</v>
      </c>
      <c r="W187" s="228">
        <v>-7.8</v>
      </c>
      <c r="X187" s="229">
        <v>-4.3E-3</v>
      </c>
      <c r="Y187" s="228">
        <v>1.7</v>
      </c>
      <c r="Z187" s="228">
        <v>-1.3</v>
      </c>
      <c r="AA187" s="228">
        <v>3</v>
      </c>
      <c r="AB187" s="229">
        <v>1E-3</v>
      </c>
      <c r="AC187" s="228">
        <v>1.7</v>
      </c>
      <c r="AD187" s="228">
        <v>-1.3</v>
      </c>
      <c r="AE187" s="228">
        <v>3</v>
      </c>
      <c r="AF187" s="229">
        <v>1E-3</v>
      </c>
      <c r="AG187" s="228">
        <v>13.7</v>
      </c>
      <c r="AH187" s="228">
        <v>10.8</v>
      </c>
      <c r="AI187" s="228">
        <v>2.9</v>
      </c>
      <c r="AJ187" s="229">
        <v>7.7000000000000002E-3</v>
      </c>
      <c r="AK187" s="228">
        <v>24</v>
      </c>
      <c r="AL187" s="228">
        <v>25.1</v>
      </c>
      <c r="AM187" s="228">
        <v>-1.1000000000000001</v>
      </c>
      <c r="AN187" s="229">
        <v>1.35E-2</v>
      </c>
      <c r="AO187" s="231">
        <v>1780.82</v>
      </c>
      <c r="AP187" s="231">
        <v>1792.79</v>
      </c>
      <c r="AQ187" s="228">
        <v>0</v>
      </c>
      <c r="AR187" s="230">
        <v>7403900</v>
      </c>
      <c r="AS187" s="230">
        <v>3010000</v>
      </c>
      <c r="AT187" s="230">
        <v>4393900</v>
      </c>
      <c r="AU187" s="229">
        <v>1.4598</v>
      </c>
      <c r="AV187" s="230">
        <v>3761800</v>
      </c>
      <c r="AW187" s="230">
        <v>2121700</v>
      </c>
      <c r="AX187" s="230">
        <v>1640100</v>
      </c>
      <c r="AY187" s="229">
        <v>0.77300000000000002</v>
      </c>
      <c r="AZ187" s="230">
        <v>3628100</v>
      </c>
      <c r="BA187" s="230">
        <v>872200</v>
      </c>
      <c r="BB187" s="230">
        <v>2755900</v>
      </c>
      <c r="BC187" s="229">
        <v>3.1597</v>
      </c>
      <c r="BD187" s="230">
        <v>14000</v>
      </c>
      <c r="BE187" s="230">
        <v>16100</v>
      </c>
      <c r="BF187" s="230">
        <v>-2100</v>
      </c>
      <c r="BG187" s="229">
        <v>-0.13039999999999999</v>
      </c>
      <c r="BH187" s="230">
        <v>6695850</v>
      </c>
      <c r="BI187" s="230">
        <v>14490000</v>
      </c>
      <c r="BJ187" s="230">
        <v>-7794150</v>
      </c>
      <c r="BK187" s="229">
        <v>-0.53790000000000004</v>
      </c>
      <c r="BL187" s="230">
        <v>4450600</v>
      </c>
      <c r="BM187" s="230">
        <v>8125250</v>
      </c>
      <c r="BN187" s="230">
        <v>-3674650</v>
      </c>
      <c r="BO187" s="229">
        <v>-0.45229999999999998</v>
      </c>
      <c r="BP187" s="230">
        <v>18550350</v>
      </c>
      <c r="BQ187" s="230">
        <v>25625250</v>
      </c>
      <c r="BR187" s="230">
        <v>-7074900</v>
      </c>
      <c r="BS187" s="229">
        <v>-0.27610000000000001</v>
      </c>
      <c r="BT187" s="230">
        <v>1593462</v>
      </c>
      <c r="BU187" s="230">
        <v>2154519</v>
      </c>
      <c r="BV187" s="230">
        <v>-561057</v>
      </c>
      <c r="BW187" s="229">
        <v>-0.26040000000000002</v>
      </c>
      <c r="BX187" s="230">
        <v>15747550</v>
      </c>
      <c r="BY187" s="230">
        <v>15588300</v>
      </c>
      <c r="BZ187" s="230">
        <v>159250</v>
      </c>
      <c r="CA187" s="229">
        <v>1.0200000000000001E-2</v>
      </c>
      <c r="CB187" s="230">
        <v>10892350</v>
      </c>
      <c r="CC187" s="230">
        <v>13858950</v>
      </c>
      <c r="CD187" s="230">
        <v>-2966600</v>
      </c>
      <c r="CE187" s="229">
        <v>-0.21410000000000001</v>
      </c>
      <c r="CF187" s="230">
        <v>4796400</v>
      </c>
      <c r="CG187" s="230">
        <v>1676850</v>
      </c>
      <c r="CH187" s="230">
        <v>3119550</v>
      </c>
      <c r="CI187" s="229">
        <v>1.8604000000000001</v>
      </c>
      <c r="CJ187" s="230">
        <v>58800</v>
      </c>
      <c r="CK187" s="230">
        <v>52500</v>
      </c>
      <c r="CL187" s="230">
        <v>6300</v>
      </c>
      <c r="CM187" s="229">
        <v>0.12</v>
      </c>
      <c r="CN187" s="230">
        <v>5287100</v>
      </c>
      <c r="CO187" s="230">
        <v>5279050</v>
      </c>
      <c r="CP187" s="230">
        <v>8050</v>
      </c>
      <c r="CQ187" s="229">
        <v>1.5E-3</v>
      </c>
      <c r="CR187" s="230">
        <v>3068800</v>
      </c>
      <c r="CS187" s="230">
        <v>3182900</v>
      </c>
      <c r="CT187" s="230">
        <v>-114100</v>
      </c>
      <c r="CU187" s="229">
        <v>-3.5799999999999998E-2</v>
      </c>
      <c r="CV187" s="230">
        <v>24103450</v>
      </c>
      <c r="CW187" s="230">
        <v>24050250</v>
      </c>
      <c r="CX187" s="230">
        <v>53200</v>
      </c>
      <c r="CY187" s="229">
        <v>2.2000000000000001E-3</v>
      </c>
      <c r="CZ187" s="228">
        <v>18.05</v>
      </c>
      <c r="DA187" s="228">
        <v>18.29</v>
      </c>
      <c r="DB187" s="228">
        <v>-0.24</v>
      </c>
      <c r="DC187" s="228">
        <v>-0.24</v>
      </c>
      <c r="DD187" s="228">
        <v>23.13</v>
      </c>
      <c r="DE187" s="228">
        <v>23.18</v>
      </c>
      <c r="DF187" s="228">
        <v>-5.08</v>
      </c>
      <c r="DG187" s="228">
        <v>-0.05</v>
      </c>
      <c r="DH187" s="228">
        <v>17.91</v>
      </c>
      <c r="DI187" s="228">
        <v>16.809999999999999</v>
      </c>
      <c r="DJ187" s="228">
        <v>1.1000000000000001</v>
      </c>
      <c r="DK187" s="228">
        <v>1.1000000000000001</v>
      </c>
      <c r="DL187" s="228">
        <v>18.28</v>
      </c>
      <c r="DM187" s="228">
        <v>20.93</v>
      </c>
      <c r="DN187" s="228">
        <v>-2.65</v>
      </c>
      <c r="DO187" s="228">
        <v>-2.65</v>
      </c>
      <c r="DP187" s="228">
        <v>0.57999999999999996</v>
      </c>
      <c r="DQ187" s="228">
        <v>0.6</v>
      </c>
      <c r="DR187" s="228">
        <v>-0.02</v>
      </c>
      <c r="DS187" s="229">
        <v>-3.3300000000000003E-2</v>
      </c>
      <c r="DT187" s="231">
        <v>1740</v>
      </c>
      <c r="DU187" s="231">
        <v>1740</v>
      </c>
      <c r="DV187" s="228">
        <v>0.66</v>
      </c>
      <c r="DW187" s="228">
        <v>0.56000000000000005</v>
      </c>
      <c r="DX187" s="228">
        <v>0.1</v>
      </c>
      <c r="DY187" s="229">
        <v>0.17860000000000001</v>
      </c>
      <c r="DZ187" s="229">
        <v>0.30830000000000002</v>
      </c>
      <c r="EA187" s="230">
        <v>1729350</v>
      </c>
      <c r="EB187" s="229">
        <v>6.7000000000000002E-3</v>
      </c>
      <c r="EC187" s="229">
        <v>0.30830000000000002</v>
      </c>
      <c r="ED187" s="228">
        <v>11.97</v>
      </c>
      <c r="EE187" s="229">
        <v>6.7000000000000002E-3</v>
      </c>
      <c r="EF187" s="230">
        <v>1001909</v>
      </c>
      <c r="EG187" s="230">
        <v>1430953</v>
      </c>
      <c r="EH187" s="229">
        <v>-0.29980000000000001</v>
      </c>
      <c r="EI187" s="229">
        <v>0.62880000000000003</v>
      </c>
      <c r="EJ187" s="231">
        <v>121268.19</v>
      </c>
      <c r="EK187" s="231">
        <v>77759.33</v>
      </c>
      <c r="EL187" s="231">
        <v>132287.89000000001</v>
      </c>
      <c r="EM187" s="231">
        <v>5805</v>
      </c>
      <c r="EN187" s="231">
        <v>331315.40999999997</v>
      </c>
      <c r="EO187" s="231">
        <v>457135.94</v>
      </c>
      <c r="EP187" s="231">
        <v>-125820.53</v>
      </c>
      <c r="EQ187" s="229">
        <v>-0.2752</v>
      </c>
      <c r="ER187" s="231">
        <v>94088</v>
      </c>
      <c r="ES187" s="231">
        <v>52464</v>
      </c>
      <c r="ET187" s="231">
        <v>280753</v>
      </c>
      <c r="EU187" s="231">
        <v>109220043</v>
      </c>
      <c r="EV187" s="231">
        <v>427306</v>
      </c>
      <c r="EW187" s="231">
        <v>426115</v>
      </c>
      <c r="EX187" s="231">
        <v>1191</v>
      </c>
      <c r="EY187" s="229">
        <v>2.8E-3</v>
      </c>
      <c r="EZ187" s="229">
        <v>0.22070000000000001</v>
      </c>
      <c r="FA187" s="227" t="s">
        <v>567</v>
      </c>
      <c r="FB187" s="161">
        <f t="shared" si="4"/>
        <v>0</v>
      </c>
    </row>
    <row r="188" spans="1:158" ht="17.25" thickBot="1" x14ac:dyDescent="0.3">
      <c r="A188" s="226">
        <v>45981</v>
      </c>
      <c r="B188" s="227" t="s">
        <v>184</v>
      </c>
      <c r="C188" s="227" t="s">
        <v>574</v>
      </c>
      <c r="D188" s="228">
        <v>175</v>
      </c>
      <c r="E188" s="231">
        <v>3565.8</v>
      </c>
      <c r="F188" s="231">
        <v>3599.2</v>
      </c>
      <c r="G188" s="228">
        <v>-33.4</v>
      </c>
      <c r="H188" s="229">
        <v>-9.2999999999999992E-3</v>
      </c>
      <c r="I188" s="231">
        <v>3568.7</v>
      </c>
      <c r="J188" s="231">
        <v>3591</v>
      </c>
      <c r="K188" s="228">
        <v>-22.3</v>
      </c>
      <c r="L188" s="229">
        <v>-6.1999999999999998E-3</v>
      </c>
      <c r="M188" s="231">
        <v>3565.8</v>
      </c>
      <c r="N188" s="231">
        <v>3599.2</v>
      </c>
      <c r="O188" s="228">
        <v>-33.4</v>
      </c>
      <c r="P188" s="229">
        <v>-9.2999999999999992E-3</v>
      </c>
      <c r="Q188" s="231">
        <v>3588.3</v>
      </c>
      <c r="R188" s="231">
        <v>3621.4</v>
      </c>
      <c r="S188" s="228">
        <v>-33.1</v>
      </c>
      <c r="T188" s="229">
        <v>-9.1000000000000004E-3</v>
      </c>
      <c r="U188" s="231">
        <v>3615</v>
      </c>
      <c r="V188" s="231">
        <v>3646.3</v>
      </c>
      <c r="W188" s="228">
        <v>-31.3</v>
      </c>
      <c r="X188" s="229">
        <v>-8.6E-3</v>
      </c>
      <c r="Y188" s="228">
        <v>-2.9</v>
      </c>
      <c r="Z188" s="228">
        <v>8.1999999999999993</v>
      </c>
      <c r="AA188" s="228">
        <v>-11.1</v>
      </c>
      <c r="AB188" s="229">
        <v>-8.0000000000000004E-4</v>
      </c>
      <c r="AC188" s="228">
        <v>-2.9</v>
      </c>
      <c r="AD188" s="228">
        <v>8.1999999999999993</v>
      </c>
      <c r="AE188" s="228">
        <v>-11.1</v>
      </c>
      <c r="AF188" s="229">
        <v>-8.0000000000000004E-4</v>
      </c>
      <c r="AG188" s="228">
        <v>19.600000000000001</v>
      </c>
      <c r="AH188" s="228">
        <v>30.4</v>
      </c>
      <c r="AI188" s="228">
        <v>-10.8</v>
      </c>
      <c r="AJ188" s="229">
        <v>5.4999999999999997E-3</v>
      </c>
      <c r="AK188" s="228">
        <v>46.3</v>
      </c>
      <c r="AL188" s="228">
        <v>55.3</v>
      </c>
      <c r="AM188" s="228">
        <v>-9</v>
      </c>
      <c r="AN188" s="229">
        <v>1.2999999999999999E-2</v>
      </c>
      <c r="AO188" s="231">
        <v>3573.46</v>
      </c>
      <c r="AP188" s="231">
        <v>3597.25</v>
      </c>
      <c r="AQ188" s="228">
        <v>0</v>
      </c>
      <c r="AR188" s="230">
        <v>1576400</v>
      </c>
      <c r="AS188" s="230">
        <v>619325</v>
      </c>
      <c r="AT188" s="230">
        <v>957075</v>
      </c>
      <c r="AU188" s="229">
        <v>1.5454000000000001</v>
      </c>
      <c r="AV188" s="230">
        <v>792225</v>
      </c>
      <c r="AW188" s="230">
        <v>381325</v>
      </c>
      <c r="AX188" s="230">
        <v>410900</v>
      </c>
      <c r="AY188" s="229">
        <v>1.0775999999999999</v>
      </c>
      <c r="AZ188" s="230">
        <v>778050</v>
      </c>
      <c r="BA188" s="230">
        <v>228900</v>
      </c>
      <c r="BB188" s="230">
        <v>549150</v>
      </c>
      <c r="BC188" s="229">
        <v>2.3990999999999998</v>
      </c>
      <c r="BD188" s="230">
        <v>6125</v>
      </c>
      <c r="BE188" s="230">
        <v>9100</v>
      </c>
      <c r="BF188" s="230">
        <v>-2975</v>
      </c>
      <c r="BG188" s="229">
        <v>-0.32690000000000002</v>
      </c>
      <c r="BH188" s="230">
        <v>2277100</v>
      </c>
      <c r="BI188" s="230">
        <v>2574075</v>
      </c>
      <c r="BJ188" s="230">
        <v>-296975</v>
      </c>
      <c r="BK188" s="229">
        <v>-0.1154</v>
      </c>
      <c r="BL188" s="230">
        <v>823025</v>
      </c>
      <c r="BM188" s="230">
        <v>558775</v>
      </c>
      <c r="BN188" s="230">
        <v>264250</v>
      </c>
      <c r="BO188" s="229">
        <v>0.47289999999999999</v>
      </c>
      <c r="BP188" s="230">
        <v>4676525</v>
      </c>
      <c r="BQ188" s="230">
        <v>3752175</v>
      </c>
      <c r="BR188" s="230">
        <v>924350</v>
      </c>
      <c r="BS188" s="229">
        <v>0.24640000000000001</v>
      </c>
      <c r="BT188" s="230">
        <v>220523</v>
      </c>
      <c r="BU188" s="230">
        <v>209677</v>
      </c>
      <c r="BV188" s="230">
        <v>10846</v>
      </c>
      <c r="BW188" s="229">
        <v>5.1700000000000003E-2</v>
      </c>
      <c r="BX188" s="230">
        <v>2202375</v>
      </c>
      <c r="BY188" s="230">
        <v>2235100</v>
      </c>
      <c r="BZ188" s="230">
        <v>-32725</v>
      </c>
      <c r="CA188" s="229">
        <v>-1.46E-2</v>
      </c>
      <c r="CB188" s="230">
        <v>1395975</v>
      </c>
      <c r="CC188" s="230">
        <v>1977675</v>
      </c>
      <c r="CD188" s="230">
        <v>-581700</v>
      </c>
      <c r="CE188" s="229">
        <v>-0.29409999999999997</v>
      </c>
      <c r="CF188" s="230">
        <v>788025</v>
      </c>
      <c r="CG188" s="230">
        <v>243075</v>
      </c>
      <c r="CH188" s="230">
        <v>544950</v>
      </c>
      <c r="CI188" s="229">
        <v>2.2418999999999998</v>
      </c>
      <c r="CJ188" s="230">
        <v>18375</v>
      </c>
      <c r="CK188" s="230">
        <v>14350</v>
      </c>
      <c r="CL188" s="230">
        <v>4025</v>
      </c>
      <c r="CM188" s="229">
        <v>0.28050000000000003</v>
      </c>
      <c r="CN188" s="230">
        <v>1694875</v>
      </c>
      <c r="CO188" s="230">
        <v>1830675</v>
      </c>
      <c r="CP188" s="230">
        <v>-135800</v>
      </c>
      <c r="CQ188" s="229">
        <v>-7.4200000000000002E-2</v>
      </c>
      <c r="CR188" s="230">
        <v>755825</v>
      </c>
      <c r="CS188" s="230">
        <v>765800</v>
      </c>
      <c r="CT188" s="230">
        <v>-9975</v>
      </c>
      <c r="CU188" s="229">
        <v>-1.2999999999999999E-2</v>
      </c>
      <c r="CV188" s="230">
        <v>4653075</v>
      </c>
      <c r="CW188" s="230">
        <v>4831575</v>
      </c>
      <c r="CX188" s="230">
        <v>-178500</v>
      </c>
      <c r="CY188" s="229">
        <v>-3.6900000000000002E-2</v>
      </c>
      <c r="CZ188" s="228">
        <v>29.28</v>
      </c>
      <c r="DA188" s="228">
        <v>35.24</v>
      </c>
      <c r="DB188" s="228">
        <v>-5.96</v>
      </c>
      <c r="DC188" s="228">
        <v>-5.96</v>
      </c>
      <c r="DD188" s="228">
        <v>40.89</v>
      </c>
      <c r="DE188" s="228">
        <v>40.97</v>
      </c>
      <c r="DF188" s="228">
        <v>-11.61</v>
      </c>
      <c r="DG188" s="228">
        <v>-0.08</v>
      </c>
      <c r="DH188" s="228">
        <v>29.38</v>
      </c>
      <c r="DI188" s="228">
        <v>35.74</v>
      </c>
      <c r="DJ188" s="228">
        <v>-6.36</v>
      </c>
      <c r="DK188" s="228">
        <v>-6.36</v>
      </c>
      <c r="DL188" s="228">
        <v>28.93</v>
      </c>
      <c r="DM188" s="228">
        <v>32.92</v>
      </c>
      <c r="DN188" s="228">
        <v>-3.99</v>
      </c>
      <c r="DO188" s="228">
        <v>-3.99</v>
      </c>
      <c r="DP188" s="228">
        <v>0.45</v>
      </c>
      <c r="DQ188" s="228">
        <v>0.42</v>
      </c>
      <c r="DR188" s="228">
        <v>0.03</v>
      </c>
      <c r="DS188" s="229">
        <v>7.1400000000000005E-2</v>
      </c>
      <c r="DT188" s="231">
        <v>3600</v>
      </c>
      <c r="DU188" s="231">
        <v>3600</v>
      </c>
      <c r="DV188" s="228">
        <v>0.36</v>
      </c>
      <c r="DW188" s="228">
        <v>0.22</v>
      </c>
      <c r="DX188" s="228">
        <v>0.14000000000000001</v>
      </c>
      <c r="DY188" s="229">
        <v>0.63639999999999997</v>
      </c>
      <c r="DZ188" s="229">
        <v>0.36620000000000003</v>
      </c>
      <c r="EA188" s="230">
        <v>257425</v>
      </c>
      <c r="EB188" s="229">
        <v>6.3E-3</v>
      </c>
      <c r="EC188" s="229">
        <v>0.36620000000000003</v>
      </c>
      <c r="ED188" s="228">
        <v>23.79</v>
      </c>
      <c r="EE188" s="229">
        <v>6.7000000000000002E-3</v>
      </c>
      <c r="EF188" s="230">
        <v>119088</v>
      </c>
      <c r="EG188" s="230">
        <v>114244</v>
      </c>
      <c r="EH188" s="229">
        <v>4.24E-2</v>
      </c>
      <c r="EI188" s="229">
        <v>0.54</v>
      </c>
      <c r="EJ188" s="231">
        <v>85360.13</v>
      </c>
      <c r="EK188" s="231">
        <v>29042.68</v>
      </c>
      <c r="EL188" s="231">
        <v>56519.71</v>
      </c>
      <c r="EM188" s="231">
        <v>3569</v>
      </c>
      <c r="EN188" s="231">
        <v>170922.52</v>
      </c>
      <c r="EO188" s="231">
        <v>139671.63</v>
      </c>
      <c r="EP188" s="231">
        <v>31250.89</v>
      </c>
      <c r="EQ188" s="229">
        <v>0.22370000000000001</v>
      </c>
      <c r="ER188" s="231">
        <v>65922</v>
      </c>
      <c r="ES188" s="231">
        <v>27673</v>
      </c>
      <c r="ET188" s="231">
        <v>78719</v>
      </c>
      <c r="EU188" s="231">
        <v>7242074</v>
      </c>
      <c r="EV188" s="231">
        <v>172313</v>
      </c>
      <c r="EW188" s="231">
        <v>179958</v>
      </c>
      <c r="EX188" s="231">
        <v>-7645</v>
      </c>
      <c r="EY188" s="229">
        <v>-4.2500000000000003E-2</v>
      </c>
      <c r="EZ188" s="229">
        <v>0.64249999999999996</v>
      </c>
      <c r="FA188" s="227" t="s">
        <v>568</v>
      </c>
      <c r="FB188" s="161">
        <f t="shared" si="4"/>
        <v>0</v>
      </c>
    </row>
    <row r="189" spans="1:158" ht="17.25" thickBot="1" x14ac:dyDescent="0.3">
      <c r="A189" s="226">
        <v>45981</v>
      </c>
      <c r="B189" s="227" t="s">
        <v>161</v>
      </c>
      <c r="C189" s="227" t="s">
        <v>685</v>
      </c>
      <c r="D189" s="228">
        <v>8000</v>
      </c>
      <c r="E189" s="228">
        <v>56.82</v>
      </c>
      <c r="F189" s="228">
        <v>56.62</v>
      </c>
      <c r="G189" s="228">
        <v>0.2</v>
      </c>
      <c r="H189" s="229">
        <v>3.5000000000000001E-3</v>
      </c>
      <c r="I189" s="228">
        <v>56.7</v>
      </c>
      <c r="J189" s="228">
        <v>56.53</v>
      </c>
      <c r="K189" s="228">
        <v>0.17</v>
      </c>
      <c r="L189" s="229">
        <v>3.0000000000000001E-3</v>
      </c>
      <c r="M189" s="228">
        <v>56.82</v>
      </c>
      <c r="N189" s="228">
        <v>56.62</v>
      </c>
      <c r="O189" s="228">
        <v>0.2</v>
      </c>
      <c r="P189" s="229">
        <v>3.5000000000000001E-3</v>
      </c>
      <c r="Q189" s="228">
        <v>57.13</v>
      </c>
      <c r="R189" s="228">
        <v>56.99</v>
      </c>
      <c r="S189" s="228">
        <v>0.14000000000000001</v>
      </c>
      <c r="T189" s="229">
        <v>2.5000000000000001E-3</v>
      </c>
      <c r="U189" s="228">
        <v>57.53</v>
      </c>
      <c r="V189" s="228">
        <v>57.36</v>
      </c>
      <c r="W189" s="228">
        <v>0.17</v>
      </c>
      <c r="X189" s="229">
        <v>3.0000000000000001E-3</v>
      </c>
      <c r="Y189" s="228">
        <v>0.12</v>
      </c>
      <c r="Z189" s="228">
        <v>0.09</v>
      </c>
      <c r="AA189" s="228">
        <v>0.03</v>
      </c>
      <c r="AB189" s="229">
        <v>2.0999999999999999E-3</v>
      </c>
      <c r="AC189" s="228">
        <v>0.12</v>
      </c>
      <c r="AD189" s="228">
        <v>0.09</v>
      </c>
      <c r="AE189" s="228">
        <v>0.03</v>
      </c>
      <c r="AF189" s="229">
        <v>2.0999999999999999E-3</v>
      </c>
      <c r="AG189" s="228">
        <v>0.43</v>
      </c>
      <c r="AH189" s="228">
        <v>0.46</v>
      </c>
      <c r="AI189" s="228">
        <v>-0.03</v>
      </c>
      <c r="AJ189" s="229">
        <v>7.6E-3</v>
      </c>
      <c r="AK189" s="228">
        <v>0.83</v>
      </c>
      <c r="AL189" s="228">
        <v>0.83</v>
      </c>
      <c r="AM189" s="228">
        <v>0</v>
      </c>
      <c r="AN189" s="229">
        <v>1.46E-2</v>
      </c>
      <c r="AO189" s="228">
        <v>56.96</v>
      </c>
      <c r="AP189" s="228">
        <v>57.28</v>
      </c>
      <c r="AQ189" s="228">
        <v>0</v>
      </c>
      <c r="AR189" s="230">
        <v>139736000</v>
      </c>
      <c r="AS189" s="230">
        <v>46936000</v>
      </c>
      <c r="AT189" s="230">
        <v>92800000</v>
      </c>
      <c r="AU189" s="229">
        <v>1.9772000000000001</v>
      </c>
      <c r="AV189" s="230">
        <v>83728000</v>
      </c>
      <c r="AW189" s="230">
        <v>32080000</v>
      </c>
      <c r="AX189" s="230">
        <v>51648000</v>
      </c>
      <c r="AY189" s="229">
        <v>1.61</v>
      </c>
      <c r="AZ189" s="230">
        <v>55296000</v>
      </c>
      <c r="BA189" s="230">
        <v>13864000</v>
      </c>
      <c r="BB189" s="230">
        <v>41432000</v>
      </c>
      <c r="BC189" s="229">
        <v>2.9885000000000002</v>
      </c>
      <c r="BD189" s="230">
        <v>712000</v>
      </c>
      <c r="BE189" s="230">
        <v>992000</v>
      </c>
      <c r="BF189" s="230">
        <v>-280000</v>
      </c>
      <c r="BG189" s="229">
        <v>-0.2823</v>
      </c>
      <c r="BH189" s="230">
        <v>146352000</v>
      </c>
      <c r="BI189" s="230">
        <v>170104000</v>
      </c>
      <c r="BJ189" s="230">
        <v>-23752000</v>
      </c>
      <c r="BK189" s="229">
        <v>-0.1396</v>
      </c>
      <c r="BL189" s="230">
        <v>46032000</v>
      </c>
      <c r="BM189" s="230">
        <v>39240000</v>
      </c>
      <c r="BN189" s="230">
        <v>6792000</v>
      </c>
      <c r="BO189" s="229">
        <v>0.1731</v>
      </c>
      <c r="BP189" s="230">
        <v>332120000</v>
      </c>
      <c r="BQ189" s="230">
        <v>256280000</v>
      </c>
      <c r="BR189" s="230">
        <v>75840000</v>
      </c>
      <c r="BS189" s="229">
        <v>0.2959</v>
      </c>
      <c r="BT189" s="230">
        <v>42162380</v>
      </c>
      <c r="BU189" s="230">
        <v>38208273</v>
      </c>
      <c r="BV189" s="230">
        <v>3954107</v>
      </c>
      <c r="BW189" s="229">
        <v>0.10349999999999999</v>
      </c>
      <c r="BX189" s="230">
        <v>255997750</v>
      </c>
      <c r="BY189" s="230">
        <v>277002075</v>
      </c>
      <c r="BZ189" s="230">
        <v>-21004325</v>
      </c>
      <c r="CA189" s="229">
        <v>-7.5800000000000006E-2</v>
      </c>
      <c r="CB189" s="230">
        <v>183528000</v>
      </c>
      <c r="CC189" s="230">
        <v>237832000</v>
      </c>
      <c r="CD189" s="230">
        <v>-54304000</v>
      </c>
      <c r="CE189" s="229">
        <v>-0.2283</v>
      </c>
      <c r="CF189" s="230">
        <v>66784000</v>
      </c>
      <c r="CG189" s="230">
        <v>33728000</v>
      </c>
      <c r="CH189" s="230">
        <v>33056000</v>
      </c>
      <c r="CI189" s="229">
        <v>0.98009999999999997</v>
      </c>
      <c r="CJ189" s="230">
        <v>5685750</v>
      </c>
      <c r="CK189" s="230">
        <v>5442075</v>
      </c>
      <c r="CL189" s="230">
        <v>243675</v>
      </c>
      <c r="CM189" s="229">
        <v>4.48E-2</v>
      </c>
      <c r="CN189" s="230">
        <v>221844450</v>
      </c>
      <c r="CO189" s="230">
        <v>236178400</v>
      </c>
      <c r="CP189" s="230">
        <v>-14333950</v>
      </c>
      <c r="CQ189" s="229">
        <v>-6.0699999999999997E-2</v>
      </c>
      <c r="CR189" s="230">
        <v>93800800</v>
      </c>
      <c r="CS189" s="230">
        <v>100486550</v>
      </c>
      <c r="CT189" s="230">
        <v>-6685750</v>
      </c>
      <c r="CU189" s="229">
        <v>-6.6500000000000004E-2</v>
      </c>
      <c r="CV189" s="230">
        <v>571643000</v>
      </c>
      <c r="CW189" s="230">
        <v>613667025</v>
      </c>
      <c r="CX189" s="230">
        <v>-42024025</v>
      </c>
      <c r="CY189" s="229">
        <v>-6.8500000000000005E-2</v>
      </c>
      <c r="CZ189" s="228">
        <v>32.04</v>
      </c>
      <c r="DA189" s="228">
        <v>35.81</v>
      </c>
      <c r="DB189" s="228">
        <v>-3.77</v>
      </c>
      <c r="DC189" s="228">
        <v>-3.77</v>
      </c>
      <c r="DD189" s="228">
        <v>48.92</v>
      </c>
      <c r="DE189" s="228">
        <v>49.04</v>
      </c>
      <c r="DF189" s="228">
        <v>-16.88</v>
      </c>
      <c r="DG189" s="228">
        <v>-0.12</v>
      </c>
      <c r="DH189" s="228">
        <v>32.119999999999997</v>
      </c>
      <c r="DI189" s="228">
        <v>37.69</v>
      </c>
      <c r="DJ189" s="228">
        <v>-5.57</v>
      </c>
      <c r="DK189" s="228">
        <v>-5.57</v>
      </c>
      <c r="DL189" s="228">
        <v>31.8</v>
      </c>
      <c r="DM189" s="228">
        <v>27.66</v>
      </c>
      <c r="DN189" s="228">
        <v>4.1399999999999997</v>
      </c>
      <c r="DO189" s="228">
        <v>4.1399999999999997</v>
      </c>
      <c r="DP189" s="228">
        <v>0.42</v>
      </c>
      <c r="DQ189" s="228">
        <v>0.43</v>
      </c>
      <c r="DR189" s="228">
        <v>-0.01</v>
      </c>
      <c r="DS189" s="229">
        <v>-2.3300000000000001E-2</v>
      </c>
      <c r="DT189" s="228">
        <v>60</v>
      </c>
      <c r="DU189" s="228">
        <v>55</v>
      </c>
      <c r="DV189" s="228">
        <v>0.31</v>
      </c>
      <c r="DW189" s="228">
        <v>0.23</v>
      </c>
      <c r="DX189" s="228">
        <v>0.08</v>
      </c>
      <c r="DY189" s="229">
        <v>0.3478</v>
      </c>
      <c r="DZ189" s="229">
        <v>0.28310000000000002</v>
      </c>
      <c r="EA189" s="230">
        <v>39170075</v>
      </c>
      <c r="EB189" s="229">
        <v>5.4999999999999997E-3</v>
      </c>
      <c r="EC189" s="229">
        <v>0.28310000000000002</v>
      </c>
      <c r="ED189" s="228">
        <v>0.32</v>
      </c>
      <c r="EE189" s="229">
        <v>5.5999999999999999E-3</v>
      </c>
      <c r="EF189" s="230">
        <v>18367424</v>
      </c>
      <c r="EG189" s="230">
        <v>17546787</v>
      </c>
      <c r="EH189" s="229">
        <v>4.6800000000000001E-2</v>
      </c>
      <c r="EI189" s="229">
        <v>0.43559999999999999</v>
      </c>
      <c r="EJ189" s="231">
        <v>88943.59</v>
      </c>
      <c r="EK189" s="231">
        <v>26134.92</v>
      </c>
      <c r="EL189" s="231">
        <v>79824.429999999993</v>
      </c>
      <c r="EM189" s="231">
        <v>4475</v>
      </c>
      <c r="EN189" s="231">
        <v>194902.94</v>
      </c>
      <c r="EO189" s="231">
        <v>153284.43</v>
      </c>
      <c r="EP189" s="231">
        <v>41618.51</v>
      </c>
      <c r="EQ189" s="229">
        <v>0.27150000000000002</v>
      </c>
      <c r="ER189" s="231">
        <v>135255</v>
      </c>
      <c r="ES189" s="231">
        <v>52702</v>
      </c>
      <c r="ET189" s="231">
        <v>145705</v>
      </c>
      <c r="EU189" s="231">
        <v>1813533848</v>
      </c>
      <c r="EV189" s="231">
        <v>333662</v>
      </c>
      <c r="EW189" s="231">
        <v>357529</v>
      </c>
      <c r="EX189" s="231">
        <v>-23867</v>
      </c>
      <c r="EY189" s="229">
        <v>-6.6799999999999998E-2</v>
      </c>
      <c r="EZ189" s="229">
        <v>0.31519999999999998</v>
      </c>
      <c r="FA189" s="227" t="s">
        <v>556</v>
      </c>
      <c r="FB189" s="161">
        <f t="shared" si="4"/>
        <v>0</v>
      </c>
    </row>
    <row r="190" spans="1:158" ht="17.25" thickBot="1" x14ac:dyDescent="0.3">
      <c r="A190" s="226">
        <v>45981</v>
      </c>
      <c r="B190" s="227" t="s">
        <v>170</v>
      </c>
      <c r="C190" s="227" t="s">
        <v>520</v>
      </c>
      <c r="D190" s="228">
        <v>1000</v>
      </c>
      <c r="E190" s="228">
        <v>634.70000000000005</v>
      </c>
      <c r="F190" s="228">
        <v>635.20000000000005</v>
      </c>
      <c r="G190" s="228">
        <v>-0.5</v>
      </c>
      <c r="H190" s="229">
        <v>-8.0000000000000004E-4</v>
      </c>
      <c r="I190" s="228">
        <v>634.6</v>
      </c>
      <c r="J190" s="228">
        <v>634.85</v>
      </c>
      <c r="K190" s="228">
        <v>-0.25</v>
      </c>
      <c r="L190" s="229">
        <v>-4.0000000000000002E-4</v>
      </c>
      <c r="M190" s="228">
        <v>634.70000000000005</v>
      </c>
      <c r="N190" s="228">
        <v>635.20000000000005</v>
      </c>
      <c r="O190" s="228">
        <v>-0.5</v>
      </c>
      <c r="P190" s="229">
        <v>-8.0000000000000004E-4</v>
      </c>
      <c r="Q190" s="228">
        <v>638.65</v>
      </c>
      <c r="R190" s="228">
        <v>639.4</v>
      </c>
      <c r="S190" s="228">
        <v>-0.75</v>
      </c>
      <c r="T190" s="229">
        <v>-1.1999999999999999E-3</v>
      </c>
      <c r="U190" s="228">
        <v>643.5</v>
      </c>
      <c r="V190" s="228">
        <v>643.79999999999995</v>
      </c>
      <c r="W190" s="228">
        <v>-0.3</v>
      </c>
      <c r="X190" s="229">
        <v>-5.0000000000000001E-4</v>
      </c>
      <c r="Y190" s="228">
        <v>0.1</v>
      </c>
      <c r="Z190" s="228">
        <v>0.35</v>
      </c>
      <c r="AA190" s="228">
        <v>-0.25</v>
      </c>
      <c r="AB190" s="229">
        <v>2.0000000000000001E-4</v>
      </c>
      <c r="AC190" s="228">
        <v>0.1</v>
      </c>
      <c r="AD190" s="228">
        <v>0.35</v>
      </c>
      <c r="AE190" s="228">
        <v>-0.25</v>
      </c>
      <c r="AF190" s="229">
        <v>2.0000000000000001E-4</v>
      </c>
      <c r="AG190" s="228">
        <v>4.05</v>
      </c>
      <c r="AH190" s="228">
        <v>4.55</v>
      </c>
      <c r="AI190" s="228">
        <v>-0.5</v>
      </c>
      <c r="AJ190" s="229">
        <v>6.4000000000000003E-3</v>
      </c>
      <c r="AK190" s="228">
        <v>8.9</v>
      </c>
      <c r="AL190" s="228">
        <v>8.9499999999999993</v>
      </c>
      <c r="AM190" s="228">
        <v>-0.05</v>
      </c>
      <c r="AN190" s="229">
        <v>1.4E-2</v>
      </c>
      <c r="AO190" s="228">
        <v>633.86</v>
      </c>
      <c r="AP190" s="228">
        <v>638.08000000000004</v>
      </c>
      <c r="AQ190" s="228">
        <v>0</v>
      </c>
      <c r="AR190" s="230">
        <v>3917000</v>
      </c>
      <c r="AS190" s="230">
        <v>1408000</v>
      </c>
      <c r="AT190" s="230">
        <v>2509000</v>
      </c>
      <c r="AU190" s="229">
        <v>1.782</v>
      </c>
      <c r="AV190" s="230">
        <v>2133000</v>
      </c>
      <c r="AW190" s="230">
        <v>780000</v>
      </c>
      <c r="AX190" s="230">
        <v>1353000</v>
      </c>
      <c r="AY190" s="229">
        <v>1.7345999999999999</v>
      </c>
      <c r="AZ190" s="230">
        <v>1769000</v>
      </c>
      <c r="BA190" s="230">
        <v>593000</v>
      </c>
      <c r="BB190" s="230">
        <v>1176000</v>
      </c>
      <c r="BC190" s="229">
        <v>1.9831000000000001</v>
      </c>
      <c r="BD190" s="230">
        <v>15000</v>
      </c>
      <c r="BE190" s="230">
        <v>35000</v>
      </c>
      <c r="BF190" s="230">
        <v>-20000</v>
      </c>
      <c r="BG190" s="229">
        <v>-0.57140000000000002</v>
      </c>
      <c r="BH190" s="230">
        <v>2158000</v>
      </c>
      <c r="BI190" s="230">
        <v>6387000</v>
      </c>
      <c r="BJ190" s="230">
        <v>-4229000</v>
      </c>
      <c r="BK190" s="229">
        <v>-0.66210000000000002</v>
      </c>
      <c r="BL190" s="230">
        <v>1225000</v>
      </c>
      <c r="BM190" s="230">
        <v>3290000</v>
      </c>
      <c r="BN190" s="230">
        <v>-2065000</v>
      </c>
      <c r="BO190" s="229">
        <v>-0.62770000000000004</v>
      </c>
      <c r="BP190" s="230">
        <v>7300000</v>
      </c>
      <c r="BQ190" s="230">
        <v>11085000</v>
      </c>
      <c r="BR190" s="230">
        <v>-3785000</v>
      </c>
      <c r="BS190" s="229">
        <v>-0.34150000000000003</v>
      </c>
      <c r="BT190" s="230">
        <v>182635</v>
      </c>
      <c r="BU190" s="230">
        <v>721211</v>
      </c>
      <c r="BV190" s="230">
        <v>-538576</v>
      </c>
      <c r="BW190" s="229">
        <v>-0.74680000000000002</v>
      </c>
      <c r="BX190" s="230">
        <v>9822000</v>
      </c>
      <c r="BY190" s="230">
        <v>9944000</v>
      </c>
      <c r="BZ190" s="230">
        <v>-122000</v>
      </c>
      <c r="CA190" s="229">
        <v>-1.23E-2</v>
      </c>
      <c r="CB190" s="230">
        <v>7401000</v>
      </c>
      <c r="CC190" s="230">
        <v>8932000</v>
      </c>
      <c r="CD190" s="230">
        <v>-1531000</v>
      </c>
      <c r="CE190" s="229">
        <v>-0.1714</v>
      </c>
      <c r="CF190" s="230">
        <v>2323000</v>
      </c>
      <c r="CG190" s="230">
        <v>923000</v>
      </c>
      <c r="CH190" s="230">
        <v>1400000</v>
      </c>
      <c r="CI190" s="229">
        <v>1.5167999999999999</v>
      </c>
      <c r="CJ190" s="230">
        <v>98000</v>
      </c>
      <c r="CK190" s="230">
        <v>89000</v>
      </c>
      <c r="CL190" s="230">
        <v>9000</v>
      </c>
      <c r="CM190" s="229">
        <v>0.1011</v>
      </c>
      <c r="CN190" s="230">
        <v>4254000</v>
      </c>
      <c r="CO190" s="230">
        <v>4458000</v>
      </c>
      <c r="CP190" s="230">
        <v>-204000</v>
      </c>
      <c r="CQ190" s="229">
        <v>-4.58E-2</v>
      </c>
      <c r="CR190" s="230">
        <v>3050000</v>
      </c>
      <c r="CS190" s="230">
        <v>2996000</v>
      </c>
      <c r="CT190" s="230">
        <v>54000</v>
      </c>
      <c r="CU190" s="229">
        <v>1.7999999999999999E-2</v>
      </c>
      <c r="CV190" s="230">
        <v>17126000</v>
      </c>
      <c r="CW190" s="230">
        <v>17398000</v>
      </c>
      <c r="CX190" s="230">
        <v>-272000</v>
      </c>
      <c r="CY190" s="229">
        <v>-1.5599999999999999E-2</v>
      </c>
      <c r="CZ190" s="228">
        <v>22.9</v>
      </c>
      <c r="DA190" s="228">
        <v>27.13</v>
      </c>
      <c r="DB190" s="228">
        <v>-4.2300000000000004</v>
      </c>
      <c r="DC190" s="228">
        <v>-4.2300000000000004</v>
      </c>
      <c r="DD190" s="228">
        <v>33.26</v>
      </c>
      <c r="DE190" s="228">
        <v>33.340000000000003</v>
      </c>
      <c r="DF190" s="228">
        <v>-10.36</v>
      </c>
      <c r="DG190" s="228">
        <v>-0.08</v>
      </c>
      <c r="DH190" s="228">
        <v>22.93</v>
      </c>
      <c r="DI190" s="228">
        <v>28.73</v>
      </c>
      <c r="DJ190" s="228">
        <v>-5.8</v>
      </c>
      <c r="DK190" s="228">
        <v>-5.8</v>
      </c>
      <c r="DL190" s="228">
        <v>22.87</v>
      </c>
      <c r="DM190" s="228">
        <v>24.04</v>
      </c>
      <c r="DN190" s="228">
        <v>-1.17</v>
      </c>
      <c r="DO190" s="228">
        <v>-1.17</v>
      </c>
      <c r="DP190" s="228">
        <v>0.72</v>
      </c>
      <c r="DQ190" s="228">
        <v>0.67</v>
      </c>
      <c r="DR190" s="228">
        <v>0.05</v>
      </c>
      <c r="DS190" s="229">
        <v>7.46E-2</v>
      </c>
      <c r="DT190" s="228">
        <v>670</v>
      </c>
      <c r="DU190" s="228">
        <v>620</v>
      </c>
      <c r="DV190" s="228">
        <v>0.56999999999999995</v>
      </c>
      <c r="DW190" s="228">
        <v>0.52</v>
      </c>
      <c r="DX190" s="228">
        <v>0.05</v>
      </c>
      <c r="DY190" s="229">
        <v>9.6199999999999994E-2</v>
      </c>
      <c r="DZ190" s="229">
        <v>0.2465</v>
      </c>
      <c r="EA190" s="230">
        <v>1012000</v>
      </c>
      <c r="EB190" s="229">
        <v>6.1999999999999998E-3</v>
      </c>
      <c r="EC190" s="229">
        <v>0.2465</v>
      </c>
      <c r="ED190" s="228">
        <v>4.22</v>
      </c>
      <c r="EE190" s="229">
        <v>6.7000000000000002E-3</v>
      </c>
      <c r="EF190" s="230">
        <v>103472</v>
      </c>
      <c r="EG190" s="230">
        <v>464262</v>
      </c>
      <c r="EH190" s="229">
        <v>-0.77710000000000001</v>
      </c>
      <c r="EI190" s="229">
        <v>0.56659999999999999</v>
      </c>
      <c r="EJ190" s="231">
        <v>14334.15</v>
      </c>
      <c r="EK190" s="231">
        <v>7743.43</v>
      </c>
      <c r="EL190" s="231">
        <v>24904.36</v>
      </c>
      <c r="EM190" s="231">
        <v>1409</v>
      </c>
      <c r="EN190" s="231">
        <v>46981.94</v>
      </c>
      <c r="EO190" s="231">
        <v>72614.83</v>
      </c>
      <c r="EP190" s="231">
        <v>-25632.89</v>
      </c>
      <c r="EQ190" s="229">
        <v>-0.35299999999999998</v>
      </c>
      <c r="ER190" s="231">
        <v>28578</v>
      </c>
      <c r="ES190" s="231">
        <v>19194</v>
      </c>
      <c r="ET190" s="231">
        <v>62441</v>
      </c>
      <c r="EU190" s="231">
        <v>28408333</v>
      </c>
      <c r="EV190" s="231">
        <v>110214</v>
      </c>
      <c r="EW190" s="231">
        <v>112069</v>
      </c>
      <c r="EX190" s="231">
        <v>-1855</v>
      </c>
      <c r="EY190" s="229">
        <v>-1.66E-2</v>
      </c>
      <c r="EZ190" s="229">
        <v>0.60289999999999999</v>
      </c>
      <c r="FA190" s="227" t="s">
        <v>568</v>
      </c>
      <c r="FB190" s="161">
        <f t="shared" si="4"/>
        <v>0</v>
      </c>
    </row>
    <row r="191" spans="1:158" ht="17.25" thickBot="1" x14ac:dyDescent="0.3">
      <c r="A191" s="226">
        <v>45981</v>
      </c>
      <c r="B191" s="227" t="s">
        <v>168</v>
      </c>
      <c r="C191" s="227" t="s">
        <v>291</v>
      </c>
      <c r="D191" s="228">
        <v>550</v>
      </c>
      <c r="E191" s="231">
        <v>1172.0999999999999</v>
      </c>
      <c r="F191" s="231">
        <v>1164.2</v>
      </c>
      <c r="G191" s="228">
        <v>7.9</v>
      </c>
      <c r="H191" s="229">
        <v>6.7999999999999996E-3</v>
      </c>
      <c r="I191" s="231">
        <v>1173.9000000000001</v>
      </c>
      <c r="J191" s="231">
        <v>1162.0999999999999</v>
      </c>
      <c r="K191" s="228">
        <v>11.8</v>
      </c>
      <c r="L191" s="229">
        <v>1.0200000000000001E-2</v>
      </c>
      <c r="M191" s="231">
        <v>1172.0999999999999</v>
      </c>
      <c r="N191" s="231">
        <v>1164.2</v>
      </c>
      <c r="O191" s="228">
        <v>7.9</v>
      </c>
      <c r="P191" s="229">
        <v>6.7999999999999996E-3</v>
      </c>
      <c r="Q191" s="231">
        <v>1179.4000000000001</v>
      </c>
      <c r="R191" s="231">
        <v>1172.3</v>
      </c>
      <c r="S191" s="228">
        <v>7.1</v>
      </c>
      <c r="T191" s="229">
        <v>6.1000000000000004E-3</v>
      </c>
      <c r="U191" s="231">
        <v>1186.7</v>
      </c>
      <c r="V191" s="231">
        <v>1179</v>
      </c>
      <c r="W191" s="228">
        <v>7.7</v>
      </c>
      <c r="X191" s="229">
        <v>6.4999999999999997E-3</v>
      </c>
      <c r="Y191" s="228">
        <v>-1.8</v>
      </c>
      <c r="Z191" s="228">
        <v>2.1</v>
      </c>
      <c r="AA191" s="228">
        <v>-3.9</v>
      </c>
      <c r="AB191" s="229">
        <v>-1.5E-3</v>
      </c>
      <c r="AC191" s="228">
        <v>-1.8</v>
      </c>
      <c r="AD191" s="228">
        <v>2.1</v>
      </c>
      <c r="AE191" s="228">
        <v>-3.9</v>
      </c>
      <c r="AF191" s="229">
        <v>-1.5E-3</v>
      </c>
      <c r="AG191" s="228">
        <v>5.5</v>
      </c>
      <c r="AH191" s="228">
        <v>10.199999999999999</v>
      </c>
      <c r="AI191" s="228">
        <v>-4.7</v>
      </c>
      <c r="AJ191" s="229">
        <v>4.7000000000000002E-3</v>
      </c>
      <c r="AK191" s="228">
        <v>12.8</v>
      </c>
      <c r="AL191" s="228">
        <v>16.899999999999999</v>
      </c>
      <c r="AM191" s="228">
        <v>-4.0999999999999996</v>
      </c>
      <c r="AN191" s="229">
        <v>1.09E-2</v>
      </c>
      <c r="AO191" s="231">
        <v>1171.83</v>
      </c>
      <c r="AP191" s="231">
        <v>1179.43</v>
      </c>
      <c r="AQ191" s="228">
        <v>0</v>
      </c>
      <c r="AR191" s="230">
        <v>9258150</v>
      </c>
      <c r="AS191" s="230">
        <v>1851850</v>
      </c>
      <c r="AT191" s="230">
        <v>7406300</v>
      </c>
      <c r="AU191" s="229">
        <v>3.9994000000000001</v>
      </c>
      <c r="AV191" s="230">
        <v>4892250</v>
      </c>
      <c r="AW191" s="230">
        <v>1339800</v>
      </c>
      <c r="AX191" s="230">
        <v>3552450</v>
      </c>
      <c r="AY191" s="229">
        <v>2.6515</v>
      </c>
      <c r="AZ191" s="230">
        <v>4334550</v>
      </c>
      <c r="BA191" s="230">
        <v>503800</v>
      </c>
      <c r="BB191" s="230">
        <v>3830750</v>
      </c>
      <c r="BC191" s="229">
        <v>7.6036999999999999</v>
      </c>
      <c r="BD191" s="230">
        <v>31350</v>
      </c>
      <c r="BE191" s="230">
        <v>8250</v>
      </c>
      <c r="BF191" s="230">
        <v>23100</v>
      </c>
      <c r="BG191" s="229">
        <v>2.8</v>
      </c>
      <c r="BH191" s="230">
        <v>9543600</v>
      </c>
      <c r="BI191" s="230">
        <v>5712850</v>
      </c>
      <c r="BJ191" s="230">
        <v>3830750</v>
      </c>
      <c r="BK191" s="229">
        <v>0.67049999999999998</v>
      </c>
      <c r="BL191" s="230">
        <v>3400650</v>
      </c>
      <c r="BM191" s="230">
        <v>2216500</v>
      </c>
      <c r="BN191" s="230">
        <v>1184150</v>
      </c>
      <c r="BO191" s="229">
        <v>0.53420000000000001</v>
      </c>
      <c r="BP191" s="230">
        <v>22202400</v>
      </c>
      <c r="BQ191" s="230">
        <v>9781200</v>
      </c>
      <c r="BR191" s="230">
        <v>12421200</v>
      </c>
      <c r="BS191" s="229">
        <v>1.2699</v>
      </c>
      <c r="BT191" s="230">
        <v>2275695</v>
      </c>
      <c r="BU191" s="230">
        <v>2014308</v>
      </c>
      <c r="BV191" s="230">
        <v>261387</v>
      </c>
      <c r="BW191" s="229">
        <v>0.1298</v>
      </c>
      <c r="BX191" s="230">
        <v>13137850</v>
      </c>
      <c r="BY191" s="230">
        <v>13631200</v>
      </c>
      <c r="BZ191" s="230">
        <v>-493350</v>
      </c>
      <c r="CA191" s="229">
        <v>-3.6200000000000003E-2</v>
      </c>
      <c r="CB191" s="230">
        <v>8851700</v>
      </c>
      <c r="CC191" s="230">
        <v>12267750</v>
      </c>
      <c r="CD191" s="230">
        <v>-3416050</v>
      </c>
      <c r="CE191" s="229">
        <v>-0.27850000000000003</v>
      </c>
      <c r="CF191" s="230">
        <v>4235000</v>
      </c>
      <c r="CG191" s="230">
        <v>1322750</v>
      </c>
      <c r="CH191" s="230">
        <v>2912250</v>
      </c>
      <c r="CI191" s="229">
        <v>2.2017000000000002</v>
      </c>
      <c r="CJ191" s="230">
        <v>51150</v>
      </c>
      <c r="CK191" s="230">
        <v>40700</v>
      </c>
      <c r="CL191" s="230">
        <v>10450</v>
      </c>
      <c r="CM191" s="229">
        <v>0.25679999999999997</v>
      </c>
      <c r="CN191" s="230">
        <v>5419150</v>
      </c>
      <c r="CO191" s="230">
        <v>5505500</v>
      </c>
      <c r="CP191" s="230">
        <v>-86350</v>
      </c>
      <c r="CQ191" s="229">
        <v>-1.5699999999999999E-2</v>
      </c>
      <c r="CR191" s="230">
        <v>2646050</v>
      </c>
      <c r="CS191" s="230">
        <v>2761000</v>
      </c>
      <c r="CT191" s="230">
        <v>-114950</v>
      </c>
      <c r="CU191" s="229">
        <v>-4.1599999999999998E-2</v>
      </c>
      <c r="CV191" s="230">
        <v>21203050</v>
      </c>
      <c r="CW191" s="230">
        <v>21897700</v>
      </c>
      <c r="CX191" s="230">
        <v>-694650</v>
      </c>
      <c r="CY191" s="229">
        <v>-3.1699999999999999E-2</v>
      </c>
      <c r="CZ191" s="228">
        <v>20.05</v>
      </c>
      <c r="DA191" s="228">
        <v>21.74</v>
      </c>
      <c r="DB191" s="228">
        <v>-1.69</v>
      </c>
      <c r="DC191" s="228">
        <v>-1.69</v>
      </c>
      <c r="DD191" s="228">
        <v>26.74</v>
      </c>
      <c r="DE191" s="228">
        <v>26.78</v>
      </c>
      <c r="DF191" s="228">
        <v>-6.69</v>
      </c>
      <c r="DG191" s="228">
        <v>-0.04</v>
      </c>
      <c r="DH191" s="228">
        <v>19.95</v>
      </c>
      <c r="DI191" s="228">
        <v>21.86</v>
      </c>
      <c r="DJ191" s="228">
        <v>-1.91</v>
      </c>
      <c r="DK191" s="228">
        <v>-1.91</v>
      </c>
      <c r="DL191" s="228">
        <v>20.350000000000001</v>
      </c>
      <c r="DM191" s="228">
        <v>21.43</v>
      </c>
      <c r="DN191" s="228">
        <v>-1.08</v>
      </c>
      <c r="DO191" s="228">
        <v>-1.08</v>
      </c>
      <c r="DP191" s="228">
        <v>0.49</v>
      </c>
      <c r="DQ191" s="228">
        <v>0.5</v>
      </c>
      <c r="DR191" s="228">
        <v>-0.01</v>
      </c>
      <c r="DS191" s="229">
        <v>-0.02</v>
      </c>
      <c r="DT191" s="231">
        <v>1200</v>
      </c>
      <c r="DU191" s="231">
        <v>1050</v>
      </c>
      <c r="DV191" s="228">
        <v>0.36</v>
      </c>
      <c r="DW191" s="228">
        <v>0.39</v>
      </c>
      <c r="DX191" s="228">
        <v>-0.03</v>
      </c>
      <c r="DY191" s="229">
        <v>-7.6899999999999996E-2</v>
      </c>
      <c r="DZ191" s="229">
        <v>0.32619999999999999</v>
      </c>
      <c r="EA191" s="230">
        <v>1363450</v>
      </c>
      <c r="EB191" s="229">
        <v>6.1999999999999998E-3</v>
      </c>
      <c r="EC191" s="229">
        <v>0.32619999999999999</v>
      </c>
      <c r="ED191" s="228">
        <v>7.6</v>
      </c>
      <c r="EE191" s="229">
        <v>6.4999999999999997E-3</v>
      </c>
      <c r="EF191" s="230">
        <v>1648746</v>
      </c>
      <c r="EG191" s="230">
        <v>1428116</v>
      </c>
      <c r="EH191" s="229">
        <v>0.1545</v>
      </c>
      <c r="EI191" s="229">
        <v>0.72450000000000003</v>
      </c>
      <c r="EJ191" s="231">
        <v>114557</v>
      </c>
      <c r="EK191" s="231">
        <v>39622.910000000003</v>
      </c>
      <c r="EL191" s="231">
        <v>108824.49</v>
      </c>
      <c r="EM191" s="231">
        <v>3445</v>
      </c>
      <c r="EN191" s="231">
        <v>263004.40000000002</v>
      </c>
      <c r="EO191" s="231">
        <v>115293.1</v>
      </c>
      <c r="EP191" s="231">
        <v>147711.29999999999</v>
      </c>
      <c r="EQ191" s="229">
        <v>1.2811999999999999</v>
      </c>
      <c r="ER191" s="231">
        <v>66551</v>
      </c>
      <c r="ES191" s="231">
        <v>29767</v>
      </c>
      <c r="ET191" s="231">
        <v>154305</v>
      </c>
      <c r="EU191" s="231">
        <v>65471528</v>
      </c>
      <c r="EV191" s="231">
        <v>250624</v>
      </c>
      <c r="EW191" s="231">
        <v>257488</v>
      </c>
      <c r="EX191" s="231">
        <v>-6864</v>
      </c>
      <c r="EY191" s="229">
        <v>-2.6700000000000002E-2</v>
      </c>
      <c r="EZ191" s="229">
        <v>0.32390000000000002</v>
      </c>
      <c r="FA191" s="227" t="s">
        <v>556</v>
      </c>
      <c r="FB191" s="161">
        <f t="shared" si="4"/>
        <v>0</v>
      </c>
    </row>
    <row r="192" spans="1:158" ht="17.25" thickBot="1" x14ac:dyDescent="0.3">
      <c r="A192" s="226">
        <v>45981</v>
      </c>
      <c r="B192" s="227" t="s">
        <v>221</v>
      </c>
      <c r="C192" s="227" t="s">
        <v>604</v>
      </c>
      <c r="D192" s="228">
        <v>100</v>
      </c>
      <c r="E192" s="231">
        <v>5369.5</v>
      </c>
      <c r="F192" s="231">
        <v>5358.5</v>
      </c>
      <c r="G192" s="228">
        <v>11</v>
      </c>
      <c r="H192" s="229">
        <v>2.0999999999999999E-3</v>
      </c>
      <c r="I192" s="231">
        <v>5366.5</v>
      </c>
      <c r="J192" s="231">
        <v>5347.5</v>
      </c>
      <c r="K192" s="228">
        <v>19</v>
      </c>
      <c r="L192" s="229">
        <v>3.5999999999999999E-3</v>
      </c>
      <c r="M192" s="231">
        <v>5369.5</v>
      </c>
      <c r="N192" s="231">
        <v>5358.5</v>
      </c>
      <c r="O192" s="228">
        <v>11</v>
      </c>
      <c r="P192" s="229">
        <v>2.0999999999999999E-3</v>
      </c>
      <c r="Q192" s="231">
        <v>5357.5</v>
      </c>
      <c r="R192" s="231">
        <v>5341.5</v>
      </c>
      <c r="S192" s="228">
        <v>16</v>
      </c>
      <c r="T192" s="229">
        <v>3.0000000000000001E-3</v>
      </c>
      <c r="U192" s="231">
        <v>5347.5</v>
      </c>
      <c r="V192" s="231">
        <v>5341.5</v>
      </c>
      <c r="W192" s="228">
        <v>6</v>
      </c>
      <c r="X192" s="229">
        <v>1.1000000000000001E-3</v>
      </c>
      <c r="Y192" s="228">
        <v>3</v>
      </c>
      <c r="Z192" s="228">
        <v>11</v>
      </c>
      <c r="AA192" s="228">
        <v>-8</v>
      </c>
      <c r="AB192" s="229">
        <v>5.9999999999999995E-4</v>
      </c>
      <c r="AC192" s="228">
        <v>3</v>
      </c>
      <c r="AD192" s="228">
        <v>11</v>
      </c>
      <c r="AE192" s="228">
        <v>-8</v>
      </c>
      <c r="AF192" s="229">
        <v>5.9999999999999995E-4</v>
      </c>
      <c r="AG192" s="228">
        <v>-9</v>
      </c>
      <c r="AH192" s="228">
        <v>-6</v>
      </c>
      <c r="AI192" s="228">
        <v>-3</v>
      </c>
      <c r="AJ192" s="229">
        <v>-1.6999999999999999E-3</v>
      </c>
      <c r="AK192" s="228">
        <v>-19</v>
      </c>
      <c r="AL192" s="228">
        <v>-6</v>
      </c>
      <c r="AM192" s="228">
        <v>-13</v>
      </c>
      <c r="AN192" s="229">
        <v>-3.5000000000000001E-3</v>
      </c>
      <c r="AO192" s="231">
        <v>5373.56</v>
      </c>
      <c r="AP192" s="231">
        <v>5361.61</v>
      </c>
      <c r="AQ192" s="228">
        <v>0</v>
      </c>
      <c r="AR192" s="230">
        <v>2341300</v>
      </c>
      <c r="AS192" s="230">
        <v>587300</v>
      </c>
      <c r="AT192" s="230">
        <v>1754000</v>
      </c>
      <c r="AU192" s="229">
        <v>2.9864999999999999</v>
      </c>
      <c r="AV192" s="230">
        <v>1187100</v>
      </c>
      <c r="AW192" s="230">
        <v>337300</v>
      </c>
      <c r="AX192" s="230">
        <v>849800</v>
      </c>
      <c r="AY192" s="229">
        <v>2.5194000000000001</v>
      </c>
      <c r="AZ192" s="230">
        <v>1148400</v>
      </c>
      <c r="BA192" s="230">
        <v>242400</v>
      </c>
      <c r="BB192" s="230">
        <v>906000</v>
      </c>
      <c r="BC192" s="229">
        <v>3.7376</v>
      </c>
      <c r="BD192" s="230">
        <v>5800</v>
      </c>
      <c r="BE192" s="230">
        <v>7600</v>
      </c>
      <c r="BF192" s="230">
        <v>-1800</v>
      </c>
      <c r="BG192" s="229">
        <v>-0.23680000000000001</v>
      </c>
      <c r="BH192" s="230">
        <v>974700</v>
      </c>
      <c r="BI192" s="230">
        <v>1555400</v>
      </c>
      <c r="BJ192" s="230">
        <v>-580700</v>
      </c>
      <c r="BK192" s="229">
        <v>-0.37330000000000002</v>
      </c>
      <c r="BL192" s="230">
        <v>343000</v>
      </c>
      <c r="BM192" s="230">
        <v>528200</v>
      </c>
      <c r="BN192" s="230">
        <v>-185200</v>
      </c>
      <c r="BO192" s="229">
        <v>-0.35060000000000002</v>
      </c>
      <c r="BP192" s="230">
        <v>3659000</v>
      </c>
      <c r="BQ192" s="230">
        <v>2670900</v>
      </c>
      <c r="BR192" s="230">
        <v>988100</v>
      </c>
      <c r="BS192" s="229">
        <v>0.37</v>
      </c>
      <c r="BT192" s="230">
        <v>174367</v>
      </c>
      <c r="BU192" s="230">
        <v>151308</v>
      </c>
      <c r="BV192" s="230">
        <v>23059</v>
      </c>
      <c r="BW192" s="229">
        <v>0.15240000000000001</v>
      </c>
      <c r="BX192" s="230">
        <v>2786600</v>
      </c>
      <c r="BY192" s="230">
        <v>3243500</v>
      </c>
      <c r="BZ192" s="230">
        <v>-456900</v>
      </c>
      <c r="CA192" s="229">
        <v>-0.1409</v>
      </c>
      <c r="CB192" s="230">
        <v>1609100</v>
      </c>
      <c r="CC192" s="230">
        <v>2412500</v>
      </c>
      <c r="CD192" s="230">
        <v>-803400</v>
      </c>
      <c r="CE192" s="229">
        <v>-0.33300000000000002</v>
      </c>
      <c r="CF192" s="230">
        <v>1128000</v>
      </c>
      <c r="CG192" s="230">
        <v>784800</v>
      </c>
      <c r="CH192" s="230">
        <v>343200</v>
      </c>
      <c r="CI192" s="229">
        <v>0.43730000000000002</v>
      </c>
      <c r="CJ192" s="230">
        <v>49500</v>
      </c>
      <c r="CK192" s="230">
        <v>46200</v>
      </c>
      <c r="CL192" s="230">
        <v>3300</v>
      </c>
      <c r="CM192" s="229">
        <v>7.1400000000000005E-2</v>
      </c>
      <c r="CN192" s="230">
        <v>919600</v>
      </c>
      <c r="CO192" s="230">
        <v>945200</v>
      </c>
      <c r="CP192" s="230">
        <v>-25600</v>
      </c>
      <c r="CQ192" s="229">
        <v>-2.7099999999999999E-2</v>
      </c>
      <c r="CR192" s="230">
        <v>371000</v>
      </c>
      <c r="CS192" s="230">
        <v>393600</v>
      </c>
      <c r="CT192" s="230">
        <v>-22600</v>
      </c>
      <c r="CU192" s="229">
        <v>-5.74E-2</v>
      </c>
      <c r="CV192" s="230">
        <v>4077200</v>
      </c>
      <c r="CW192" s="230">
        <v>4582300</v>
      </c>
      <c r="CX192" s="230">
        <v>-505100</v>
      </c>
      <c r="CY192" s="229">
        <v>-0.11020000000000001</v>
      </c>
      <c r="CZ192" s="228">
        <v>24.93</v>
      </c>
      <c r="DA192" s="228">
        <v>26.39</v>
      </c>
      <c r="DB192" s="228">
        <v>-1.46</v>
      </c>
      <c r="DC192" s="228">
        <v>-1.46</v>
      </c>
      <c r="DD192" s="228">
        <v>35.43</v>
      </c>
      <c r="DE192" s="228">
        <v>35.520000000000003</v>
      </c>
      <c r="DF192" s="228">
        <v>-10.5</v>
      </c>
      <c r="DG192" s="228">
        <v>-0.09</v>
      </c>
      <c r="DH192" s="228">
        <v>24.87</v>
      </c>
      <c r="DI192" s="228">
        <v>26.42</v>
      </c>
      <c r="DJ192" s="228">
        <v>-1.55</v>
      </c>
      <c r="DK192" s="228">
        <v>-1.55</v>
      </c>
      <c r="DL192" s="228">
        <v>25.03</v>
      </c>
      <c r="DM192" s="228">
        <v>26.29</v>
      </c>
      <c r="DN192" s="228">
        <v>-1.26</v>
      </c>
      <c r="DO192" s="228">
        <v>-1.26</v>
      </c>
      <c r="DP192" s="228">
        <v>0.4</v>
      </c>
      <c r="DQ192" s="228">
        <v>0.42</v>
      </c>
      <c r="DR192" s="228">
        <v>-0.02</v>
      </c>
      <c r="DS192" s="229">
        <v>-4.7600000000000003E-2</v>
      </c>
      <c r="DT192" s="231">
        <v>5500</v>
      </c>
      <c r="DU192" s="231">
        <v>5100</v>
      </c>
      <c r="DV192" s="228">
        <v>0.35</v>
      </c>
      <c r="DW192" s="228">
        <v>0.34</v>
      </c>
      <c r="DX192" s="228">
        <v>0.01</v>
      </c>
      <c r="DY192" s="229">
        <v>2.9399999999999999E-2</v>
      </c>
      <c r="DZ192" s="229">
        <v>0.42259999999999998</v>
      </c>
      <c r="EA192" s="230">
        <v>831000</v>
      </c>
      <c r="EB192" s="229">
        <v>-2.2000000000000001E-3</v>
      </c>
      <c r="EC192" s="229">
        <v>0.42259999999999998</v>
      </c>
      <c r="ED192" s="228">
        <v>-11.95</v>
      </c>
      <c r="EE192" s="229">
        <v>-2.2000000000000001E-3</v>
      </c>
      <c r="EF192" s="230">
        <v>82581</v>
      </c>
      <c r="EG192" s="230">
        <v>57337</v>
      </c>
      <c r="EH192" s="229">
        <v>0.44030000000000002</v>
      </c>
      <c r="EI192" s="229">
        <v>0.47360000000000002</v>
      </c>
      <c r="EJ192" s="231">
        <v>54095</v>
      </c>
      <c r="EK192" s="231">
        <v>18224.14</v>
      </c>
      <c r="EL192" s="231">
        <v>125673.99</v>
      </c>
      <c r="EM192" s="231">
        <v>4481</v>
      </c>
      <c r="EN192" s="231">
        <v>197993.13</v>
      </c>
      <c r="EO192" s="231">
        <v>145136.34</v>
      </c>
      <c r="EP192" s="231">
        <v>52856.79</v>
      </c>
      <c r="EQ192" s="229">
        <v>0.36420000000000002</v>
      </c>
      <c r="ER192" s="231">
        <v>51689</v>
      </c>
      <c r="ES192" s="231">
        <v>19392</v>
      </c>
      <c r="ET192" s="231">
        <v>149480</v>
      </c>
      <c r="EU192" s="231">
        <v>4309631</v>
      </c>
      <c r="EV192" s="231">
        <v>220561</v>
      </c>
      <c r="EW192" s="231">
        <v>247425</v>
      </c>
      <c r="EX192" s="231">
        <v>-26864</v>
      </c>
      <c r="EY192" s="229">
        <v>-0.1086</v>
      </c>
      <c r="EZ192" s="229">
        <v>0.94610000000000005</v>
      </c>
      <c r="FA192" s="227" t="s">
        <v>556</v>
      </c>
      <c r="FB192" s="161">
        <f t="shared" si="4"/>
        <v>0</v>
      </c>
    </row>
    <row r="193" spans="1:158" ht="17.25" thickBot="1" x14ac:dyDescent="0.3">
      <c r="A193" s="226">
        <v>45981</v>
      </c>
      <c r="B193" s="227" t="s">
        <v>161</v>
      </c>
      <c r="C193" s="227" t="s">
        <v>293</v>
      </c>
      <c r="D193" s="228">
        <v>1450</v>
      </c>
      <c r="E193" s="228">
        <v>388</v>
      </c>
      <c r="F193" s="228">
        <v>388.8</v>
      </c>
      <c r="G193" s="228">
        <v>-0.8</v>
      </c>
      <c r="H193" s="229">
        <v>-2.0999999999999999E-3</v>
      </c>
      <c r="I193" s="228">
        <v>388.1</v>
      </c>
      <c r="J193" s="228">
        <v>389.1</v>
      </c>
      <c r="K193" s="228">
        <v>-1</v>
      </c>
      <c r="L193" s="229">
        <v>-2.5999999999999999E-3</v>
      </c>
      <c r="M193" s="228">
        <v>388</v>
      </c>
      <c r="N193" s="228">
        <v>388.8</v>
      </c>
      <c r="O193" s="228">
        <v>-0.8</v>
      </c>
      <c r="P193" s="229">
        <v>-2.0999999999999999E-3</v>
      </c>
      <c r="Q193" s="228">
        <v>390.65</v>
      </c>
      <c r="R193" s="228">
        <v>391.25</v>
      </c>
      <c r="S193" s="228">
        <v>-0.6</v>
      </c>
      <c r="T193" s="229">
        <v>-1.5E-3</v>
      </c>
      <c r="U193" s="228">
        <v>392.8</v>
      </c>
      <c r="V193" s="228">
        <v>393.25</v>
      </c>
      <c r="W193" s="228">
        <v>-0.45</v>
      </c>
      <c r="X193" s="229">
        <v>-1.1000000000000001E-3</v>
      </c>
      <c r="Y193" s="228">
        <v>-0.1</v>
      </c>
      <c r="Z193" s="228">
        <v>-0.3</v>
      </c>
      <c r="AA193" s="228">
        <v>0.2</v>
      </c>
      <c r="AB193" s="229">
        <v>-2.9999999999999997E-4</v>
      </c>
      <c r="AC193" s="228">
        <v>-0.1</v>
      </c>
      <c r="AD193" s="228">
        <v>-0.3</v>
      </c>
      <c r="AE193" s="228">
        <v>0.2</v>
      </c>
      <c r="AF193" s="229">
        <v>-2.9999999999999997E-4</v>
      </c>
      <c r="AG193" s="228">
        <v>2.5499999999999998</v>
      </c>
      <c r="AH193" s="228">
        <v>2.15</v>
      </c>
      <c r="AI193" s="228">
        <v>0.4</v>
      </c>
      <c r="AJ193" s="229">
        <v>6.6E-3</v>
      </c>
      <c r="AK193" s="228">
        <v>4.7</v>
      </c>
      <c r="AL193" s="228">
        <v>4.1500000000000004</v>
      </c>
      <c r="AM193" s="228">
        <v>0.55000000000000004</v>
      </c>
      <c r="AN193" s="229">
        <v>1.21E-2</v>
      </c>
      <c r="AO193" s="228">
        <v>390.58</v>
      </c>
      <c r="AP193" s="228">
        <v>393.05</v>
      </c>
      <c r="AQ193" s="228">
        <v>0</v>
      </c>
      <c r="AR193" s="230">
        <v>25889750</v>
      </c>
      <c r="AS193" s="230">
        <v>9126300</v>
      </c>
      <c r="AT193" s="230">
        <v>16763450</v>
      </c>
      <c r="AU193" s="229">
        <v>1.8368</v>
      </c>
      <c r="AV193" s="230">
        <v>14450700</v>
      </c>
      <c r="AW193" s="230">
        <v>6442350</v>
      </c>
      <c r="AX193" s="230">
        <v>8008350</v>
      </c>
      <c r="AY193" s="229">
        <v>1.2431000000000001</v>
      </c>
      <c r="AZ193" s="230">
        <v>11298400</v>
      </c>
      <c r="BA193" s="230">
        <v>2540400</v>
      </c>
      <c r="BB193" s="230">
        <v>8758000</v>
      </c>
      <c r="BC193" s="229">
        <v>3.4474999999999998</v>
      </c>
      <c r="BD193" s="230">
        <v>140650</v>
      </c>
      <c r="BE193" s="230">
        <v>143550</v>
      </c>
      <c r="BF193" s="230">
        <v>-2900</v>
      </c>
      <c r="BG193" s="229">
        <v>-2.0199999999999999E-2</v>
      </c>
      <c r="BH193" s="230">
        <v>41559900</v>
      </c>
      <c r="BI193" s="230">
        <v>46462350</v>
      </c>
      <c r="BJ193" s="230">
        <v>-4902450</v>
      </c>
      <c r="BK193" s="229">
        <v>-0.1055</v>
      </c>
      <c r="BL193" s="230">
        <v>21288900</v>
      </c>
      <c r="BM193" s="230">
        <v>16825800</v>
      </c>
      <c r="BN193" s="230">
        <v>4463100</v>
      </c>
      <c r="BO193" s="229">
        <v>0.26529999999999998</v>
      </c>
      <c r="BP193" s="230">
        <v>88738550</v>
      </c>
      <c r="BQ193" s="230">
        <v>72414450</v>
      </c>
      <c r="BR193" s="230">
        <v>16324100</v>
      </c>
      <c r="BS193" s="229">
        <v>0.22539999999999999</v>
      </c>
      <c r="BT193" s="230">
        <v>4410129</v>
      </c>
      <c r="BU193" s="230">
        <v>4359010</v>
      </c>
      <c r="BV193" s="230">
        <v>51119</v>
      </c>
      <c r="BW193" s="229">
        <v>1.17E-2</v>
      </c>
      <c r="BX193" s="230">
        <v>55894600</v>
      </c>
      <c r="BY193" s="230">
        <v>58063800</v>
      </c>
      <c r="BZ193" s="230">
        <v>-2169200</v>
      </c>
      <c r="CA193" s="229">
        <v>-3.7400000000000003E-2</v>
      </c>
      <c r="CB193" s="230">
        <v>40734850</v>
      </c>
      <c r="CC193" s="230">
        <v>50330950</v>
      </c>
      <c r="CD193" s="230">
        <v>-9596100</v>
      </c>
      <c r="CE193" s="229">
        <v>-0.19070000000000001</v>
      </c>
      <c r="CF193" s="230">
        <v>14427500</v>
      </c>
      <c r="CG193" s="230">
        <v>7038300</v>
      </c>
      <c r="CH193" s="230">
        <v>7389200</v>
      </c>
      <c r="CI193" s="229">
        <v>1.0499000000000001</v>
      </c>
      <c r="CJ193" s="230">
        <v>732250</v>
      </c>
      <c r="CK193" s="230">
        <v>694550</v>
      </c>
      <c r="CL193" s="230">
        <v>37700</v>
      </c>
      <c r="CM193" s="229">
        <v>5.4300000000000001E-2</v>
      </c>
      <c r="CN193" s="230">
        <v>43537700</v>
      </c>
      <c r="CO193" s="230">
        <v>47761550</v>
      </c>
      <c r="CP193" s="230">
        <v>-4223850</v>
      </c>
      <c r="CQ193" s="229">
        <v>-8.8400000000000006E-2</v>
      </c>
      <c r="CR193" s="230">
        <v>24863150</v>
      </c>
      <c r="CS193" s="230">
        <v>25808550</v>
      </c>
      <c r="CT193" s="230">
        <v>-945400</v>
      </c>
      <c r="CU193" s="229">
        <v>-3.6600000000000001E-2</v>
      </c>
      <c r="CV193" s="230">
        <v>124295450</v>
      </c>
      <c r="CW193" s="230">
        <v>131633900</v>
      </c>
      <c r="CX193" s="230">
        <v>-7338450</v>
      </c>
      <c r="CY193" s="229">
        <v>-5.57E-2</v>
      </c>
      <c r="CZ193" s="228">
        <v>21.53</v>
      </c>
      <c r="DA193" s="228">
        <v>22.68</v>
      </c>
      <c r="DB193" s="228">
        <v>-1.1499999999999999</v>
      </c>
      <c r="DC193" s="228">
        <v>-1.1499999999999999</v>
      </c>
      <c r="DD193" s="228">
        <v>32.28</v>
      </c>
      <c r="DE193" s="228">
        <v>32.36</v>
      </c>
      <c r="DF193" s="228">
        <v>-10.75</v>
      </c>
      <c r="DG193" s="228">
        <v>-0.08</v>
      </c>
      <c r="DH193" s="228">
        <v>21.89</v>
      </c>
      <c r="DI193" s="228">
        <v>23.03</v>
      </c>
      <c r="DJ193" s="228">
        <v>-1.1399999999999999</v>
      </c>
      <c r="DK193" s="228">
        <v>-1.1399999999999999</v>
      </c>
      <c r="DL193" s="228">
        <v>21.01</v>
      </c>
      <c r="DM193" s="228">
        <v>21.71</v>
      </c>
      <c r="DN193" s="228">
        <v>-0.7</v>
      </c>
      <c r="DO193" s="228">
        <v>-0.7</v>
      </c>
      <c r="DP193" s="228">
        <v>0.56999999999999995</v>
      </c>
      <c r="DQ193" s="228">
        <v>0.54</v>
      </c>
      <c r="DR193" s="228">
        <v>0.03</v>
      </c>
      <c r="DS193" s="229">
        <v>5.5599999999999997E-2</v>
      </c>
      <c r="DT193" s="228">
        <v>400</v>
      </c>
      <c r="DU193" s="228">
        <v>390</v>
      </c>
      <c r="DV193" s="228">
        <v>0.51</v>
      </c>
      <c r="DW193" s="228">
        <v>0.36</v>
      </c>
      <c r="DX193" s="228">
        <v>0.15</v>
      </c>
      <c r="DY193" s="229">
        <v>0.41670000000000001</v>
      </c>
      <c r="DZ193" s="229">
        <v>0.2712</v>
      </c>
      <c r="EA193" s="230">
        <v>7732850</v>
      </c>
      <c r="EB193" s="229">
        <v>6.7999999999999996E-3</v>
      </c>
      <c r="EC193" s="229">
        <v>0.2712</v>
      </c>
      <c r="ED193" s="228">
        <v>2.4700000000000002</v>
      </c>
      <c r="EE193" s="229">
        <v>6.3E-3</v>
      </c>
      <c r="EF193" s="230">
        <v>2369027</v>
      </c>
      <c r="EG193" s="230">
        <v>2394747</v>
      </c>
      <c r="EH193" s="229">
        <v>-1.0699999999999999E-2</v>
      </c>
      <c r="EI193" s="229">
        <v>0.53720000000000001</v>
      </c>
      <c r="EJ193" s="231">
        <v>167190.94</v>
      </c>
      <c r="EK193" s="231">
        <v>84671.26</v>
      </c>
      <c r="EL193" s="231">
        <v>101405.2</v>
      </c>
      <c r="EM193" s="231">
        <v>6925</v>
      </c>
      <c r="EN193" s="231">
        <v>353267.4</v>
      </c>
      <c r="EO193" s="231">
        <v>287622.34000000003</v>
      </c>
      <c r="EP193" s="231">
        <v>65645.06</v>
      </c>
      <c r="EQ193" s="229">
        <v>0.22819999999999999</v>
      </c>
      <c r="ER193" s="231">
        <v>179882</v>
      </c>
      <c r="ES193" s="231">
        <v>98906</v>
      </c>
      <c r="ET193" s="231">
        <v>217289</v>
      </c>
      <c r="EU193" s="231">
        <v>169808198</v>
      </c>
      <c r="EV193" s="231">
        <v>496077</v>
      </c>
      <c r="EW193" s="231">
        <v>525442</v>
      </c>
      <c r="EX193" s="231">
        <v>-29365</v>
      </c>
      <c r="EY193" s="229">
        <v>-5.5899999999999998E-2</v>
      </c>
      <c r="EZ193" s="229">
        <v>0.73199999999999998</v>
      </c>
      <c r="FA193" s="227" t="s">
        <v>568</v>
      </c>
      <c r="FB193" s="161">
        <f t="shared" si="4"/>
        <v>0</v>
      </c>
    </row>
    <row r="194" spans="1:158" ht="17.25" thickBot="1" x14ac:dyDescent="0.3">
      <c r="A194" s="226">
        <v>45981</v>
      </c>
      <c r="B194" s="227" t="s">
        <v>227</v>
      </c>
      <c r="C194" s="227" t="s">
        <v>294</v>
      </c>
      <c r="D194" s="228">
        <v>5500</v>
      </c>
      <c r="E194" s="228">
        <v>172.53</v>
      </c>
      <c r="F194" s="228">
        <v>173.31</v>
      </c>
      <c r="G194" s="228">
        <v>-0.78</v>
      </c>
      <c r="H194" s="229">
        <v>-4.4999999999999997E-3</v>
      </c>
      <c r="I194" s="228">
        <v>172.46</v>
      </c>
      <c r="J194" s="228">
        <v>173.21</v>
      </c>
      <c r="K194" s="228">
        <v>-0.75</v>
      </c>
      <c r="L194" s="229">
        <v>-4.3E-3</v>
      </c>
      <c r="M194" s="228">
        <v>172.53</v>
      </c>
      <c r="N194" s="228">
        <v>173.31</v>
      </c>
      <c r="O194" s="228">
        <v>-0.78</v>
      </c>
      <c r="P194" s="229">
        <v>-4.4999999999999997E-3</v>
      </c>
      <c r="Q194" s="228">
        <v>173.69</v>
      </c>
      <c r="R194" s="228">
        <v>174.41</v>
      </c>
      <c r="S194" s="228">
        <v>-0.72</v>
      </c>
      <c r="T194" s="229">
        <v>-4.1000000000000003E-3</v>
      </c>
      <c r="U194" s="228">
        <v>174.73</v>
      </c>
      <c r="V194" s="228">
        <v>175.53</v>
      </c>
      <c r="W194" s="228">
        <v>-0.8</v>
      </c>
      <c r="X194" s="229">
        <v>-4.5999999999999999E-3</v>
      </c>
      <c r="Y194" s="228">
        <v>7.0000000000000007E-2</v>
      </c>
      <c r="Z194" s="228">
        <v>0.1</v>
      </c>
      <c r="AA194" s="228">
        <v>-0.03</v>
      </c>
      <c r="AB194" s="229">
        <v>4.0000000000000002E-4</v>
      </c>
      <c r="AC194" s="228">
        <v>7.0000000000000007E-2</v>
      </c>
      <c r="AD194" s="228">
        <v>0.1</v>
      </c>
      <c r="AE194" s="228">
        <v>-0.03</v>
      </c>
      <c r="AF194" s="229">
        <v>4.0000000000000002E-4</v>
      </c>
      <c r="AG194" s="228">
        <v>1.23</v>
      </c>
      <c r="AH194" s="228">
        <v>1.2</v>
      </c>
      <c r="AI194" s="228">
        <v>0.03</v>
      </c>
      <c r="AJ194" s="229">
        <v>7.1000000000000004E-3</v>
      </c>
      <c r="AK194" s="228">
        <v>2.27</v>
      </c>
      <c r="AL194" s="228">
        <v>2.3199999999999998</v>
      </c>
      <c r="AM194" s="228">
        <v>-0.05</v>
      </c>
      <c r="AN194" s="229">
        <v>1.32E-2</v>
      </c>
      <c r="AO194" s="228">
        <v>173.05</v>
      </c>
      <c r="AP194" s="228">
        <v>174.19</v>
      </c>
      <c r="AQ194" s="228">
        <v>0</v>
      </c>
      <c r="AR194" s="230">
        <v>94000500</v>
      </c>
      <c r="AS194" s="230">
        <v>49357000</v>
      </c>
      <c r="AT194" s="230">
        <v>44643500</v>
      </c>
      <c r="AU194" s="229">
        <v>0.90449999999999997</v>
      </c>
      <c r="AV194" s="230">
        <v>49973000</v>
      </c>
      <c r="AW194" s="230">
        <v>30283000</v>
      </c>
      <c r="AX194" s="230">
        <v>19690000</v>
      </c>
      <c r="AY194" s="229">
        <v>0.6502</v>
      </c>
      <c r="AZ194" s="230">
        <v>43329000</v>
      </c>
      <c r="BA194" s="230">
        <v>18491000</v>
      </c>
      <c r="BB194" s="230">
        <v>24838000</v>
      </c>
      <c r="BC194" s="229">
        <v>1.3431999999999999</v>
      </c>
      <c r="BD194" s="230">
        <v>698500</v>
      </c>
      <c r="BE194" s="230">
        <v>583000</v>
      </c>
      <c r="BF194" s="230">
        <v>115500</v>
      </c>
      <c r="BG194" s="229">
        <v>0.1981</v>
      </c>
      <c r="BH194" s="230">
        <v>315084000</v>
      </c>
      <c r="BI194" s="230">
        <v>348584500</v>
      </c>
      <c r="BJ194" s="230">
        <v>-33500500</v>
      </c>
      <c r="BK194" s="229">
        <v>-9.6100000000000005E-2</v>
      </c>
      <c r="BL194" s="230">
        <v>85992500</v>
      </c>
      <c r="BM194" s="230">
        <v>110302500</v>
      </c>
      <c r="BN194" s="230">
        <v>-24310000</v>
      </c>
      <c r="BO194" s="229">
        <v>-0.22040000000000001</v>
      </c>
      <c r="BP194" s="230">
        <v>495077000</v>
      </c>
      <c r="BQ194" s="230">
        <v>508244000</v>
      </c>
      <c r="BR194" s="230">
        <v>-13167000</v>
      </c>
      <c r="BS194" s="229">
        <v>-2.5899999999999999E-2</v>
      </c>
      <c r="BT194" s="230">
        <v>18963607</v>
      </c>
      <c r="BU194" s="230">
        <v>21679122</v>
      </c>
      <c r="BV194" s="230">
        <v>-2715515</v>
      </c>
      <c r="BW194" s="229">
        <v>-0.12529999999999999</v>
      </c>
      <c r="BX194" s="230">
        <v>274224500</v>
      </c>
      <c r="BY194" s="230">
        <v>271716500</v>
      </c>
      <c r="BZ194" s="230">
        <v>2508000</v>
      </c>
      <c r="CA194" s="229">
        <v>9.1999999999999998E-3</v>
      </c>
      <c r="CB194" s="230">
        <v>178238500</v>
      </c>
      <c r="CC194" s="230">
        <v>212003000</v>
      </c>
      <c r="CD194" s="230">
        <v>-33764500</v>
      </c>
      <c r="CE194" s="229">
        <v>-0.1593</v>
      </c>
      <c r="CF194" s="230">
        <v>89688500</v>
      </c>
      <c r="CG194" s="230">
        <v>53663500</v>
      </c>
      <c r="CH194" s="230">
        <v>36025000</v>
      </c>
      <c r="CI194" s="229">
        <v>0.67130000000000001</v>
      </c>
      <c r="CJ194" s="230">
        <v>6297500</v>
      </c>
      <c r="CK194" s="230">
        <v>6050000</v>
      </c>
      <c r="CL194" s="230">
        <v>247500</v>
      </c>
      <c r="CM194" s="229">
        <v>4.0899999999999999E-2</v>
      </c>
      <c r="CN194" s="230">
        <v>330951500</v>
      </c>
      <c r="CO194" s="230">
        <v>349503000</v>
      </c>
      <c r="CP194" s="230">
        <v>-18551500</v>
      </c>
      <c r="CQ194" s="229">
        <v>-5.3100000000000001E-2</v>
      </c>
      <c r="CR194" s="230">
        <v>115109500</v>
      </c>
      <c r="CS194" s="230">
        <v>120527000</v>
      </c>
      <c r="CT194" s="230">
        <v>-5417500</v>
      </c>
      <c r="CU194" s="229">
        <v>-4.4900000000000002E-2</v>
      </c>
      <c r="CV194" s="230">
        <v>720285500</v>
      </c>
      <c r="CW194" s="230">
        <v>741746500</v>
      </c>
      <c r="CX194" s="230">
        <v>-21461000</v>
      </c>
      <c r="CY194" s="229">
        <v>-2.8899999999999999E-2</v>
      </c>
      <c r="CZ194" s="228">
        <v>24.85</v>
      </c>
      <c r="DA194" s="228">
        <v>28.35</v>
      </c>
      <c r="DB194" s="228">
        <v>-3.5</v>
      </c>
      <c r="DC194" s="228">
        <v>-3.5</v>
      </c>
      <c r="DD194" s="228">
        <v>33.200000000000003</v>
      </c>
      <c r="DE194" s="228">
        <v>33.270000000000003</v>
      </c>
      <c r="DF194" s="228">
        <v>-8.35</v>
      </c>
      <c r="DG194" s="228">
        <v>-7.0000000000000007E-2</v>
      </c>
      <c r="DH194" s="228">
        <v>25.12</v>
      </c>
      <c r="DI194" s="228">
        <v>29.54</v>
      </c>
      <c r="DJ194" s="228">
        <v>-4.42</v>
      </c>
      <c r="DK194" s="228">
        <v>-4.42</v>
      </c>
      <c r="DL194" s="228">
        <v>24.11</v>
      </c>
      <c r="DM194" s="228">
        <v>24.59</v>
      </c>
      <c r="DN194" s="228">
        <v>-0.48</v>
      </c>
      <c r="DO194" s="228">
        <v>-0.48</v>
      </c>
      <c r="DP194" s="228">
        <v>0.35</v>
      </c>
      <c r="DQ194" s="228">
        <v>0.34</v>
      </c>
      <c r="DR194" s="228">
        <v>0.01</v>
      </c>
      <c r="DS194" s="229">
        <v>2.9399999999999999E-2</v>
      </c>
      <c r="DT194" s="228">
        <v>185</v>
      </c>
      <c r="DU194" s="228">
        <v>180</v>
      </c>
      <c r="DV194" s="228">
        <v>0.27</v>
      </c>
      <c r="DW194" s="228">
        <v>0.32</v>
      </c>
      <c r="DX194" s="228">
        <v>-0.05</v>
      </c>
      <c r="DY194" s="229">
        <v>-0.15620000000000001</v>
      </c>
      <c r="DZ194" s="229">
        <v>0.35</v>
      </c>
      <c r="EA194" s="230">
        <v>59713500</v>
      </c>
      <c r="EB194" s="229">
        <v>6.7000000000000002E-3</v>
      </c>
      <c r="EC194" s="229">
        <v>0.35</v>
      </c>
      <c r="ED194" s="228">
        <v>1.1399999999999999</v>
      </c>
      <c r="EE194" s="229">
        <v>6.6E-3</v>
      </c>
      <c r="EF194" s="230">
        <v>9722353</v>
      </c>
      <c r="EG194" s="230">
        <v>10534344</v>
      </c>
      <c r="EH194" s="229">
        <v>-7.7100000000000002E-2</v>
      </c>
      <c r="EI194" s="229">
        <v>0.51270000000000004</v>
      </c>
      <c r="EJ194" s="231">
        <v>575594.59</v>
      </c>
      <c r="EK194" s="231">
        <v>148553.48000000001</v>
      </c>
      <c r="EL194" s="231">
        <v>163179.01</v>
      </c>
      <c r="EM194" s="231">
        <v>16415</v>
      </c>
      <c r="EN194" s="231">
        <v>887327.08</v>
      </c>
      <c r="EO194" s="231">
        <v>914310.4</v>
      </c>
      <c r="EP194" s="231">
        <v>-26983.32</v>
      </c>
      <c r="EQ194" s="229">
        <v>-2.9499999999999998E-2</v>
      </c>
      <c r="ER194" s="231">
        <v>612398</v>
      </c>
      <c r="ES194" s="231">
        <v>199447</v>
      </c>
      <c r="ET194" s="231">
        <v>474298</v>
      </c>
      <c r="EU194" s="231">
        <v>833987639</v>
      </c>
      <c r="EV194" s="231">
        <v>1286143</v>
      </c>
      <c r="EW194" s="231">
        <v>1328038</v>
      </c>
      <c r="EX194" s="231">
        <v>-41895</v>
      </c>
      <c r="EY194" s="229">
        <v>-3.15E-2</v>
      </c>
      <c r="EZ194" s="229">
        <v>0.86370000000000002</v>
      </c>
      <c r="FA194" s="227" t="s">
        <v>567</v>
      </c>
      <c r="FB194" s="161">
        <f t="shared" si="4"/>
        <v>0</v>
      </c>
    </row>
    <row r="195" spans="1:158" ht="17.25" thickBot="1" x14ac:dyDescent="0.3">
      <c r="A195" s="226">
        <v>45981</v>
      </c>
      <c r="B195" s="227" t="s">
        <v>221</v>
      </c>
      <c r="C195" s="227" t="s">
        <v>664</v>
      </c>
      <c r="D195" s="228">
        <v>800</v>
      </c>
      <c r="E195" s="228">
        <v>682</v>
      </c>
      <c r="F195" s="228">
        <v>684.45</v>
      </c>
      <c r="G195" s="228">
        <v>-2.4500000000000002</v>
      </c>
      <c r="H195" s="229">
        <v>-3.5999999999999999E-3</v>
      </c>
      <c r="I195" s="228">
        <v>679.8</v>
      </c>
      <c r="J195" s="228">
        <v>682.3</v>
      </c>
      <c r="K195" s="228">
        <v>-2.5</v>
      </c>
      <c r="L195" s="229">
        <v>-3.7000000000000002E-3</v>
      </c>
      <c r="M195" s="228">
        <v>682</v>
      </c>
      <c r="N195" s="228">
        <v>684.45</v>
      </c>
      <c r="O195" s="228">
        <v>-2.4500000000000002</v>
      </c>
      <c r="P195" s="229">
        <v>-3.5999999999999999E-3</v>
      </c>
      <c r="Q195" s="228">
        <v>682.9</v>
      </c>
      <c r="R195" s="228">
        <v>687.25</v>
      </c>
      <c r="S195" s="228">
        <v>-4.3499999999999996</v>
      </c>
      <c r="T195" s="229">
        <v>-6.3E-3</v>
      </c>
      <c r="U195" s="228">
        <v>686.75</v>
      </c>
      <c r="V195" s="228">
        <v>690.7</v>
      </c>
      <c r="W195" s="228">
        <v>-3.95</v>
      </c>
      <c r="X195" s="229">
        <v>-5.7000000000000002E-3</v>
      </c>
      <c r="Y195" s="228">
        <v>2.2000000000000002</v>
      </c>
      <c r="Z195" s="228">
        <v>2.15</v>
      </c>
      <c r="AA195" s="228">
        <v>0.05</v>
      </c>
      <c r="AB195" s="229">
        <v>3.2000000000000002E-3</v>
      </c>
      <c r="AC195" s="228">
        <v>2.2000000000000002</v>
      </c>
      <c r="AD195" s="228">
        <v>2.15</v>
      </c>
      <c r="AE195" s="228">
        <v>0.05</v>
      </c>
      <c r="AF195" s="229">
        <v>3.2000000000000002E-3</v>
      </c>
      <c r="AG195" s="228">
        <v>3.1</v>
      </c>
      <c r="AH195" s="228">
        <v>4.95</v>
      </c>
      <c r="AI195" s="228">
        <v>-1.85</v>
      </c>
      <c r="AJ195" s="229">
        <v>4.5999999999999999E-3</v>
      </c>
      <c r="AK195" s="228">
        <v>6.95</v>
      </c>
      <c r="AL195" s="228">
        <v>8.4</v>
      </c>
      <c r="AM195" s="228">
        <v>-1.45</v>
      </c>
      <c r="AN195" s="229">
        <v>1.0200000000000001E-2</v>
      </c>
      <c r="AO195" s="228">
        <v>684.5</v>
      </c>
      <c r="AP195" s="228">
        <v>686.01</v>
      </c>
      <c r="AQ195" s="228">
        <v>0</v>
      </c>
      <c r="AR195" s="230">
        <v>9134400</v>
      </c>
      <c r="AS195" s="230">
        <v>2772800</v>
      </c>
      <c r="AT195" s="230">
        <v>6361600</v>
      </c>
      <c r="AU195" s="229">
        <v>2.2942999999999998</v>
      </c>
      <c r="AV195" s="230">
        <v>4626400</v>
      </c>
      <c r="AW195" s="230">
        <v>1506400</v>
      </c>
      <c r="AX195" s="230">
        <v>3120000</v>
      </c>
      <c r="AY195" s="229">
        <v>2.0712000000000002</v>
      </c>
      <c r="AZ195" s="230">
        <v>4472800</v>
      </c>
      <c r="BA195" s="230">
        <v>1163200</v>
      </c>
      <c r="BB195" s="230">
        <v>3309600</v>
      </c>
      <c r="BC195" s="229">
        <v>2.8452999999999999</v>
      </c>
      <c r="BD195" s="230">
        <v>35200</v>
      </c>
      <c r="BE195" s="230">
        <v>103200</v>
      </c>
      <c r="BF195" s="230">
        <v>-68000</v>
      </c>
      <c r="BG195" s="229">
        <v>-0.65890000000000004</v>
      </c>
      <c r="BH195" s="230">
        <v>4134400</v>
      </c>
      <c r="BI195" s="230">
        <v>5972000</v>
      </c>
      <c r="BJ195" s="230">
        <v>-1837600</v>
      </c>
      <c r="BK195" s="229">
        <v>-0.30769999999999997</v>
      </c>
      <c r="BL195" s="230">
        <v>2041600</v>
      </c>
      <c r="BM195" s="230">
        <v>2032000</v>
      </c>
      <c r="BN195" s="230">
        <v>9600</v>
      </c>
      <c r="BO195" s="229">
        <v>4.7000000000000002E-3</v>
      </c>
      <c r="BP195" s="230">
        <v>15310400</v>
      </c>
      <c r="BQ195" s="230">
        <v>10776800</v>
      </c>
      <c r="BR195" s="230">
        <v>4533600</v>
      </c>
      <c r="BS195" s="229">
        <v>0.42070000000000002</v>
      </c>
      <c r="BT195" s="230">
        <v>468747</v>
      </c>
      <c r="BU195" s="230">
        <v>683899</v>
      </c>
      <c r="BV195" s="230">
        <v>-215152</v>
      </c>
      <c r="BW195" s="229">
        <v>-0.31459999999999999</v>
      </c>
      <c r="BX195" s="230">
        <v>12112000</v>
      </c>
      <c r="BY195" s="230">
        <v>12280000</v>
      </c>
      <c r="BZ195" s="230">
        <v>-168000</v>
      </c>
      <c r="CA195" s="229">
        <v>-1.37E-2</v>
      </c>
      <c r="CB195" s="230">
        <v>6668800</v>
      </c>
      <c r="CC195" s="230">
        <v>9449600</v>
      </c>
      <c r="CD195" s="230">
        <v>-2780800</v>
      </c>
      <c r="CE195" s="229">
        <v>-0.29430000000000001</v>
      </c>
      <c r="CF195" s="230">
        <v>5233600</v>
      </c>
      <c r="CG195" s="230">
        <v>2636800</v>
      </c>
      <c r="CH195" s="230">
        <v>2596800</v>
      </c>
      <c r="CI195" s="229">
        <v>0.98480000000000001</v>
      </c>
      <c r="CJ195" s="230">
        <v>209600</v>
      </c>
      <c r="CK195" s="230">
        <v>193600</v>
      </c>
      <c r="CL195" s="230">
        <v>16000</v>
      </c>
      <c r="CM195" s="229">
        <v>8.2600000000000007E-2</v>
      </c>
      <c r="CN195" s="230">
        <v>5985600</v>
      </c>
      <c r="CO195" s="230">
        <v>5981600</v>
      </c>
      <c r="CP195" s="230">
        <v>4000</v>
      </c>
      <c r="CQ195" s="229">
        <v>6.9999999999999999E-4</v>
      </c>
      <c r="CR195" s="230">
        <v>3430400</v>
      </c>
      <c r="CS195" s="230">
        <v>3273600</v>
      </c>
      <c r="CT195" s="230">
        <v>156800</v>
      </c>
      <c r="CU195" s="229">
        <v>4.7899999999999998E-2</v>
      </c>
      <c r="CV195" s="230">
        <v>21528000</v>
      </c>
      <c r="CW195" s="230">
        <v>21535200</v>
      </c>
      <c r="CX195" s="230">
        <v>-7200</v>
      </c>
      <c r="CY195" s="229">
        <v>-2.9999999999999997E-4</v>
      </c>
      <c r="CZ195" s="228">
        <v>22.57</v>
      </c>
      <c r="DA195" s="228">
        <v>26.64</v>
      </c>
      <c r="DB195" s="228">
        <v>-4.07</v>
      </c>
      <c r="DC195" s="228">
        <v>-4.07</v>
      </c>
      <c r="DD195" s="228">
        <v>30.56</v>
      </c>
      <c r="DE195" s="228">
        <v>30.63</v>
      </c>
      <c r="DF195" s="228">
        <v>-7.99</v>
      </c>
      <c r="DG195" s="228">
        <v>-7.0000000000000007E-2</v>
      </c>
      <c r="DH195" s="228">
        <v>23.3</v>
      </c>
      <c r="DI195" s="228">
        <v>27.22</v>
      </c>
      <c r="DJ195" s="228">
        <v>-3.92</v>
      </c>
      <c r="DK195" s="228">
        <v>-3.92</v>
      </c>
      <c r="DL195" s="228">
        <v>21.29</v>
      </c>
      <c r="DM195" s="228">
        <v>24.93</v>
      </c>
      <c r="DN195" s="228">
        <v>-3.64</v>
      </c>
      <c r="DO195" s="228">
        <v>-3.64</v>
      </c>
      <c r="DP195" s="228">
        <v>0.56999999999999995</v>
      </c>
      <c r="DQ195" s="228">
        <v>0.55000000000000004</v>
      </c>
      <c r="DR195" s="228">
        <v>0.02</v>
      </c>
      <c r="DS195" s="229">
        <v>3.6400000000000002E-2</v>
      </c>
      <c r="DT195" s="228">
        <v>700</v>
      </c>
      <c r="DU195" s="228">
        <v>700</v>
      </c>
      <c r="DV195" s="228">
        <v>0.49</v>
      </c>
      <c r="DW195" s="228">
        <v>0.34</v>
      </c>
      <c r="DX195" s="228">
        <v>0.15</v>
      </c>
      <c r="DY195" s="229">
        <v>0.44119999999999998</v>
      </c>
      <c r="DZ195" s="229">
        <v>0.44940000000000002</v>
      </c>
      <c r="EA195" s="230">
        <v>2830400</v>
      </c>
      <c r="EB195" s="229">
        <v>1.2999999999999999E-3</v>
      </c>
      <c r="EC195" s="229">
        <v>0.44940000000000002</v>
      </c>
      <c r="ED195" s="228">
        <v>1.51</v>
      </c>
      <c r="EE195" s="229">
        <v>2.2000000000000001E-3</v>
      </c>
      <c r="EF195" s="230">
        <v>228749</v>
      </c>
      <c r="EG195" s="230">
        <v>314415</v>
      </c>
      <c r="EH195" s="229">
        <v>-0.27250000000000002</v>
      </c>
      <c r="EI195" s="229">
        <v>0.48799999999999999</v>
      </c>
      <c r="EJ195" s="231">
        <v>29449.54</v>
      </c>
      <c r="EK195" s="231">
        <v>14073.43</v>
      </c>
      <c r="EL195" s="231">
        <v>62593.94</v>
      </c>
      <c r="EM195" s="231">
        <v>2413</v>
      </c>
      <c r="EN195" s="231">
        <v>106116.91</v>
      </c>
      <c r="EO195" s="231">
        <v>75140.3</v>
      </c>
      <c r="EP195" s="231">
        <v>30976.61</v>
      </c>
      <c r="EQ195" s="229">
        <v>0.4123</v>
      </c>
      <c r="ER195" s="231">
        <v>43149</v>
      </c>
      <c r="ES195" s="231">
        <v>23218</v>
      </c>
      <c r="ET195" s="231">
        <v>82661</v>
      </c>
      <c r="EU195" s="231">
        <v>27246569</v>
      </c>
      <c r="EV195" s="231">
        <v>149027</v>
      </c>
      <c r="EW195" s="231">
        <v>149364</v>
      </c>
      <c r="EX195" s="228">
        <v>-337</v>
      </c>
      <c r="EY195" s="229">
        <v>-2.3E-3</v>
      </c>
      <c r="EZ195" s="229">
        <v>0.79010000000000002</v>
      </c>
      <c r="FA195" s="227" t="s">
        <v>568</v>
      </c>
      <c r="FB195" s="161">
        <f t="shared" ref="FB195:FB258" si="5">BX262-CB262</f>
        <v>0</v>
      </c>
    </row>
    <row r="196" spans="1:158" ht="17.25" thickBot="1" x14ac:dyDescent="0.3">
      <c r="A196" s="226">
        <v>45981</v>
      </c>
      <c r="B196" s="227" t="s">
        <v>221</v>
      </c>
      <c r="C196" s="227" t="s">
        <v>295</v>
      </c>
      <c r="D196" s="228">
        <v>175</v>
      </c>
      <c r="E196" s="231">
        <v>3144</v>
      </c>
      <c r="F196" s="231">
        <v>3146.1</v>
      </c>
      <c r="G196" s="228">
        <v>-2.1</v>
      </c>
      <c r="H196" s="229">
        <v>-6.9999999999999999E-4</v>
      </c>
      <c r="I196" s="231">
        <v>3144.8</v>
      </c>
      <c r="J196" s="231">
        <v>3147.7</v>
      </c>
      <c r="K196" s="228">
        <v>-2.9</v>
      </c>
      <c r="L196" s="229">
        <v>-8.9999999999999998E-4</v>
      </c>
      <c r="M196" s="231">
        <v>3144</v>
      </c>
      <c r="N196" s="231">
        <v>3146.1</v>
      </c>
      <c r="O196" s="228">
        <v>-2.1</v>
      </c>
      <c r="P196" s="229">
        <v>-6.9999999999999999E-4</v>
      </c>
      <c r="Q196" s="231">
        <v>3164.8</v>
      </c>
      <c r="R196" s="231">
        <v>3166.8</v>
      </c>
      <c r="S196" s="228">
        <v>-2</v>
      </c>
      <c r="T196" s="229">
        <v>-5.9999999999999995E-4</v>
      </c>
      <c r="U196" s="231">
        <v>3175.8</v>
      </c>
      <c r="V196" s="231">
        <v>3176.8</v>
      </c>
      <c r="W196" s="228">
        <v>-1</v>
      </c>
      <c r="X196" s="229">
        <v>-2.9999999999999997E-4</v>
      </c>
      <c r="Y196" s="228">
        <v>-0.8</v>
      </c>
      <c r="Z196" s="228">
        <v>-1.6</v>
      </c>
      <c r="AA196" s="228">
        <v>0.8</v>
      </c>
      <c r="AB196" s="229">
        <v>-2.9999999999999997E-4</v>
      </c>
      <c r="AC196" s="228">
        <v>-0.8</v>
      </c>
      <c r="AD196" s="228">
        <v>-1.6</v>
      </c>
      <c r="AE196" s="228">
        <v>0.8</v>
      </c>
      <c r="AF196" s="229">
        <v>-2.9999999999999997E-4</v>
      </c>
      <c r="AG196" s="228">
        <v>20</v>
      </c>
      <c r="AH196" s="228">
        <v>19.100000000000001</v>
      </c>
      <c r="AI196" s="228">
        <v>0.9</v>
      </c>
      <c r="AJ196" s="229">
        <v>6.4000000000000003E-3</v>
      </c>
      <c r="AK196" s="228">
        <v>31</v>
      </c>
      <c r="AL196" s="228">
        <v>29.1</v>
      </c>
      <c r="AM196" s="228">
        <v>1.9</v>
      </c>
      <c r="AN196" s="229">
        <v>9.9000000000000008E-3</v>
      </c>
      <c r="AO196" s="231">
        <v>3150.6</v>
      </c>
      <c r="AP196" s="231">
        <v>3171.1</v>
      </c>
      <c r="AQ196" s="228">
        <v>0</v>
      </c>
      <c r="AR196" s="230">
        <v>16509325</v>
      </c>
      <c r="AS196" s="230">
        <v>5997075</v>
      </c>
      <c r="AT196" s="230">
        <v>10512250</v>
      </c>
      <c r="AU196" s="229">
        <v>1.7528999999999999</v>
      </c>
      <c r="AV196" s="230">
        <v>8426600</v>
      </c>
      <c r="AW196" s="230">
        <v>4275075</v>
      </c>
      <c r="AX196" s="230">
        <v>4151525</v>
      </c>
      <c r="AY196" s="229">
        <v>0.97109999999999996</v>
      </c>
      <c r="AZ196" s="230">
        <v>7955675</v>
      </c>
      <c r="BA196" s="230">
        <v>1523725</v>
      </c>
      <c r="BB196" s="230">
        <v>6431950</v>
      </c>
      <c r="BC196" s="229">
        <v>4.2211999999999996</v>
      </c>
      <c r="BD196" s="230">
        <v>127050</v>
      </c>
      <c r="BE196" s="230">
        <v>198275</v>
      </c>
      <c r="BF196" s="230">
        <v>-71225</v>
      </c>
      <c r="BG196" s="229">
        <v>-0.35920000000000002</v>
      </c>
      <c r="BH196" s="230">
        <v>22545775</v>
      </c>
      <c r="BI196" s="230">
        <v>44251550</v>
      </c>
      <c r="BJ196" s="230">
        <v>-21705775</v>
      </c>
      <c r="BK196" s="229">
        <v>-0.49049999999999999</v>
      </c>
      <c r="BL196" s="230">
        <v>13434225</v>
      </c>
      <c r="BM196" s="230">
        <v>17738700</v>
      </c>
      <c r="BN196" s="230">
        <v>-4304475</v>
      </c>
      <c r="BO196" s="229">
        <v>-0.2427</v>
      </c>
      <c r="BP196" s="230">
        <v>52489325</v>
      </c>
      <c r="BQ196" s="230">
        <v>67987325</v>
      </c>
      <c r="BR196" s="230">
        <v>-15498000</v>
      </c>
      <c r="BS196" s="229">
        <v>-0.22800000000000001</v>
      </c>
      <c r="BT196" s="230">
        <v>3062658</v>
      </c>
      <c r="BU196" s="230">
        <v>3273149</v>
      </c>
      <c r="BV196" s="230">
        <v>-210491</v>
      </c>
      <c r="BW196" s="229">
        <v>-6.4299999999999996E-2</v>
      </c>
      <c r="BX196" s="230">
        <v>27396075</v>
      </c>
      <c r="BY196" s="230">
        <v>26870550</v>
      </c>
      <c r="BZ196" s="230">
        <v>525525</v>
      </c>
      <c r="CA196" s="229">
        <v>1.9599999999999999E-2</v>
      </c>
      <c r="CB196" s="230">
        <v>15791475</v>
      </c>
      <c r="CC196" s="230">
        <v>21885150</v>
      </c>
      <c r="CD196" s="230">
        <v>-6093675</v>
      </c>
      <c r="CE196" s="229">
        <v>-0.27839999999999998</v>
      </c>
      <c r="CF196" s="230">
        <v>11106900</v>
      </c>
      <c r="CG196" s="230">
        <v>4541075</v>
      </c>
      <c r="CH196" s="230">
        <v>6565825</v>
      </c>
      <c r="CI196" s="229">
        <v>1.4459</v>
      </c>
      <c r="CJ196" s="230">
        <v>497700</v>
      </c>
      <c r="CK196" s="230">
        <v>444325</v>
      </c>
      <c r="CL196" s="230">
        <v>53375</v>
      </c>
      <c r="CM196" s="229">
        <v>0.1201</v>
      </c>
      <c r="CN196" s="230">
        <v>11829300</v>
      </c>
      <c r="CO196" s="230">
        <v>12759425</v>
      </c>
      <c r="CP196" s="230">
        <v>-930125</v>
      </c>
      <c r="CQ196" s="229">
        <v>-7.2900000000000006E-2</v>
      </c>
      <c r="CR196" s="230">
        <v>8276975</v>
      </c>
      <c r="CS196" s="230">
        <v>8787275</v>
      </c>
      <c r="CT196" s="230">
        <v>-510300</v>
      </c>
      <c r="CU196" s="229">
        <v>-5.8099999999999999E-2</v>
      </c>
      <c r="CV196" s="230">
        <v>47502350</v>
      </c>
      <c r="CW196" s="230">
        <v>48417250</v>
      </c>
      <c r="CX196" s="230">
        <v>-914900</v>
      </c>
      <c r="CY196" s="229">
        <v>-1.89E-2</v>
      </c>
      <c r="CZ196" s="228">
        <v>18.600000000000001</v>
      </c>
      <c r="DA196" s="228">
        <v>20.27</v>
      </c>
      <c r="DB196" s="228">
        <v>-1.67</v>
      </c>
      <c r="DC196" s="228">
        <v>-1.67</v>
      </c>
      <c r="DD196" s="228">
        <v>24.19</v>
      </c>
      <c r="DE196" s="228">
        <v>24.25</v>
      </c>
      <c r="DF196" s="228">
        <v>-5.59</v>
      </c>
      <c r="DG196" s="228">
        <v>-0.06</v>
      </c>
      <c r="DH196" s="228">
        <v>18.66</v>
      </c>
      <c r="DI196" s="228">
        <v>20</v>
      </c>
      <c r="DJ196" s="228">
        <v>-1.34</v>
      </c>
      <c r="DK196" s="228">
        <v>-1.34</v>
      </c>
      <c r="DL196" s="228">
        <v>18.48</v>
      </c>
      <c r="DM196" s="228">
        <v>20.96</v>
      </c>
      <c r="DN196" s="228">
        <v>-2.48</v>
      </c>
      <c r="DO196" s="228">
        <v>-2.48</v>
      </c>
      <c r="DP196" s="228">
        <v>0.7</v>
      </c>
      <c r="DQ196" s="228">
        <v>0.69</v>
      </c>
      <c r="DR196" s="228">
        <v>0.01</v>
      </c>
      <c r="DS196" s="229">
        <v>1.4500000000000001E-2</v>
      </c>
      <c r="DT196" s="231">
        <v>3200</v>
      </c>
      <c r="DU196" s="231">
        <v>3000</v>
      </c>
      <c r="DV196" s="228">
        <v>0.6</v>
      </c>
      <c r="DW196" s="228">
        <v>0.4</v>
      </c>
      <c r="DX196" s="228">
        <v>0.2</v>
      </c>
      <c r="DY196" s="229">
        <v>0.5</v>
      </c>
      <c r="DZ196" s="229">
        <v>0.42359999999999998</v>
      </c>
      <c r="EA196" s="230">
        <v>4985400</v>
      </c>
      <c r="EB196" s="229">
        <v>6.6E-3</v>
      </c>
      <c r="EC196" s="229">
        <v>0.42359999999999998</v>
      </c>
      <c r="ED196" s="228">
        <v>20.5</v>
      </c>
      <c r="EE196" s="229">
        <v>6.4999999999999997E-3</v>
      </c>
      <c r="EF196" s="230">
        <v>1529570</v>
      </c>
      <c r="EG196" s="230">
        <v>1853017</v>
      </c>
      <c r="EH196" s="229">
        <v>-0.17460000000000001</v>
      </c>
      <c r="EI196" s="229">
        <v>0.49940000000000001</v>
      </c>
      <c r="EJ196" s="231">
        <v>727481.36</v>
      </c>
      <c r="EK196" s="231">
        <v>417039.73</v>
      </c>
      <c r="EL196" s="231">
        <v>521812.81</v>
      </c>
      <c r="EM196" s="231">
        <v>20723</v>
      </c>
      <c r="EN196" s="231">
        <v>1666333.9</v>
      </c>
      <c r="EO196" s="231">
        <v>2158691.08</v>
      </c>
      <c r="EP196" s="231">
        <v>-492357.18</v>
      </c>
      <c r="EQ196" s="229">
        <v>-0.2281</v>
      </c>
      <c r="ER196" s="231">
        <v>380366</v>
      </c>
      <c r="ES196" s="231">
        <v>253061</v>
      </c>
      <c r="ET196" s="231">
        <v>863801</v>
      </c>
      <c r="EU196" s="231">
        <v>123298271</v>
      </c>
      <c r="EV196" s="231">
        <v>1497228</v>
      </c>
      <c r="EW196" s="231">
        <v>1524616</v>
      </c>
      <c r="EX196" s="231">
        <v>-27388</v>
      </c>
      <c r="EY196" s="229">
        <v>-1.7999999999999999E-2</v>
      </c>
      <c r="EZ196" s="229">
        <v>0.38529999999999998</v>
      </c>
      <c r="FA196" s="227" t="s">
        <v>567</v>
      </c>
      <c r="FB196" s="161">
        <f t="shared" si="5"/>
        <v>0</v>
      </c>
    </row>
    <row r="197" spans="1:158" ht="17.25" thickBot="1" x14ac:dyDescent="0.3">
      <c r="A197" s="226">
        <v>45981</v>
      </c>
      <c r="B197" s="227" t="s">
        <v>221</v>
      </c>
      <c r="C197" s="227" t="s">
        <v>296</v>
      </c>
      <c r="D197" s="228">
        <v>600</v>
      </c>
      <c r="E197" s="231">
        <v>1458.5</v>
      </c>
      <c r="F197" s="231">
        <v>1438.6</v>
      </c>
      <c r="G197" s="228">
        <v>19.899999999999999</v>
      </c>
      <c r="H197" s="229">
        <v>1.38E-2</v>
      </c>
      <c r="I197" s="231">
        <v>1456</v>
      </c>
      <c r="J197" s="231">
        <v>1433.9</v>
      </c>
      <c r="K197" s="228">
        <v>22.1</v>
      </c>
      <c r="L197" s="229">
        <v>1.54E-2</v>
      </c>
      <c r="M197" s="231">
        <v>1458.5</v>
      </c>
      <c r="N197" s="231">
        <v>1438.6</v>
      </c>
      <c r="O197" s="228">
        <v>19.899999999999999</v>
      </c>
      <c r="P197" s="229">
        <v>1.38E-2</v>
      </c>
      <c r="Q197" s="231">
        <v>1468.1</v>
      </c>
      <c r="R197" s="231">
        <v>1446.9</v>
      </c>
      <c r="S197" s="228">
        <v>21.2</v>
      </c>
      <c r="T197" s="229">
        <v>1.47E-2</v>
      </c>
      <c r="U197" s="231">
        <v>1480.8</v>
      </c>
      <c r="V197" s="231">
        <v>1455.3</v>
      </c>
      <c r="W197" s="228">
        <v>25.5</v>
      </c>
      <c r="X197" s="229">
        <v>1.7500000000000002E-2</v>
      </c>
      <c r="Y197" s="228">
        <v>2.5</v>
      </c>
      <c r="Z197" s="228">
        <v>4.7</v>
      </c>
      <c r="AA197" s="228">
        <v>-2.2000000000000002</v>
      </c>
      <c r="AB197" s="229">
        <v>1.6999999999999999E-3</v>
      </c>
      <c r="AC197" s="228">
        <v>2.5</v>
      </c>
      <c r="AD197" s="228">
        <v>4.7</v>
      </c>
      <c r="AE197" s="228">
        <v>-2.2000000000000002</v>
      </c>
      <c r="AF197" s="229">
        <v>1.6999999999999999E-3</v>
      </c>
      <c r="AG197" s="228">
        <v>12.1</v>
      </c>
      <c r="AH197" s="228">
        <v>13</v>
      </c>
      <c r="AI197" s="228">
        <v>-0.9</v>
      </c>
      <c r="AJ197" s="229">
        <v>8.3000000000000001E-3</v>
      </c>
      <c r="AK197" s="228">
        <v>24.8</v>
      </c>
      <c r="AL197" s="228">
        <v>21.4</v>
      </c>
      <c r="AM197" s="228">
        <v>3.4</v>
      </c>
      <c r="AN197" s="229">
        <v>1.7000000000000001E-2</v>
      </c>
      <c r="AO197" s="231">
        <v>1454.55</v>
      </c>
      <c r="AP197" s="231">
        <v>1464.47</v>
      </c>
      <c r="AQ197" s="228">
        <v>0</v>
      </c>
      <c r="AR197" s="230">
        <v>16673400</v>
      </c>
      <c r="AS197" s="230">
        <v>8133600</v>
      </c>
      <c r="AT197" s="230">
        <v>8539800</v>
      </c>
      <c r="AU197" s="229">
        <v>1.0499000000000001</v>
      </c>
      <c r="AV197" s="230">
        <v>8839200</v>
      </c>
      <c r="AW197" s="230">
        <v>5247600</v>
      </c>
      <c r="AX197" s="230">
        <v>3591600</v>
      </c>
      <c r="AY197" s="229">
        <v>0.68440000000000001</v>
      </c>
      <c r="AZ197" s="230">
        <v>7765800</v>
      </c>
      <c r="BA197" s="230">
        <v>2830200</v>
      </c>
      <c r="BB197" s="230">
        <v>4935600</v>
      </c>
      <c r="BC197" s="229">
        <v>1.7439</v>
      </c>
      <c r="BD197" s="230">
        <v>68400</v>
      </c>
      <c r="BE197" s="230">
        <v>55800</v>
      </c>
      <c r="BF197" s="230">
        <v>12600</v>
      </c>
      <c r="BG197" s="229">
        <v>0.2258</v>
      </c>
      <c r="BH197" s="230">
        <v>37389000</v>
      </c>
      <c r="BI197" s="230">
        <v>22180200</v>
      </c>
      <c r="BJ197" s="230">
        <v>15208800</v>
      </c>
      <c r="BK197" s="229">
        <v>0.68569999999999998</v>
      </c>
      <c r="BL197" s="230">
        <v>11151600</v>
      </c>
      <c r="BM197" s="230">
        <v>8374200</v>
      </c>
      <c r="BN197" s="230">
        <v>2777400</v>
      </c>
      <c r="BO197" s="229">
        <v>0.33169999999999999</v>
      </c>
      <c r="BP197" s="230">
        <v>65214000</v>
      </c>
      <c r="BQ197" s="230">
        <v>38688000</v>
      </c>
      <c r="BR197" s="230">
        <v>26526000</v>
      </c>
      <c r="BS197" s="229">
        <v>0.68559999999999999</v>
      </c>
      <c r="BT197" s="230">
        <v>4971558</v>
      </c>
      <c r="BU197" s="230">
        <v>6063505</v>
      </c>
      <c r="BV197" s="230">
        <v>-1091947</v>
      </c>
      <c r="BW197" s="229">
        <v>-0.18010000000000001</v>
      </c>
      <c r="BX197" s="230">
        <v>24189000</v>
      </c>
      <c r="BY197" s="230">
        <v>23308800</v>
      </c>
      <c r="BZ197" s="230">
        <v>880200</v>
      </c>
      <c r="CA197" s="229">
        <v>3.78E-2</v>
      </c>
      <c r="CB197" s="230">
        <v>15027600</v>
      </c>
      <c r="CC197" s="230">
        <v>19882200</v>
      </c>
      <c r="CD197" s="230">
        <v>-4854600</v>
      </c>
      <c r="CE197" s="229">
        <v>-0.2442</v>
      </c>
      <c r="CF197" s="230">
        <v>9031200</v>
      </c>
      <c r="CG197" s="230">
        <v>3303600</v>
      </c>
      <c r="CH197" s="230">
        <v>5727600</v>
      </c>
      <c r="CI197" s="229">
        <v>1.7337</v>
      </c>
      <c r="CJ197" s="230">
        <v>130200</v>
      </c>
      <c r="CK197" s="230">
        <v>123000</v>
      </c>
      <c r="CL197" s="230">
        <v>7200</v>
      </c>
      <c r="CM197" s="229">
        <v>5.8500000000000003E-2</v>
      </c>
      <c r="CN197" s="230">
        <v>7975800</v>
      </c>
      <c r="CO197" s="230">
        <v>7612200</v>
      </c>
      <c r="CP197" s="230">
        <v>363600</v>
      </c>
      <c r="CQ197" s="229">
        <v>4.7800000000000002E-2</v>
      </c>
      <c r="CR197" s="230">
        <v>5033400</v>
      </c>
      <c r="CS197" s="230">
        <v>5117400</v>
      </c>
      <c r="CT197" s="230">
        <v>-84000</v>
      </c>
      <c r="CU197" s="229">
        <v>-1.6400000000000001E-2</v>
      </c>
      <c r="CV197" s="230">
        <v>37198200</v>
      </c>
      <c r="CW197" s="230">
        <v>36038400</v>
      </c>
      <c r="CX197" s="230">
        <v>1159800</v>
      </c>
      <c r="CY197" s="229">
        <v>3.2199999999999999E-2</v>
      </c>
      <c r="CZ197" s="228">
        <v>22.31</v>
      </c>
      <c r="DA197" s="228">
        <v>24.92</v>
      </c>
      <c r="DB197" s="228">
        <v>-2.61</v>
      </c>
      <c r="DC197" s="228">
        <v>-2.61</v>
      </c>
      <c r="DD197" s="228">
        <v>29.3</v>
      </c>
      <c r="DE197" s="228">
        <v>29.3</v>
      </c>
      <c r="DF197" s="228">
        <v>-6.99</v>
      </c>
      <c r="DG197" s="228">
        <v>0</v>
      </c>
      <c r="DH197" s="228">
        <v>22.29</v>
      </c>
      <c r="DI197" s="228">
        <v>25.12</v>
      </c>
      <c r="DJ197" s="228">
        <v>-2.83</v>
      </c>
      <c r="DK197" s="228">
        <v>-2.83</v>
      </c>
      <c r="DL197" s="228">
        <v>22.37</v>
      </c>
      <c r="DM197" s="228">
        <v>24.39</v>
      </c>
      <c r="DN197" s="228">
        <v>-2.02</v>
      </c>
      <c r="DO197" s="228">
        <v>-2.02</v>
      </c>
      <c r="DP197" s="228">
        <v>0.63</v>
      </c>
      <c r="DQ197" s="228">
        <v>0.67</v>
      </c>
      <c r="DR197" s="228">
        <v>-0.04</v>
      </c>
      <c r="DS197" s="229">
        <v>-5.9700000000000003E-2</v>
      </c>
      <c r="DT197" s="231">
        <v>1480</v>
      </c>
      <c r="DU197" s="231">
        <v>1440</v>
      </c>
      <c r="DV197" s="228">
        <v>0.3</v>
      </c>
      <c r="DW197" s="228">
        <v>0.38</v>
      </c>
      <c r="DX197" s="228">
        <v>-0.08</v>
      </c>
      <c r="DY197" s="229">
        <v>-0.21049999999999999</v>
      </c>
      <c r="DZ197" s="229">
        <v>0.37869999999999998</v>
      </c>
      <c r="EA197" s="230">
        <v>3426600</v>
      </c>
      <c r="EB197" s="229">
        <v>6.6E-3</v>
      </c>
      <c r="EC197" s="229">
        <v>0.37869999999999998</v>
      </c>
      <c r="ED197" s="228">
        <v>9.92</v>
      </c>
      <c r="EE197" s="229">
        <v>6.7999999999999996E-3</v>
      </c>
      <c r="EF197" s="230">
        <v>3243545</v>
      </c>
      <c r="EG197" s="230">
        <v>4583540</v>
      </c>
      <c r="EH197" s="229">
        <v>-0.2923</v>
      </c>
      <c r="EI197" s="229">
        <v>0.65239999999999998</v>
      </c>
      <c r="EJ197" s="231">
        <v>557773.76</v>
      </c>
      <c r="EK197" s="231">
        <v>160089.5</v>
      </c>
      <c r="EL197" s="231">
        <v>243306.99</v>
      </c>
      <c r="EM197" s="231">
        <v>5684</v>
      </c>
      <c r="EN197" s="231">
        <v>961170.25</v>
      </c>
      <c r="EO197" s="231">
        <v>564887.56999999995</v>
      </c>
      <c r="EP197" s="231">
        <v>396282.68</v>
      </c>
      <c r="EQ197" s="229">
        <v>0.70150000000000001</v>
      </c>
      <c r="ER197" s="231">
        <v>120556</v>
      </c>
      <c r="ES197" s="231">
        <v>71194</v>
      </c>
      <c r="ET197" s="231">
        <v>353693</v>
      </c>
      <c r="EU197" s="231">
        <v>76137451</v>
      </c>
      <c r="EV197" s="231">
        <v>545442</v>
      </c>
      <c r="EW197" s="231">
        <v>522637</v>
      </c>
      <c r="EX197" s="231">
        <v>22805</v>
      </c>
      <c r="EY197" s="229">
        <v>4.36E-2</v>
      </c>
      <c r="EZ197" s="229">
        <v>0.48859999999999998</v>
      </c>
      <c r="FA197" s="227" t="s">
        <v>555</v>
      </c>
      <c r="FB197" s="161">
        <f t="shared" si="5"/>
        <v>0</v>
      </c>
    </row>
    <row r="198" spans="1:158" ht="17.25" thickBot="1" x14ac:dyDescent="0.3">
      <c r="A198" s="226">
        <v>45981</v>
      </c>
      <c r="B198" s="227" t="s">
        <v>184</v>
      </c>
      <c r="C198" s="227" t="s">
        <v>595</v>
      </c>
      <c r="D198" s="228">
        <v>200</v>
      </c>
      <c r="E198" s="231">
        <v>3004.5</v>
      </c>
      <c r="F198" s="231">
        <v>3040.1</v>
      </c>
      <c r="G198" s="228">
        <v>-35.6</v>
      </c>
      <c r="H198" s="229">
        <v>-1.17E-2</v>
      </c>
      <c r="I198" s="231">
        <v>3005</v>
      </c>
      <c r="J198" s="231">
        <v>3033.3</v>
      </c>
      <c r="K198" s="228">
        <v>-28.3</v>
      </c>
      <c r="L198" s="229">
        <v>-9.2999999999999992E-3</v>
      </c>
      <c r="M198" s="231">
        <v>3004.5</v>
      </c>
      <c r="N198" s="231">
        <v>3040.1</v>
      </c>
      <c r="O198" s="228">
        <v>-35.6</v>
      </c>
      <c r="P198" s="229">
        <v>-1.17E-2</v>
      </c>
      <c r="Q198" s="231">
        <v>3024.4</v>
      </c>
      <c r="R198" s="231">
        <v>3059.9</v>
      </c>
      <c r="S198" s="228">
        <v>-35.5</v>
      </c>
      <c r="T198" s="229">
        <v>-1.1599999999999999E-2</v>
      </c>
      <c r="U198" s="231">
        <v>3040</v>
      </c>
      <c r="V198" s="231">
        <v>3077</v>
      </c>
      <c r="W198" s="228">
        <v>-37</v>
      </c>
      <c r="X198" s="229">
        <v>-1.2E-2</v>
      </c>
      <c r="Y198" s="228">
        <v>-0.5</v>
      </c>
      <c r="Z198" s="228">
        <v>6.8</v>
      </c>
      <c r="AA198" s="228">
        <v>-7.3</v>
      </c>
      <c r="AB198" s="229">
        <v>-2.0000000000000001E-4</v>
      </c>
      <c r="AC198" s="228">
        <v>-0.5</v>
      </c>
      <c r="AD198" s="228">
        <v>6.8</v>
      </c>
      <c r="AE198" s="228">
        <v>-7.3</v>
      </c>
      <c r="AF198" s="229">
        <v>-2.0000000000000001E-4</v>
      </c>
      <c r="AG198" s="228">
        <v>19.399999999999999</v>
      </c>
      <c r="AH198" s="228">
        <v>26.6</v>
      </c>
      <c r="AI198" s="228">
        <v>-7.2</v>
      </c>
      <c r="AJ198" s="229">
        <v>6.4999999999999997E-3</v>
      </c>
      <c r="AK198" s="228">
        <v>35</v>
      </c>
      <c r="AL198" s="228">
        <v>43.7</v>
      </c>
      <c r="AM198" s="228">
        <v>-8.6999999999999993</v>
      </c>
      <c r="AN198" s="229">
        <v>1.1599999999999999E-2</v>
      </c>
      <c r="AO198" s="231">
        <v>3028.27</v>
      </c>
      <c r="AP198" s="231">
        <v>3048.98</v>
      </c>
      <c r="AQ198" s="228">
        <v>0</v>
      </c>
      <c r="AR198" s="230">
        <v>1034600</v>
      </c>
      <c r="AS198" s="230">
        <v>254600</v>
      </c>
      <c r="AT198" s="230">
        <v>780000</v>
      </c>
      <c r="AU198" s="229">
        <v>3.0636000000000001</v>
      </c>
      <c r="AV198" s="230">
        <v>528800</v>
      </c>
      <c r="AW198" s="230">
        <v>170000</v>
      </c>
      <c r="AX198" s="230">
        <v>358800</v>
      </c>
      <c r="AY198" s="229">
        <v>2.1105999999999998</v>
      </c>
      <c r="AZ198" s="230">
        <v>503400</v>
      </c>
      <c r="BA198" s="230">
        <v>83400</v>
      </c>
      <c r="BB198" s="230">
        <v>420000</v>
      </c>
      <c r="BC198" s="229">
        <v>5.0359999999999996</v>
      </c>
      <c r="BD198" s="230">
        <v>2400</v>
      </c>
      <c r="BE198" s="230">
        <v>1200</v>
      </c>
      <c r="BF198" s="230">
        <v>1200</v>
      </c>
      <c r="BG198" s="229">
        <v>1</v>
      </c>
      <c r="BH198" s="230">
        <v>660200</v>
      </c>
      <c r="BI198" s="230">
        <v>608000</v>
      </c>
      <c r="BJ198" s="230">
        <v>52200</v>
      </c>
      <c r="BK198" s="229">
        <v>8.5900000000000004E-2</v>
      </c>
      <c r="BL198" s="230">
        <v>166400</v>
      </c>
      <c r="BM198" s="230">
        <v>216600</v>
      </c>
      <c r="BN198" s="230">
        <v>-50200</v>
      </c>
      <c r="BO198" s="229">
        <v>-0.23180000000000001</v>
      </c>
      <c r="BP198" s="230">
        <v>1861200</v>
      </c>
      <c r="BQ198" s="230">
        <v>1079200</v>
      </c>
      <c r="BR198" s="230">
        <v>782000</v>
      </c>
      <c r="BS198" s="229">
        <v>0.72460000000000002</v>
      </c>
      <c r="BT198" s="230">
        <v>126020</v>
      </c>
      <c r="BU198" s="230">
        <v>366497</v>
      </c>
      <c r="BV198" s="230">
        <v>-240477</v>
      </c>
      <c r="BW198" s="229">
        <v>-0.65610000000000002</v>
      </c>
      <c r="BX198" s="230">
        <v>1981800</v>
      </c>
      <c r="BY198" s="230">
        <v>1982000</v>
      </c>
      <c r="BZ198" s="228">
        <v>-200</v>
      </c>
      <c r="CA198" s="229">
        <v>-1E-4</v>
      </c>
      <c r="CB198" s="230">
        <v>1444800</v>
      </c>
      <c r="CC198" s="230">
        <v>1884000</v>
      </c>
      <c r="CD198" s="230">
        <v>-439200</v>
      </c>
      <c r="CE198" s="229">
        <v>-0.2331</v>
      </c>
      <c r="CF198" s="230">
        <v>530200</v>
      </c>
      <c r="CG198" s="230">
        <v>92600</v>
      </c>
      <c r="CH198" s="230">
        <v>437600</v>
      </c>
      <c r="CI198" s="229">
        <v>4.7256999999999998</v>
      </c>
      <c r="CJ198" s="230">
        <v>6800</v>
      </c>
      <c r="CK198" s="230">
        <v>5400</v>
      </c>
      <c r="CL198" s="230">
        <v>1400</v>
      </c>
      <c r="CM198" s="229">
        <v>0.25929999999999997</v>
      </c>
      <c r="CN198" s="230">
        <v>773400</v>
      </c>
      <c r="CO198" s="230">
        <v>771600</v>
      </c>
      <c r="CP198" s="230">
        <v>1800</v>
      </c>
      <c r="CQ198" s="229">
        <v>2.3E-3</v>
      </c>
      <c r="CR198" s="230">
        <v>539200</v>
      </c>
      <c r="CS198" s="230">
        <v>527000</v>
      </c>
      <c r="CT198" s="230">
        <v>12200</v>
      </c>
      <c r="CU198" s="229">
        <v>2.3099999999999999E-2</v>
      </c>
      <c r="CV198" s="230">
        <v>3294400</v>
      </c>
      <c r="CW198" s="230">
        <v>3280600</v>
      </c>
      <c r="CX198" s="230">
        <v>13800</v>
      </c>
      <c r="CY198" s="229">
        <v>4.1999999999999997E-3</v>
      </c>
      <c r="CZ198" s="228">
        <v>28.68</v>
      </c>
      <c r="DA198" s="228">
        <v>30.11</v>
      </c>
      <c r="DB198" s="228">
        <v>-1.43</v>
      </c>
      <c r="DC198" s="228">
        <v>-1.43</v>
      </c>
      <c r="DD198" s="228">
        <v>41.26</v>
      </c>
      <c r="DE198" s="228">
        <v>41.33</v>
      </c>
      <c r="DF198" s="228">
        <v>-12.58</v>
      </c>
      <c r="DG198" s="228">
        <v>-7.0000000000000007E-2</v>
      </c>
      <c r="DH198" s="228">
        <v>29.65</v>
      </c>
      <c r="DI198" s="228">
        <v>29.69</v>
      </c>
      <c r="DJ198" s="228">
        <v>-0.04</v>
      </c>
      <c r="DK198" s="228">
        <v>-0.04</v>
      </c>
      <c r="DL198" s="228">
        <v>27.18</v>
      </c>
      <c r="DM198" s="228">
        <v>31.29</v>
      </c>
      <c r="DN198" s="228">
        <v>-4.1100000000000003</v>
      </c>
      <c r="DO198" s="228">
        <v>-4.1100000000000003</v>
      </c>
      <c r="DP198" s="228">
        <v>0.7</v>
      </c>
      <c r="DQ198" s="228">
        <v>0.68</v>
      </c>
      <c r="DR198" s="228">
        <v>0.02</v>
      </c>
      <c r="DS198" s="229">
        <v>2.9399999999999999E-2</v>
      </c>
      <c r="DT198" s="231">
        <v>3200</v>
      </c>
      <c r="DU198" s="231">
        <v>3000</v>
      </c>
      <c r="DV198" s="228">
        <v>0.25</v>
      </c>
      <c r="DW198" s="228">
        <v>0.36</v>
      </c>
      <c r="DX198" s="228">
        <v>-0.11</v>
      </c>
      <c r="DY198" s="229">
        <v>-0.30559999999999998</v>
      </c>
      <c r="DZ198" s="229">
        <v>0.27100000000000002</v>
      </c>
      <c r="EA198" s="230">
        <v>98000</v>
      </c>
      <c r="EB198" s="229">
        <v>6.6E-3</v>
      </c>
      <c r="EC198" s="229">
        <v>0.27100000000000002</v>
      </c>
      <c r="ED198" s="228">
        <v>20.71</v>
      </c>
      <c r="EE198" s="229">
        <v>6.7999999999999996E-3</v>
      </c>
      <c r="EF198" s="230">
        <v>79531</v>
      </c>
      <c r="EG198" s="230">
        <v>286311</v>
      </c>
      <c r="EH198" s="229">
        <v>-0.72219999999999995</v>
      </c>
      <c r="EI198" s="229">
        <v>0.63109999999999999</v>
      </c>
      <c r="EJ198" s="231">
        <v>20838.91</v>
      </c>
      <c r="EK198" s="231">
        <v>5094.3100000000004</v>
      </c>
      <c r="EL198" s="231">
        <v>31435.72</v>
      </c>
      <c r="EM198" s="231">
        <v>1126</v>
      </c>
      <c r="EN198" s="231">
        <v>57368.94</v>
      </c>
      <c r="EO198" s="231">
        <v>33565.279999999999</v>
      </c>
      <c r="EP198" s="231">
        <v>23803.66</v>
      </c>
      <c r="EQ198" s="229">
        <v>0.70920000000000005</v>
      </c>
      <c r="ER198" s="231">
        <v>24685</v>
      </c>
      <c r="ES198" s="231">
        <v>16014</v>
      </c>
      <c r="ET198" s="231">
        <v>59651</v>
      </c>
      <c r="EU198" s="231">
        <v>14039249</v>
      </c>
      <c r="EV198" s="231">
        <v>100350</v>
      </c>
      <c r="EW198" s="231">
        <v>100661</v>
      </c>
      <c r="EX198" s="228">
        <v>-311</v>
      </c>
      <c r="EY198" s="229">
        <v>-3.0999999999999999E-3</v>
      </c>
      <c r="EZ198" s="229">
        <v>0.23469999999999999</v>
      </c>
      <c r="FA198" s="227" t="s">
        <v>568</v>
      </c>
      <c r="FB198" s="161">
        <f t="shared" si="5"/>
        <v>0</v>
      </c>
    </row>
    <row r="199" spans="1:158" ht="17.25" thickBot="1" x14ac:dyDescent="0.3">
      <c r="A199" s="226">
        <v>45981</v>
      </c>
      <c r="B199" s="227" t="s">
        <v>184</v>
      </c>
      <c r="C199" s="227" t="s">
        <v>663</v>
      </c>
      <c r="D199" s="228">
        <v>725</v>
      </c>
      <c r="E199" s="228">
        <v>868.55</v>
      </c>
      <c r="F199" s="228">
        <v>874.05</v>
      </c>
      <c r="G199" s="228">
        <v>-5.5</v>
      </c>
      <c r="H199" s="229">
        <v>-6.3E-3</v>
      </c>
      <c r="I199" s="228">
        <v>866.2</v>
      </c>
      <c r="J199" s="228">
        <v>871.7</v>
      </c>
      <c r="K199" s="228">
        <v>-5.5</v>
      </c>
      <c r="L199" s="229">
        <v>-6.3E-3</v>
      </c>
      <c r="M199" s="228">
        <v>868.55</v>
      </c>
      <c r="N199" s="228">
        <v>874.05</v>
      </c>
      <c r="O199" s="228">
        <v>-5.5</v>
      </c>
      <c r="P199" s="229">
        <v>-6.3E-3</v>
      </c>
      <c r="Q199" s="228">
        <v>872.1</v>
      </c>
      <c r="R199" s="228">
        <v>877.5</v>
      </c>
      <c r="S199" s="228">
        <v>-5.4</v>
      </c>
      <c r="T199" s="229">
        <v>-6.1999999999999998E-3</v>
      </c>
      <c r="U199" s="228">
        <v>0</v>
      </c>
      <c r="V199" s="228">
        <v>0</v>
      </c>
      <c r="W199" s="228">
        <v>0</v>
      </c>
      <c r="X199" s="229">
        <v>0</v>
      </c>
      <c r="Y199" s="228">
        <v>2.35</v>
      </c>
      <c r="Z199" s="228">
        <v>2.35</v>
      </c>
      <c r="AA199" s="228">
        <v>0</v>
      </c>
      <c r="AB199" s="229">
        <v>2.7000000000000001E-3</v>
      </c>
      <c r="AC199" s="228">
        <v>2.35</v>
      </c>
      <c r="AD199" s="228">
        <v>2.35</v>
      </c>
      <c r="AE199" s="228">
        <v>0</v>
      </c>
      <c r="AF199" s="229">
        <v>2.7000000000000001E-3</v>
      </c>
      <c r="AG199" s="228">
        <v>5.9</v>
      </c>
      <c r="AH199" s="228">
        <v>5.8</v>
      </c>
      <c r="AI199" s="228">
        <v>0.1</v>
      </c>
      <c r="AJ199" s="229">
        <v>6.7999999999999996E-3</v>
      </c>
      <c r="AK199" s="228">
        <v>0</v>
      </c>
      <c r="AL199" s="228">
        <v>0</v>
      </c>
      <c r="AM199" s="228">
        <v>0</v>
      </c>
      <c r="AN199" s="229">
        <v>0</v>
      </c>
      <c r="AO199" s="228">
        <v>874.3</v>
      </c>
      <c r="AP199" s="228">
        <v>877.42</v>
      </c>
      <c r="AQ199" s="228">
        <v>0</v>
      </c>
      <c r="AR199" s="230">
        <v>3069650</v>
      </c>
      <c r="AS199" s="230">
        <v>3050800</v>
      </c>
      <c r="AT199" s="230">
        <v>18850</v>
      </c>
      <c r="AU199" s="229">
        <v>6.1999999999999998E-3</v>
      </c>
      <c r="AV199" s="230">
        <v>1658800</v>
      </c>
      <c r="AW199" s="230">
        <v>1943725</v>
      </c>
      <c r="AX199" s="230">
        <v>-284925</v>
      </c>
      <c r="AY199" s="229">
        <v>-0.14660000000000001</v>
      </c>
      <c r="AZ199" s="230">
        <v>1410850</v>
      </c>
      <c r="BA199" s="230">
        <v>1107075</v>
      </c>
      <c r="BB199" s="230">
        <v>303775</v>
      </c>
      <c r="BC199" s="229">
        <v>0.27439999999999998</v>
      </c>
      <c r="BD199" s="228">
        <v>0</v>
      </c>
      <c r="BE199" s="228">
        <v>0</v>
      </c>
      <c r="BF199" s="228">
        <v>0</v>
      </c>
      <c r="BG199" s="229">
        <v>0</v>
      </c>
      <c r="BH199" s="230">
        <v>6432925</v>
      </c>
      <c r="BI199" s="230">
        <v>9358300</v>
      </c>
      <c r="BJ199" s="230">
        <v>-2925375</v>
      </c>
      <c r="BK199" s="229">
        <v>-0.31259999999999999</v>
      </c>
      <c r="BL199" s="230">
        <v>1281800</v>
      </c>
      <c r="BM199" s="230">
        <v>2719475</v>
      </c>
      <c r="BN199" s="230">
        <v>-1437675</v>
      </c>
      <c r="BO199" s="229">
        <v>-0.52869999999999995</v>
      </c>
      <c r="BP199" s="230">
        <v>10784375</v>
      </c>
      <c r="BQ199" s="230">
        <v>15128575</v>
      </c>
      <c r="BR199" s="230">
        <v>-4344200</v>
      </c>
      <c r="BS199" s="229">
        <v>-0.28720000000000001</v>
      </c>
      <c r="BT199" s="230">
        <v>607040</v>
      </c>
      <c r="BU199" s="230">
        <v>940003</v>
      </c>
      <c r="BV199" s="230">
        <v>-332963</v>
      </c>
      <c r="BW199" s="229">
        <v>-0.35420000000000001</v>
      </c>
      <c r="BX199" s="230">
        <v>6957825</v>
      </c>
      <c r="BY199" s="230">
        <v>7344250</v>
      </c>
      <c r="BZ199" s="230">
        <v>-386425</v>
      </c>
      <c r="CA199" s="229">
        <v>-5.2600000000000001E-2</v>
      </c>
      <c r="CB199" s="230">
        <v>4951025</v>
      </c>
      <c r="CC199" s="230">
        <v>6028375</v>
      </c>
      <c r="CD199" s="230">
        <v>-1077350</v>
      </c>
      <c r="CE199" s="229">
        <v>-0.1787</v>
      </c>
      <c r="CF199" s="230">
        <v>2006800</v>
      </c>
      <c r="CG199" s="230">
        <v>1315875</v>
      </c>
      <c r="CH199" s="230">
        <v>690925</v>
      </c>
      <c r="CI199" s="229">
        <v>0.52510000000000001</v>
      </c>
      <c r="CJ199" s="228">
        <v>0</v>
      </c>
      <c r="CK199" s="228">
        <v>0</v>
      </c>
      <c r="CL199" s="228">
        <v>0</v>
      </c>
      <c r="CM199" s="229">
        <v>0</v>
      </c>
      <c r="CN199" s="230">
        <v>4366675</v>
      </c>
      <c r="CO199" s="230">
        <v>4790075</v>
      </c>
      <c r="CP199" s="230">
        <v>-423400</v>
      </c>
      <c r="CQ199" s="229">
        <v>-8.8400000000000006E-2</v>
      </c>
      <c r="CR199" s="230">
        <v>2545475</v>
      </c>
      <c r="CS199" s="230">
        <v>2727450</v>
      </c>
      <c r="CT199" s="230">
        <v>-181975</v>
      </c>
      <c r="CU199" s="229">
        <v>-6.6699999999999995E-2</v>
      </c>
      <c r="CV199" s="230">
        <v>13869975</v>
      </c>
      <c r="CW199" s="230">
        <v>14861775</v>
      </c>
      <c r="CX199" s="230">
        <v>-991800</v>
      </c>
      <c r="CY199" s="229">
        <v>-6.6699999999999995E-2</v>
      </c>
      <c r="CZ199" s="228">
        <v>32.03</v>
      </c>
      <c r="DA199" s="228">
        <v>32.85</v>
      </c>
      <c r="DB199" s="228">
        <v>-0.82</v>
      </c>
      <c r="DC199" s="228">
        <v>-0.82</v>
      </c>
      <c r="DD199" s="228">
        <v>53.65</v>
      </c>
      <c r="DE199" s="228">
        <v>53.78</v>
      </c>
      <c r="DF199" s="228">
        <v>-21.62</v>
      </c>
      <c r="DG199" s="228">
        <v>-0.13</v>
      </c>
      <c r="DH199" s="228">
        <v>32.450000000000003</v>
      </c>
      <c r="DI199" s="228">
        <v>33.01</v>
      </c>
      <c r="DJ199" s="228">
        <v>-0.56000000000000005</v>
      </c>
      <c r="DK199" s="228">
        <v>-0.56000000000000005</v>
      </c>
      <c r="DL199" s="228">
        <v>31.48</v>
      </c>
      <c r="DM199" s="228">
        <v>32.33</v>
      </c>
      <c r="DN199" s="228">
        <v>-0.85</v>
      </c>
      <c r="DO199" s="228">
        <v>-0.85</v>
      </c>
      <c r="DP199" s="228">
        <v>0.57999999999999996</v>
      </c>
      <c r="DQ199" s="228">
        <v>0.56999999999999995</v>
      </c>
      <c r="DR199" s="228">
        <v>0.01</v>
      </c>
      <c r="DS199" s="229">
        <v>1.7500000000000002E-2</v>
      </c>
      <c r="DT199" s="228">
        <v>900</v>
      </c>
      <c r="DU199" s="228">
        <v>840</v>
      </c>
      <c r="DV199" s="228">
        <v>0.2</v>
      </c>
      <c r="DW199" s="228">
        <v>0.28999999999999998</v>
      </c>
      <c r="DX199" s="228">
        <v>-0.09</v>
      </c>
      <c r="DY199" s="229">
        <v>-0.31030000000000002</v>
      </c>
      <c r="DZ199" s="229">
        <v>0.28839999999999999</v>
      </c>
      <c r="EA199" s="230">
        <v>1315875</v>
      </c>
      <c r="EB199" s="229">
        <v>4.1000000000000003E-3</v>
      </c>
      <c r="EC199" s="229">
        <v>0.28839999999999999</v>
      </c>
      <c r="ED199" s="228">
        <v>3.12</v>
      </c>
      <c r="EE199" s="229">
        <v>3.5999999999999999E-3</v>
      </c>
      <c r="EF199" s="230">
        <v>268964</v>
      </c>
      <c r="EG199" s="230">
        <v>259770</v>
      </c>
      <c r="EH199" s="229">
        <v>3.5400000000000001E-2</v>
      </c>
      <c r="EI199" s="229">
        <v>0.44309999999999999</v>
      </c>
      <c r="EJ199" s="231">
        <v>59138.09</v>
      </c>
      <c r="EK199" s="231">
        <v>10892.28</v>
      </c>
      <c r="EL199" s="231">
        <v>26881.89</v>
      </c>
      <c r="EM199" s="231">
        <v>3329</v>
      </c>
      <c r="EN199" s="231">
        <v>96912.26</v>
      </c>
      <c r="EO199" s="231">
        <v>135209.07999999999</v>
      </c>
      <c r="EP199" s="231">
        <v>-38296.82</v>
      </c>
      <c r="EQ199" s="229">
        <v>-0.28320000000000001</v>
      </c>
      <c r="ER199" s="231">
        <v>40690</v>
      </c>
      <c r="ES199" s="231">
        <v>21447</v>
      </c>
      <c r="ET199" s="231">
        <v>60503</v>
      </c>
      <c r="EU199" s="231">
        <v>12028036</v>
      </c>
      <c r="EV199" s="231">
        <v>122641</v>
      </c>
      <c r="EW199" s="231">
        <v>131923</v>
      </c>
      <c r="EX199" s="231">
        <v>-9282</v>
      </c>
      <c r="EY199" s="229">
        <v>-7.0400000000000004E-2</v>
      </c>
      <c r="EZ199" s="229">
        <v>1.1531</v>
      </c>
      <c r="FA199" s="227" t="s">
        <v>568</v>
      </c>
      <c r="FB199" s="161">
        <f t="shared" si="5"/>
        <v>0</v>
      </c>
    </row>
    <row r="200" spans="1:158" ht="17.25" thickBot="1" x14ac:dyDescent="0.3">
      <c r="A200" s="226">
        <v>45981</v>
      </c>
      <c r="B200" s="227" t="s">
        <v>168</v>
      </c>
      <c r="C200" s="227" t="s">
        <v>297</v>
      </c>
      <c r="D200" s="228">
        <v>175</v>
      </c>
      <c r="E200" s="231">
        <v>3905.8</v>
      </c>
      <c r="F200" s="231">
        <v>3930.5</v>
      </c>
      <c r="G200" s="228">
        <v>-24.7</v>
      </c>
      <c r="H200" s="229">
        <v>-6.3E-3</v>
      </c>
      <c r="I200" s="231">
        <v>3902.4</v>
      </c>
      <c r="J200" s="231">
        <v>3933.1</v>
      </c>
      <c r="K200" s="228">
        <v>-30.7</v>
      </c>
      <c r="L200" s="229">
        <v>-7.7999999999999996E-3</v>
      </c>
      <c r="M200" s="231">
        <v>3905.8</v>
      </c>
      <c r="N200" s="231">
        <v>3930.5</v>
      </c>
      <c r="O200" s="228">
        <v>-24.7</v>
      </c>
      <c r="P200" s="229">
        <v>-6.3E-3</v>
      </c>
      <c r="Q200" s="231">
        <v>3932.5</v>
      </c>
      <c r="R200" s="231">
        <v>3957.2</v>
      </c>
      <c r="S200" s="228">
        <v>-24.7</v>
      </c>
      <c r="T200" s="229">
        <v>-6.1999999999999998E-3</v>
      </c>
      <c r="U200" s="231">
        <v>3955.4</v>
      </c>
      <c r="V200" s="231">
        <v>3981.3</v>
      </c>
      <c r="W200" s="228">
        <v>-25.9</v>
      </c>
      <c r="X200" s="229">
        <v>-6.4999999999999997E-3</v>
      </c>
      <c r="Y200" s="228">
        <v>3.4</v>
      </c>
      <c r="Z200" s="228">
        <v>-2.6</v>
      </c>
      <c r="AA200" s="228">
        <v>6</v>
      </c>
      <c r="AB200" s="229">
        <v>8.9999999999999998E-4</v>
      </c>
      <c r="AC200" s="228">
        <v>3.4</v>
      </c>
      <c r="AD200" s="228">
        <v>-2.6</v>
      </c>
      <c r="AE200" s="228">
        <v>6</v>
      </c>
      <c r="AF200" s="229">
        <v>8.9999999999999998E-4</v>
      </c>
      <c r="AG200" s="228">
        <v>30.1</v>
      </c>
      <c r="AH200" s="228">
        <v>24.1</v>
      </c>
      <c r="AI200" s="228">
        <v>6</v>
      </c>
      <c r="AJ200" s="229">
        <v>7.7000000000000002E-3</v>
      </c>
      <c r="AK200" s="228">
        <v>53</v>
      </c>
      <c r="AL200" s="228">
        <v>48.2</v>
      </c>
      <c r="AM200" s="228">
        <v>4.8</v>
      </c>
      <c r="AN200" s="229">
        <v>1.3599999999999999E-2</v>
      </c>
      <c r="AO200" s="231">
        <v>3925.61</v>
      </c>
      <c r="AP200" s="231">
        <v>3951.77</v>
      </c>
      <c r="AQ200" s="228">
        <v>0</v>
      </c>
      <c r="AR200" s="230">
        <v>4663225</v>
      </c>
      <c r="AS200" s="230">
        <v>2189950</v>
      </c>
      <c r="AT200" s="230">
        <v>2473275</v>
      </c>
      <c r="AU200" s="229">
        <v>1.1294</v>
      </c>
      <c r="AV200" s="230">
        <v>2387350</v>
      </c>
      <c r="AW200" s="230">
        <v>1649200</v>
      </c>
      <c r="AX200" s="230">
        <v>738150</v>
      </c>
      <c r="AY200" s="229">
        <v>0.4476</v>
      </c>
      <c r="AZ200" s="230">
        <v>2253125</v>
      </c>
      <c r="BA200" s="230">
        <v>518175</v>
      </c>
      <c r="BB200" s="230">
        <v>1734950</v>
      </c>
      <c r="BC200" s="229">
        <v>3.3481999999999998</v>
      </c>
      <c r="BD200" s="230">
        <v>22750</v>
      </c>
      <c r="BE200" s="230">
        <v>22575</v>
      </c>
      <c r="BF200" s="228">
        <v>175</v>
      </c>
      <c r="BG200" s="229">
        <v>7.7999999999999996E-3</v>
      </c>
      <c r="BH200" s="230">
        <v>7879200</v>
      </c>
      <c r="BI200" s="230">
        <v>15382150</v>
      </c>
      <c r="BJ200" s="230">
        <v>-7502950</v>
      </c>
      <c r="BK200" s="229">
        <v>-0.48780000000000001</v>
      </c>
      <c r="BL200" s="230">
        <v>4824050</v>
      </c>
      <c r="BM200" s="230">
        <v>7920675</v>
      </c>
      <c r="BN200" s="230">
        <v>-3096625</v>
      </c>
      <c r="BO200" s="229">
        <v>-0.39100000000000001</v>
      </c>
      <c r="BP200" s="230">
        <v>17366475</v>
      </c>
      <c r="BQ200" s="230">
        <v>25492775</v>
      </c>
      <c r="BR200" s="230">
        <v>-8126300</v>
      </c>
      <c r="BS200" s="229">
        <v>-0.31879999999999997</v>
      </c>
      <c r="BT200" s="230">
        <v>810400</v>
      </c>
      <c r="BU200" s="230">
        <v>1616874</v>
      </c>
      <c r="BV200" s="230">
        <v>-806474</v>
      </c>
      <c r="BW200" s="229">
        <v>-0.49880000000000002</v>
      </c>
      <c r="BX200" s="230">
        <v>9801750</v>
      </c>
      <c r="BY200" s="230">
        <v>9864225</v>
      </c>
      <c r="BZ200" s="230">
        <v>-62475</v>
      </c>
      <c r="CA200" s="229">
        <v>-6.3E-3</v>
      </c>
      <c r="CB200" s="230">
        <v>6944350</v>
      </c>
      <c r="CC200" s="230">
        <v>8779575</v>
      </c>
      <c r="CD200" s="230">
        <v>-1835225</v>
      </c>
      <c r="CE200" s="229">
        <v>-0.20899999999999999</v>
      </c>
      <c r="CF200" s="230">
        <v>2790375</v>
      </c>
      <c r="CG200" s="230">
        <v>1021825</v>
      </c>
      <c r="CH200" s="230">
        <v>1768550</v>
      </c>
      <c r="CI200" s="229">
        <v>1.7307999999999999</v>
      </c>
      <c r="CJ200" s="230">
        <v>67025</v>
      </c>
      <c r="CK200" s="230">
        <v>62825</v>
      </c>
      <c r="CL200" s="230">
        <v>4200</v>
      </c>
      <c r="CM200" s="229">
        <v>6.6900000000000001E-2</v>
      </c>
      <c r="CN200" s="230">
        <v>4251625</v>
      </c>
      <c r="CO200" s="230">
        <v>4389175</v>
      </c>
      <c r="CP200" s="230">
        <v>-137550</v>
      </c>
      <c r="CQ200" s="229">
        <v>-3.1300000000000001E-2</v>
      </c>
      <c r="CR200" s="230">
        <v>3009825</v>
      </c>
      <c r="CS200" s="230">
        <v>3165750</v>
      </c>
      <c r="CT200" s="230">
        <v>-155925</v>
      </c>
      <c r="CU200" s="229">
        <v>-4.9299999999999997E-2</v>
      </c>
      <c r="CV200" s="230">
        <v>17063200</v>
      </c>
      <c r="CW200" s="230">
        <v>17419150</v>
      </c>
      <c r="CX200" s="230">
        <v>-355950</v>
      </c>
      <c r="CY200" s="229">
        <v>-2.0400000000000001E-2</v>
      </c>
      <c r="CZ200" s="228">
        <v>18.809999999999999</v>
      </c>
      <c r="DA200" s="228">
        <v>17.32</v>
      </c>
      <c r="DB200" s="228">
        <v>1.49</v>
      </c>
      <c r="DC200" s="228">
        <v>1.49</v>
      </c>
      <c r="DD200" s="228">
        <v>25.42</v>
      </c>
      <c r="DE200" s="228">
        <v>25.47</v>
      </c>
      <c r="DF200" s="228">
        <v>-6.61</v>
      </c>
      <c r="DG200" s="228">
        <v>-0.05</v>
      </c>
      <c r="DH200" s="228">
        <v>18.760000000000002</v>
      </c>
      <c r="DI200" s="228">
        <v>16.48</v>
      </c>
      <c r="DJ200" s="228">
        <v>2.2799999999999998</v>
      </c>
      <c r="DK200" s="228">
        <v>2.2799999999999998</v>
      </c>
      <c r="DL200" s="228">
        <v>18.920000000000002</v>
      </c>
      <c r="DM200" s="228">
        <v>18.96</v>
      </c>
      <c r="DN200" s="228">
        <v>-0.04</v>
      </c>
      <c r="DO200" s="228">
        <v>-0.04</v>
      </c>
      <c r="DP200" s="228">
        <v>0.71</v>
      </c>
      <c r="DQ200" s="228">
        <v>0.72</v>
      </c>
      <c r="DR200" s="228">
        <v>-0.01</v>
      </c>
      <c r="DS200" s="229">
        <v>-1.3899999999999999E-2</v>
      </c>
      <c r="DT200" s="231">
        <v>4000</v>
      </c>
      <c r="DU200" s="231">
        <v>3700</v>
      </c>
      <c r="DV200" s="228">
        <v>0.61</v>
      </c>
      <c r="DW200" s="228">
        <v>0.51</v>
      </c>
      <c r="DX200" s="228">
        <v>0.1</v>
      </c>
      <c r="DY200" s="229">
        <v>0.1961</v>
      </c>
      <c r="DZ200" s="229">
        <v>0.29149999999999998</v>
      </c>
      <c r="EA200" s="230">
        <v>1084650</v>
      </c>
      <c r="EB200" s="229">
        <v>6.7999999999999996E-3</v>
      </c>
      <c r="EC200" s="229">
        <v>0.29149999999999998</v>
      </c>
      <c r="ED200" s="228">
        <v>26.16</v>
      </c>
      <c r="EE200" s="229">
        <v>6.7000000000000002E-3</v>
      </c>
      <c r="EF200" s="230">
        <v>506226</v>
      </c>
      <c r="EG200" s="230">
        <v>1137984</v>
      </c>
      <c r="EH200" s="229">
        <v>-0.55520000000000003</v>
      </c>
      <c r="EI200" s="229">
        <v>0.62470000000000003</v>
      </c>
      <c r="EJ200" s="231">
        <v>315934.73</v>
      </c>
      <c r="EK200" s="231">
        <v>186186.37</v>
      </c>
      <c r="EL200" s="231">
        <v>183660.53</v>
      </c>
      <c r="EM200" s="231">
        <v>7372</v>
      </c>
      <c r="EN200" s="231">
        <v>685781.63</v>
      </c>
      <c r="EO200" s="231">
        <v>1002849.3</v>
      </c>
      <c r="EP200" s="231">
        <v>-317067.67</v>
      </c>
      <c r="EQ200" s="229">
        <v>-0.31619999999999998</v>
      </c>
      <c r="ER200" s="231">
        <v>167306</v>
      </c>
      <c r="ES200" s="231">
        <v>112547</v>
      </c>
      <c r="ET200" s="231">
        <v>383615</v>
      </c>
      <c r="EU200" s="231">
        <v>41744334</v>
      </c>
      <c r="EV200" s="231">
        <v>663469</v>
      </c>
      <c r="EW200" s="231">
        <v>678857</v>
      </c>
      <c r="EX200" s="231">
        <v>-15388</v>
      </c>
      <c r="EY200" s="229">
        <v>-2.2700000000000001E-2</v>
      </c>
      <c r="EZ200" s="229">
        <v>0.4088</v>
      </c>
      <c r="FA200" s="227" t="s">
        <v>568</v>
      </c>
      <c r="FB200" s="161">
        <f t="shared" si="5"/>
        <v>0</v>
      </c>
    </row>
    <row r="201" spans="1:158" ht="17.25" thickBot="1" x14ac:dyDescent="0.3">
      <c r="A201" s="226">
        <v>45981</v>
      </c>
      <c r="B201" s="227" t="s">
        <v>162</v>
      </c>
      <c r="C201" s="227" t="s">
        <v>690</v>
      </c>
      <c r="D201" s="228">
        <v>800</v>
      </c>
      <c r="E201" s="228">
        <v>360.9</v>
      </c>
      <c r="F201" s="228">
        <v>361.7</v>
      </c>
      <c r="G201" s="228">
        <v>-0.8</v>
      </c>
      <c r="H201" s="229">
        <v>-2.2000000000000001E-3</v>
      </c>
      <c r="I201" s="228">
        <v>359.8</v>
      </c>
      <c r="J201" s="228">
        <v>360.85</v>
      </c>
      <c r="K201" s="228">
        <v>-1.05</v>
      </c>
      <c r="L201" s="229">
        <v>-2.8999999999999998E-3</v>
      </c>
      <c r="M201" s="228">
        <v>360.9</v>
      </c>
      <c r="N201" s="228">
        <v>361.7</v>
      </c>
      <c r="O201" s="228">
        <v>-0.8</v>
      </c>
      <c r="P201" s="229">
        <v>-2.2000000000000001E-3</v>
      </c>
      <c r="Q201" s="228">
        <v>362.05</v>
      </c>
      <c r="R201" s="228">
        <v>363.85</v>
      </c>
      <c r="S201" s="228">
        <v>-1.8</v>
      </c>
      <c r="T201" s="229">
        <v>-4.8999999999999998E-3</v>
      </c>
      <c r="U201" s="228">
        <v>364.4</v>
      </c>
      <c r="V201" s="228">
        <v>365.95</v>
      </c>
      <c r="W201" s="228">
        <v>-1.55</v>
      </c>
      <c r="X201" s="229">
        <v>-4.1999999999999997E-3</v>
      </c>
      <c r="Y201" s="228">
        <v>1.1000000000000001</v>
      </c>
      <c r="Z201" s="228">
        <v>0.85</v>
      </c>
      <c r="AA201" s="228">
        <v>0.25</v>
      </c>
      <c r="AB201" s="229">
        <v>3.0999999999999999E-3</v>
      </c>
      <c r="AC201" s="228">
        <v>1.1000000000000001</v>
      </c>
      <c r="AD201" s="228">
        <v>0.85</v>
      </c>
      <c r="AE201" s="228">
        <v>0.25</v>
      </c>
      <c r="AF201" s="229">
        <v>3.0999999999999999E-3</v>
      </c>
      <c r="AG201" s="228">
        <v>2.25</v>
      </c>
      <c r="AH201" s="228">
        <v>3</v>
      </c>
      <c r="AI201" s="228">
        <v>-0.75</v>
      </c>
      <c r="AJ201" s="229">
        <v>6.3E-3</v>
      </c>
      <c r="AK201" s="228">
        <v>4.5999999999999996</v>
      </c>
      <c r="AL201" s="228">
        <v>5.0999999999999996</v>
      </c>
      <c r="AM201" s="228">
        <v>-0.5</v>
      </c>
      <c r="AN201" s="229">
        <v>1.2800000000000001E-2</v>
      </c>
      <c r="AO201" s="228">
        <v>362.11</v>
      </c>
      <c r="AP201" s="228">
        <v>363.41</v>
      </c>
      <c r="AQ201" s="228">
        <v>0</v>
      </c>
      <c r="AR201" s="230">
        <v>67616800</v>
      </c>
      <c r="AS201" s="230">
        <v>22713600</v>
      </c>
      <c r="AT201" s="230">
        <v>44903200</v>
      </c>
      <c r="AU201" s="229">
        <v>1.9769000000000001</v>
      </c>
      <c r="AV201" s="230">
        <v>35547200</v>
      </c>
      <c r="AW201" s="230">
        <v>13441600</v>
      </c>
      <c r="AX201" s="230">
        <v>22105600</v>
      </c>
      <c r="AY201" s="229">
        <v>1.6446000000000001</v>
      </c>
      <c r="AZ201" s="230">
        <v>31559200</v>
      </c>
      <c r="BA201" s="230">
        <v>8399200</v>
      </c>
      <c r="BB201" s="230">
        <v>23160000</v>
      </c>
      <c r="BC201" s="229">
        <v>2.7574000000000001</v>
      </c>
      <c r="BD201" s="230">
        <v>510400</v>
      </c>
      <c r="BE201" s="230">
        <v>872800</v>
      </c>
      <c r="BF201" s="230">
        <v>-362400</v>
      </c>
      <c r="BG201" s="229">
        <v>-0.41520000000000001</v>
      </c>
      <c r="BH201" s="230">
        <v>122932800</v>
      </c>
      <c r="BI201" s="230">
        <v>176244800</v>
      </c>
      <c r="BJ201" s="230">
        <v>-53312000</v>
      </c>
      <c r="BK201" s="229">
        <v>-0.30249999999999999</v>
      </c>
      <c r="BL201" s="230">
        <v>28699200</v>
      </c>
      <c r="BM201" s="230">
        <v>53887200</v>
      </c>
      <c r="BN201" s="230">
        <v>-25188000</v>
      </c>
      <c r="BO201" s="229">
        <v>-0.46739999999999998</v>
      </c>
      <c r="BP201" s="230">
        <v>219248800</v>
      </c>
      <c r="BQ201" s="230">
        <v>252845600</v>
      </c>
      <c r="BR201" s="230">
        <v>-33596800</v>
      </c>
      <c r="BS201" s="229">
        <v>-0.13289999999999999</v>
      </c>
      <c r="BT201" s="230">
        <v>15999034</v>
      </c>
      <c r="BU201" s="230">
        <v>17854517</v>
      </c>
      <c r="BV201" s="230">
        <v>-1855483</v>
      </c>
      <c r="BW201" s="229">
        <v>-0.10390000000000001</v>
      </c>
      <c r="BX201" s="230">
        <v>84747200</v>
      </c>
      <c r="BY201" s="230">
        <v>96137600</v>
      </c>
      <c r="BZ201" s="230">
        <v>-11390400</v>
      </c>
      <c r="CA201" s="229">
        <v>-0.11849999999999999</v>
      </c>
      <c r="CB201" s="230">
        <v>48121600</v>
      </c>
      <c r="CC201" s="230">
        <v>71529600</v>
      </c>
      <c r="CD201" s="230">
        <v>-23408000</v>
      </c>
      <c r="CE201" s="229">
        <v>-0.32719999999999999</v>
      </c>
      <c r="CF201" s="230">
        <v>33321600</v>
      </c>
      <c r="CG201" s="230">
        <v>21620000</v>
      </c>
      <c r="CH201" s="230">
        <v>11701600</v>
      </c>
      <c r="CI201" s="229">
        <v>0.54120000000000001</v>
      </c>
      <c r="CJ201" s="230">
        <v>3304000</v>
      </c>
      <c r="CK201" s="230">
        <v>2988000</v>
      </c>
      <c r="CL201" s="230">
        <v>316000</v>
      </c>
      <c r="CM201" s="229">
        <v>0.10580000000000001</v>
      </c>
      <c r="CN201" s="230">
        <v>82774400</v>
      </c>
      <c r="CO201" s="230">
        <v>86319200</v>
      </c>
      <c r="CP201" s="230">
        <v>-3544800</v>
      </c>
      <c r="CQ201" s="229">
        <v>-4.1099999999999998E-2</v>
      </c>
      <c r="CR201" s="230">
        <v>33147200</v>
      </c>
      <c r="CS201" s="230">
        <v>32820800</v>
      </c>
      <c r="CT201" s="230">
        <v>326400</v>
      </c>
      <c r="CU201" s="229">
        <v>9.9000000000000008E-3</v>
      </c>
      <c r="CV201" s="230">
        <v>200668800</v>
      </c>
      <c r="CW201" s="230">
        <v>215277600</v>
      </c>
      <c r="CX201" s="230">
        <v>-14608800</v>
      </c>
      <c r="CY201" s="229">
        <v>-6.7900000000000002E-2</v>
      </c>
      <c r="CZ201" s="228">
        <v>29.1</v>
      </c>
      <c r="DA201" s="228">
        <v>34.21</v>
      </c>
      <c r="DB201" s="228">
        <v>-5.1100000000000003</v>
      </c>
      <c r="DC201" s="228">
        <v>-5.1100000000000003</v>
      </c>
      <c r="DD201" s="228">
        <v>35.33</v>
      </c>
      <c r="DE201" s="228">
        <v>35.42</v>
      </c>
      <c r="DF201" s="228">
        <v>-6.23</v>
      </c>
      <c r="DG201" s="228">
        <v>-0.09</v>
      </c>
      <c r="DH201" s="228">
        <v>29.6</v>
      </c>
      <c r="DI201" s="228">
        <v>35.630000000000003</v>
      </c>
      <c r="DJ201" s="228">
        <v>-6.03</v>
      </c>
      <c r="DK201" s="228">
        <v>-6.03</v>
      </c>
      <c r="DL201" s="228">
        <v>27.87</v>
      </c>
      <c r="DM201" s="228">
        <v>29.58</v>
      </c>
      <c r="DN201" s="228">
        <v>-1.71</v>
      </c>
      <c r="DO201" s="228">
        <v>-1.71</v>
      </c>
      <c r="DP201" s="228">
        <v>0.4</v>
      </c>
      <c r="DQ201" s="228">
        <v>0.38</v>
      </c>
      <c r="DR201" s="228">
        <v>0.02</v>
      </c>
      <c r="DS201" s="229">
        <v>5.2600000000000001E-2</v>
      </c>
      <c r="DT201" s="228">
        <v>380</v>
      </c>
      <c r="DU201" s="228">
        <v>350</v>
      </c>
      <c r="DV201" s="228">
        <v>0.23</v>
      </c>
      <c r="DW201" s="228">
        <v>0.31</v>
      </c>
      <c r="DX201" s="228">
        <v>-0.08</v>
      </c>
      <c r="DY201" s="229">
        <v>-0.2581</v>
      </c>
      <c r="DZ201" s="229">
        <v>0.43219999999999997</v>
      </c>
      <c r="EA201" s="230">
        <v>24608000</v>
      </c>
      <c r="EB201" s="229">
        <v>3.2000000000000002E-3</v>
      </c>
      <c r="EC201" s="229">
        <v>0.43219999999999997</v>
      </c>
      <c r="ED201" s="228">
        <v>1.3</v>
      </c>
      <c r="EE201" s="229">
        <v>3.5999999999999999E-3</v>
      </c>
      <c r="EF201" s="230">
        <v>9955699</v>
      </c>
      <c r="EG201" s="230">
        <v>9887864</v>
      </c>
      <c r="EH201" s="229">
        <v>6.8999999999999999E-3</v>
      </c>
      <c r="EI201" s="229">
        <v>0.62229999999999996</v>
      </c>
      <c r="EJ201" s="231">
        <v>476296.96000000002</v>
      </c>
      <c r="EK201" s="231">
        <v>104448.76</v>
      </c>
      <c r="EL201" s="231">
        <v>245275.22</v>
      </c>
      <c r="EM201" s="231">
        <v>30687</v>
      </c>
      <c r="EN201" s="231">
        <v>826020.94</v>
      </c>
      <c r="EO201" s="231">
        <v>968424.15</v>
      </c>
      <c r="EP201" s="231">
        <v>-142403.21</v>
      </c>
      <c r="EQ201" s="229">
        <v>-0.14699999999999999</v>
      </c>
      <c r="ER201" s="231">
        <v>333937</v>
      </c>
      <c r="ES201" s="231">
        <v>123319</v>
      </c>
      <c r="ET201" s="231">
        <v>306351</v>
      </c>
      <c r="EU201" s="231">
        <v>284575867</v>
      </c>
      <c r="EV201" s="231">
        <v>763607</v>
      </c>
      <c r="EW201" s="231">
        <v>819876</v>
      </c>
      <c r="EX201" s="231">
        <v>-56269</v>
      </c>
      <c r="EY201" s="229">
        <v>-6.8599999999999994E-2</v>
      </c>
      <c r="EZ201" s="229">
        <v>0.70520000000000005</v>
      </c>
      <c r="FA201" s="227" t="s">
        <v>568</v>
      </c>
      <c r="FB201" s="161">
        <f t="shared" si="5"/>
        <v>0</v>
      </c>
    </row>
    <row r="202" spans="1:158" ht="17.25" thickBot="1" x14ac:dyDescent="0.3">
      <c r="A202" s="226">
        <v>45981</v>
      </c>
      <c r="B202" s="227" t="s">
        <v>170</v>
      </c>
      <c r="C202" s="227" t="s">
        <v>298</v>
      </c>
      <c r="D202" s="228">
        <v>250</v>
      </c>
      <c r="E202" s="231">
        <v>3726.5</v>
      </c>
      <c r="F202" s="231">
        <v>3735.6</v>
      </c>
      <c r="G202" s="228">
        <v>-9.1</v>
      </c>
      <c r="H202" s="229">
        <v>-2.3999999999999998E-3</v>
      </c>
      <c r="I202" s="231">
        <v>3721.4</v>
      </c>
      <c r="J202" s="231">
        <v>3731.4</v>
      </c>
      <c r="K202" s="228">
        <v>-10</v>
      </c>
      <c r="L202" s="229">
        <v>-2.7000000000000001E-3</v>
      </c>
      <c r="M202" s="231">
        <v>3726.5</v>
      </c>
      <c r="N202" s="231">
        <v>3735.6</v>
      </c>
      <c r="O202" s="228">
        <v>-9.1</v>
      </c>
      <c r="P202" s="229">
        <v>-2.3999999999999998E-3</v>
      </c>
      <c r="Q202" s="231">
        <v>3750.8</v>
      </c>
      <c r="R202" s="231">
        <v>3759.7</v>
      </c>
      <c r="S202" s="228">
        <v>-8.9</v>
      </c>
      <c r="T202" s="229">
        <v>-2.3999999999999998E-3</v>
      </c>
      <c r="U202" s="231">
        <v>3775.8</v>
      </c>
      <c r="V202" s="231">
        <v>3775.8</v>
      </c>
      <c r="W202" s="228">
        <v>0</v>
      </c>
      <c r="X202" s="229">
        <v>0</v>
      </c>
      <c r="Y202" s="228">
        <v>5.0999999999999996</v>
      </c>
      <c r="Z202" s="228">
        <v>4.2</v>
      </c>
      <c r="AA202" s="228">
        <v>0.9</v>
      </c>
      <c r="AB202" s="229">
        <v>1.4E-3</v>
      </c>
      <c r="AC202" s="228">
        <v>5.0999999999999996</v>
      </c>
      <c r="AD202" s="228">
        <v>4.2</v>
      </c>
      <c r="AE202" s="228">
        <v>0.9</v>
      </c>
      <c r="AF202" s="229">
        <v>1.4E-3</v>
      </c>
      <c r="AG202" s="228">
        <v>29.4</v>
      </c>
      <c r="AH202" s="228">
        <v>28.3</v>
      </c>
      <c r="AI202" s="228">
        <v>1.1000000000000001</v>
      </c>
      <c r="AJ202" s="229">
        <v>7.9000000000000008E-3</v>
      </c>
      <c r="AK202" s="228">
        <v>54.4</v>
      </c>
      <c r="AL202" s="228">
        <v>44.4</v>
      </c>
      <c r="AM202" s="228">
        <v>10</v>
      </c>
      <c r="AN202" s="229">
        <v>1.46E-2</v>
      </c>
      <c r="AO202" s="231">
        <v>3744.37</v>
      </c>
      <c r="AP202" s="231">
        <v>3769.08</v>
      </c>
      <c r="AQ202" s="228">
        <v>0</v>
      </c>
      <c r="AR202" s="230">
        <v>1721250</v>
      </c>
      <c r="AS202" s="230">
        <v>383000</v>
      </c>
      <c r="AT202" s="230">
        <v>1338250</v>
      </c>
      <c r="AU202" s="229">
        <v>3.4941</v>
      </c>
      <c r="AV202" s="230">
        <v>886500</v>
      </c>
      <c r="AW202" s="230">
        <v>284500</v>
      </c>
      <c r="AX202" s="230">
        <v>602000</v>
      </c>
      <c r="AY202" s="229">
        <v>2.1160000000000001</v>
      </c>
      <c r="AZ202" s="230">
        <v>834750</v>
      </c>
      <c r="BA202" s="230">
        <v>94250</v>
      </c>
      <c r="BB202" s="230">
        <v>740500</v>
      </c>
      <c r="BC202" s="229">
        <v>7.8567999999999998</v>
      </c>
      <c r="BD202" s="228">
        <v>0</v>
      </c>
      <c r="BE202" s="230">
        <v>4250</v>
      </c>
      <c r="BF202" s="230">
        <v>-4250</v>
      </c>
      <c r="BG202" s="229">
        <v>-1</v>
      </c>
      <c r="BH202" s="230">
        <v>767500</v>
      </c>
      <c r="BI202" s="230">
        <v>1323250</v>
      </c>
      <c r="BJ202" s="230">
        <v>-555750</v>
      </c>
      <c r="BK202" s="229">
        <v>-0.42</v>
      </c>
      <c r="BL202" s="230">
        <v>303000</v>
      </c>
      <c r="BM202" s="230">
        <v>683500</v>
      </c>
      <c r="BN202" s="230">
        <v>-380500</v>
      </c>
      <c r="BO202" s="229">
        <v>-0.55669999999999997</v>
      </c>
      <c r="BP202" s="230">
        <v>2791750</v>
      </c>
      <c r="BQ202" s="230">
        <v>2389750</v>
      </c>
      <c r="BR202" s="230">
        <v>402000</v>
      </c>
      <c r="BS202" s="229">
        <v>0.16819999999999999</v>
      </c>
      <c r="BT202" s="230">
        <v>115676</v>
      </c>
      <c r="BU202" s="230">
        <v>118611</v>
      </c>
      <c r="BV202" s="230">
        <v>-2935</v>
      </c>
      <c r="BW202" s="229">
        <v>-2.47E-2</v>
      </c>
      <c r="BX202" s="230">
        <v>2269500</v>
      </c>
      <c r="BY202" s="230">
        <v>2250000</v>
      </c>
      <c r="BZ202" s="230">
        <v>19500</v>
      </c>
      <c r="CA202" s="229">
        <v>8.6999999999999994E-3</v>
      </c>
      <c r="CB202" s="230">
        <v>1404250</v>
      </c>
      <c r="CC202" s="230">
        <v>2080500</v>
      </c>
      <c r="CD202" s="230">
        <v>-676250</v>
      </c>
      <c r="CE202" s="229">
        <v>-0.32500000000000001</v>
      </c>
      <c r="CF202" s="230">
        <v>861750</v>
      </c>
      <c r="CG202" s="230">
        <v>166000</v>
      </c>
      <c r="CH202" s="230">
        <v>695750</v>
      </c>
      <c r="CI202" s="229">
        <v>4.1913</v>
      </c>
      <c r="CJ202" s="230">
        <v>3500</v>
      </c>
      <c r="CK202" s="230">
        <v>3500</v>
      </c>
      <c r="CL202" s="228">
        <v>0</v>
      </c>
      <c r="CM202" s="229">
        <v>0</v>
      </c>
      <c r="CN202" s="230">
        <v>1017750</v>
      </c>
      <c r="CO202" s="230">
        <v>1107000</v>
      </c>
      <c r="CP202" s="230">
        <v>-89250</v>
      </c>
      <c r="CQ202" s="229">
        <v>-8.0600000000000005E-2</v>
      </c>
      <c r="CR202" s="230">
        <v>680750</v>
      </c>
      <c r="CS202" s="230">
        <v>697000</v>
      </c>
      <c r="CT202" s="230">
        <v>-16250</v>
      </c>
      <c r="CU202" s="229">
        <v>-2.3300000000000001E-2</v>
      </c>
      <c r="CV202" s="230">
        <v>3968000</v>
      </c>
      <c r="CW202" s="230">
        <v>4054000</v>
      </c>
      <c r="CX202" s="230">
        <v>-86000</v>
      </c>
      <c r="CY202" s="229">
        <v>-2.12E-2</v>
      </c>
      <c r="CZ202" s="228">
        <v>21.08</v>
      </c>
      <c r="DA202" s="228">
        <v>22.75</v>
      </c>
      <c r="DB202" s="228">
        <v>-1.67</v>
      </c>
      <c r="DC202" s="228">
        <v>-1.67</v>
      </c>
      <c r="DD202" s="228">
        <v>26.27</v>
      </c>
      <c r="DE202" s="228">
        <v>26.33</v>
      </c>
      <c r="DF202" s="228">
        <v>-5.19</v>
      </c>
      <c r="DG202" s="228">
        <v>-0.06</v>
      </c>
      <c r="DH202" s="228">
        <v>21.57</v>
      </c>
      <c r="DI202" s="228">
        <v>24.43</v>
      </c>
      <c r="DJ202" s="228">
        <v>-2.86</v>
      </c>
      <c r="DK202" s="228">
        <v>-2.86</v>
      </c>
      <c r="DL202" s="228">
        <v>20.22</v>
      </c>
      <c r="DM202" s="228">
        <v>19.5</v>
      </c>
      <c r="DN202" s="228">
        <v>0.72</v>
      </c>
      <c r="DO202" s="228">
        <v>0.72</v>
      </c>
      <c r="DP202" s="228">
        <v>0.67</v>
      </c>
      <c r="DQ202" s="228">
        <v>0.63</v>
      </c>
      <c r="DR202" s="228">
        <v>0.04</v>
      </c>
      <c r="DS202" s="229">
        <v>6.3500000000000001E-2</v>
      </c>
      <c r="DT202" s="231">
        <v>3600</v>
      </c>
      <c r="DU202" s="231">
        <v>3600</v>
      </c>
      <c r="DV202" s="228">
        <v>0.39</v>
      </c>
      <c r="DW202" s="228">
        <v>0.52</v>
      </c>
      <c r="DX202" s="228">
        <v>-0.13</v>
      </c>
      <c r="DY202" s="229">
        <v>-0.25</v>
      </c>
      <c r="DZ202" s="229">
        <v>0.38129999999999997</v>
      </c>
      <c r="EA202" s="230">
        <v>169500</v>
      </c>
      <c r="EB202" s="229">
        <v>6.4999999999999997E-3</v>
      </c>
      <c r="EC202" s="229">
        <v>0.38129999999999997</v>
      </c>
      <c r="ED202" s="228">
        <v>24.71</v>
      </c>
      <c r="EE202" s="229">
        <v>6.6E-3</v>
      </c>
      <c r="EF202" s="230">
        <v>67881</v>
      </c>
      <c r="EG202" s="230">
        <v>70487</v>
      </c>
      <c r="EH202" s="229">
        <v>-3.6999999999999998E-2</v>
      </c>
      <c r="EI202" s="229">
        <v>0.58679999999999999</v>
      </c>
      <c r="EJ202" s="231">
        <v>29792.18</v>
      </c>
      <c r="EK202" s="231">
        <v>11082.63</v>
      </c>
      <c r="EL202" s="231">
        <v>64656.2</v>
      </c>
      <c r="EM202" s="231">
        <v>1432</v>
      </c>
      <c r="EN202" s="231">
        <v>105531.01</v>
      </c>
      <c r="EO202" s="231">
        <v>91594.86</v>
      </c>
      <c r="EP202" s="231">
        <v>13936.15</v>
      </c>
      <c r="EQ202" s="229">
        <v>0.15210000000000001</v>
      </c>
      <c r="ER202" s="231">
        <v>38973</v>
      </c>
      <c r="ES202" s="231">
        <v>24688</v>
      </c>
      <c r="ET202" s="231">
        <v>84784</v>
      </c>
      <c r="EU202" s="231">
        <v>16072672</v>
      </c>
      <c r="EV202" s="231">
        <v>148445</v>
      </c>
      <c r="EW202" s="231">
        <v>151730</v>
      </c>
      <c r="EX202" s="231">
        <v>-3285</v>
      </c>
      <c r="EY202" s="229">
        <v>-2.1700000000000001E-2</v>
      </c>
      <c r="EZ202" s="229">
        <v>0.24690000000000001</v>
      </c>
      <c r="FA202" s="227" t="s">
        <v>567</v>
      </c>
      <c r="FB202" s="161">
        <f t="shared" si="5"/>
        <v>0</v>
      </c>
    </row>
    <row r="203" spans="1:158" ht="17.25" thickBot="1" x14ac:dyDescent="0.3">
      <c r="A203" s="226">
        <v>45981</v>
      </c>
      <c r="B203" s="227" t="s">
        <v>161</v>
      </c>
      <c r="C203" s="227" t="s">
        <v>299</v>
      </c>
      <c r="D203" s="228">
        <v>375</v>
      </c>
      <c r="E203" s="231">
        <v>1312.8</v>
      </c>
      <c r="F203" s="231">
        <v>1300.8</v>
      </c>
      <c r="G203" s="228">
        <v>12</v>
      </c>
      <c r="H203" s="229">
        <v>9.1999999999999998E-3</v>
      </c>
      <c r="I203" s="231">
        <v>1313.9</v>
      </c>
      <c r="J203" s="231">
        <v>1300.8</v>
      </c>
      <c r="K203" s="228">
        <v>13.1</v>
      </c>
      <c r="L203" s="229">
        <v>1.01E-2</v>
      </c>
      <c r="M203" s="231">
        <v>1312.8</v>
      </c>
      <c r="N203" s="231">
        <v>1300.8</v>
      </c>
      <c r="O203" s="228">
        <v>12</v>
      </c>
      <c r="P203" s="229">
        <v>9.1999999999999998E-3</v>
      </c>
      <c r="Q203" s="231">
        <v>1321.6</v>
      </c>
      <c r="R203" s="231">
        <v>1309.9000000000001</v>
      </c>
      <c r="S203" s="228">
        <v>11.7</v>
      </c>
      <c r="T203" s="229">
        <v>8.8999999999999999E-3</v>
      </c>
      <c r="U203" s="231">
        <v>1330</v>
      </c>
      <c r="V203" s="231">
        <v>1319.9</v>
      </c>
      <c r="W203" s="228">
        <v>10.1</v>
      </c>
      <c r="X203" s="229">
        <v>7.7000000000000002E-3</v>
      </c>
      <c r="Y203" s="228">
        <v>-1.1000000000000001</v>
      </c>
      <c r="Z203" s="228">
        <v>0</v>
      </c>
      <c r="AA203" s="228">
        <v>-1.1000000000000001</v>
      </c>
      <c r="AB203" s="229">
        <v>-8.0000000000000004E-4</v>
      </c>
      <c r="AC203" s="228">
        <v>-1.1000000000000001</v>
      </c>
      <c r="AD203" s="228">
        <v>0</v>
      </c>
      <c r="AE203" s="228">
        <v>-1.1000000000000001</v>
      </c>
      <c r="AF203" s="229">
        <v>-8.0000000000000004E-4</v>
      </c>
      <c r="AG203" s="228">
        <v>7.7</v>
      </c>
      <c r="AH203" s="228">
        <v>9.1</v>
      </c>
      <c r="AI203" s="228">
        <v>-1.4</v>
      </c>
      <c r="AJ203" s="229">
        <v>5.8999999999999999E-3</v>
      </c>
      <c r="AK203" s="228">
        <v>16.100000000000001</v>
      </c>
      <c r="AL203" s="228">
        <v>19.100000000000001</v>
      </c>
      <c r="AM203" s="228">
        <v>-3</v>
      </c>
      <c r="AN203" s="229">
        <v>1.23E-2</v>
      </c>
      <c r="AO203" s="231">
        <v>1310.67</v>
      </c>
      <c r="AP203" s="231">
        <v>1319.4</v>
      </c>
      <c r="AQ203" s="228">
        <v>0</v>
      </c>
      <c r="AR203" s="230">
        <v>1552875</v>
      </c>
      <c r="AS203" s="230">
        <v>463500</v>
      </c>
      <c r="AT203" s="230">
        <v>1089375</v>
      </c>
      <c r="AU203" s="229">
        <v>2.3502999999999998</v>
      </c>
      <c r="AV203" s="230">
        <v>850500</v>
      </c>
      <c r="AW203" s="230">
        <v>334875</v>
      </c>
      <c r="AX203" s="230">
        <v>515625</v>
      </c>
      <c r="AY203" s="229">
        <v>1.5398000000000001</v>
      </c>
      <c r="AZ203" s="230">
        <v>696750</v>
      </c>
      <c r="BA203" s="230">
        <v>122250</v>
      </c>
      <c r="BB203" s="230">
        <v>574500</v>
      </c>
      <c r="BC203" s="229">
        <v>4.6993999999999998</v>
      </c>
      <c r="BD203" s="230">
        <v>5625</v>
      </c>
      <c r="BE203" s="230">
        <v>6375</v>
      </c>
      <c r="BF203" s="228">
        <v>-750</v>
      </c>
      <c r="BG203" s="229">
        <v>-0.1176</v>
      </c>
      <c r="BH203" s="230">
        <v>1500375</v>
      </c>
      <c r="BI203" s="230">
        <v>1866750</v>
      </c>
      <c r="BJ203" s="230">
        <v>-366375</v>
      </c>
      <c r="BK203" s="229">
        <v>-0.1963</v>
      </c>
      <c r="BL203" s="230">
        <v>666750</v>
      </c>
      <c r="BM203" s="230">
        <v>790500</v>
      </c>
      <c r="BN203" s="230">
        <v>-123750</v>
      </c>
      <c r="BO203" s="229">
        <v>-0.1565</v>
      </c>
      <c r="BP203" s="230">
        <v>3720000</v>
      </c>
      <c r="BQ203" s="230">
        <v>3120750</v>
      </c>
      <c r="BR203" s="230">
        <v>599250</v>
      </c>
      <c r="BS203" s="229">
        <v>0.192</v>
      </c>
      <c r="BT203" s="230">
        <v>284026</v>
      </c>
      <c r="BU203" s="230">
        <v>322075</v>
      </c>
      <c r="BV203" s="230">
        <v>-38049</v>
      </c>
      <c r="BW203" s="229">
        <v>-0.1181</v>
      </c>
      <c r="BX203" s="230">
        <v>3073350</v>
      </c>
      <c r="BY203" s="230">
        <v>3254075</v>
      </c>
      <c r="BZ203" s="230">
        <v>-180725</v>
      </c>
      <c r="CA203" s="229">
        <v>-5.5500000000000001E-2</v>
      </c>
      <c r="CB203" s="230">
        <v>2343375</v>
      </c>
      <c r="CC203" s="230">
        <v>2989875</v>
      </c>
      <c r="CD203" s="230">
        <v>-646500</v>
      </c>
      <c r="CE203" s="229">
        <v>-0.2162</v>
      </c>
      <c r="CF203" s="230">
        <v>705750</v>
      </c>
      <c r="CG203" s="230">
        <v>237000</v>
      </c>
      <c r="CH203" s="230">
        <v>468750</v>
      </c>
      <c r="CI203" s="229">
        <v>1.9778</v>
      </c>
      <c r="CJ203" s="230">
        <v>24225</v>
      </c>
      <c r="CK203" s="230">
        <v>27200</v>
      </c>
      <c r="CL203" s="230">
        <v>-2975</v>
      </c>
      <c r="CM203" s="229">
        <v>-0.1094</v>
      </c>
      <c r="CN203" s="230">
        <v>2106200</v>
      </c>
      <c r="CO203" s="230">
        <v>2327250</v>
      </c>
      <c r="CP203" s="230">
        <v>-221050</v>
      </c>
      <c r="CQ203" s="229">
        <v>-9.5000000000000001E-2</v>
      </c>
      <c r="CR203" s="230">
        <v>1083050</v>
      </c>
      <c r="CS203" s="230">
        <v>1179375</v>
      </c>
      <c r="CT203" s="230">
        <v>-96325</v>
      </c>
      <c r="CU203" s="229">
        <v>-8.1699999999999995E-2</v>
      </c>
      <c r="CV203" s="230">
        <v>6262600</v>
      </c>
      <c r="CW203" s="230">
        <v>6760700</v>
      </c>
      <c r="CX203" s="230">
        <v>-498100</v>
      </c>
      <c r="CY203" s="229">
        <v>-7.3700000000000002E-2</v>
      </c>
      <c r="CZ203" s="228">
        <v>26.34</v>
      </c>
      <c r="DA203" s="228">
        <v>28.4</v>
      </c>
      <c r="DB203" s="228">
        <v>-2.06</v>
      </c>
      <c r="DC203" s="228">
        <v>-2.06</v>
      </c>
      <c r="DD203" s="228">
        <v>41.27</v>
      </c>
      <c r="DE203" s="228">
        <v>41.35</v>
      </c>
      <c r="DF203" s="228">
        <v>-14.93</v>
      </c>
      <c r="DG203" s="228">
        <v>-0.08</v>
      </c>
      <c r="DH203" s="228">
        <v>26.4</v>
      </c>
      <c r="DI203" s="228">
        <v>29.05</v>
      </c>
      <c r="DJ203" s="228">
        <v>-2.65</v>
      </c>
      <c r="DK203" s="228">
        <v>-2.65</v>
      </c>
      <c r="DL203" s="228">
        <v>26.28</v>
      </c>
      <c r="DM203" s="228">
        <v>26.87</v>
      </c>
      <c r="DN203" s="228">
        <v>-0.59</v>
      </c>
      <c r="DO203" s="228">
        <v>-0.59</v>
      </c>
      <c r="DP203" s="228">
        <v>0.51</v>
      </c>
      <c r="DQ203" s="228">
        <v>0.51</v>
      </c>
      <c r="DR203" s="228">
        <v>0</v>
      </c>
      <c r="DS203" s="229">
        <v>0</v>
      </c>
      <c r="DT203" s="231">
        <v>1400</v>
      </c>
      <c r="DU203" s="231">
        <v>1240</v>
      </c>
      <c r="DV203" s="228">
        <v>0.44</v>
      </c>
      <c r="DW203" s="228">
        <v>0.42</v>
      </c>
      <c r="DX203" s="228">
        <v>0.02</v>
      </c>
      <c r="DY203" s="229">
        <v>4.7600000000000003E-2</v>
      </c>
      <c r="DZ203" s="229">
        <v>0.23749999999999999</v>
      </c>
      <c r="EA203" s="230">
        <v>264200</v>
      </c>
      <c r="EB203" s="229">
        <v>6.7000000000000002E-3</v>
      </c>
      <c r="EC203" s="229">
        <v>0.23749999999999999</v>
      </c>
      <c r="ED203" s="228">
        <v>8.73</v>
      </c>
      <c r="EE203" s="229">
        <v>6.7000000000000002E-3</v>
      </c>
      <c r="EF203" s="230">
        <v>155661</v>
      </c>
      <c r="EG203" s="230">
        <v>220929</v>
      </c>
      <c r="EH203" s="229">
        <v>-0.2954</v>
      </c>
      <c r="EI203" s="229">
        <v>0.54810000000000003</v>
      </c>
      <c r="EJ203" s="231">
        <v>20488.54</v>
      </c>
      <c r="EK203" s="231">
        <v>8582.1</v>
      </c>
      <c r="EL203" s="231">
        <v>20424.939999999999</v>
      </c>
      <c r="EM203" s="231">
        <v>2081</v>
      </c>
      <c r="EN203" s="231">
        <v>49495.58</v>
      </c>
      <c r="EO203" s="231">
        <v>41597.199999999997</v>
      </c>
      <c r="EP203" s="231">
        <v>7898.38</v>
      </c>
      <c r="EQ203" s="229">
        <v>0.18990000000000001</v>
      </c>
      <c r="ER203" s="231">
        <v>28857</v>
      </c>
      <c r="ES203" s="231">
        <v>13734</v>
      </c>
      <c r="ET203" s="231">
        <v>40413</v>
      </c>
      <c r="EU203" s="231">
        <v>24646022</v>
      </c>
      <c r="EV203" s="231">
        <v>83004</v>
      </c>
      <c r="EW203" s="231">
        <v>89181</v>
      </c>
      <c r="EX203" s="231">
        <v>-6177</v>
      </c>
      <c r="EY203" s="229">
        <v>-6.93E-2</v>
      </c>
      <c r="EZ203" s="229">
        <v>0.25409999999999999</v>
      </c>
      <c r="FA203" s="227" t="s">
        <v>556</v>
      </c>
      <c r="FB203" s="161">
        <f t="shared" si="5"/>
        <v>0</v>
      </c>
    </row>
    <row r="204" spans="1:158" ht="17.25" thickBot="1" x14ac:dyDescent="0.3">
      <c r="A204" s="226">
        <v>45981</v>
      </c>
      <c r="B204" s="227" t="s">
        <v>197</v>
      </c>
      <c r="C204" s="227" t="s">
        <v>482</v>
      </c>
      <c r="D204" s="228">
        <v>100</v>
      </c>
      <c r="E204" s="231">
        <v>4394.2</v>
      </c>
      <c r="F204" s="231">
        <v>4368.3</v>
      </c>
      <c r="G204" s="228">
        <v>25.9</v>
      </c>
      <c r="H204" s="229">
        <v>5.8999999999999999E-3</v>
      </c>
      <c r="I204" s="231">
        <v>4388.8999999999996</v>
      </c>
      <c r="J204" s="231">
        <v>4358.8999999999996</v>
      </c>
      <c r="K204" s="228">
        <v>30</v>
      </c>
      <c r="L204" s="229">
        <v>6.8999999999999999E-3</v>
      </c>
      <c r="M204" s="231">
        <v>4394.2</v>
      </c>
      <c r="N204" s="231">
        <v>4368.3</v>
      </c>
      <c r="O204" s="228">
        <v>25.9</v>
      </c>
      <c r="P204" s="229">
        <v>5.8999999999999999E-3</v>
      </c>
      <c r="Q204" s="231">
        <v>4423.2</v>
      </c>
      <c r="R204" s="231">
        <v>4397.3</v>
      </c>
      <c r="S204" s="228">
        <v>25.9</v>
      </c>
      <c r="T204" s="229">
        <v>5.8999999999999999E-3</v>
      </c>
      <c r="U204" s="231">
        <v>4455.8</v>
      </c>
      <c r="V204" s="231">
        <v>4423.2</v>
      </c>
      <c r="W204" s="228">
        <v>32.6</v>
      </c>
      <c r="X204" s="229">
        <v>7.4000000000000003E-3</v>
      </c>
      <c r="Y204" s="228">
        <v>5.3</v>
      </c>
      <c r="Z204" s="228">
        <v>9.4</v>
      </c>
      <c r="AA204" s="228">
        <v>-4.0999999999999996</v>
      </c>
      <c r="AB204" s="229">
        <v>1.1999999999999999E-3</v>
      </c>
      <c r="AC204" s="228">
        <v>5.3</v>
      </c>
      <c r="AD204" s="228">
        <v>9.4</v>
      </c>
      <c r="AE204" s="228">
        <v>-4.0999999999999996</v>
      </c>
      <c r="AF204" s="229">
        <v>1.1999999999999999E-3</v>
      </c>
      <c r="AG204" s="228">
        <v>34.299999999999997</v>
      </c>
      <c r="AH204" s="228">
        <v>38.4</v>
      </c>
      <c r="AI204" s="228">
        <v>-4.0999999999999996</v>
      </c>
      <c r="AJ204" s="229">
        <v>7.7999999999999996E-3</v>
      </c>
      <c r="AK204" s="228">
        <v>66.900000000000006</v>
      </c>
      <c r="AL204" s="228">
        <v>64.3</v>
      </c>
      <c r="AM204" s="228">
        <v>2.6</v>
      </c>
      <c r="AN204" s="229">
        <v>1.52E-2</v>
      </c>
      <c r="AO204" s="231">
        <v>4386.55</v>
      </c>
      <c r="AP204" s="231">
        <v>4414.76</v>
      </c>
      <c r="AQ204" s="228">
        <v>0</v>
      </c>
      <c r="AR204" s="230">
        <v>3059600</v>
      </c>
      <c r="AS204" s="230">
        <v>1425400</v>
      </c>
      <c r="AT204" s="230">
        <v>1634200</v>
      </c>
      <c r="AU204" s="229">
        <v>1.1465000000000001</v>
      </c>
      <c r="AV204" s="230">
        <v>1575600</v>
      </c>
      <c r="AW204" s="230">
        <v>845400</v>
      </c>
      <c r="AX204" s="230">
        <v>730200</v>
      </c>
      <c r="AY204" s="229">
        <v>0.86370000000000002</v>
      </c>
      <c r="AZ204" s="230">
        <v>1459700</v>
      </c>
      <c r="BA204" s="230">
        <v>561600</v>
      </c>
      <c r="BB204" s="230">
        <v>898100</v>
      </c>
      <c r="BC204" s="229">
        <v>1.5992</v>
      </c>
      <c r="BD204" s="230">
        <v>24300</v>
      </c>
      <c r="BE204" s="230">
        <v>18400</v>
      </c>
      <c r="BF204" s="230">
        <v>5900</v>
      </c>
      <c r="BG204" s="229">
        <v>0.32069999999999999</v>
      </c>
      <c r="BH204" s="230">
        <v>6965600</v>
      </c>
      <c r="BI204" s="230">
        <v>5585800</v>
      </c>
      <c r="BJ204" s="230">
        <v>1379800</v>
      </c>
      <c r="BK204" s="229">
        <v>0.247</v>
      </c>
      <c r="BL204" s="230">
        <v>2221200</v>
      </c>
      <c r="BM204" s="230">
        <v>2147000</v>
      </c>
      <c r="BN204" s="230">
        <v>74200</v>
      </c>
      <c r="BO204" s="229">
        <v>3.4599999999999999E-2</v>
      </c>
      <c r="BP204" s="230">
        <v>12246400</v>
      </c>
      <c r="BQ204" s="230">
        <v>9158200</v>
      </c>
      <c r="BR204" s="230">
        <v>3088200</v>
      </c>
      <c r="BS204" s="229">
        <v>0.3372</v>
      </c>
      <c r="BT204" s="230">
        <v>524076</v>
      </c>
      <c r="BU204" s="230">
        <v>618420</v>
      </c>
      <c r="BV204" s="230">
        <v>-94344</v>
      </c>
      <c r="BW204" s="229">
        <v>-0.15260000000000001</v>
      </c>
      <c r="BX204" s="230">
        <v>8495300</v>
      </c>
      <c r="BY204" s="230">
        <v>8574500</v>
      </c>
      <c r="BZ204" s="230">
        <v>-79200</v>
      </c>
      <c r="CA204" s="229">
        <v>-9.1999999999999998E-3</v>
      </c>
      <c r="CB204" s="230">
        <v>6024200</v>
      </c>
      <c r="CC204" s="230">
        <v>7249300</v>
      </c>
      <c r="CD204" s="230">
        <v>-1225100</v>
      </c>
      <c r="CE204" s="229">
        <v>-0.16900000000000001</v>
      </c>
      <c r="CF204" s="230">
        <v>2353800</v>
      </c>
      <c r="CG204" s="230">
        <v>1215600</v>
      </c>
      <c r="CH204" s="230">
        <v>1138200</v>
      </c>
      <c r="CI204" s="229">
        <v>0.93630000000000002</v>
      </c>
      <c r="CJ204" s="230">
        <v>117300</v>
      </c>
      <c r="CK204" s="230">
        <v>109600</v>
      </c>
      <c r="CL204" s="230">
        <v>7700</v>
      </c>
      <c r="CM204" s="229">
        <v>7.0300000000000001E-2</v>
      </c>
      <c r="CN204" s="230">
        <v>5315800</v>
      </c>
      <c r="CO204" s="230">
        <v>5747000</v>
      </c>
      <c r="CP204" s="230">
        <v>-431200</v>
      </c>
      <c r="CQ204" s="229">
        <v>-7.4999999999999997E-2</v>
      </c>
      <c r="CR204" s="230">
        <v>2953000</v>
      </c>
      <c r="CS204" s="230">
        <v>3159000</v>
      </c>
      <c r="CT204" s="230">
        <v>-206000</v>
      </c>
      <c r="CU204" s="229">
        <v>-6.5199999999999994E-2</v>
      </c>
      <c r="CV204" s="230">
        <v>16764100</v>
      </c>
      <c r="CW204" s="230">
        <v>17480500</v>
      </c>
      <c r="CX204" s="230">
        <v>-716400</v>
      </c>
      <c r="CY204" s="229">
        <v>-4.1000000000000002E-2</v>
      </c>
      <c r="CZ204" s="228">
        <v>26.38</v>
      </c>
      <c r="DA204" s="228">
        <v>30.08</v>
      </c>
      <c r="DB204" s="228">
        <v>-3.7</v>
      </c>
      <c r="DC204" s="228">
        <v>-3.7</v>
      </c>
      <c r="DD204" s="228">
        <v>44.04</v>
      </c>
      <c r="DE204" s="228">
        <v>44.14</v>
      </c>
      <c r="DF204" s="228">
        <v>-17.66</v>
      </c>
      <c r="DG204" s="228">
        <v>-0.1</v>
      </c>
      <c r="DH204" s="228">
        <v>26.35</v>
      </c>
      <c r="DI204" s="228">
        <v>30.72</v>
      </c>
      <c r="DJ204" s="228">
        <v>-4.37</v>
      </c>
      <c r="DK204" s="228">
        <v>-4.37</v>
      </c>
      <c r="DL204" s="228">
        <v>26.48</v>
      </c>
      <c r="DM204" s="228">
        <v>28.41</v>
      </c>
      <c r="DN204" s="228">
        <v>-1.93</v>
      </c>
      <c r="DO204" s="228">
        <v>-1.93</v>
      </c>
      <c r="DP204" s="228">
        <v>0.56000000000000005</v>
      </c>
      <c r="DQ204" s="228">
        <v>0.55000000000000004</v>
      </c>
      <c r="DR204" s="228">
        <v>0.01</v>
      </c>
      <c r="DS204" s="229">
        <v>1.8200000000000001E-2</v>
      </c>
      <c r="DT204" s="231">
        <v>4800</v>
      </c>
      <c r="DU204" s="231">
        <v>4400</v>
      </c>
      <c r="DV204" s="228">
        <v>0.32</v>
      </c>
      <c r="DW204" s="228">
        <v>0.38</v>
      </c>
      <c r="DX204" s="228">
        <v>-0.06</v>
      </c>
      <c r="DY204" s="229">
        <v>-0.15790000000000001</v>
      </c>
      <c r="DZ204" s="229">
        <v>0.29089999999999999</v>
      </c>
      <c r="EA204" s="230">
        <v>1325200</v>
      </c>
      <c r="EB204" s="229">
        <v>6.6E-3</v>
      </c>
      <c r="EC204" s="229">
        <v>0.29089999999999999</v>
      </c>
      <c r="ED204" s="228">
        <v>28.21</v>
      </c>
      <c r="EE204" s="229">
        <v>6.4000000000000003E-3</v>
      </c>
      <c r="EF204" s="230">
        <v>282865</v>
      </c>
      <c r="EG204" s="230">
        <v>374777</v>
      </c>
      <c r="EH204" s="229">
        <v>-0.2452</v>
      </c>
      <c r="EI204" s="229">
        <v>0.53969999999999996</v>
      </c>
      <c r="EJ204" s="231">
        <v>321527.36</v>
      </c>
      <c r="EK204" s="231">
        <v>96759.27</v>
      </c>
      <c r="EL204" s="231">
        <v>134637.12</v>
      </c>
      <c r="EM204" s="231">
        <v>9260</v>
      </c>
      <c r="EN204" s="231">
        <v>552923.75</v>
      </c>
      <c r="EO204" s="231">
        <v>413794.38</v>
      </c>
      <c r="EP204" s="231">
        <v>139129.37</v>
      </c>
      <c r="EQ204" s="229">
        <v>0.3362</v>
      </c>
      <c r="ER204" s="231">
        <v>252522</v>
      </c>
      <c r="ES204" s="231">
        <v>131389</v>
      </c>
      <c r="ET204" s="231">
        <v>374055</v>
      </c>
      <c r="EU204" s="231">
        <v>33590487</v>
      </c>
      <c r="EV204" s="231">
        <v>757966</v>
      </c>
      <c r="EW204" s="231">
        <v>787966</v>
      </c>
      <c r="EX204" s="231">
        <v>-30000</v>
      </c>
      <c r="EY204" s="229">
        <v>-3.8100000000000002E-2</v>
      </c>
      <c r="EZ204" s="229">
        <v>0.49909999999999999</v>
      </c>
      <c r="FA204" s="227" t="s">
        <v>556</v>
      </c>
      <c r="FB204" s="161">
        <f t="shared" si="5"/>
        <v>0</v>
      </c>
    </row>
    <row r="205" spans="1:158" ht="17.25" thickBot="1" x14ac:dyDescent="0.3">
      <c r="A205" s="226">
        <v>45981</v>
      </c>
      <c r="B205" s="227" t="s">
        <v>162</v>
      </c>
      <c r="C205" s="227" t="s">
        <v>300</v>
      </c>
      <c r="D205" s="228">
        <v>175</v>
      </c>
      <c r="E205" s="231">
        <v>3490.9</v>
      </c>
      <c r="F205" s="231">
        <v>3476.7</v>
      </c>
      <c r="G205" s="228">
        <v>14.2</v>
      </c>
      <c r="H205" s="229">
        <v>4.1000000000000003E-3</v>
      </c>
      <c r="I205" s="231">
        <v>3486.4</v>
      </c>
      <c r="J205" s="231">
        <v>3477.7</v>
      </c>
      <c r="K205" s="228">
        <v>8.6999999999999993</v>
      </c>
      <c r="L205" s="229">
        <v>2.5000000000000001E-3</v>
      </c>
      <c r="M205" s="231">
        <v>3490.9</v>
      </c>
      <c r="N205" s="231">
        <v>3476.7</v>
      </c>
      <c r="O205" s="228">
        <v>14.2</v>
      </c>
      <c r="P205" s="229">
        <v>4.1000000000000003E-3</v>
      </c>
      <c r="Q205" s="231">
        <v>3514.7</v>
      </c>
      <c r="R205" s="231">
        <v>3500.1</v>
      </c>
      <c r="S205" s="228">
        <v>14.6</v>
      </c>
      <c r="T205" s="229">
        <v>4.1999999999999997E-3</v>
      </c>
      <c r="U205" s="231">
        <v>3536.1</v>
      </c>
      <c r="V205" s="231">
        <v>3520.6</v>
      </c>
      <c r="W205" s="228">
        <v>15.5</v>
      </c>
      <c r="X205" s="229">
        <v>4.4000000000000003E-3</v>
      </c>
      <c r="Y205" s="228">
        <v>4.5</v>
      </c>
      <c r="Z205" s="228">
        <v>-1</v>
      </c>
      <c r="AA205" s="228">
        <v>5.5</v>
      </c>
      <c r="AB205" s="229">
        <v>1.2999999999999999E-3</v>
      </c>
      <c r="AC205" s="228">
        <v>4.5</v>
      </c>
      <c r="AD205" s="228">
        <v>-1</v>
      </c>
      <c r="AE205" s="228">
        <v>5.5</v>
      </c>
      <c r="AF205" s="229">
        <v>1.2999999999999999E-3</v>
      </c>
      <c r="AG205" s="228">
        <v>28.3</v>
      </c>
      <c r="AH205" s="228">
        <v>22.4</v>
      </c>
      <c r="AI205" s="228">
        <v>5.9</v>
      </c>
      <c r="AJ205" s="229">
        <v>8.0999999999999996E-3</v>
      </c>
      <c r="AK205" s="228">
        <v>49.7</v>
      </c>
      <c r="AL205" s="228">
        <v>42.9</v>
      </c>
      <c r="AM205" s="228">
        <v>6.8</v>
      </c>
      <c r="AN205" s="229">
        <v>1.43E-2</v>
      </c>
      <c r="AO205" s="231">
        <v>3487.23</v>
      </c>
      <c r="AP205" s="231">
        <v>3510.53</v>
      </c>
      <c r="AQ205" s="228">
        <v>0</v>
      </c>
      <c r="AR205" s="230">
        <v>4738300</v>
      </c>
      <c r="AS205" s="230">
        <v>739375</v>
      </c>
      <c r="AT205" s="230">
        <v>3998925</v>
      </c>
      <c r="AU205" s="229">
        <v>5.4085000000000001</v>
      </c>
      <c r="AV205" s="230">
        <v>2544500</v>
      </c>
      <c r="AW205" s="230">
        <v>552125</v>
      </c>
      <c r="AX205" s="230">
        <v>1992375</v>
      </c>
      <c r="AY205" s="229">
        <v>3.6086</v>
      </c>
      <c r="AZ205" s="230">
        <v>2181550</v>
      </c>
      <c r="BA205" s="230">
        <v>185325</v>
      </c>
      <c r="BB205" s="230">
        <v>1996225</v>
      </c>
      <c r="BC205" s="229">
        <v>10.7715</v>
      </c>
      <c r="BD205" s="230">
        <v>12250</v>
      </c>
      <c r="BE205" s="230">
        <v>1925</v>
      </c>
      <c r="BF205" s="230">
        <v>10325</v>
      </c>
      <c r="BG205" s="229">
        <v>5.3635999999999999</v>
      </c>
      <c r="BH205" s="230">
        <v>5137300</v>
      </c>
      <c r="BI205" s="230">
        <v>5023725</v>
      </c>
      <c r="BJ205" s="230">
        <v>113575</v>
      </c>
      <c r="BK205" s="229">
        <v>2.2599999999999999E-2</v>
      </c>
      <c r="BL205" s="230">
        <v>1661100</v>
      </c>
      <c r="BM205" s="230">
        <v>1709750</v>
      </c>
      <c r="BN205" s="230">
        <v>-48650</v>
      </c>
      <c r="BO205" s="229">
        <v>-2.8500000000000001E-2</v>
      </c>
      <c r="BP205" s="230">
        <v>11536700</v>
      </c>
      <c r="BQ205" s="230">
        <v>7472850</v>
      </c>
      <c r="BR205" s="230">
        <v>4063850</v>
      </c>
      <c r="BS205" s="229">
        <v>0.54379999999999995</v>
      </c>
      <c r="BT205" s="230">
        <v>534323</v>
      </c>
      <c r="BU205" s="230">
        <v>658433</v>
      </c>
      <c r="BV205" s="230">
        <v>-124110</v>
      </c>
      <c r="BW205" s="229">
        <v>-0.1885</v>
      </c>
      <c r="BX205" s="230">
        <v>8107400</v>
      </c>
      <c r="BY205" s="230">
        <v>8241275</v>
      </c>
      <c r="BZ205" s="230">
        <v>-133875</v>
      </c>
      <c r="CA205" s="229">
        <v>-1.6199999999999999E-2</v>
      </c>
      <c r="CB205" s="230">
        <v>5987100</v>
      </c>
      <c r="CC205" s="230">
        <v>7915075</v>
      </c>
      <c r="CD205" s="230">
        <v>-1927975</v>
      </c>
      <c r="CE205" s="229">
        <v>-0.24360000000000001</v>
      </c>
      <c r="CF205" s="230">
        <v>2096850</v>
      </c>
      <c r="CG205" s="230">
        <v>302050</v>
      </c>
      <c r="CH205" s="230">
        <v>1794800</v>
      </c>
      <c r="CI205" s="229">
        <v>5.9420999999999999</v>
      </c>
      <c r="CJ205" s="230">
        <v>23450</v>
      </c>
      <c r="CK205" s="230">
        <v>24150</v>
      </c>
      <c r="CL205" s="228">
        <v>-700</v>
      </c>
      <c r="CM205" s="229">
        <v>-2.9000000000000001E-2</v>
      </c>
      <c r="CN205" s="230">
        <v>4290825</v>
      </c>
      <c r="CO205" s="230">
        <v>4653425</v>
      </c>
      <c r="CP205" s="230">
        <v>-362600</v>
      </c>
      <c r="CQ205" s="229">
        <v>-7.7899999999999997E-2</v>
      </c>
      <c r="CR205" s="230">
        <v>2014600</v>
      </c>
      <c r="CS205" s="230">
        <v>2156525</v>
      </c>
      <c r="CT205" s="230">
        <v>-141925</v>
      </c>
      <c r="CU205" s="229">
        <v>-6.5799999999999997E-2</v>
      </c>
      <c r="CV205" s="230">
        <v>14412825</v>
      </c>
      <c r="CW205" s="230">
        <v>15051225</v>
      </c>
      <c r="CX205" s="230">
        <v>-638400</v>
      </c>
      <c r="CY205" s="229">
        <v>-4.24E-2</v>
      </c>
      <c r="CZ205" s="228">
        <v>22.57</v>
      </c>
      <c r="DA205" s="228">
        <v>26.1</v>
      </c>
      <c r="DB205" s="228">
        <v>-3.53</v>
      </c>
      <c r="DC205" s="228">
        <v>-3.53</v>
      </c>
      <c r="DD205" s="228">
        <v>30.28</v>
      </c>
      <c r="DE205" s="228">
        <v>30.35</v>
      </c>
      <c r="DF205" s="228">
        <v>-7.71</v>
      </c>
      <c r="DG205" s="228">
        <v>-7.0000000000000007E-2</v>
      </c>
      <c r="DH205" s="228">
        <v>22.22</v>
      </c>
      <c r="DI205" s="228">
        <v>26.68</v>
      </c>
      <c r="DJ205" s="228">
        <v>-4.46</v>
      </c>
      <c r="DK205" s="228">
        <v>-4.46</v>
      </c>
      <c r="DL205" s="228">
        <v>23.23</v>
      </c>
      <c r="DM205" s="228">
        <v>24.39</v>
      </c>
      <c r="DN205" s="228">
        <v>-1.1599999999999999</v>
      </c>
      <c r="DO205" s="228">
        <v>-1.1599999999999999</v>
      </c>
      <c r="DP205" s="228">
        <v>0.47</v>
      </c>
      <c r="DQ205" s="228">
        <v>0.46</v>
      </c>
      <c r="DR205" s="228">
        <v>0.01</v>
      </c>
      <c r="DS205" s="229">
        <v>2.1700000000000001E-2</v>
      </c>
      <c r="DT205" s="231">
        <v>3700</v>
      </c>
      <c r="DU205" s="231">
        <v>3000</v>
      </c>
      <c r="DV205" s="228">
        <v>0.32</v>
      </c>
      <c r="DW205" s="228">
        <v>0.34</v>
      </c>
      <c r="DX205" s="228">
        <v>-0.02</v>
      </c>
      <c r="DY205" s="229">
        <v>-5.8799999999999998E-2</v>
      </c>
      <c r="DZ205" s="229">
        <v>0.26150000000000001</v>
      </c>
      <c r="EA205" s="230">
        <v>326200</v>
      </c>
      <c r="EB205" s="229">
        <v>6.7999999999999996E-3</v>
      </c>
      <c r="EC205" s="229">
        <v>0.26150000000000001</v>
      </c>
      <c r="ED205" s="228">
        <v>23.3</v>
      </c>
      <c r="EE205" s="229">
        <v>6.7000000000000002E-3</v>
      </c>
      <c r="EF205" s="230">
        <v>261470</v>
      </c>
      <c r="EG205" s="230">
        <v>447330</v>
      </c>
      <c r="EH205" s="229">
        <v>-0.41549999999999998</v>
      </c>
      <c r="EI205" s="229">
        <v>0.48930000000000001</v>
      </c>
      <c r="EJ205" s="231">
        <v>186166.42</v>
      </c>
      <c r="EK205" s="231">
        <v>57252.18</v>
      </c>
      <c r="EL205" s="231">
        <v>165749.41</v>
      </c>
      <c r="EM205" s="231">
        <v>5496</v>
      </c>
      <c r="EN205" s="231">
        <v>409168.01</v>
      </c>
      <c r="EO205" s="231">
        <v>267313.39</v>
      </c>
      <c r="EP205" s="231">
        <v>141854.62</v>
      </c>
      <c r="EQ205" s="229">
        <v>0.53069999999999995</v>
      </c>
      <c r="ER205" s="231">
        <v>157860</v>
      </c>
      <c r="ES205" s="231">
        <v>68176</v>
      </c>
      <c r="ET205" s="231">
        <v>283531</v>
      </c>
      <c r="EU205" s="231">
        <v>35369445</v>
      </c>
      <c r="EV205" s="231">
        <v>509567</v>
      </c>
      <c r="EW205" s="231">
        <v>530935</v>
      </c>
      <c r="EX205" s="231">
        <v>-21368</v>
      </c>
      <c r="EY205" s="229">
        <v>-4.02E-2</v>
      </c>
      <c r="EZ205" s="229">
        <v>0.40749999999999997</v>
      </c>
      <c r="FA205" s="227" t="s">
        <v>556</v>
      </c>
      <c r="FB205" s="161">
        <f t="shared" si="5"/>
        <v>0</v>
      </c>
    </row>
    <row r="206" spans="1:158" ht="17.25" thickBot="1" x14ac:dyDescent="0.3">
      <c r="A206" s="226">
        <v>45981</v>
      </c>
      <c r="B206" s="227" t="s">
        <v>157</v>
      </c>
      <c r="C206" s="227" t="s">
        <v>302</v>
      </c>
      <c r="D206" s="228">
        <v>50</v>
      </c>
      <c r="E206" s="231">
        <v>11753</v>
      </c>
      <c r="F206" s="231">
        <v>11690</v>
      </c>
      <c r="G206" s="228">
        <v>63</v>
      </c>
      <c r="H206" s="229">
        <v>5.4000000000000003E-3</v>
      </c>
      <c r="I206" s="231">
        <v>11753</v>
      </c>
      <c r="J206" s="231">
        <v>11666</v>
      </c>
      <c r="K206" s="228">
        <v>87</v>
      </c>
      <c r="L206" s="229">
        <v>7.4999999999999997E-3</v>
      </c>
      <c r="M206" s="231">
        <v>11753</v>
      </c>
      <c r="N206" s="231">
        <v>11690</v>
      </c>
      <c r="O206" s="228">
        <v>63</v>
      </c>
      <c r="P206" s="229">
        <v>5.4000000000000003E-3</v>
      </c>
      <c r="Q206" s="231">
        <v>11831</v>
      </c>
      <c r="R206" s="231">
        <v>11769</v>
      </c>
      <c r="S206" s="228">
        <v>62</v>
      </c>
      <c r="T206" s="229">
        <v>5.3E-3</v>
      </c>
      <c r="U206" s="231">
        <v>11884</v>
      </c>
      <c r="V206" s="231">
        <v>11840</v>
      </c>
      <c r="W206" s="228">
        <v>44</v>
      </c>
      <c r="X206" s="229">
        <v>3.7000000000000002E-3</v>
      </c>
      <c r="Y206" s="228">
        <v>0</v>
      </c>
      <c r="Z206" s="228">
        <v>24</v>
      </c>
      <c r="AA206" s="228">
        <v>-24</v>
      </c>
      <c r="AB206" s="229">
        <v>0</v>
      </c>
      <c r="AC206" s="228">
        <v>0</v>
      </c>
      <c r="AD206" s="228">
        <v>24</v>
      </c>
      <c r="AE206" s="228">
        <v>-24</v>
      </c>
      <c r="AF206" s="229">
        <v>0</v>
      </c>
      <c r="AG206" s="228">
        <v>78</v>
      </c>
      <c r="AH206" s="228">
        <v>103</v>
      </c>
      <c r="AI206" s="228">
        <v>-25</v>
      </c>
      <c r="AJ206" s="229">
        <v>6.6E-3</v>
      </c>
      <c r="AK206" s="228">
        <v>131</v>
      </c>
      <c r="AL206" s="228">
        <v>174</v>
      </c>
      <c r="AM206" s="228">
        <v>-43</v>
      </c>
      <c r="AN206" s="229">
        <v>1.11E-2</v>
      </c>
      <c r="AO206" s="231">
        <v>11733.75</v>
      </c>
      <c r="AP206" s="231">
        <v>11813.85</v>
      </c>
      <c r="AQ206" s="228">
        <v>0</v>
      </c>
      <c r="AR206" s="230">
        <v>928050</v>
      </c>
      <c r="AS206" s="230">
        <v>477650</v>
      </c>
      <c r="AT206" s="230">
        <v>450400</v>
      </c>
      <c r="AU206" s="229">
        <v>0.94289999999999996</v>
      </c>
      <c r="AV206" s="230">
        <v>508400</v>
      </c>
      <c r="AW206" s="230">
        <v>309750</v>
      </c>
      <c r="AX206" s="230">
        <v>198650</v>
      </c>
      <c r="AY206" s="229">
        <v>0.64129999999999998</v>
      </c>
      <c r="AZ206" s="230">
        <v>416250</v>
      </c>
      <c r="BA206" s="230">
        <v>164600</v>
      </c>
      <c r="BB206" s="230">
        <v>251650</v>
      </c>
      <c r="BC206" s="229">
        <v>1.5288999999999999</v>
      </c>
      <c r="BD206" s="230">
        <v>3400</v>
      </c>
      <c r="BE206" s="230">
        <v>3300</v>
      </c>
      <c r="BF206" s="228">
        <v>100</v>
      </c>
      <c r="BG206" s="229">
        <v>3.0300000000000001E-2</v>
      </c>
      <c r="BH206" s="230">
        <v>1724500</v>
      </c>
      <c r="BI206" s="230">
        <v>1584250</v>
      </c>
      <c r="BJ206" s="230">
        <v>140250</v>
      </c>
      <c r="BK206" s="229">
        <v>8.8499999999999995E-2</v>
      </c>
      <c r="BL206" s="230">
        <v>508900</v>
      </c>
      <c r="BM206" s="230">
        <v>486450</v>
      </c>
      <c r="BN206" s="230">
        <v>22450</v>
      </c>
      <c r="BO206" s="229">
        <v>4.6199999999999998E-2</v>
      </c>
      <c r="BP206" s="230">
        <v>3161450</v>
      </c>
      <c r="BQ206" s="230">
        <v>2548350</v>
      </c>
      <c r="BR206" s="230">
        <v>613100</v>
      </c>
      <c r="BS206" s="229">
        <v>0.24060000000000001</v>
      </c>
      <c r="BT206" s="230">
        <v>193984</v>
      </c>
      <c r="BU206" s="230">
        <v>273825</v>
      </c>
      <c r="BV206" s="230">
        <v>-79841</v>
      </c>
      <c r="BW206" s="229">
        <v>-0.29160000000000003</v>
      </c>
      <c r="BX206" s="230">
        <v>2535350</v>
      </c>
      <c r="BY206" s="230">
        <v>2529700</v>
      </c>
      <c r="BZ206" s="230">
        <v>5650</v>
      </c>
      <c r="CA206" s="229">
        <v>2.2000000000000001E-3</v>
      </c>
      <c r="CB206" s="230">
        <v>1811750</v>
      </c>
      <c r="CC206" s="230">
        <v>2185800</v>
      </c>
      <c r="CD206" s="230">
        <v>-374050</v>
      </c>
      <c r="CE206" s="229">
        <v>-0.1711</v>
      </c>
      <c r="CF206" s="230">
        <v>712900</v>
      </c>
      <c r="CG206" s="230">
        <v>334700</v>
      </c>
      <c r="CH206" s="230">
        <v>378200</v>
      </c>
      <c r="CI206" s="229">
        <v>1.1299999999999999</v>
      </c>
      <c r="CJ206" s="230">
        <v>10700</v>
      </c>
      <c r="CK206" s="230">
        <v>9200</v>
      </c>
      <c r="CL206" s="230">
        <v>1500</v>
      </c>
      <c r="CM206" s="229">
        <v>0.16300000000000001</v>
      </c>
      <c r="CN206" s="230">
        <v>1093600</v>
      </c>
      <c r="CO206" s="230">
        <v>1324300</v>
      </c>
      <c r="CP206" s="230">
        <v>-230700</v>
      </c>
      <c r="CQ206" s="229">
        <v>-0.17419999999999999</v>
      </c>
      <c r="CR206" s="230">
        <v>496550</v>
      </c>
      <c r="CS206" s="230">
        <v>542650</v>
      </c>
      <c r="CT206" s="230">
        <v>-46100</v>
      </c>
      <c r="CU206" s="229">
        <v>-8.5000000000000006E-2</v>
      </c>
      <c r="CV206" s="230">
        <v>4125500</v>
      </c>
      <c r="CW206" s="230">
        <v>4396650</v>
      </c>
      <c r="CX206" s="230">
        <v>-271150</v>
      </c>
      <c r="CY206" s="229">
        <v>-6.1699999999999998E-2</v>
      </c>
      <c r="CZ206" s="228">
        <v>17.23</v>
      </c>
      <c r="DA206" s="228">
        <v>19.75</v>
      </c>
      <c r="DB206" s="228">
        <v>-2.52</v>
      </c>
      <c r="DC206" s="228">
        <v>-2.52</v>
      </c>
      <c r="DD206" s="228">
        <v>24.54</v>
      </c>
      <c r="DE206" s="228">
        <v>24.58</v>
      </c>
      <c r="DF206" s="228">
        <v>-7.31</v>
      </c>
      <c r="DG206" s="228">
        <v>-0.04</v>
      </c>
      <c r="DH206" s="228">
        <v>17.329999999999998</v>
      </c>
      <c r="DI206" s="228">
        <v>20.3</v>
      </c>
      <c r="DJ206" s="228">
        <v>-2.97</v>
      </c>
      <c r="DK206" s="228">
        <v>-2.97</v>
      </c>
      <c r="DL206" s="228">
        <v>16.84</v>
      </c>
      <c r="DM206" s="228">
        <v>17.95</v>
      </c>
      <c r="DN206" s="228">
        <v>-1.1100000000000001</v>
      </c>
      <c r="DO206" s="228">
        <v>-1.1100000000000001</v>
      </c>
      <c r="DP206" s="228">
        <v>0.45</v>
      </c>
      <c r="DQ206" s="228">
        <v>0.41</v>
      </c>
      <c r="DR206" s="228">
        <v>0.04</v>
      </c>
      <c r="DS206" s="229">
        <v>9.7600000000000006E-2</v>
      </c>
      <c r="DT206" s="231">
        <v>12000</v>
      </c>
      <c r="DU206" s="231">
        <v>11000</v>
      </c>
      <c r="DV206" s="228">
        <v>0.3</v>
      </c>
      <c r="DW206" s="228">
        <v>0.31</v>
      </c>
      <c r="DX206" s="228">
        <v>-0.01</v>
      </c>
      <c r="DY206" s="229">
        <v>-3.2300000000000002E-2</v>
      </c>
      <c r="DZ206" s="229">
        <v>0.28539999999999999</v>
      </c>
      <c r="EA206" s="230">
        <v>343900</v>
      </c>
      <c r="EB206" s="229">
        <v>6.6E-3</v>
      </c>
      <c r="EC206" s="229">
        <v>0.28539999999999999</v>
      </c>
      <c r="ED206" s="228">
        <v>80.099999999999994</v>
      </c>
      <c r="EE206" s="229">
        <v>6.7999999999999996E-3</v>
      </c>
      <c r="EF206" s="230">
        <v>132402</v>
      </c>
      <c r="EG206" s="230">
        <v>207360</v>
      </c>
      <c r="EH206" s="229">
        <v>-0.36149999999999999</v>
      </c>
      <c r="EI206" s="229">
        <v>0.6825</v>
      </c>
      <c r="EJ206" s="231">
        <v>208876.61</v>
      </c>
      <c r="EK206" s="231">
        <v>59646.38</v>
      </c>
      <c r="EL206" s="231">
        <v>109233.64</v>
      </c>
      <c r="EM206" s="231">
        <v>6828</v>
      </c>
      <c r="EN206" s="231">
        <v>377756.63</v>
      </c>
      <c r="EO206" s="231">
        <v>305005.09000000003</v>
      </c>
      <c r="EP206" s="231">
        <v>72751.539999999994</v>
      </c>
      <c r="EQ206" s="229">
        <v>0.23849999999999999</v>
      </c>
      <c r="ER206" s="231">
        <v>134853</v>
      </c>
      <c r="ES206" s="231">
        <v>57873</v>
      </c>
      <c r="ET206" s="231">
        <v>298550</v>
      </c>
      <c r="EU206" s="231">
        <v>11962066</v>
      </c>
      <c r="EV206" s="231">
        <v>491276</v>
      </c>
      <c r="EW206" s="231">
        <v>522519</v>
      </c>
      <c r="EX206" s="231">
        <v>-31243</v>
      </c>
      <c r="EY206" s="229">
        <v>-5.9799999999999999E-2</v>
      </c>
      <c r="EZ206" s="229">
        <v>0.34489999999999998</v>
      </c>
      <c r="FA206" s="227" t="s">
        <v>555</v>
      </c>
      <c r="FB206" s="161">
        <f t="shared" si="5"/>
        <v>0</v>
      </c>
    </row>
    <row r="207" spans="1:158" ht="17.25" thickBot="1" x14ac:dyDescent="0.3">
      <c r="A207" s="226">
        <v>45981</v>
      </c>
      <c r="B207" s="227" t="s">
        <v>172</v>
      </c>
      <c r="C207" s="227" t="s">
        <v>593</v>
      </c>
      <c r="D207" s="228">
        <v>4425</v>
      </c>
      <c r="E207" s="228">
        <v>153.12</v>
      </c>
      <c r="F207" s="228">
        <v>154.82</v>
      </c>
      <c r="G207" s="228">
        <v>-1.7</v>
      </c>
      <c r="H207" s="229">
        <v>-1.0999999999999999E-2</v>
      </c>
      <c r="I207" s="228">
        <v>153.19</v>
      </c>
      <c r="J207" s="228">
        <v>154.47999999999999</v>
      </c>
      <c r="K207" s="228">
        <v>-1.29</v>
      </c>
      <c r="L207" s="229">
        <v>-8.3999999999999995E-3</v>
      </c>
      <c r="M207" s="228">
        <v>153.12</v>
      </c>
      <c r="N207" s="228">
        <v>154.82</v>
      </c>
      <c r="O207" s="228">
        <v>-1.7</v>
      </c>
      <c r="P207" s="229">
        <v>-1.0999999999999999E-2</v>
      </c>
      <c r="Q207" s="228">
        <v>154.15</v>
      </c>
      <c r="R207" s="228">
        <v>155.79</v>
      </c>
      <c r="S207" s="228">
        <v>-1.64</v>
      </c>
      <c r="T207" s="229">
        <v>-1.0500000000000001E-2</v>
      </c>
      <c r="U207" s="228">
        <v>154.85</v>
      </c>
      <c r="V207" s="228">
        <v>156.56</v>
      </c>
      <c r="W207" s="228">
        <v>-1.71</v>
      </c>
      <c r="X207" s="229">
        <v>-1.09E-2</v>
      </c>
      <c r="Y207" s="228">
        <v>-7.0000000000000007E-2</v>
      </c>
      <c r="Z207" s="228">
        <v>0.34</v>
      </c>
      <c r="AA207" s="228">
        <v>-0.41</v>
      </c>
      <c r="AB207" s="229">
        <v>-5.0000000000000001E-4</v>
      </c>
      <c r="AC207" s="228">
        <v>-7.0000000000000007E-2</v>
      </c>
      <c r="AD207" s="228">
        <v>0.34</v>
      </c>
      <c r="AE207" s="228">
        <v>-0.41</v>
      </c>
      <c r="AF207" s="229">
        <v>-5.0000000000000001E-4</v>
      </c>
      <c r="AG207" s="228">
        <v>0.96</v>
      </c>
      <c r="AH207" s="228">
        <v>1.31</v>
      </c>
      <c r="AI207" s="228">
        <v>-0.35</v>
      </c>
      <c r="AJ207" s="229">
        <v>6.3E-3</v>
      </c>
      <c r="AK207" s="228">
        <v>1.66</v>
      </c>
      <c r="AL207" s="228">
        <v>2.08</v>
      </c>
      <c r="AM207" s="228">
        <v>-0.42</v>
      </c>
      <c r="AN207" s="229">
        <v>1.0800000000000001E-2</v>
      </c>
      <c r="AO207" s="228">
        <v>154.4</v>
      </c>
      <c r="AP207" s="228">
        <v>155.47999999999999</v>
      </c>
      <c r="AQ207" s="228">
        <v>0</v>
      </c>
      <c r="AR207" s="230">
        <v>46161600</v>
      </c>
      <c r="AS207" s="230">
        <v>16996425</v>
      </c>
      <c r="AT207" s="230">
        <v>29165175</v>
      </c>
      <c r="AU207" s="229">
        <v>1.716</v>
      </c>
      <c r="AV207" s="230">
        <v>23886150</v>
      </c>
      <c r="AW207" s="230">
        <v>10372200</v>
      </c>
      <c r="AX207" s="230">
        <v>13513950</v>
      </c>
      <c r="AY207" s="229">
        <v>1.3028999999999999</v>
      </c>
      <c r="AZ207" s="230">
        <v>21903750</v>
      </c>
      <c r="BA207" s="230">
        <v>5951625</v>
      </c>
      <c r="BB207" s="230">
        <v>15952125</v>
      </c>
      <c r="BC207" s="229">
        <v>2.6802999999999999</v>
      </c>
      <c r="BD207" s="230">
        <v>371700</v>
      </c>
      <c r="BE207" s="230">
        <v>672600</v>
      </c>
      <c r="BF207" s="230">
        <v>-300900</v>
      </c>
      <c r="BG207" s="229">
        <v>-0.44740000000000002</v>
      </c>
      <c r="BH207" s="230">
        <v>42842850</v>
      </c>
      <c r="BI207" s="230">
        <v>53675250</v>
      </c>
      <c r="BJ207" s="230">
        <v>-10832400</v>
      </c>
      <c r="BK207" s="229">
        <v>-0.20180000000000001</v>
      </c>
      <c r="BL207" s="230">
        <v>18456675</v>
      </c>
      <c r="BM207" s="230">
        <v>21961275</v>
      </c>
      <c r="BN207" s="230">
        <v>-3504600</v>
      </c>
      <c r="BO207" s="229">
        <v>-0.15959999999999999</v>
      </c>
      <c r="BP207" s="230">
        <v>107461125</v>
      </c>
      <c r="BQ207" s="230">
        <v>92632950</v>
      </c>
      <c r="BR207" s="230">
        <v>14828175</v>
      </c>
      <c r="BS207" s="229">
        <v>0.16009999999999999</v>
      </c>
      <c r="BT207" s="230">
        <v>6433833</v>
      </c>
      <c r="BU207" s="230">
        <v>10208403</v>
      </c>
      <c r="BV207" s="230">
        <v>-3774570</v>
      </c>
      <c r="BW207" s="229">
        <v>-0.36980000000000002</v>
      </c>
      <c r="BX207" s="230">
        <v>91531125</v>
      </c>
      <c r="BY207" s="230">
        <v>91442625</v>
      </c>
      <c r="BZ207" s="230">
        <v>88500</v>
      </c>
      <c r="CA207" s="229">
        <v>1E-3</v>
      </c>
      <c r="CB207" s="230">
        <v>60870300</v>
      </c>
      <c r="CC207" s="230">
        <v>76667550</v>
      </c>
      <c r="CD207" s="230">
        <v>-15797250</v>
      </c>
      <c r="CE207" s="229">
        <v>-0.20599999999999999</v>
      </c>
      <c r="CF207" s="230">
        <v>28921800</v>
      </c>
      <c r="CG207" s="230">
        <v>13230750</v>
      </c>
      <c r="CH207" s="230">
        <v>15691050</v>
      </c>
      <c r="CI207" s="229">
        <v>1.1859999999999999</v>
      </c>
      <c r="CJ207" s="230">
        <v>1739025</v>
      </c>
      <c r="CK207" s="230">
        <v>1544325</v>
      </c>
      <c r="CL207" s="230">
        <v>194700</v>
      </c>
      <c r="CM207" s="229">
        <v>0.12609999999999999</v>
      </c>
      <c r="CN207" s="230">
        <v>37200975</v>
      </c>
      <c r="CO207" s="230">
        <v>40090500</v>
      </c>
      <c r="CP207" s="230">
        <v>-2889525</v>
      </c>
      <c r="CQ207" s="229">
        <v>-7.2099999999999997E-2</v>
      </c>
      <c r="CR207" s="230">
        <v>28196100</v>
      </c>
      <c r="CS207" s="230">
        <v>28749225</v>
      </c>
      <c r="CT207" s="230">
        <v>-553125</v>
      </c>
      <c r="CU207" s="229">
        <v>-1.9199999999999998E-2</v>
      </c>
      <c r="CV207" s="230">
        <v>156928200</v>
      </c>
      <c r="CW207" s="230">
        <v>160282350</v>
      </c>
      <c r="CX207" s="230">
        <v>-3354150</v>
      </c>
      <c r="CY207" s="229">
        <v>-2.0899999999999998E-2</v>
      </c>
      <c r="CZ207" s="228">
        <v>28.98</v>
      </c>
      <c r="DA207" s="228">
        <v>31.45</v>
      </c>
      <c r="DB207" s="228">
        <v>-2.4700000000000002</v>
      </c>
      <c r="DC207" s="228">
        <v>-2.4700000000000002</v>
      </c>
      <c r="DD207" s="228">
        <v>41.79</v>
      </c>
      <c r="DE207" s="228">
        <v>41.86</v>
      </c>
      <c r="DF207" s="228">
        <v>-12.81</v>
      </c>
      <c r="DG207" s="228">
        <v>-7.0000000000000007E-2</v>
      </c>
      <c r="DH207" s="228">
        <v>29.12</v>
      </c>
      <c r="DI207" s="228">
        <v>30.19</v>
      </c>
      <c r="DJ207" s="228">
        <v>-1.07</v>
      </c>
      <c r="DK207" s="228">
        <v>-1.07</v>
      </c>
      <c r="DL207" s="228">
        <v>28.77</v>
      </c>
      <c r="DM207" s="228">
        <v>34.549999999999997</v>
      </c>
      <c r="DN207" s="228">
        <v>-5.78</v>
      </c>
      <c r="DO207" s="228">
        <v>-5.78</v>
      </c>
      <c r="DP207" s="228">
        <v>0.76</v>
      </c>
      <c r="DQ207" s="228">
        <v>0.72</v>
      </c>
      <c r="DR207" s="228">
        <v>0.04</v>
      </c>
      <c r="DS207" s="229">
        <v>5.5599999999999997E-2</v>
      </c>
      <c r="DT207" s="228">
        <v>155</v>
      </c>
      <c r="DU207" s="228">
        <v>140</v>
      </c>
      <c r="DV207" s="228">
        <v>0.43</v>
      </c>
      <c r="DW207" s="228">
        <v>0.41</v>
      </c>
      <c r="DX207" s="228">
        <v>0.02</v>
      </c>
      <c r="DY207" s="229">
        <v>4.8800000000000003E-2</v>
      </c>
      <c r="DZ207" s="229">
        <v>0.33500000000000002</v>
      </c>
      <c r="EA207" s="230">
        <v>14775075</v>
      </c>
      <c r="EB207" s="229">
        <v>6.7000000000000002E-3</v>
      </c>
      <c r="EC207" s="229">
        <v>0.33500000000000002</v>
      </c>
      <c r="ED207" s="228">
        <v>1.08</v>
      </c>
      <c r="EE207" s="229">
        <v>7.0000000000000001E-3</v>
      </c>
      <c r="EF207" s="230">
        <v>2413811</v>
      </c>
      <c r="EG207" s="230">
        <v>4130690</v>
      </c>
      <c r="EH207" s="229">
        <v>-0.41560000000000002</v>
      </c>
      <c r="EI207" s="229">
        <v>0.37519999999999998</v>
      </c>
      <c r="EJ207" s="231">
        <v>68360.740000000005</v>
      </c>
      <c r="EK207" s="231">
        <v>27292.959999999999</v>
      </c>
      <c r="EL207" s="231">
        <v>71515.259999999995</v>
      </c>
      <c r="EM207" s="231">
        <v>3803</v>
      </c>
      <c r="EN207" s="231">
        <v>167168.95999999999</v>
      </c>
      <c r="EO207" s="231">
        <v>143958.71</v>
      </c>
      <c r="EP207" s="231">
        <v>23210.25</v>
      </c>
      <c r="EQ207" s="229">
        <v>0.16120000000000001</v>
      </c>
      <c r="ER207" s="231">
        <v>58378</v>
      </c>
      <c r="ES207" s="231">
        <v>40946</v>
      </c>
      <c r="ET207" s="231">
        <v>140480</v>
      </c>
      <c r="EU207" s="231">
        <v>289041713</v>
      </c>
      <c r="EV207" s="231">
        <v>239805</v>
      </c>
      <c r="EW207" s="231">
        <v>246296</v>
      </c>
      <c r="EX207" s="231">
        <v>-6491</v>
      </c>
      <c r="EY207" s="229">
        <v>-2.64E-2</v>
      </c>
      <c r="EZ207" s="229">
        <v>0.54290000000000005</v>
      </c>
      <c r="FA207" s="227" t="s">
        <v>567</v>
      </c>
      <c r="FB207" s="161">
        <f t="shared" si="5"/>
        <v>0</v>
      </c>
    </row>
    <row r="208" spans="1:158" ht="17.25" thickBot="1" x14ac:dyDescent="0.3">
      <c r="A208" s="226">
        <v>45981</v>
      </c>
      <c r="B208" s="227" t="s">
        <v>168</v>
      </c>
      <c r="C208" s="227" t="s">
        <v>569</v>
      </c>
      <c r="D208" s="228">
        <v>400</v>
      </c>
      <c r="E208" s="231">
        <v>1415.8</v>
      </c>
      <c r="F208" s="231">
        <v>1414.4</v>
      </c>
      <c r="G208" s="228">
        <v>1.4</v>
      </c>
      <c r="H208" s="229">
        <v>1E-3</v>
      </c>
      <c r="I208" s="231">
        <v>1416.2</v>
      </c>
      <c r="J208" s="231">
        <v>1411.7</v>
      </c>
      <c r="K208" s="228">
        <v>4.5</v>
      </c>
      <c r="L208" s="229">
        <v>3.2000000000000002E-3</v>
      </c>
      <c r="M208" s="231">
        <v>1415.8</v>
      </c>
      <c r="N208" s="231">
        <v>1414.4</v>
      </c>
      <c r="O208" s="228">
        <v>1.4</v>
      </c>
      <c r="P208" s="229">
        <v>1E-3</v>
      </c>
      <c r="Q208" s="231">
        <v>1425.4</v>
      </c>
      <c r="R208" s="231">
        <v>1424.1</v>
      </c>
      <c r="S208" s="228">
        <v>1.3</v>
      </c>
      <c r="T208" s="229">
        <v>8.9999999999999998E-4</v>
      </c>
      <c r="U208" s="231">
        <v>1434.1</v>
      </c>
      <c r="V208" s="231">
        <v>1432.8</v>
      </c>
      <c r="W208" s="228">
        <v>1.3</v>
      </c>
      <c r="X208" s="229">
        <v>8.9999999999999998E-4</v>
      </c>
      <c r="Y208" s="228">
        <v>-0.4</v>
      </c>
      <c r="Z208" s="228">
        <v>2.7</v>
      </c>
      <c r="AA208" s="228">
        <v>-3.1</v>
      </c>
      <c r="AB208" s="229">
        <v>-2.9999999999999997E-4</v>
      </c>
      <c r="AC208" s="228">
        <v>-0.4</v>
      </c>
      <c r="AD208" s="228">
        <v>2.7</v>
      </c>
      <c r="AE208" s="228">
        <v>-3.1</v>
      </c>
      <c r="AF208" s="229">
        <v>-2.9999999999999997E-4</v>
      </c>
      <c r="AG208" s="228">
        <v>9.1999999999999993</v>
      </c>
      <c r="AH208" s="228">
        <v>12.4</v>
      </c>
      <c r="AI208" s="228">
        <v>-3.2</v>
      </c>
      <c r="AJ208" s="229">
        <v>6.4999999999999997E-3</v>
      </c>
      <c r="AK208" s="228">
        <v>17.899999999999999</v>
      </c>
      <c r="AL208" s="228">
        <v>21.1</v>
      </c>
      <c r="AM208" s="228">
        <v>-3.2</v>
      </c>
      <c r="AN208" s="229">
        <v>1.26E-2</v>
      </c>
      <c r="AO208" s="231">
        <v>1423.58</v>
      </c>
      <c r="AP208" s="231">
        <v>1433.77</v>
      </c>
      <c r="AQ208" s="228">
        <v>0</v>
      </c>
      <c r="AR208" s="230">
        <v>6375600</v>
      </c>
      <c r="AS208" s="230">
        <v>1698800</v>
      </c>
      <c r="AT208" s="230">
        <v>4676800</v>
      </c>
      <c r="AU208" s="229">
        <v>2.7530000000000001</v>
      </c>
      <c r="AV208" s="230">
        <v>3457200</v>
      </c>
      <c r="AW208" s="230">
        <v>1126800</v>
      </c>
      <c r="AX208" s="230">
        <v>2330400</v>
      </c>
      <c r="AY208" s="229">
        <v>2.0682</v>
      </c>
      <c r="AZ208" s="230">
        <v>2903600</v>
      </c>
      <c r="BA208" s="230">
        <v>544000</v>
      </c>
      <c r="BB208" s="230">
        <v>2359600</v>
      </c>
      <c r="BC208" s="229">
        <v>4.3375000000000004</v>
      </c>
      <c r="BD208" s="230">
        <v>14800</v>
      </c>
      <c r="BE208" s="230">
        <v>28000</v>
      </c>
      <c r="BF208" s="230">
        <v>-13200</v>
      </c>
      <c r="BG208" s="229">
        <v>-0.47139999999999999</v>
      </c>
      <c r="BH208" s="230">
        <v>5532400</v>
      </c>
      <c r="BI208" s="230">
        <v>5368400</v>
      </c>
      <c r="BJ208" s="230">
        <v>164000</v>
      </c>
      <c r="BK208" s="229">
        <v>3.0499999999999999E-2</v>
      </c>
      <c r="BL208" s="230">
        <v>1752400</v>
      </c>
      <c r="BM208" s="230">
        <v>2764800</v>
      </c>
      <c r="BN208" s="230">
        <v>-1012400</v>
      </c>
      <c r="BO208" s="229">
        <v>-0.36620000000000003</v>
      </c>
      <c r="BP208" s="230">
        <v>13660400</v>
      </c>
      <c r="BQ208" s="230">
        <v>9832000</v>
      </c>
      <c r="BR208" s="230">
        <v>3828400</v>
      </c>
      <c r="BS208" s="229">
        <v>0.38940000000000002</v>
      </c>
      <c r="BT208" s="230">
        <v>575668</v>
      </c>
      <c r="BU208" s="230">
        <v>490970</v>
      </c>
      <c r="BV208" s="230">
        <v>84698</v>
      </c>
      <c r="BW208" s="229">
        <v>0.17249999999999999</v>
      </c>
      <c r="BX208" s="230">
        <v>14536000</v>
      </c>
      <c r="BY208" s="230">
        <v>14764000</v>
      </c>
      <c r="BZ208" s="230">
        <v>-228000</v>
      </c>
      <c r="CA208" s="229">
        <v>-1.54E-2</v>
      </c>
      <c r="CB208" s="230">
        <v>10895200</v>
      </c>
      <c r="CC208" s="230">
        <v>13624800</v>
      </c>
      <c r="CD208" s="230">
        <v>-2729600</v>
      </c>
      <c r="CE208" s="229">
        <v>-0.20030000000000001</v>
      </c>
      <c r="CF208" s="230">
        <v>3577200</v>
      </c>
      <c r="CG208" s="230">
        <v>1081200</v>
      </c>
      <c r="CH208" s="230">
        <v>2496000</v>
      </c>
      <c r="CI208" s="229">
        <v>2.3085</v>
      </c>
      <c r="CJ208" s="230">
        <v>63600</v>
      </c>
      <c r="CK208" s="230">
        <v>58000</v>
      </c>
      <c r="CL208" s="230">
        <v>5600</v>
      </c>
      <c r="CM208" s="229">
        <v>9.6600000000000005E-2</v>
      </c>
      <c r="CN208" s="230">
        <v>6127200</v>
      </c>
      <c r="CO208" s="230">
        <v>6862400</v>
      </c>
      <c r="CP208" s="230">
        <v>-735200</v>
      </c>
      <c r="CQ208" s="229">
        <v>-0.1071</v>
      </c>
      <c r="CR208" s="230">
        <v>3522400</v>
      </c>
      <c r="CS208" s="230">
        <v>3700000</v>
      </c>
      <c r="CT208" s="230">
        <v>-177600</v>
      </c>
      <c r="CU208" s="229">
        <v>-4.8000000000000001E-2</v>
      </c>
      <c r="CV208" s="230">
        <v>24185600</v>
      </c>
      <c r="CW208" s="230">
        <v>25326400</v>
      </c>
      <c r="CX208" s="230">
        <v>-1140800</v>
      </c>
      <c r="CY208" s="229">
        <v>-4.4999999999999998E-2</v>
      </c>
      <c r="CZ208" s="228">
        <v>19.989999999999998</v>
      </c>
      <c r="DA208" s="228">
        <v>26.37</v>
      </c>
      <c r="DB208" s="228">
        <v>-6.38</v>
      </c>
      <c r="DC208" s="228">
        <v>-6.38</v>
      </c>
      <c r="DD208" s="228">
        <v>27.71</v>
      </c>
      <c r="DE208" s="228">
        <v>27.77</v>
      </c>
      <c r="DF208" s="228">
        <v>-7.72</v>
      </c>
      <c r="DG208" s="228">
        <v>-0.06</v>
      </c>
      <c r="DH208" s="228">
        <v>20.010000000000002</v>
      </c>
      <c r="DI208" s="228">
        <v>26.1</v>
      </c>
      <c r="DJ208" s="228">
        <v>-6.09</v>
      </c>
      <c r="DK208" s="228">
        <v>-6.09</v>
      </c>
      <c r="DL208" s="228">
        <v>19.940000000000001</v>
      </c>
      <c r="DM208" s="228">
        <v>26.9</v>
      </c>
      <c r="DN208" s="228">
        <v>-6.96</v>
      </c>
      <c r="DO208" s="228">
        <v>-6.96</v>
      </c>
      <c r="DP208" s="228">
        <v>0.56999999999999995</v>
      </c>
      <c r="DQ208" s="228">
        <v>0.54</v>
      </c>
      <c r="DR208" s="228">
        <v>0.03</v>
      </c>
      <c r="DS208" s="229">
        <v>5.5599999999999997E-2</v>
      </c>
      <c r="DT208" s="231">
        <v>1500</v>
      </c>
      <c r="DU208" s="231">
        <v>1400</v>
      </c>
      <c r="DV208" s="228">
        <v>0.32</v>
      </c>
      <c r="DW208" s="228">
        <v>0.52</v>
      </c>
      <c r="DX208" s="228">
        <v>-0.2</v>
      </c>
      <c r="DY208" s="229">
        <v>-0.3846</v>
      </c>
      <c r="DZ208" s="229">
        <v>0.2505</v>
      </c>
      <c r="EA208" s="230">
        <v>1139200</v>
      </c>
      <c r="EB208" s="229">
        <v>6.7999999999999996E-3</v>
      </c>
      <c r="EC208" s="229">
        <v>0.2505</v>
      </c>
      <c r="ED208" s="228">
        <v>10.19</v>
      </c>
      <c r="EE208" s="229">
        <v>7.1999999999999998E-3</v>
      </c>
      <c r="EF208" s="230">
        <v>288869</v>
      </c>
      <c r="EG208" s="230">
        <v>289707</v>
      </c>
      <c r="EH208" s="229">
        <v>-2.8999999999999998E-3</v>
      </c>
      <c r="EI208" s="229">
        <v>0.50180000000000002</v>
      </c>
      <c r="EJ208" s="231">
        <v>81540.91</v>
      </c>
      <c r="EK208" s="231">
        <v>24605.17</v>
      </c>
      <c r="EL208" s="231">
        <v>91059.76</v>
      </c>
      <c r="EM208" s="231">
        <v>3461</v>
      </c>
      <c r="EN208" s="231">
        <v>197205.84</v>
      </c>
      <c r="EO208" s="231">
        <v>143209.28</v>
      </c>
      <c r="EP208" s="231">
        <v>53996.56</v>
      </c>
      <c r="EQ208" s="229">
        <v>0.377</v>
      </c>
      <c r="ER208" s="231">
        <v>90022</v>
      </c>
      <c r="ES208" s="231">
        <v>49379</v>
      </c>
      <c r="ET208" s="231">
        <v>206156</v>
      </c>
      <c r="EU208" s="231">
        <v>47269416</v>
      </c>
      <c r="EV208" s="231">
        <v>345557</v>
      </c>
      <c r="EW208" s="231">
        <v>361630</v>
      </c>
      <c r="EX208" s="231">
        <v>-16073</v>
      </c>
      <c r="EY208" s="229">
        <v>-4.4400000000000002E-2</v>
      </c>
      <c r="EZ208" s="229">
        <v>0.51170000000000004</v>
      </c>
      <c r="FA208" s="227" t="s">
        <v>556</v>
      </c>
      <c r="FB208" s="161">
        <f t="shared" si="5"/>
        <v>0</v>
      </c>
    </row>
    <row r="209" spans="1:158" ht="17.25" thickBot="1" x14ac:dyDescent="0.3">
      <c r="A209" s="226">
        <v>45981</v>
      </c>
      <c r="B209" s="227" t="s">
        <v>162</v>
      </c>
      <c r="C209" s="227" t="s">
        <v>675</v>
      </c>
      <c r="D209" s="228">
        <v>550</v>
      </c>
      <c r="E209" s="231">
        <v>1294.3</v>
      </c>
      <c r="F209" s="231">
        <v>1309.5999999999999</v>
      </c>
      <c r="G209" s="228">
        <v>-15.3</v>
      </c>
      <c r="H209" s="229">
        <v>-1.17E-2</v>
      </c>
      <c r="I209" s="231">
        <v>1298</v>
      </c>
      <c r="J209" s="231">
        <v>1305.0999999999999</v>
      </c>
      <c r="K209" s="228">
        <v>-7.1</v>
      </c>
      <c r="L209" s="229">
        <v>-5.4000000000000003E-3</v>
      </c>
      <c r="M209" s="231">
        <v>1294.3</v>
      </c>
      <c r="N209" s="231">
        <v>1309.5999999999999</v>
      </c>
      <c r="O209" s="228">
        <v>-15.3</v>
      </c>
      <c r="P209" s="229">
        <v>-1.17E-2</v>
      </c>
      <c r="Q209" s="231">
        <v>1300</v>
      </c>
      <c r="R209" s="231">
        <v>1315.7</v>
      </c>
      <c r="S209" s="228">
        <v>-15.7</v>
      </c>
      <c r="T209" s="229">
        <v>-1.1900000000000001E-2</v>
      </c>
      <c r="U209" s="231">
        <v>1309</v>
      </c>
      <c r="V209" s="231">
        <v>1320</v>
      </c>
      <c r="W209" s="228">
        <v>-11</v>
      </c>
      <c r="X209" s="229">
        <v>-8.3000000000000001E-3</v>
      </c>
      <c r="Y209" s="228">
        <v>-3.7</v>
      </c>
      <c r="Z209" s="228">
        <v>4.5</v>
      </c>
      <c r="AA209" s="228">
        <v>-8.1999999999999993</v>
      </c>
      <c r="AB209" s="229">
        <v>-2.8999999999999998E-3</v>
      </c>
      <c r="AC209" s="228">
        <v>-3.7</v>
      </c>
      <c r="AD209" s="228">
        <v>4.5</v>
      </c>
      <c r="AE209" s="228">
        <v>-8.1999999999999993</v>
      </c>
      <c r="AF209" s="229">
        <v>-2.8999999999999998E-3</v>
      </c>
      <c r="AG209" s="228">
        <v>2</v>
      </c>
      <c r="AH209" s="228">
        <v>10.6</v>
      </c>
      <c r="AI209" s="228">
        <v>-8.6</v>
      </c>
      <c r="AJ209" s="229">
        <v>1.5E-3</v>
      </c>
      <c r="AK209" s="228">
        <v>11</v>
      </c>
      <c r="AL209" s="228">
        <v>14.9</v>
      </c>
      <c r="AM209" s="228">
        <v>-3.9</v>
      </c>
      <c r="AN209" s="229">
        <v>8.5000000000000006E-3</v>
      </c>
      <c r="AO209" s="231">
        <v>1296.93</v>
      </c>
      <c r="AP209" s="231">
        <v>1304.05</v>
      </c>
      <c r="AQ209" s="228">
        <v>0</v>
      </c>
      <c r="AR209" s="230">
        <v>2816550</v>
      </c>
      <c r="AS209" s="230">
        <v>509300</v>
      </c>
      <c r="AT209" s="230">
        <v>2307250</v>
      </c>
      <c r="AU209" s="229">
        <v>4.5301999999999998</v>
      </c>
      <c r="AV209" s="230">
        <v>1415150</v>
      </c>
      <c r="AW209" s="230">
        <v>410850</v>
      </c>
      <c r="AX209" s="230">
        <v>1004300</v>
      </c>
      <c r="AY209" s="229">
        <v>2.4443999999999999</v>
      </c>
      <c r="AZ209" s="230">
        <v>1399200</v>
      </c>
      <c r="BA209" s="230">
        <v>94600</v>
      </c>
      <c r="BB209" s="230">
        <v>1304600</v>
      </c>
      <c r="BC209" s="229">
        <v>13.790699999999999</v>
      </c>
      <c r="BD209" s="230">
        <v>2200</v>
      </c>
      <c r="BE209" s="230">
        <v>3850</v>
      </c>
      <c r="BF209" s="230">
        <v>-1650</v>
      </c>
      <c r="BG209" s="229">
        <v>-0.42859999999999998</v>
      </c>
      <c r="BH209" s="230">
        <v>2552550</v>
      </c>
      <c r="BI209" s="230">
        <v>3139950</v>
      </c>
      <c r="BJ209" s="230">
        <v>-587400</v>
      </c>
      <c r="BK209" s="229">
        <v>-0.18709999999999999</v>
      </c>
      <c r="BL209" s="230">
        <v>811250</v>
      </c>
      <c r="BM209" s="230">
        <v>1805650</v>
      </c>
      <c r="BN209" s="230">
        <v>-994400</v>
      </c>
      <c r="BO209" s="229">
        <v>-0.55069999999999997</v>
      </c>
      <c r="BP209" s="230">
        <v>6180350</v>
      </c>
      <c r="BQ209" s="230">
        <v>5454900</v>
      </c>
      <c r="BR209" s="230">
        <v>725450</v>
      </c>
      <c r="BS209" s="229">
        <v>0.13300000000000001</v>
      </c>
      <c r="BT209" s="230">
        <v>388025</v>
      </c>
      <c r="BU209" s="230">
        <v>749188</v>
      </c>
      <c r="BV209" s="230">
        <v>-361163</v>
      </c>
      <c r="BW209" s="229">
        <v>-0.48209999999999997</v>
      </c>
      <c r="BX209" s="230">
        <v>4448950</v>
      </c>
      <c r="BY209" s="230">
        <v>4530350</v>
      </c>
      <c r="BZ209" s="230">
        <v>-81400</v>
      </c>
      <c r="CA209" s="229">
        <v>-1.7999999999999999E-2</v>
      </c>
      <c r="CB209" s="230">
        <v>3655300</v>
      </c>
      <c r="CC209" s="230">
        <v>4373050</v>
      </c>
      <c r="CD209" s="230">
        <v>-717750</v>
      </c>
      <c r="CE209" s="229">
        <v>-0.1641</v>
      </c>
      <c r="CF209" s="230">
        <v>782100</v>
      </c>
      <c r="CG209" s="230">
        <v>147400</v>
      </c>
      <c r="CH209" s="230">
        <v>634700</v>
      </c>
      <c r="CI209" s="229">
        <v>4.306</v>
      </c>
      <c r="CJ209" s="230">
        <v>11550</v>
      </c>
      <c r="CK209" s="230">
        <v>9900</v>
      </c>
      <c r="CL209" s="230">
        <v>1650</v>
      </c>
      <c r="CM209" s="229">
        <v>0.16669999999999999</v>
      </c>
      <c r="CN209" s="230">
        <v>1783650</v>
      </c>
      <c r="CO209" s="230">
        <v>1866150</v>
      </c>
      <c r="CP209" s="230">
        <v>-82500</v>
      </c>
      <c r="CQ209" s="229">
        <v>-4.4200000000000003E-2</v>
      </c>
      <c r="CR209" s="230">
        <v>1267200</v>
      </c>
      <c r="CS209" s="230">
        <v>1296350</v>
      </c>
      <c r="CT209" s="230">
        <v>-29150</v>
      </c>
      <c r="CU209" s="229">
        <v>-2.2499999999999999E-2</v>
      </c>
      <c r="CV209" s="230">
        <v>7499800</v>
      </c>
      <c r="CW209" s="230">
        <v>7692850</v>
      </c>
      <c r="CX209" s="230">
        <v>-193050</v>
      </c>
      <c r="CY209" s="229">
        <v>-2.5100000000000001E-2</v>
      </c>
      <c r="CZ209" s="228">
        <v>29</v>
      </c>
      <c r="DA209" s="228">
        <v>27.88</v>
      </c>
      <c r="DB209" s="228">
        <v>1.1200000000000001</v>
      </c>
      <c r="DC209" s="228">
        <v>1.1200000000000001</v>
      </c>
      <c r="DD209" s="228">
        <v>41.81</v>
      </c>
      <c r="DE209" s="228">
        <v>41.88</v>
      </c>
      <c r="DF209" s="228">
        <v>-12.81</v>
      </c>
      <c r="DG209" s="228">
        <v>-7.0000000000000007E-2</v>
      </c>
      <c r="DH209" s="228">
        <v>28.87</v>
      </c>
      <c r="DI209" s="228">
        <v>26.63</v>
      </c>
      <c r="DJ209" s="228">
        <v>2.2400000000000002</v>
      </c>
      <c r="DK209" s="228">
        <v>2.2400000000000002</v>
      </c>
      <c r="DL209" s="228">
        <v>29.2</v>
      </c>
      <c r="DM209" s="228">
        <v>30.04</v>
      </c>
      <c r="DN209" s="228">
        <v>-0.84</v>
      </c>
      <c r="DO209" s="228">
        <v>-0.84</v>
      </c>
      <c r="DP209" s="228">
        <v>0.71</v>
      </c>
      <c r="DQ209" s="228">
        <v>0.69</v>
      </c>
      <c r="DR209" s="228">
        <v>0.02</v>
      </c>
      <c r="DS209" s="229">
        <v>2.9000000000000001E-2</v>
      </c>
      <c r="DT209" s="231">
        <v>1320</v>
      </c>
      <c r="DU209" s="231">
        <v>1240</v>
      </c>
      <c r="DV209" s="228">
        <v>0.32</v>
      </c>
      <c r="DW209" s="228">
        <v>0.57999999999999996</v>
      </c>
      <c r="DX209" s="228">
        <v>-0.26</v>
      </c>
      <c r="DY209" s="229">
        <v>-0.44829999999999998</v>
      </c>
      <c r="DZ209" s="229">
        <v>0.1784</v>
      </c>
      <c r="EA209" s="230">
        <v>157300</v>
      </c>
      <c r="EB209" s="229">
        <v>4.4000000000000003E-3</v>
      </c>
      <c r="EC209" s="229">
        <v>0.1784</v>
      </c>
      <c r="ED209" s="228">
        <v>7.12</v>
      </c>
      <c r="EE209" s="229">
        <v>5.4999999999999997E-3</v>
      </c>
      <c r="EF209" s="230">
        <v>228624</v>
      </c>
      <c r="EG209" s="230">
        <v>438827</v>
      </c>
      <c r="EH209" s="229">
        <v>-0.47899999999999998</v>
      </c>
      <c r="EI209" s="229">
        <v>0.58919999999999995</v>
      </c>
      <c r="EJ209" s="231">
        <v>34174.480000000003</v>
      </c>
      <c r="EK209" s="231">
        <v>10233.81</v>
      </c>
      <c r="EL209" s="231">
        <v>36628.75</v>
      </c>
      <c r="EM209" s="231">
        <v>1093</v>
      </c>
      <c r="EN209" s="231">
        <v>81037.039999999994</v>
      </c>
      <c r="EO209" s="231">
        <v>71241.19</v>
      </c>
      <c r="EP209" s="231">
        <v>9795.85</v>
      </c>
      <c r="EQ209" s="229">
        <v>0.13750000000000001</v>
      </c>
      <c r="ER209" s="231">
        <v>23855</v>
      </c>
      <c r="ES209" s="231">
        <v>15560</v>
      </c>
      <c r="ET209" s="231">
        <v>57629</v>
      </c>
      <c r="EU209" s="231">
        <v>22813802</v>
      </c>
      <c r="EV209" s="231">
        <v>97043</v>
      </c>
      <c r="EW209" s="231">
        <v>100275</v>
      </c>
      <c r="EX209" s="231">
        <v>-3232</v>
      </c>
      <c r="EY209" s="229">
        <v>-3.2199999999999999E-2</v>
      </c>
      <c r="EZ209" s="229">
        <v>0.32869999999999999</v>
      </c>
      <c r="FA209" s="227" t="s">
        <v>568</v>
      </c>
      <c r="FB209" s="161">
        <f t="shared" si="5"/>
        <v>0</v>
      </c>
    </row>
    <row r="210" spans="1:158" ht="17.25" thickBot="1" x14ac:dyDescent="0.3">
      <c r="A210" s="226">
        <v>45981</v>
      </c>
      <c r="B210" s="227" t="s">
        <v>498</v>
      </c>
      <c r="C210" s="227" t="s">
        <v>303</v>
      </c>
      <c r="D210" s="228">
        <v>1355</v>
      </c>
      <c r="E210" s="228">
        <v>754.65</v>
      </c>
      <c r="F210" s="228">
        <v>754.15</v>
      </c>
      <c r="G210" s="228">
        <v>0.5</v>
      </c>
      <c r="H210" s="229">
        <v>6.9999999999999999E-4</v>
      </c>
      <c r="I210" s="228">
        <v>753.5</v>
      </c>
      <c r="J210" s="228">
        <v>752.65</v>
      </c>
      <c r="K210" s="228">
        <v>0.85</v>
      </c>
      <c r="L210" s="229">
        <v>1.1000000000000001E-3</v>
      </c>
      <c r="M210" s="228">
        <v>754.65</v>
      </c>
      <c r="N210" s="228">
        <v>754.15</v>
      </c>
      <c r="O210" s="228">
        <v>0.5</v>
      </c>
      <c r="P210" s="229">
        <v>6.9999999999999999E-4</v>
      </c>
      <c r="Q210" s="228">
        <v>759.9</v>
      </c>
      <c r="R210" s="228">
        <v>759.05</v>
      </c>
      <c r="S210" s="228">
        <v>0.85</v>
      </c>
      <c r="T210" s="229">
        <v>1.1000000000000001E-3</v>
      </c>
      <c r="U210" s="228">
        <v>765.1</v>
      </c>
      <c r="V210" s="228">
        <v>764.15</v>
      </c>
      <c r="W210" s="228">
        <v>0.95</v>
      </c>
      <c r="X210" s="229">
        <v>1.1999999999999999E-3</v>
      </c>
      <c r="Y210" s="228">
        <v>1.1499999999999999</v>
      </c>
      <c r="Z210" s="228">
        <v>1.5</v>
      </c>
      <c r="AA210" s="228">
        <v>-0.35</v>
      </c>
      <c r="AB210" s="229">
        <v>1.5E-3</v>
      </c>
      <c r="AC210" s="228">
        <v>1.1499999999999999</v>
      </c>
      <c r="AD210" s="228">
        <v>1.5</v>
      </c>
      <c r="AE210" s="228">
        <v>-0.35</v>
      </c>
      <c r="AF210" s="229">
        <v>1.5E-3</v>
      </c>
      <c r="AG210" s="228">
        <v>6.4</v>
      </c>
      <c r="AH210" s="228">
        <v>6.4</v>
      </c>
      <c r="AI210" s="228">
        <v>0</v>
      </c>
      <c r="AJ210" s="229">
        <v>8.5000000000000006E-3</v>
      </c>
      <c r="AK210" s="228">
        <v>11.6</v>
      </c>
      <c r="AL210" s="228">
        <v>11.5</v>
      </c>
      <c r="AM210" s="228">
        <v>0.1</v>
      </c>
      <c r="AN210" s="229">
        <v>1.54E-2</v>
      </c>
      <c r="AO210" s="228">
        <v>757.63</v>
      </c>
      <c r="AP210" s="228">
        <v>762.86</v>
      </c>
      <c r="AQ210" s="228">
        <v>0</v>
      </c>
      <c r="AR210" s="230">
        <v>22165090</v>
      </c>
      <c r="AS210" s="230">
        <v>4985045</v>
      </c>
      <c r="AT210" s="230">
        <v>17180045</v>
      </c>
      <c r="AU210" s="229">
        <v>3.4462999999999999</v>
      </c>
      <c r="AV210" s="230">
        <v>11230240</v>
      </c>
      <c r="AW210" s="230">
        <v>3204575</v>
      </c>
      <c r="AX210" s="230">
        <v>8025665</v>
      </c>
      <c r="AY210" s="229">
        <v>2.5044</v>
      </c>
      <c r="AZ210" s="230">
        <v>10914525</v>
      </c>
      <c r="BA210" s="230">
        <v>1750660</v>
      </c>
      <c r="BB210" s="230">
        <v>9163865</v>
      </c>
      <c r="BC210" s="229">
        <v>5.2344999999999997</v>
      </c>
      <c r="BD210" s="230">
        <v>20325</v>
      </c>
      <c r="BE210" s="230">
        <v>29810</v>
      </c>
      <c r="BF210" s="230">
        <v>-9485</v>
      </c>
      <c r="BG210" s="229">
        <v>-0.31819999999999998</v>
      </c>
      <c r="BH210" s="230">
        <v>9147605</v>
      </c>
      <c r="BI210" s="230">
        <v>10399625</v>
      </c>
      <c r="BJ210" s="230">
        <v>-1252020</v>
      </c>
      <c r="BK210" s="229">
        <v>-0.12039999999999999</v>
      </c>
      <c r="BL210" s="230">
        <v>4303480</v>
      </c>
      <c r="BM210" s="230">
        <v>4105650</v>
      </c>
      <c r="BN210" s="230">
        <v>197830</v>
      </c>
      <c r="BO210" s="229">
        <v>4.82E-2</v>
      </c>
      <c r="BP210" s="230">
        <v>35616175</v>
      </c>
      <c r="BQ210" s="230">
        <v>19490320</v>
      </c>
      <c r="BR210" s="230">
        <v>16125855</v>
      </c>
      <c r="BS210" s="229">
        <v>0.82740000000000002</v>
      </c>
      <c r="BT210" s="230">
        <v>3028820</v>
      </c>
      <c r="BU210" s="230">
        <v>2477635</v>
      </c>
      <c r="BV210" s="230">
        <v>551185</v>
      </c>
      <c r="BW210" s="229">
        <v>0.2225</v>
      </c>
      <c r="BX210" s="230">
        <v>34163615</v>
      </c>
      <c r="BY210" s="230">
        <v>33927845</v>
      </c>
      <c r="BZ210" s="230">
        <v>235770</v>
      </c>
      <c r="CA210" s="229">
        <v>6.8999999999999999E-3</v>
      </c>
      <c r="CB210" s="230">
        <v>20086520</v>
      </c>
      <c r="CC210" s="230">
        <v>29131145</v>
      </c>
      <c r="CD210" s="230">
        <v>-9044625</v>
      </c>
      <c r="CE210" s="229">
        <v>-0.3105</v>
      </c>
      <c r="CF210" s="230">
        <v>13964630</v>
      </c>
      <c r="CG210" s="230">
        <v>4692365</v>
      </c>
      <c r="CH210" s="230">
        <v>9272265</v>
      </c>
      <c r="CI210" s="229">
        <v>1.976</v>
      </c>
      <c r="CJ210" s="230">
        <v>112465</v>
      </c>
      <c r="CK210" s="230">
        <v>104335</v>
      </c>
      <c r="CL210" s="230">
        <v>8130</v>
      </c>
      <c r="CM210" s="229">
        <v>7.7899999999999997E-2</v>
      </c>
      <c r="CN210" s="230">
        <v>11151650</v>
      </c>
      <c r="CO210" s="230">
        <v>11770885</v>
      </c>
      <c r="CP210" s="230">
        <v>-619235</v>
      </c>
      <c r="CQ210" s="229">
        <v>-5.2600000000000001E-2</v>
      </c>
      <c r="CR210" s="230">
        <v>8356285</v>
      </c>
      <c r="CS210" s="230">
        <v>8418615</v>
      </c>
      <c r="CT210" s="230">
        <v>-62330</v>
      </c>
      <c r="CU210" s="229">
        <v>-7.4000000000000003E-3</v>
      </c>
      <c r="CV210" s="230">
        <v>53671550</v>
      </c>
      <c r="CW210" s="230">
        <v>54117345</v>
      </c>
      <c r="CX210" s="230">
        <v>-445795</v>
      </c>
      <c r="CY210" s="229">
        <v>-8.2000000000000007E-3</v>
      </c>
      <c r="CZ210" s="228">
        <v>21.41</v>
      </c>
      <c r="DA210" s="228">
        <v>24.23</v>
      </c>
      <c r="DB210" s="228">
        <v>-2.82</v>
      </c>
      <c r="DC210" s="228">
        <v>-2.82</v>
      </c>
      <c r="DD210" s="228">
        <v>32.880000000000003</v>
      </c>
      <c r="DE210" s="228">
        <v>32.97</v>
      </c>
      <c r="DF210" s="228">
        <v>-11.47</v>
      </c>
      <c r="DG210" s="228">
        <v>-0.09</v>
      </c>
      <c r="DH210" s="228">
        <v>21.22</v>
      </c>
      <c r="DI210" s="228">
        <v>24.56</v>
      </c>
      <c r="DJ210" s="228">
        <v>-3.34</v>
      </c>
      <c r="DK210" s="228">
        <v>-3.34</v>
      </c>
      <c r="DL210" s="228">
        <v>21.68</v>
      </c>
      <c r="DM210" s="228">
        <v>23.41</v>
      </c>
      <c r="DN210" s="228">
        <v>-1.73</v>
      </c>
      <c r="DO210" s="228">
        <v>-1.73</v>
      </c>
      <c r="DP210" s="228">
        <v>0.75</v>
      </c>
      <c r="DQ210" s="228">
        <v>0.72</v>
      </c>
      <c r="DR210" s="228">
        <v>0.03</v>
      </c>
      <c r="DS210" s="229">
        <v>4.1700000000000001E-2</v>
      </c>
      <c r="DT210" s="228">
        <v>770</v>
      </c>
      <c r="DU210" s="228">
        <v>750</v>
      </c>
      <c r="DV210" s="228">
        <v>0.47</v>
      </c>
      <c r="DW210" s="228">
        <v>0.39</v>
      </c>
      <c r="DX210" s="228">
        <v>0.08</v>
      </c>
      <c r="DY210" s="229">
        <v>0.2051</v>
      </c>
      <c r="DZ210" s="229">
        <v>0.41199999999999998</v>
      </c>
      <c r="EA210" s="230">
        <v>4796700</v>
      </c>
      <c r="EB210" s="229">
        <v>7.0000000000000001E-3</v>
      </c>
      <c r="EC210" s="229">
        <v>0.41199999999999998</v>
      </c>
      <c r="ED210" s="228">
        <v>5.23</v>
      </c>
      <c r="EE210" s="229">
        <v>6.8999999999999999E-3</v>
      </c>
      <c r="EF210" s="230">
        <v>2222635</v>
      </c>
      <c r="EG210" s="230">
        <v>1763931</v>
      </c>
      <c r="EH210" s="229">
        <v>0.26</v>
      </c>
      <c r="EI210" s="229">
        <v>0.73380000000000001</v>
      </c>
      <c r="EJ210" s="231">
        <v>71102.509999999995</v>
      </c>
      <c r="EK210" s="231">
        <v>31935.17</v>
      </c>
      <c r="EL210" s="231">
        <v>168501.84</v>
      </c>
      <c r="EM210" s="231">
        <v>4121</v>
      </c>
      <c r="EN210" s="231">
        <v>271539.52</v>
      </c>
      <c r="EO210" s="231">
        <v>149720.49</v>
      </c>
      <c r="EP210" s="231">
        <v>121819.03</v>
      </c>
      <c r="EQ210" s="229">
        <v>0.81359999999999999</v>
      </c>
      <c r="ER210" s="231">
        <v>85191</v>
      </c>
      <c r="ES210" s="231">
        <v>60309</v>
      </c>
      <c r="ET210" s="231">
        <v>258561</v>
      </c>
      <c r="EU210" s="231">
        <v>82588393</v>
      </c>
      <c r="EV210" s="231">
        <v>404060</v>
      </c>
      <c r="EW210" s="231">
        <v>406794</v>
      </c>
      <c r="EX210" s="231">
        <v>-2734</v>
      </c>
      <c r="EY210" s="229">
        <v>-6.7000000000000002E-3</v>
      </c>
      <c r="EZ210" s="229">
        <v>0.64990000000000003</v>
      </c>
      <c r="FA210" s="227" t="s">
        <v>555</v>
      </c>
      <c r="FB210" s="161">
        <f t="shared" si="5"/>
        <v>0</v>
      </c>
    </row>
    <row r="211" spans="1:158" ht="17.25" thickBot="1" x14ac:dyDescent="0.3">
      <c r="A211" s="226">
        <v>45981</v>
      </c>
      <c r="B211" s="227" t="s">
        <v>168</v>
      </c>
      <c r="C211" s="227" t="s">
        <v>586</v>
      </c>
      <c r="D211" s="228">
        <v>1025</v>
      </c>
      <c r="E211" s="228">
        <v>451.2</v>
      </c>
      <c r="F211" s="228">
        <v>455.25</v>
      </c>
      <c r="G211" s="228">
        <v>-4.05</v>
      </c>
      <c r="H211" s="229">
        <v>-8.8999999999999999E-3</v>
      </c>
      <c r="I211" s="228">
        <v>451.5</v>
      </c>
      <c r="J211" s="228">
        <v>454.55</v>
      </c>
      <c r="K211" s="228">
        <v>-3.05</v>
      </c>
      <c r="L211" s="229">
        <v>-6.7000000000000002E-3</v>
      </c>
      <c r="M211" s="228">
        <v>451.2</v>
      </c>
      <c r="N211" s="228">
        <v>455.25</v>
      </c>
      <c r="O211" s="228">
        <v>-4.05</v>
      </c>
      <c r="P211" s="229">
        <v>-8.8999999999999999E-3</v>
      </c>
      <c r="Q211" s="228">
        <v>454.25</v>
      </c>
      <c r="R211" s="228">
        <v>458.4</v>
      </c>
      <c r="S211" s="228">
        <v>-4.1500000000000004</v>
      </c>
      <c r="T211" s="229">
        <v>-9.1000000000000004E-3</v>
      </c>
      <c r="U211" s="228">
        <v>457.75</v>
      </c>
      <c r="V211" s="228">
        <v>461.3</v>
      </c>
      <c r="W211" s="228">
        <v>-3.55</v>
      </c>
      <c r="X211" s="229">
        <v>-7.7000000000000002E-3</v>
      </c>
      <c r="Y211" s="228">
        <v>-0.3</v>
      </c>
      <c r="Z211" s="228">
        <v>0.7</v>
      </c>
      <c r="AA211" s="228">
        <v>-1</v>
      </c>
      <c r="AB211" s="229">
        <v>-6.9999999999999999E-4</v>
      </c>
      <c r="AC211" s="228">
        <v>-0.3</v>
      </c>
      <c r="AD211" s="228">
        <v>0.7</v>
      </c>
      <c r="AE211" s="228">
        <v>-1</v>
      </c>
      <c r="AF211" s="229">
        <v>-6.9999999999999999E-4</v>
      </c>
      <c r="AG211" s="228">
        <v>2.75</v>
      </c>
      <c r="AH211" s="228">
        <v>3.85</v>
      </c>
      <c r="AI211" s="228">
        <v>-1.1000000000000001</v>
      </c>
      <c r="AJ211" s="229">
        <v>6.1000000000000004E-3</v>
      </c>
      <c r="AK211" s="228">
        <v>6.25</v>
      </c>
      <c r="AL211" s="228">
        <v>6.75</v>
      </c>
      <c r="AM211" s="228">
        <v>-0.5</v>
      </c>
      <c r="AN211" s="229">
        <v>1.38E-2</v>
      </c>
      <c r="AO211" s="228">
        <v>453.51</v>
      </c>
      <c r="AP211" s="228">
        <v>456.73</v>
      </c>
      <c r="AQ211" s="228">
        <v>0</v>
      </c>
      <c r="AR211" s="230">
        <v>20149450</v>
      </c>
      <c r="AS211" s="230">
        <v>6164350</v>
      </c>
      <c r="AT211" s="230">
        <v>13985100</v>
      </c>
      <c r="AU211" s="229">
        <v>2.2686999999999999</v>
      </c>
      <c r="AV211" s="230">
        <v>9591950</v>
      </c>
      <c r="AW211" s="230">
        <v>3770975</v>
      </c>
      <c r="AX211" s="230">
        <v>5820975</v>
      </c>
      <c r="AY211" s="229">
        <v>1.5436000000000001</v>
      </c>
      <c r="AZ211" s="230">
        <v>10412975</v>
      </c>
      <c r="BA211" s="230">
        <v>2300100</v>
      </c>
      <c r="BB211" s="230">
        <v>8112875</v>
      </c>
      <c r="BC211" s="229">
        <v>3.5272000000000001</v>
      </c>
      <c r="BD211" s="230">
        <v>144525</v>
      </c>
      <c r="BE211" s="230">
        <v>93275</v>
      </c>
      <c r="BF211" s="230">
        <v>51250</v>
      </c>
      <c r="BG211" s="229">
        <v>0.54949999999999999</v>
      </c>
      <c r="BH211" s="230">
        <v>19500625</v>
      </c>
      <c r="BI211" s="230">
        <v>20480525</v>
      </c>
      <c r="BJ211" s="230">
        <v>-979900</v>
      </c>
      <c r="BK211" s="229">
        <v>-4.7800000000000002E-2</v>
      </c>
      <c r="BL211" s="230">
        <v>4493600</v>
      </c>
      <c r="BM211" s="230">
        <v>4626850</v>
      </c>
      <c r="BN211" s="230">
        <v>-133250</v>
      </c>
      <c r="BO211" s="229">
        <v>-2.8799999999999999E-2</v>
      </c>
      <c r="BP211" s="230">
        <v>44143675</v>
      </c>
      <c r="BQ211" s="230">
        <v>31271725</v>
      </c>
      <c r="BR211" s="230">
        <v>12871950</v>
      </c>
      <c r="BS211" s="229">
        <v>0.41160000000000002</v>
      </c>
      <c r="BT211" s="230">
        <v>5524498</v>
      </c>
      <c r="BU211" s="230">
        <v>5222905</v>
      </c>
      <c r="BV211" s="230">
        <v>301593</v>
      </c>
      <c r="BW211" s="229">
        <v>5.7700000000000001E-2</v>
      </c>
      <c r="BX211" s="230">
        <v>42570950</v>
      </c>
      <c r="BY211" s="230">
        <v>41652500</v>
      </c>
      <c r="BZ211" s="230">
        <v>918450</v>
      </c>
      <c r="CA211" s="229">
        <v>2.2100000000000002E-2</v>
      </c>
      <c r="CB211" s="230">
        <v>28229525</v>
      </c>
      <c r="CC211" s="230">
        <v>35947775</v>
      </c>
      <c r="CD211" s="230">
        <v>-7718250</v>
      </c>
      <c r="CE211" s="229">
        <v>-0.2147</v>
      </c>
      <c r="CF211" s="230">
        <v>13757550</v>
      </c>
      <c r="CG211" s="230">
        <v>5190600</v>
      </c>
      <c r="CH211" s="230">
        <v>8566950</v>
      </c>
      <c r="CI211" s="229">
        <v>1.6505000000000001</v>
      </c>
      <c r="CJ211" s="230">
        <v>583875</v>
      </c>
      <c r="CK211" s="230">
        <v>514125</v>
      </c>
      <c r="CL211" s="230">
        <v>69750</v>
      </c>
      <c r="CM211" s="229">
        <v>0.13569999999999999</v>
      </c>
      <c r="CN211" s="230">
        <v>24693625</v>
      </c>
      <c r="CO211" s="230">
        <v>25304225</v>
      </c>
      <c r="CP211" s="230">
        <v>-610600</v>
      </c>
      <c r="CQ211" s="229">
        <v>-2.41E-2</v>
      </c>
      <c r="CR211" s="230">
        <v>11387125</v>
      </c>
      <c r="CS211" s="230">
        <v>11009025</v>
      </c>
      <c r="CT211" s="230">
        <v>378100</v>
      </c>
      <c r="CU211" s="229">
        <v>3.4299999999999997E-2</v>
      </c>
      <c r="CV211" s="230">
        <v>78651700</v>
      </c>
      <c r="CW211" s="230">
        <v>77965750</v>
      </c>
      <c r="CX211" s="230">
        <v>685950</v>
      </c>
      <c r="CY211" s="229">
        <v>8.8000000000000005E-3</v>
      </c>
      <c r="CZ211" s="228">
        <v>26.17</v>
      </c>
      <c r="DA211" s="228">
        <v>28.05</v>
      </c>
      <c r="DB211" s="228">
        <v>-1.88</v>
      </c>
      <c r="DC211" s="228">
        <v>-1.88</v>
      </c>
      <c r="DD211" s="228">
        <v>38.880000000000003</v>
      </c>
      <c r="DE211" s="228">
        <v>38.96</v>
      </c>
      <c r="DF211" s="228">
        <v>-12.71</v>
      </c>
      <c r="DG211" s="228">
        <v>-0.08</v>
      </c>
      <c r="DH211" s="228">
        <v>26.79</v>
      </c>
      <c r="DI211" s="228">
        <v>28.91</v>
      </c>
      <c r="DJ211" s="228">
        <v>-2.12</v>
      </c>
      <c r="DK211" s="228">
        <v>-2.12</v>
      </c>
      <c r="DL211" s="228">
        <v>24.96</v>
      </c>
      <c r="DM211" s="228">
        <v>24.25</v>
      </c>
      <c r="DN211" s="228">
        <v>0.71</v>
      </c>
      <c r="DO211" s="228">
        <v>0.71</v>
      </c>
      <c r="DP211" s="228">
        <v>0.46</v>
      </c>
      <c r="DQ211" s="228">
        <v>0.44</v>
      </c>
      <c r="DR211" s="228">
        <v>0.02</v>
      </c>
      <c r="DS211" s="229">
        <v>4.5499999999999999E-2</v>
      </c>
      <c r="DT211" s="228">
        <v>500</v>
      </c>
      <c r="DU211" s="228">
        <v>440</v>
      </c>
      <c r="DV211" s="228">
        <v>0.23</v>
      </c>
      <c r="DW211" s="228">
        <v>0.23</v>
      </c>
      <c r="DX211" s="228">
        <v>0</v>
      </c>
      <c r="DY211" s="229">
        <v>0</v>
      </c>
      <c r="DZ211" s="229">
        <v>0.33689999999999998</v>
      </c>
      <c r="EA211" s="230">
        <v>5704725</v>
      </c>
      <c r="EB211" s="229">
        <v>6.7999999999999996E-3</v>
      </c>
      <c r="EC211" s="229">
        <v>0.33689999999999998</v>
      </c>
      <c r="ED211" s="228">
        <v>3.22</v>
      </c>
      <c r="EE211" s="229">
        <v>7.1000000000000004E-3</v>
      </c>
      <c r="EF211" s="230">
        <v>3579701</v>
      </c>
      <c r="EG211" s="230">
        <v>3659706</v>
      </c>
      <c r="EH211" s="229">
        <v>-2.1899999999999999E-2</v>
      </c>
      <c r="EI211" s="229">
        <v>0.64800000000000002</v>
      </c>
      <c r="EJ211" s="231">
        <v>92208.76</v>
      </c>
      <c r="EK211" s="231">
        <v>20461.349999999999</v>
      </c>
      <c r="EL211" s="231">
        <v>91788.49</v>
      </c>
      <c r="EM211" s="231">
        <v>4809</v>
      </c>
      <c r="EN211" s="231">
        <v>204458.6</v>
      </c>
      <c r="EO211" s="231">
        <v>147431.66</v>
      </c>
      <c r="EP211" s="231">
        <v>57026.94</v>
      </c>
      <c r="EQ211" s="229">
        <v>0.38679999999999998</v>
      </c>
      <c r="ER211" s="231">
        <v>120569</v>
      </c>
      <c r="ES211" s="231">
        <v>52125</v>
      </c>
      <c r="ET211" s="231">
        <v>192538</v>
      </c>
      <c r="EU211" s="231">
        <v>203804339</v>
      </c>
      <c r="EV211" s="231">
        <v>365232</v>
      </c>
      <c r="EW211" s="231">
        <v>364155</v>
      </c>
      <c r="EX211" s="231">
        <v>1077</v>
      </c>
      <c r="EY211" s="229">
        <v>3.0000000000000001E-3</v>
      </c>
      <c r="EZ211" s="229">
        <v>0.38590000000000002</v>
      </c>
      <c r="FA211" s="227" t="s">
        <v>567</v>
      </c>
      <c r="FB211" s="161">
        <f t="shared" si="5"/>
        <v>0</v>
      </c>
    </row>
    <row r="212" spans="1:158" ht="17.25" thickBot="1" x14ac:dyDescent="0.3">
      <c r="A212" s="226">
        <v>45981</v>
      </c>
      <c r="B212" s="227" t="s">
        <v>227</v>
      </c>
      <c r="C212" s="227" t="s">
        <v>304</v>
      </c>
      <c r="D212" s="228">
        <v>1150</v>
      </c>
      <c r="E212" s="228">
        <v>510.75</v>
      </c>
      <c r="F212" s="228">
        <v>512.65</v>
      </c>
      <c r="G212" s="228">
        <v>-1.9</v>
      </c>
      <c r="H212" s="229">
        <v>-3.7000000000000002E-3</v>
      </c>
      <c r="I212" s="228">
        <v>509.75</v>
      </c>
      <c r="J212" s="228">
        <v>511.8</v>
      </c>
      <c r="K212" s="228">
        <v>-2.0499999999999998</v>
      </c>
      <c r="L212" s="229">
        <v>-4.0000000000000001E-3</v>
      </c>
      <c r="M212" s="228">
        <v>510.75</v>
      </c>
      <c r="N212" s="228">
        <v>512.65</v>
      </c>
      <c r="O212" s="228">
        <v>-1.9</v>
      </c>
      <c r="P212" s="229">
        <v>-3.7000000000000002E-3</v>
      </c>
      <c r="Q212" s="228">
        <v>514.15</v>
      </c>
      <c r="R212" s="228">
        <v>516</v>
      </c>
      <c r="S212" s="228">
        <v>-1.85</v>
      </c>
      <c r="T212" s="229">
        <v>-3.5999999999999999E-3</v>
      </c>
      <c r="U212" s="228">
        <v>515.6</v>
      </c>
      <c r="V212" s="228">
        <v>517.6</v>
      </c>
      <c r="W212" s="228">
        <v>-2</v>
      </c>
      <c r="X212" s="229">
        <v>-3.8999999999999998E-3</v>
      </c>
      <c r="Y212" s="228">
        <v>1</v>
      </c>
      <c r="Z212" s="228">
        <v>0.85</v>
      </c>
      <c r="AA212" s="228">
        <v>0.15</v>
      </c>
      <c r="AB212" s="229">
        <v>2E-3</v>
      </c>
      <c r="AC212" s="228">
        <v>1</v>
      </c>
      <c r="AD212" s="228">
        <v>0.85</v>
      </c>
      <c r="AE212" s="228">
        <v>0.15</v>
      </c>
      <c r="AF212" s="229">
        <v>2E-3</v>
      </c>
      <c r="AG212" s="228">
        <v>4.4000000000000004</v>
      </c>
      <c r="AH212" s="228">
        <v>4.2</v>
      </c>
      <c r="AI212" s="228">
        <v>0.2</v>
      </c>
      <c r="AJ212" s="229">
        <v>8.6E-3</v>
      </c>
      <c r="AK212" s="228">
        <v>5.85</v>
      </c>
      <c r="AL212" s="228">
        <v>5.8</v>
      </c>
      <c r="AM212" s="228">
        <v>0.05</v>
      </c>
      <c r="AN212" s="229">
        <v>1.15E-2</v>
      </c>
      <c r="AO212" s="228">
        <v>512.78</v>
      </c>
      <c r="AP212" s="228">
        <v>516.03</v>
      </c>
      <c r="AQ212" s="228">
        <v>0</v>
      </c>
      <c r="AR212" s="230">
        <v>43595350</v>
      </c>
      <c r="AS212" s="230">
        <v>9352950</v>
      </c>
      <c r="AT212" s="230">
        <v>34242400</v>
      </c>
      <c r="AU212" s="229">
        <v>3.6610999999999998</v>
      </c>
      <c r="AV212" s="230">
        <v>22213400</v>
      </c>
      <c r="AW212" s="230">
        <v>6178950</v>
      </c>
      <c r="AX212" s="230">
        <v>16034450</v>
      </c>
      <c r="AY212" s="229">
        <v>2.5950000000000002</v>
      </c>
      <c r="AZ212" s="230">
        <v>21237050</v>
      </c>
      <c r="BA212" s="230">
        <v>3052100</v>
      </c>
      <c r="BB212" s="230">
        <v>18184950</v>
      </c>
      <c r="BC212" s="229">
        <v>5.9581999999999997</v>
      </c>
      <c r="BD212" s="230">
        <v>144900</v>
      </c>
      <c r="BE212" s="230">
        <v>121900</v>
      </c>
      <c r="BF212" s="230">
        <v>23000</v>
      </c>
      <c r="BG212" s="229">
        <v>0.18870000000000001</v>
      </c>
      <c r="BH212" s="230">
        <v>39068950</v>
      </c>
      <c r="BI212" s="230">
        <v>45771150</v>
      </c>
      <c r="BJ212" s="230">
        <v>-6702200</v>
      </c>
      <c r="BK212" s="229">
        <v>-0.1464</v>
      </c>
      <c r="BL212" s="230">
        <v>19629350</v>
      </c>
      <c r="BM212" s="230">
        <v>26201600</v>
      </c>
      <c r="BN212" s="230">
        <v>-6572250</v>
      </c>
      <c r="BO212" s="229">
        <v>-0.25080000000000002</v>
      </c>
      <c r="BP212" s="230">
        <v>102293650</v>
      </c>
      <c r="BQ212" s="230">
        <v>81325700</v>
      </c>
      <c r="BR212" s="230">
        <v>20967950</v>
      </c>
      <c r="BS212" s="229">
        <v>0.25779999999999997</v>
      </c>
      <c r="BT212" s="230">
        <v>6016996</v>
      </c>
      <c r="BU212" s="230">
        <v>4179513</v>
      </c>
      <c r="BV212" s="230">
        <v>1837483</v>
      </c>
      <c r="BW212" s="229">
        <v>0.43959999999999999</v>
      </c>
      <c r="BX212" s="230">
        <v>111895000</v>
      </c>
      <c r="BY212" s="230">
        <v>111191200</v>
      </c>
      <c r="BZ212" s="230">
        <v>703800</v>
      </c>
      <c r="CA212" s="229">
        <v>6.3E-3</v>
      </c>
      <c r="CB212" s="230">
        <v>73754100</v>
      </c>
      <c r="CC212" s="230">
        <v>92269100</v>
      </c>
      <c r="CD212" s="230">
        <v>-18515000</v>
      </c>
      <c r="CE212" s="229">
        <v>-0.20069999999999999</v>
      </c>
      <c r="CF212" s="230">
        <v>37456650</v>
      </c>
      <c r="CG212" s="230">
        <v>18298800</v>
      </c>
      <c r="CH212" s="230">
        <v>19157850</v>
      </c>
      <c r="CI212" s="229">
        <v>1.0468999999999999</v>
      </c>
      <c r="CJ212" s="230">
        <v>684250</v>
      </c>
      <c r="CK212" s="230">
        <v>623300</v>
      </c>
      <c r="CL212" s="230">
        <v>60950</v>
      </c>
      <c r="CM212" s="229">
        <v>9.7799999999999998E-2</v>
      </c>
      <c r="CN212" s="230">
        <v>37557850</v>
      </c>
      <c r="CO212" s="230">
        <v>38422650</v>
      </c>
      <c r="CP212" s="230">
        <v>-864800</v>
      </c>
      <c r="CQ212" s="229">
        <v>-2.2499999999999999E-2</v>
      </c>
      <c r="CR212" s="230">
        <v>29497500</v>
      </c>
      <c r="CS212" s="230">
        <v>30721100</v>
      </c>
      <c r="CT212" s="230">
        <v>-1223600</v>
      </c>
      <c r="CU212" s="229">
        <v>-3.9800000000000002E-2</v>
      </c>
      <c r="CV212" s="230">
        <v>178950350</v>
      </c>
      <c r="CW212" s="230">
        <v>180334950</v>
      </c>
      <c r="CX212" s="230">
        <v>-1384600</v>
      </c>
      <c r="CY212" s="229">
        <v>-7.7000000000000002E-3</v>
      </c>
      <c r="CZ212" s="228">
        <v>25.83</v>
      </c>
      <c r="DA212" s="228">
        <v>26.71</v>
      </c>
      <c r="DB212" s="228">
        <v>-0.88</v>
      </c>
      <c r="DC212" s="228">
        <v>-0.88</v>
      </c>
      <c r="DD212" s="228">
        <v>37.51</v>
      </c>
      <c r="DE212" s="228">
        <v>37.6</v>
      </c>
      <c r="DF212" s="228">
        <v>-11.68</v>
      </c>
      <c r="DG212" s="228">
        <v>-0.09</v>
      </c>
      <c r="DH212" s="228">
        <v>25.78</v>
      </c>
      <c r="DI212" s="228">
        <v>26.87</v>
      </c>
      <c r="DJ212" s="228">
        <v>-1.0900000000000001</v>
      </c>
      <c r="DK212" s="228">
        <v>-1.0900000000000001</v>
      </c>
      <c r="DL212" s="228">
        <v>25.94</v>
      </c>
      <c r="DM212" s="228">
        <v>26.44</v>
      </c>
      <c r="DN212" s="228">
        <v>-0.5</v>
      </c>
      <c r="DO212" s="228">
        <v>-0.5</v>
      </c>
      <c r="DP212" s="228">
        <v>0.79</v>
      </c>
      <c r="DQ212" s="228">
        <v>0.8</v>
      </c>
      <c r="DR212" s="228">
        <v>-0.01</v>
      </c>
      <c r="DS212" s="229">
        <v>-1.2500000000000001E-2</v>
      </c>
      <c r="DT212" s="228">
        <v>530</v>
      </c>
      <c r="DU212" s="228">
        <v>500</v>
      </c>
      <c r="DV212" s="228">
        <v>0.5</v>
      </c>
      <c r="DW212" s="228">
        <v>0.56999999999999995</v>
      </c>
      <c r="DX212" s="228">
        <v>-7.0000000000000007E-2</v>
      </c>
      <c r="DY212" s="229">
        <v>-0.12280000000000001</v>
      </c>
      <c r="DZ212" s="229">
        <v>0.34089999999999998</v>
      </c>
      <c r="EA212" s="230">
        <v>18922100</v>
      </c>
      <c r="EB212" s="229">
        <v>6.7000000000000002E-3</v>
      </c>
      <c r="EC212" s="229">
        <v>0.34089999999999998</v>
      </c>
      <c r="ED212" s="228">
        <v>3.25</v>
      </c>
      <c r="EE212" s="229">
        <v>6.3E-3</v>
      </c>
      <c r="EF212" s="230">
        <v>3012615</v>
      </c>
      <c r="EG212" s="230">
        <v>1949261</v>
      </c>
      <c r="EH212" s="229">
        <v>0.54549999999999998</v>
      </c>
      <c r="EI212" s="229">
        <v>0.50070000000000003</v>
      </c>
      <c r="EJ212" s="231">
        <v>208059.39</v>
      </c>
      <c r="EK212" s="231">
        <v>100165.69</v>
      </c>
      <c r="EL212" s="231">
        <v>224247.03</v>
      </c>
      <c r="EM212" s="231">
        <v>14541</v>
      </c>
      <c r="EN212" s="231">
        <v>532472.11</v>
      </c>
      <c r="EO212" s="231">
        <v>424548.15</v>
      </c>
      <c r="EP212" s="231">
        <v>107923.96</v>
      </c>
      <c r="EQ212" s="229">
        <v>0.25419999999999998</v>
      </c>
      <c r="ER212" s="231">
        <v>199793</v>
      </c>
      <c r="ES212" s="231">
        <v>144923</v>
      </c>
      <c r="ET212" s="231">
        <v>572810</v>
      </c>
      <c r="EU212" s="231">
        <v>255091106</v>
      </c>
      <c r="EV212" s="231">
        <v>917527</v>
      </c>
      <c r="EW212" s="231">
        <v>926390</v>
      </c>
      <c r="EX212" s="231">
        <v>-8863</v>
      </c>
      <c r="EY212" s="229">
        <v>-9.5999999999999992E-3</v>
      </c>
      <c r="EZ212" s="229">
        <v>0.70150000000000001</v>
      </c>
      <c r="FA212" s="227" t="s">
        <v>567</v>
      </c>
      <c r="FB212" s="161">
        <f t="shared" si="5"/>
        <v>0</v>
      </c>
    </row>
    <row r="213" spans="1:158" ht="17.25" thickBot="1" x14ac:dyDescent="0.3">
      <c r="A213" s="226">
        <v>45981</v>
      </c>
      <c r="B213" s="227" t="s">
        <v>184</v>
      </c>
      <c r="C213" s="227" t="s">
        <v>305</v>
      </c>
      <c r="D213" s="228">
        <v>375</v>
      </c>
      <c r="E213" s="231">
        <v>1411.8</v>
      </c>
      <c r="F213" s="231">
        <v>1404.1</v>
      </c>
      <c r="G213" s="228">
        <v>7.7</v>
      </c>
      <c r="H213" s="229">
        <v>5.4999999999999997E-3</v>
      </c>
      <c r="I213" s="231">
        <v>1411.8</v>
      </c>
      <c r="J213" s="231">
        <v>1401.8</v>
      </c>
      <c r="K213" s="228">
        <v>10</v>
      </c>
      <c r="L213" s="229">
        <v>7.1000000000000004E-3</v>
      </c>
      <c r="M213" s="231">
        <v>1411.8</v>
      </c>
      <c r="N213" s="231">
        <v>1404.1</v>
      </c>
      <c r="O213" s="228">
        <v>7.7</v>
      </c>
      <c r="P213" s="229">
        <v>5.4999999999999997E-3</v>
      </c>
      <c r="Q213" s="231">
        <v>1383.3</v>
      </c>
      <c r="R213" s="231">
        <v>1367.1</v>
      </c>
      <c r="S213" s="228">
        <v>16.2</v>
      </c>
      <c r="T213" s="229">
        <v>1.18E-2</v>
      </c>
      <c r="U213" s="231">
        <v>1359.2</v>
      </c>
      <c r="V213" s="231">
        <v>1340.6</v>
      </c>
      <c r="W213" s="228">
        <v>18.600000000000001</v>
      </c>
      <c r="X213" s="229">
        <v>1.3899999999999999E-2</v>
      </c>
      <c r="Y213" s="228">
        <v>0</v>
      </c>
      <c r="Z213" s="228">
        <v>2.2999999999999998</v>
      </c>
      <c r="AA213" s="228">
        <v>-2.2999999999999998</v>
      </c>
      <c r="AB213" s="229">
        <v>0</v>
      </c>
      <c r="AC213" s="228">
        <v>0</v>
      </c>
      <c r="AD213" s="228">
        <v>2.2999999999999998</v>
      </c>
      <c r="AE213" s="228">
        <v>-2.2999999999999998</v>
      </c>
      <c r="AF213" s="229">
        <v>0</v>
      </c>
      <c r="AG213" s="228">
        <v>-28.5</v>
      </c>
      <c r="AH213" s="228">
        <v>-34.700000000000003</v>
      </c>
      <c r="AI213" s="228">
        <v>6.2</v>
      </c>
      <c r="AJ213" s="229">
        <v>-2.0199999999999999E-2</v>
      </c>
      <c r="AK213" s="228">
        <v>-52.6</v>
      </c>
      <c r="AL213" s="228">
        <v>-61.2</v>
      </c>
      <c r="AM213" s="228">
        <v>8.6</v>
      </c>
      <c r="AN213" s="229">
        <v>-3.73E-2</v>
      </c>
      <c r="AO213" s="231">
        <v>1410.34</v>
      </c>
      <c r="AP213" s="231">
        <v>1375.79</v>
      </c>
      <c r="AQ213" s="228">
        <v>0</v>
      </c>
      <c r="AR213" s="230">
        <v>11628000</v>
      </c>
      <c r="AS213" s="230">
        <v>6084375</v>
      </c>
      <c r="AT213" s="230">
        <v>5543625</v>
      </c>
      <c r="AU213" s="229">
        <v>0.91110000000000002</v>
      </c>
      <c r="AV213" s="230">
        <v>6033000</v>
      </c>
      <c r="AW213" s="230">
        <v>3602250</v>
      </c>
      <c r="AX213" s="230">
        <v>2430750</v>
      </c>
      <c r="AY213" s="229">
        <v>0.67479999999999996</v>
      </c>
      <c r="AZ213" s="230">
        <v>5484375</v>
      </c>
      <c r="BA213" s="230">
        <v>2442000</v>
      </c>
      <c r="BB213" s="230">
        <v>3042375</v>
      </c>
      <c r="BC213" s="229">
        <v>1.2459</v>
      </c>
      <c r="BD213" s="230">
        <v>110625</v>
      </c>
      <c r="BE213" s="230">
        <v>40125</v>
      </c>
      <c r="BF213" s="230">
        <v>70500</v>
      </c>
      <c r="BG213" s="229">
        <v>1.7569999999999999</v>
      </c>
      <c r="BH213" s="230">
        <v>11176125</v>
      </c>
      <c r="BI213" s="230">
        <v>16405875</v>
      </c>
      <c r="BJ213" s="230">
        <v>-5229750</v>
      </c>
      <c r="BK213" s="229">
        <v>-0.31879999999999997</v>
      </c>
      <c r="BL213" s="230">
        <v>8849625</v>
      </c>
      <c r="BM213" s="230">
        <v>9193125</v>
      </c>
      <c r="BN213" s="230">
        <v>-343500</v>
      </c>
      <c r="BO213" s="229">
        <v>-3.7400000000000003E-2</v>
      </c>
      <c r="BP213" s="230">
        <v>31653750</v>
      </c>
      <c r="BQ213" s="230">
        <v>31683375</v>
      </c>
      <c r="BR213" s="230">
        <v>-29625</v>
      </c>
      <c r="BS213" s="229">
        <v>-8.9999999999999998E-4</v>
      </c>
      <c r="BT213" s="230">
        <v>677952</v>
      </c>
      <c r="BU213" s="230">
        <v>723781</v>
      </c>
      <c r="BV213" s="230">
        <v>-45829</v>
      </c>
      <c r="BW213" s="229">
        <v>-6.3299999999999995E-2</v>
      </c>
      <c r="BX213" s="230">
        <v>15291375</v>
      </c>
      <c r="BY213" s="230">
        <v>17002875</v>
      </c>
      <c r="BZ213" s="230">
        <v>-1711500</v>
      </c>
      <c r="CA213" s="229">
        <v>-0.1007</v>
      </c>
      <c r="CB213" s="230">
        <v>8095125</v>
      </c>
      <c r="CC213" s="230">
        <v>11899500</v>
      </c>
      <c r="CD213" s="230">
        <v>-3804375</v>
      </c>
      <c r="CE213" s="229">
        <v>-0.31969999999999998</v>
      </c>
      <c r="CF213" s="230">
        <v>6972750</v>
      </c>
      <c r="CG213" s="230">
        <v>4921125</v>
      </c>
      <c r="CH213" s="230">
        <v>2051625</v>
      </c>
      <c r="CI213" s="229">
        <v>0.41689999999999999</v>
      </c>
      <c r="CJ213" s="230">
        <v>223500</v>
      </c>
      <c r="CK213" s="230">
        <v>182250</v>
      </c>
      <c r="CL213" s="230">
        <v>41250</v>
      </c>
      <c r="CM213" s="229">
        <v>0.2263</v>
      </c>
      <c r="CN213" s="230">
        <v>4224750</v>
      </c>
      <c r="CO213" s="230">
        <v>4454625</v>
      </c>
      <c r="CP213" s="230">
        <v>-229875</v>
      </c>
      <c r="CQ213" s="229">
        <v>-5.16E-2</v>
      </c>
      <c r="CR213" s="230">
        <v>5060250</v>
      </c>
      <c r="CS213" s="230">
        <v>5449500</v>
      </c>
      <c r="CT213" s="230">
        <v>-389250</v>
      </c>
      <c r="CU213" s="229">
        <v>-7.1400000000000005E-2</v>
      </c>
      <c r="CV213" s="230">
        <v>24576375</v>
      </c>
      <c r="CW213" s="230">
        <v>26907000</v>
      </c>
      <c r="CX213" s="230">
        <v>-2330625</v>
      </c>
      <c r="CY213" s="229">
        <v>-8.6599999999999996E-2</v>
      </c>
      <c r="CZ213" s="228">
        <v>24.56</v>
      </c>
      <c r="DA213" s="228">
        <v>28.11</v>
      </c>
      <c r="DB213" s="228">
        <v>-3.55</v>
      </c>
      <c r="DC213" s="228">
        <v>-3.55</v>
      </c>
      <c r="DD213" s="228">
        <v>37.380000000000003</v>
      </c>
      <c r="DE213" s="228">
        <v>37.46</v>
      </c>
      <c r="DF213" s="228">
        <v>-12.82</v>
      </c>
      <c r="DG213" s="228">
        <v>-0.08</v>
      </c>
      <c r="DH213" s="228">
        <v>24.56</v>
      </c>
      <c r="DI213" s="228">
        <v>26.03</v>
      </c>
      <c r="DJ213" s="228">
        <v>-1.47</v>
      </c>
      <c r="DK213" s="228">
        <v>-1.47</v>
      </c>
      <c r="DL213" s="228">
        <v>24.57</v>
      </c>
      <c r="DM213" s="228">
        <v>31.82</v>
      </c>
      <c r="DN213" s="228">
        <v>-7.25</v>
      </c>
      <c r="DO213" s="228">
        <v>-7.25</v>
      </c>
      <c r="DP213" s="228">
        <v>1.2</v>
      </c>
      <c r="DQ213" s="228">
        <v>1.22</v>
      </c>
      <c r="DR213" s="228">
        <v>-0.02</v>
      </c>
      <c r="DS213" s="229">
        <v>-1.6400000000000001E-2</v>
      </c>
      <c r="DT213" s="231">
        <v>1500</v>
      </c>
      <c r="DU213" s="231">
        <v>1300</v>
      </c>
      <c r="DV213" s="228">
        <v>0.79</v>
      </c>
      <c r="DW213" s="228">
        <v>0.56000000000000005</v>
      </c>
      <c r="DX213" s="228">
        <v>0.23</v>
      </c>
      <c r="DY213" s="229">
        <v>0.41070000000000001</v>
      </c>
      <c r="DZ213" s="229">
        <v>0.47060000000000002</v>
      </c>
      <c r="EA213" s="230">
        <v>5103375</v>
      </c>
      <c r="EB213" s="229">
        <v>-2.0199999999999999E-2</v>
      </c>
      <c r="EC213" s="229">
        <v>0.47060000000000002</v>
      </c>
      <c r="ED213" s="228">
        <v>-34.549999999999997</v>
      </c>
      <c r="EE213" s="229">
        <v>-2.4500000000000001E-2</v>
      </c>
      <c r="EF213" s="230">
        <v>246721</v>
      </c>
      <c r="EG213" s="230">
        <v>298687</v>
      </c>
      <c r="EH213" s="229">
        <v>-0.17399999999999999</v>
      </c>
      <c r="EI213" s="229">
        <v>0.3639</v>
      </c>
      <c r="EJ213" s="231">
        <v>161331.23000000001</v>
      </c>
      <c r="EK213" s="231">
        <v>121673.44</v>
      </c>
      <c r="EL213" s="231">
        <v>162033.48000000001</v>
      </c>
      <c r="EM213" s="231">
        <v>15099</v>
      </c>
      <c r="EN213" s="231">
        <v>445038.15</v>
      </c>
      <c r="EO213" s="231">
        <v>443958.74</v>
      </c>
      <c r="EP213" s="231">
        <v>1079.4100000000001</v>
      </c>
      <c r="EQ213" s="229">
        <v>2.3999999999999998E-3</v>
      </c>
      <c r="ER213" s="231">
        <v>60634</v>
      </c>
      <c r="ES213" s="231">
        <v>66381</v>
      </c>
      <c r="ET213" s="231">
        <v>213779</v>
      </c>
      <c r="EU213" s="231">
        <v>34594689</v>
      </c>
      <c r="EV213" s="231">
        <v>340794</v>
      </c>
      <c r="EW213" s="231">
        <v>371535</v>
      </c>
      <c r="EX213" s="231">
        <v>-30741</v>
      </c>
      <c r="EY213" s="229">
        <v>-8.2699999999999996E-2</v>
      </c>
      <c r="EZ213" s="229">
        <v>0.71040000000000003</v>
      </c>
      <c r="FA213" s="227" t="s">
        <v>556</v>
      </c>
      <c r="FB213" s="161">
        <f t="shared" si="5"/>
        <v>0</v>
      </c>
    </row>
    <row r="214" spans="1:158" ht="17.25" thickBot="1" x14ac:dyDescent="0.3">
      <c r="A214" s="226">
        <v>45981</v>
      </c>
      <c r="B214" s="227" t="s">
        <v>221</v>
      </c>
      <c r="C214" s="227" t="s">
        <v>306</v>
      </c>
      <c r="D214" s="228">
        <v>3000</v>
      </c>
      <c r="E214" s="228">
        <v>247.09</v>
      </c>
      <c r="F214" s="228">
        <v>246.92</v>
      </c>
      <c r="G214" s="228">
        <v>0.17</v>
      </c>
      <c r="H214" s="229">
        <v>6.9999999999999999E-4</v>
      </c>
      <c r="I214" s="228">
        <v>246.26</v>
      </c>
      <c r="J214" s="228">
        <v>246.07</v>
      </c>
      <c r="K214" s="228">
        <v>0.19</v>
      </c>
      <c r="L214" s="229">
        <v>8.0000000000000004E-4</v>
      </c>
      <c r="M214" s="228">
        <v>247.09</v>
      </c>
      <c r="N214" s="228">
        <v>246.92</v>
      </c>
      <c r="O214" s="228">
        <v>0.17</v>
      </c>
      <c r="P214" s="229">
        <v>6.9999999999999999E-4</v>
      </c>
      <c r="Q214" s="228">
        <v>246.74</v>
      </c>
      <c r="R214" s="228">
        <v>246.43</v>
      </c>
      <c r="S214" s="228">
        <v>0.31</v>
      </c>
      <c r="T214" s="229">
        <v>1.2999999999999999E-3</v>
      </c>
      <c r="U214" s="228">
        <v>246.21</v>
      </c>
      <c r="V214" s="228">
        <v>245.86</v>
      </c>
      <c r="W214" s="228">
        <v>0.35</v>
      </c>
      <c r="X214" s="229">
        <v>1.4E-3</v>
      </c>
      <c r="Y214" s="228">
        <v>0.83</v>
      </c>
      <c r="Z214" s="228">
        <v>0.85</v>
      </c>
      <c r="AA214" s="228">
        <v>-0.02</v>
      </c>
      <c r="AB214" s="229">
        <v>3.3999999999999998E-3</v>
      </c>
      <c r="AC214" s="228">
        <v>0.83</v>
      </c>
      <c r="AD214" s="228">
        <v>0.85</v>
      </c>
      <c r="AE214" s="228">
        <v>-0.02</v>
      </c>
      <c r="AF214" s="229">
        <v>3.3999999999999998E-3</v>
      </c>
      <c r="AG214" s="228">
        <v>0.48</v>
      </c>
      <c r="AH214" s="228">
        <v>0.36</v>
      </c>
      <c r="AI214" s="228">
        <v>0.12</v>
      </c>
      <c r="AJ214" s="229">
        <v>1.9E-3</v>
      </c>
      <c r="AK214" s="228">
        <v>-0.05</v>
      </c>
      <c r="AL214" s="228">
        <v>-0.21</v>
      </c>
      <c r="AM214" s="228">
        <v>0.16</v>
      </c>
      <c r="AN214" s="229">
        <v>-2.0000000000000001E-4</v>
      </c>
      <c r="AO214" s="228">
        <v>247.02</v>
      </c>
      <c r="AP214" s="228">
        <v>246.54</v>
      </c>
      <c r="AQ214" s="228">
        <v>0</v>
      </c>
      <c r="AR214" s="230">
        <v>111378000</v>
      </c>
      <c r="AS214" s="230">
        <v>41613000</v>
      </c>
      <c r="AT214" s="230">
        <v>69765000</v>
      </c>
      <c r="AU214" s="229">
        <v>1.6765000000000001</v>
      </c>
      <c r="AV214" s="230">
        <v>56427000</v>
      </c>
      <c r="AW214" s="230">
        <v>26613000</v>
      </c>
      <c r="AX214" s="230">
        <v>29814000</v>
      </c>
      <c r="AY214" s="229">
        <v>1.1203000000000001</v>
      </c>
      <c r="AZ214" s="230">
        <v>53910000</v>
      </c>
      <c r="BA214" s="230">
        <v>13875000</v>
      </c>
      <c r="BB214" s="230">
        <v>40035000</v>
      </c>
      <c r="BC214" s="229">
        <v>2.8854000000000002</v>
      </c>
      <c r="BD214" s="230">
        <v>1041000</v>
      </c>
      <c r="BE214" s="230">
        <v>1125000</v>
      </c>
      <c r="BF214" s="230">
        <v>-84000</v>
      </c>
      <c r="BG214" s="229">
        <v>-7.4700000000000003E-2</v>
      </c>
      <c r="BH214" s="230">
        <v>61350000</v>
      </c>
      <c r="BI214" s="230">
        <v>137544000</v>
      </c>
      <c r="BJ214" s="230">
        <v>-76194000</v>
      </c>
      <c r="BK214" s="229">
        <v>-0.55400000000000005</v>
      </c>
      <c r="BL214" s="230">
        <v>43593000</v>
      </c>
      <c r="BM214" s="230">
        <v>67533000</v>
      </c>
      <c r="BN214" s="230">
        <v>-23940000</v>
      </c>
      <c r="BO214" s="229">
        <v>-0.35449999999999998</v>
      </c>
      <c r="BP214" s="230">
        <v>216321000</v>
      </c>
      <c r="BQ214" s="230">
        <v>246690000</v>
      </c>
      <c r="BR214" s="230">
        <v>-30369000</v>
      </c>
      <c r="BS214" s="229">
        <v>-0.1231</v>
      </c>
      <c r="BT214" s="230">
        <v>6849771</v>
      </c>
      <c r="BU214" s="230">
        <v>13630484</v>
      </c>
      <c r="BV214" s="230">
        <v>-6780713</v>
      </c>
      <c r="BW214" s="229">
        <v>-0.4975</v>
      </c>
      <c r="BX214" s="230">
        <v>152571000</v>
      </c>
      <c r="BY214" s="230">
        <v>163176000</v>
      </c>
      <c r="BZ214" s="230">
        <v>-10605000</v>
      </c>
      <c r="CA214" s="229">
        <v>-6.5000000000000002E-2</v>
      </c>
      <c r="CB214" s="230">
        <v>86616000</v>
      </c>
      <c r="CC214" s="230">
        <v>128562000</v>
      </c>
      <c r="CD214" s="230">
        <v>-41946000</v>
      </c>
      <c r="CE214" s="229">
        <v>-0.32629999999999998</v>
      </c>
      <c r="CF214" s="230">
        <v>63513000</v>
      </c>
      <c r="CG214" s="230">
        <v>32625000</v>
      </c>
      <c r="CH214" s="230">
        <v>30888000</v>
      </c>
      <c r="CI214" s="229">
        <v>0.94679999999999997</v>
      </c>
      <c r="CJ214" s="230">
        <v>2442000</v>
      </c>
      <c r="CK214" s="230">
        <v>1989000</v>
      </c>
      <c r="CL214" s="230">
        <v>453000</v>
      </c>
      <c r="CM214" s="229">
        <v>0.2278</v>
      </c>
      <c r="CN214" s="230">
        <v>59487000</v>
      </c>
      <c r="CO214" s="230">
        <v>63108000</v>
      </c>
      <c r="CP214" s="230">
        <v>-3621000</v>
      </c>
      <c r="CQ214" s="229">
        <v>-5.74E-2</v>
      </c>
      <c r="CR214" s="230">
        <v>42957000</v>
      </c>
      <c r="CS214" s="230">
        <v>43956000</v>
      </c>
      <c r="CT214" s="230">
        <v>-999000</v>
      </c>
      <c r="CU214" s="229">
        <v>-2.2700000000000001E-2</v>
      </c>
      <c r="CV214" s="230">
        <v>255015000</v>
      </c>
      <c r="CW214" s="230">
        <v>270240000</v>
      </c>
      <c r="CX214" s="230">
        <v>-15225000</v>
      </c>
      <c r="CY214" s="229">
        <v>-5.6300000000000003E-2</v>
      </c>
      <c r="CZ214" s="228">
        <v>21.59</v>
      </c>
      <c r="DA214" s="228">
        <v>24.88</v>
      </c>
      <c r="DB214" s="228">
        <v>-3.29</v>
      </c>
      <c r="DC214" s="228">
        <v>-3.29</v>
      </c>
      <c r="DD214" s="228">
        <v>30.46</v>
      </c>
      <c r="DE214" s="228">
        <v>30.54</v>
      </c>
      <c r="DF214" s="228">
        <v>-8.8699999999999992</v>
      </c>
      <c r="DG214" s="228">
        <v>-0.08</v>
      </c>
      <c r="DH214" s="228">
        <v>21.71</v>
      </c>
      <c r="DI214" s="228">
        <v>24.35</v>
      </c>
      <c r="DJ214" s="228">
        <v>-2.64</v>
      </c>
      <c r="DK214" s="228">
        <v>-2.64</v>
      </c>
      <c r="DL214" s="228">
        <v>21.4</v>
      </c>
      <c r="DM214" s="228">
        <v>25.97</v>
      </c>
      <c r="DN214" s="228">
        <v>-4.57</v>
      </c>
      <c r="DO214" s="228">
        <v>-4.57</v>
      </c>
      <c r="DP214" s="228">
        <v>0.72</v>
      </c>
      <c r="DQ214" s="228">
        <v>0.7</v>
      </c>
      <c r="DR214" s="228">
        <v>0.02</v>
      </c>
      <c r="DS214" s="229">
        <v>2.86E-2</v>
      </c>
      <c r="DT214" s="228">
        <v>250</v>
      </c>
      <c r="DU214" s="228">
        <v>245</v>
      </c>
      <c r="DV214" s="228">
        <v>0.71</v>
      </c>
      <c r="DW214" s="228">
        <v>0.49</v>
      </c>
      <c r="DX214" s="228">
        <v>0.22</v>
      </c>
      <c r="DY214" s="229">
        <v>0.44900000000000001</v>
      </c>
      <c r="DZ214" s="229">
        <v>0.43230000000000002</v>
      </c>
      <c r="EA214" s="230">
        <v>34614000</v>
      </c>
      <c r="EB214" s="229">
        <v>-1.4E-3</v>
      </c>
      <c r="EC214" s="229">
        <v>0.43230000000000002</v>
      </c>
      <c r="ED214" s="228">
        <v>-0.48</v>
      </c>
      <c r="EE214" s="229">
        <v>-1.9E-3</v>
      </c>
      <c r="EF214" s="230">
        <v>4038699</v>
      </c>
      <c r="EG214" s="230">
        <v>6835739</v>
      </c>
      <c r="EH214" s="229">
        <v>-0.40920000000000001</v>
      </c>
      <c r="EI214" s="229">
        <v>0.58960000000000001</v>
      </c>
      <c r="EJ214" s="231">
        <v>155978.49</v>
      </c>
      <c r="EK214" s="231">
        <v>105869.37</v>
      </c>
      <c r="EL214" s="231">
        <v>274857.06</v>
      </c>
      <c r="EM214" s="231">
        <v>8404</v>
      </c>
      <c r="EN214" s="231">
        <v>536704.92000000004</v>
      </c>
      <c r="EO214" s="231">
        <v>612692.34</v>
      </c>
      <c r="EP214" s="231">
        <v>-75987.42</v>
      </c>
      <c r="EQ214" s="229">
        <v>-0.124</v>
      </c>
      <c r="ER214" s="231">
        <v>151662</v>
      </c>
      <c r="ES214" s="231">
        <v>102662</v>
      </c>
      <c r="ET214" s="231">
        <v>376744</v>
      </c>
      <c r="EU214" s="231">
        <v>292948819</v>
      </c>
      <c r="EV214" s="231">
        <v>631068</v>
      </c>
      <c r="EW214" s="231">
        <v>668469</v>
      </c>
      <c r="EX214" s="231">
        <v>-37401</v>
      </c>
      <c r="EY214" s="229">
        <v>-5.6000000000000001E-2</v>
      </c>
      <c r="EZ214" s="229">
        <v>0.87050000000000005</v>
      </c>
      <c r="FA214" s="227" t="s">
        <v>556</v>
      </c>
      <c r="FB214" s="161">
        <f t="shared" si="5"/>
        <v>0</v>
      </c>
    </row>
    <row r="215" spans="1:158" ht="17.25" thickBot="1" x14ac:dyDescent="0.3">
      <c r="A215" s="226">
        <v>45981</v>
      </c>
      <c r="B215" s="227" t="s">
        <v>172</v>
      </c>
      <c r="C215" s="227" t="s">
        <v>590</v>
      </c>
      <c r="D215" s="228">
        <v>31100</v>
      </c>
      <c r="E215" s="228">
        <v>22.61</v>
      </c>
      <c r="F215" s="228">
        <v>22.94</v>
      </c>
      <c r="G215" s="228">
        <v>-0.33</v>
      </c>
      <c r="H215" s="229">
        <v>-1.44E-2</v>
      </c>
      <c r="I215" s="228">
        <v>22.63</v>
      </c>
      <c r="J215" s="228">
        <v>22.93</v>
      </c>
      <c r="K215" s="228">
        <v>-0.3</v>
      </c>
      <c r="L215" s="229">
        <v>-1.3100000000000001E-2</v>
      </c>
      <c r="M215" s="228">
        <v>22.61</v>
      </c>
      <c r="N215" s="228">
        <v>22.94</v>
      </c>
      <c r="O215" s="228">
        <v>-0.33</v>
      </c>
      <c r="P215" s="229">
        <v>-1.44E-2</v>
      </c>
      <c r="Q215" s="228">
        <v>22.77</v>
      </c>
      <c r="R215" s="228">
        <v>23.11</v>
      </c>
      <c r="S215" s="228">
        <v>-0.34</v>
      </c>
      <c r="T215" s="229">
        <v>-1.47E-2</v>
      </c>
      <c r="U215" s="228">
        <v>22.89</v>
      </c>
      <c r="V215" s="228">
        <v>23.22</v>
      </c>
      <c r="W215" s="228">
        <v>-0.33</v>
      </c>
      <c r="X215" s="229">
        <v>-1.4200000000000001E-2</v>
      </c>
      <c r="Y215" s="228">
        <v>-0.02</v>
      </c>
      <c r="Z215" s="228">
        <v>0.01</v>
      </c>
      <c r="AA215" s="228">
        <v>-0.03</v>
      </c>
      <c r="AB215" s="229">
        <v>-8.9999999999999998E-4</v>
      </c>
      <c r="AC215" s="228">
        <v>-0.02</v>
      </c>
      <c r="AD215" s="228">
        <v>0.01</v>
      </c>
      <c r="AE215" s="228">
        <v>-0.03</v>
      </c>
      <c r="AF215" s="229">
        <v>-8.9999999999999998E-4</v>
      </c>
      <c r="AG215" s="228">
        <v>0.14000000000000001</v>
      </c>
      <c r="AH215" s="228">
        <v>0.18</v>
      </c>
      <c r="AI215" s="228">
        <v>-0.04</v>
      </c>
      <c r="AJ215" s="229">
        <v>6.1999999999999998E-3</v>
      </c>
      <c r="AK215" s="228">
        <v>0.26</v>
      </c>
      <c r="AL215" s="228">
        <v>0.28999999999999998</v>
      </c>
      <c r="AM215" s="228">
        <v>-0.03</v>
      </c>
      <c r="AN215" s="229">
        <v>1.15E-2</v>
      </c>
      <c r="AO215" s="228">
        <v>22.74</v>
      </c>
      <c r="AP215" s="228">
        <v>22.89</v>
      </c>
      <c r="AQ215" s="228">
        <v>0</v>
      </c>
      <c r="AR215" s="230">
        <v>410146800</v>
      </c>
      <c r="AS215" s="230">
        <v>150119700</v>
      </c>
      <c r="AT215" s="230">
        <v>260027100</v>
      </c>
      <c r="AU215" s="229">
        <v>1.7321</v>
      </c>
      <c r="AV215" s="230">
        <v>203611700</v>
      </c>
      <c r="AW215" s="230">
        <v>83254700</v>
      </c>
      <c r="AX215" s="230">
        <v>120357000</v>
      </c>
      <c r="AY215" s="229">
        <v>1.4456</v>
      </c>
      <c r="AZ215" s="230">
        <v>198946700</v>
      </c>
      <c r="BA215" s="230">
        <v>58934500</v>
      </c>
      <c r="BB215" s="230">
        <v>140012200</v>
      </c>
      <c r="BC215" s="229">
        <v>2.3757000000000001</v>
      </c>
      <c r="BD215" s="230">
        <v>7588400</v>
      </c>
      <c r="BE215" s="230">
        <v>7930500</v>
      </c>
      <c r="BF215" s="230">
        <v>-342100</v>
      </c>
      <c r="BG215" s="229">
        <v>-4.3099999999999999E-2</v>
      </c>
      <c r="BH215" s="230">
        <v>306894800</v>
      </c>
      <c r="BI215" s="230">
        <v>349284100</v>
      </c>
      <c r="BJ215" s="230">
        <v>-42389300</v>
      </c>
      <c r="BK215" s="229">
        <v>-0.12139999999999999</v>
      </c>
      <c r="BL215" s="230">
        <v>60085200</v>
      </c>
      <c r="BM215" s="230">
        <v>87888600</v>
      </c>
      <c r="BN215" s="230">
        <v>-27803400</v>
      </c>
      <c r="BO215" s="229">
        <v>-0.31630000000000003</v>
      </c>
      <c r="BP215" s="230">
        <v>777126800</v>
      </c>
      <c r="BQ215" s="230">
        <v>587292400</v>
      </c>
      <c r="BR215" s="230">
        <v>189834400</v>
      </c>
      <c r="BS215" s="229">
        <v>0.32319999999999999</v>
      </c>
      <c r="BT215" s="230">
        <v>71503396</v>
      </c>
      <c r="BU215" s="230">
        <v>67597095</v>
      </c>
      <c r="BV215" s="230">
        <v>3906301</v>
      </c>
      <c r="BW215" s="229">
        <v>5.7799999999999997E-2</v>
      </c>
      <c r="BX215" s="230">
        <v>1108683900</v>
      </c>
      <c r="BY215" s="230">
        <v>1111918300</v>
      </c>
      <c r="BZ215" s="230">
        <v>-3234400</v>
      </c>
      <c r="CA215" s="229">
        <v>-2.8999999999999998E-3</v>
      </c>
      <c r="CB215" s="230">
        <v>705005900</v>
      </c>
      <c r="CC215" s="230">
        <v>865575200</v>
      </c>
      <c r="CD215" s="230">
        <v>-160569300</v>
      </c>
      <c r="CE215" s="229">
        <v>-0.1855</v>
      </c>
      <c r="CF215" s="230">
        <v>366171400</v>
      </c>
      <c r="CG215" s="230">
        <v>213874700</v>
      </c>
      <c r="CH215" s="230">
        <v>152296700</v>
      </c>
      <c r="CI215" s="229">
        <v>0.71209999999999996</v>
      </c>
      <c r="CJ215" s="230">
        <v>37506600</v>
      </c>
      <c r="CK215" s="230">
        <v>32468400</v>
      </c>
      <c r="CL215" s="230">
        <v>5038200</v>
      </c>
      <c r="CM215" s="229">
        <v>0.1552</v>
      </c>
      <c r="CN215" s="230">
        <v>545680600</v>
      </c>
      <c r="CO215" s="230">
        <v>524999100</v>
      </c>
      <c r="CP215" s="230">
        <v>20681500</v>
      </c>
      <c r="CQ215" s="229">
        <v>3.9399999999999998E-2</v>
      </c>
      <c r="CR215" s="230">
        <v>216424900</v>
      </c>
      <c r="CS215" s="230">
        <v>222271700</v>
      </c>
      <c r="CT215" s="230">
        <v>-5846800</v>
      </c>
      <c r="CU215" s="229">
        <v>-2.63E-2</v>
      </c>
      <c r="CV215" s="230">
        <v>1870789400</v>
      </c>
      <c r="CW215" s="230">
        <v>1859189100</v>
      </c>
      <c r="CX215" s="230">
        <v>11600300</v>
      </c>
      <c r="CY215" s="229">
        <v>6.1999999999999998E-3</v>
      </c>
      <c r="CZ215" s="228">
        <v>27.81</v>
      </c>
      <c r="DA215" s="228">
        <v>30.96</v>
      </c>
      <c r="DB215" s="228">
        <v>-3.15</v>
      </c>
      <c r="DC215" s="228">
        <v>-3.15</v>
      </c>
      <c r="DD215" s="228">
        <v>40.57</v>
      </c>
      <c r="DE215" s="228">
        <v>40.630000000000003</v>
      </c>
      <c r="DF215" s="228">
        <v>-12.76</v>
      </c>
      <c r="DG215" s="228">
        <v>-0.06</v>
      </c>
      <c r="DH215" s="228">
        <v>28.33</v>
      </c>
      <c r="DI215" s="228">
        <v>32.020000000000003</v>
      </c>
      <c r="DJ215" s="228">
        <v>-3.69</v>
      </c>
      <c r="DK215" s="228">
        <v>-3.69</v>
      </c>
      <c r="DL215" s="228">
        <v>26.15</v>
      </c>
      <c r="DM215" s="228">
        <v>26.74</v>
      </c>
      <c r="DN215" s="228">
        <v>-0.59</v>
      </c>
      <c r="DO215" s="228">
        <v>-0.59</v>
      </c>
      <c r="DP215" s="228">
        <v>0.4</v>
      </c>
      <c r="DQ215" s="228">
        <v>0.42</v>
      </c>
      <c r="DR215" s="228">
        <v>-0.02</v>
      </c>
      <c r="DS215" s="229">
        <v>-4.7600000000000003E-2</v>
      </c>
      <c r="DT215" s="228">
        <v>24</v>
      </c>
      <c r="DU215" s="228">
        <v>23</v>
      </c>
      <c r="DV215" s="228">
        <v>0.2</v>
      </c>
      <c r="DW215" s="228">
        <v>0.25</v>
      </c>
      <c r="DX215" s="228">
        <v>-0.05</v>
      </c>
      <c r="DY215" s="229">
        <v>-0.2</v>
      </c>
      <c r="DZ215" s="229">
        <v>0.36409999999999998</v>
      </c>
      <c r="EA215" s="230">
        <v>246343100</v>
      </c>
      <c r="EB215" s="229">
        <v>7.1000000000000004E-3</v>
      </c>
      <c r="EC215" s="229">
        <v>0.36409999999999998</v>
      </c>
      <c r="ED215" s="228">
        <v>0.15</v>
      </c>
      <c r="EE215" s="229">
        <v>6.6E-3</v>
      </c>
      <c r="EF215" s="230">
        <v>36219887</v>
      </c>
      <c r="EG215" s="230">
        <v>27598101</v>
      </c>
      <c r="EH215" s="229">
        <v>0.31240000000000001</v>
      </c>
      <c r="EI215" s="229">
        <v>0.50649999999999995</v>
      </c>
      <c r="EJ215" s="231">
        <v>74631.37</v>
      </c>
      <c r="EK215" s="231">
        <v>13355.94</v>
      </c>
      <c r="EL215" s="231">
        <v>93597.58</v>
      </c>
      <c r="EM215" s="231">
        <v>4817</v>
      </c>
      <c r="EN215" s="231">
        <v>181584.89</v>
      </c>
      <c r="EO215" s="231">
        <v>139783.54</v>
      </c>
      <c r="EP215" s="231">
        <v>41801.35</v>
      </c>
      <c r="EQ215" s="229">
        <v>0.29899999999999999</v>
      </c>
      <c r="ER215" s="231">
        <v>134814</v>
      </c>
      <c r="ES215" s="231">
        <v>47663</v>
      </c>
      <c r="ET215" s="231">
        <v>251364</v>
      </c>
      <c r="EU215" s="231">
        <v>3136562346</v>
      </c>
      <c r="EV215" s="231">
        <v>433841</v>
      </c>
      <c r="EW215" s="231">
        <v>434111</v>
      </c>
      <c r="EX215" s="228">
        <v>-270</v>
      </c>
      <c r="EY215" s="229">
        <v>-5.9999999999999995E-4</v>
      </c>
      <c r="EZ215" s="229">
        <v>0.59640000000000004</v>
      </c>
      <c r="FA215" s="227" t="s">
        <v>568</v>
      </c>
      <c r="FB215" s="161">
        <f t="shared" si="5"/>
        <v>0</v>
      </c>
    </row>
    <row r="216" spans="1:158" ht="17.25" thickBot="1" x14ac:dyDescent="0.3">
      <c r="A216" s="226">
        <v>45981</v>
      </c>
      <c r="B216" s="227" t="s">
        <v>170</v>
      </c>
      <c r="C216" s="227" t="s">
        <v>557</v>
      </c>
      <c r="D216" s="228">
        <v>900</v>
      </c>
      <c r="E216" s="228">
        <v>927.5</v>
      </c>
      <c r="F216" s="228">
        <v>931.6</v>
      </c>
      <c r="G216" s="228">
        <v>-4.0999999999999996</v>
      </c>
      <c r="H216" s="229">
        <v>-4.4000000000000003E-3</v>
      </c>
      <c r="I216" s="228">
        <v>928</v>
      </c>
      <c r="J216" s="228">
        <v>930.2</v>
      </c>
      <c r="K216" s="228">
        <v>-2.2000000000000002</v>
      </c>
      <c r="L216" s="229">
        <v>-2.3999999999999998E-3</v>
      </c>
      <c r="M216" s="228">
        <v>927.5</v>
      </c>
      <c r="N216" s="228">
        <v>931.6</v>
      </c>
      <c r="O216" s="228">
        <v>-4.0999999999999996</v>
      </c>
      <c r="P216" s="229">
        <v>-4.4000000000000003E-3</v>
      </c>
      <c r="Q216" s="228">
        <v>930.85</v>
      </c>
      <c r="R216" s="228">
        <v>937.5</v>
      </c>
      <c r="S216" s="228">
        <v>-6.65</v>
      </c>
      <c r="T216" s="229">
        <v>-7.1000000000000004E-3</v>
      </c>
      <c r="U216" s="228">
        <v>937.2</v>
      </c>
      <c r="V216" s="228">
        <v>943.85</v>
      </c>
      <c r="W216" s="228">
        <v>-6.65</v>
      </c>
      <c r="X216" s="229">
        <v>-7.0000000000000001E-3</v>
      </c>
      <c r="Y216" s="228">
        <v>-0.5</v>
      </c>
      <c r="Z216" s="228">
        <v>1.4</v>
      </c>
      <c r="AA216" s="228">
        <v>-1.9</v>
      </c>
      <c r="AB216" s="229">
        <v>-5.0000000000000001E-4</v>
      </c>
      <c r="AC216" s="228">
        <v>-0.5</v>
      </c>
      <c r="AD216" s="228">
        <v>1.4</v>
      </c>
      <c r="AE216" s="228">
        <v>-1.9</v>
      </c>
      <c r="AF216" s="229">
        <v>-5.0000000000000001E-4</v>
      </c>
      <c r="AG216" s="228">
        <v>2.85</v>
      </c>
      <c r="AH216" s="228">
        <v>7.3</v>
      </c>
      <c r="AI216" s="228">
        <v>-4.45</v>
      </c>
      <c r="AJ216" s="229">
        <v>3.0999999999999999E-3</v>
      </c>
      <c r="AK216" s="228">
        <v>9.1999999999999993</v>
      </c>
      <c r="AL216" s="228">
        <v>13.65</v>
      </c>
      <c r="AM216" s="228">
        <v>-4.45</v>
      </c>
      <c r="AN216" s="229">
        <v>9.9000000000000008E-3</v>
      </c>
      <c r="AO216" s="228">
        <v>933.46</v>
      </c>
      <c r="AP216" s="228">
        <v>937.68</v>
      </c>
      <c r="AQ216" s="228">
        <v>0</v>
      </c>
      <c r="AR216" s="230">
        <v>9523800</v>
      </c>
      <c r="AS216" s="230">
        <v>2210400</v>
      </c>
      <c r="AT216" s="230">
        <v>7313400</v>
      </c>
      <c r="AU216" s="229">
        <v>3.3086000000000002</v>
      </c>
      <c r="AV216" s="230">
        <v>4606200</v>
      </c>
      <c r="AW216" s="230">
        <v>1413900</v>
      </c>
      <c r="AX216" s="230">
        <v>3192300</v>
      </c>
      <c r="AY216" s="229">
        <v>2.2578</v>
      </c>
      <c r="AZ216" s="230">
        <v>4884300</v>
      </c>
      <c r="BA216" s="230">
        <v>783000</v>
      </c>
      <c r="BB216" s="230">
        <v>4101300</v>
      </c>
      <c r="BC216" s="229">
        <v>5.2378999999999998</v>
      </c>
      <c r="BD216" s="230">
        <v>33300</v>
      </c>
      <c r="BE216" s="230">
        <v>13500</v>
      </c>
      <c r="BF216" s="230">
        <v>19800</v>
      </c>
      <c r="BG216" s="229">
        <v>1.4666999999999999</v>
      </c>
      <c r="BH216" s="230">
        <v>4936500</v>
      </c>
      <c r="BI216" s="230">
        <v>4254300</v>
      </c>
      <c r="BJ216" s="230">
        <v>682200</v>
      </c>
      <c r="BK216" s="229">
        <v>0.16039999999999999</v>
      </c>
      <c r="BL216" s="230">
        <v>2579400</v>
      </c>
      <c r="BM216" s="230">
        <v>1466100</v>
      </c>
      <c r="BN216" s="230">
        <v>1113300</v>
      </c>
      <c r="BO216" s="229">
        <v>0.75939999999999996</v>
      </c>
      <c r="BP216" s="230">
        <v>17039700</v>
      </c>
      <c r="BQ216" s="230">
        <v>7930800</v>
      </c>
      <c r="BR216" s="230">
        <v>9108900</v>
      </c>
      <c r="BS216" s="229">
        <v>1.1485000000000001</v>
      </c>
      <c r="BT216" s="230">
        <v>769826</v>
      </c>
      <c r="BU216" s="230">
        <v>670969</v>
      </c>
      <c r="BV216" s="230">
        <v>98857</v>
      </c>
      <c r="BW216" s="229">
        <v>0.14729999999999999</v>
      </c>
      <c r="BX216" s="230">
        <v>11221200</v>
      </c>
      <c r="BY216" s="230">
        <v>12250800</v>
      </c>
      <c r="BZ216" s="230">
        <v>-1029600</v>
      </c>
      <c r="CA216" s="229">
        <v>-8.4000000000000005E-2</v>
      </c>
      <c r="CB216" s="230">
        <v>6447600</v>
      </c>
      <c r="CC216" s="230">
        <v>10070100</v>
      </c>
      <c r="CD216" s="230">
        <v>-3622500</v>
      </c>
      <c r="CE216" s="229">
        <v>-0.35970000000000002</v>
      </c>
      <c r="CF216" s="230">
        <v>4666500</v>
      </c>
      <c r="CG216" s="230">
        <v>2081700</v>
      </c>
      <c r="CH216" s="230">
        <v>2584800</v>
      </c>
      <c r="CI216" s="229">
        <v>1.2417</v>
      </c>
      <c r="CJ216" s="230">
        <v>107100</v>
      </c>
      <c r="CK216" s="230">
        <v>99000</v>
      </c>
      <c r="CL216" s="230">
        <v>8100</v>
      </c>
      <c r="CM216" s="229">
        <v>8.1799999999999998E-2</v>
      </c>
      <c r="CN216" s="230">
        <v>5937300</v>
      </c>
      <c r="CO216" s="230">
        <v>6110100</v>
      </c>
      <c r="CP216" s="230">
        <v>-172800</v>
      </c>
      <c r="CQ216" s="229">
        <v>-2.8299999999999999E-2</v>
      </c>
      <c r="CR216" s="230">
        <v>4216500</v>
      </c>
      <c r="CS216" s="230">
        <v>3921300</v>
      </c>
      <c r="CT216" s="230">
        <v>295200</v>
      </c>
      <c r="CU216" s="229">
        <v>7.5300000000000006E-2</v>
      </c>
      <c r="CV216" s="230">
        <v>21375000</v>
      </c>
      <c r="CW216" s="230">
        <v>22282200</v>
      </c>
      <c r="CX216" s="230">
        <v>-907200</v>
      </c>
      <c r="CY216" s="229">
        <v>-4.07E-2</v>
      </c>
      <c r="CZ216" s="228">
        <v>21.6</v>
      </c>
      <c r="DA216" s="228">
        <v>23.18</v>
      </c>
      <c r="DB216" s="228">
        <v>-1.58</v>
      </c>
      <c r="DC216" s="228">
        <v>-1.58</v>
      </c>
      <c r="DD216" s="228">
        <v>29.14</v>
      </c>
      <c r="DE216" s="228">
        <v>29.2</v>
      </c>
      <c r="DF216" s="228">
        <v>-7.54</v>
      </c>
      <c r="DG216" s="228">
        <v>-0.06</v>
      </c>
      <c r="DH216" s="228">
        <v>22.08</v>
      </c>
      <c r="DI216" s="228">
        <v>23.63</v>
      </c>
      <c r="DJ216" s="228">
        <v>-1.55</v>
      </c>
      <c r="DK216" s="228">
        <v>-1.55</v>
      </c>
      <c r="DL216" s="228">
        <v>20.93</v>
      </c>
      <c r="DM216" s="228">
        <v>21.9</v>
      </c>
      <c r="DN216" s="228">
        <v>-0.97</v>
      </c>
      <c r="DO216" s="228">
        <v>-0.97</v>
      </c>
      <c r="DP216" s="228">
        <v>0.71</v>
      </c>
      <c r="DQ216" s="228">
        <v>0.64</v>
      </c>
      <c r="DR216" s="228">
        <v>7.0000000000000007E-2</v>
      </c>
      <c r="DS216" s="229">
        <v>0.1094</v>
      </c>
      <c r="DT216" s="231">
        <v>1000</v>
      </c>
      <c r="DU216" s="228">
        <v>930</v>
      </c>
      <c r="DV216" s="228">
        <v>0.52</v>
      </c>
      <c r="DW216" s="228">
        <v>0.34</v>
      </c>
      <c r="DX216" s="228">
        <v>0.18</v>
      </c>
      <c r="DY216" s="229">
        <v>0.52939999999999998</v>
      </c>
      <c r="DZ216" s="229">
        <v>0.4254</v>
      </c>
      <c r="EA216" s="230">
        <v>2180700</v>
      </c>
      <c r="EB216" s="229">
        <v>3.5999999999999999E-3</v>
      </c>
      <c r="EC216" s="229">
        <v>0.4254</v>
      </c>
      <c r="ED216" s="228">
        <v>4.22</v>
      </c>
      <c r="EE216" s="229">
        <v>4.4999999999999997E-3</v>
      </c>
      <c r="EF216" s="230">
        <v>513653</v>
      </c>
      <c r="EG216" s="230">
        <v>413691</v>
      </c>
      <c r="EH216" s="229">
        <v>0.24160000000000001</v>
      </c>
      <c r="EI216" s="229">
        <v>0.66720000000000002</v>
      </c>
      <c r="EJ216" s="231">
        <v>47904.55</v>
      </c>
      <c r="EK216" s="231">
        <v>24111.7</v>
      </c>
      <c r="EL216" s="231">
        <v>89110.69</v>
      </c>
      <c r="EM216" s="231">
        <v>2343</v>
      </c>
      <c r="EN216" s="231">
        <v>161126.94</v>
      </c>
      <c r="EO216" s="231">
        <v>75406.740000000005</v>
      </c>
      <c r="EP216" s="231">
        <v>85720.2</v>
      </c>
      <c r="EQ216" s="229">
        <v>1.1368</v>
      </c>
      <c r="ER216" s="231">
        <v>58960</v>
      </c>
      <c r="ES216" s="231">
        <v>39465</v>
      </c>
      <c r="ET216" s="231">
        <v>104243</v>
      </c>
      <c r="EU216" s="231">
        <v>32617803</v>
      </c>
      <c r="EV216" s="231">
        <v>202668</v>
      </c>
      <c r="EW216" s="231">
        <v>211964</v>
      </c>
      <c r="EX216" s="231">
        <v>-9296</v>
      </c>
      <c r="EY216" s="229">
        <v>-4.3900000000000002E-2</v>
      </c>
      <c r="EZ216" s="229">
        <v>0.65529999999999999</v>
      </c>
      <c r="FA216" s="227" t="s">
        <v>568</v>
      </c>
      <c r="FB216" s="161">
        <f t="shared" si="5"/>
        <v>0</v>
      </c>
    </row>
    <row r="217" spans="1:158" x14ac:dyDescent="0.25">
      <c r="FB217" s="161">
        <f t="shared" si="5"/>
        <v>0</v>
      </c>
    </row>
    <row r="218" spans="1:158" x14ac:dyDescent="0.25">
      <c r="FB218" s="161">
        <f t="shared" si="5"/>
        <v>0</v>
      </c>
    </row>
    <row r="219" spans="1:158" x14ac:dyDescent="0.25">
      <c r="FB219" s="161">
        <f t="shared" si="5"/>
        <v>0</v>
      </c>
    </row>
    <row r="220" spans="1:158" x14ac:dyDescent="0.25">
      <c r="FB220" s="161">
        <f t="shared" si="5"/>
        <v>0</v>
      </c>
    </row>
    <row r="221" spans="1:158" x14ac:dyDescent="0.25">
      <c r="FB221" s="161">
        <f t="shared" si="5"/>
        <v>0</v>
      </c>
    </row>
    <row r="222" spans="1:158" x14ac:dyDescent="0.25">
      <c r="FB222" s="161">
        <f t="shared" si="5"/>
        <v>0</v>
      </c>
    </row>
    <row r="223" spans="1:158" x14ac:dyDescent="0.25">
      <c r="FB223" s="161">
        <f t="shared" si="5"/>
        <v>0</v>
      </c>
    </row>
    <row r="224" spans="1:158" x14ac:dyDescent="0.25">
      <c r="FB224" s="161">
        <f t="shared" si="5"/>
        <v>0</v>
      </c>
    </row>
    <row r="225" spans="158:158" x14ac:dyDescent="0.25">
      <c r="FB225" s="161">
        <f t="shared" si="5"/>
        <v>0</v>
      </c>
    </row>
    <row r="226" spans="158:158" x14ac:dyDescent="0.25">
      <c r="FB226" s="161">
        <f t="shared" si="5"/>
        <v>0</v>
      </c>
    </row>
    <row r="227" spans="158:158" x14ac:dyDescent="0.25">
      <c r="FB227" s="161">
        <f t="shared" si="5"/>
        <v>0</v>
      </c>
    </row>
    <row r="228" spans="158:158" x14ac:dyDescent="0.25">
      <c r="FB228" s="161">
        <f t="shared" si="5"/>
        <v>0</v>
      </c>
    </row>
    <row r="229" spans="158:158" x14ac:dyDescent="0.25">
      <c r="FB229" s="161">
        <f t="shared" si="5"/>
        <v>0</v>
      </c>
    </row>
    <row r="230" spans="158:158" x14ac:dyDescent="0.25">
      <c r="FB230" s="161">
        <f t="shared" si="5"/>
        <v>0</v>
      </c>
    </row>
    <row r="231" spans="158:158" x14ac:dyDescent="0.25">
      <c r="FB231" s="161">
        <f t="shared" si="5"/>
        <v>0</v>
      </c>
    </row>
    <row r="232" spans="158:158" x14ac:dyDescent="0.25">
      <c r="FB232" s="161">
        <f t="shared" si="5"/>
        <v>0</v>
      </c>
    </row>
    <row r="233" spans="158:158" x14ac:dyDescent="0.25">
      <c r="FB233" s="161">
        <f t="shared" si="5"/>
        <v>0</v>
      </c>
    </row>
    <row r="234" spans="158:158" x14ac:dyDescent="0.25">
      <c r="FB234" s="161">
        <f t="shared" si="5"/>
        <v>0</v>
      </c>
    </row>
    <row r="235" spans="158:158" x14ac:dyDescent="0.25">
      <c r="FB235" s="161">
        <f t="shared" si="5"/>
        <v>0</v>
      </c>
    </row>
    <row r="236" spans="158:158" x14ac:dyDescent="0.25">
      <c r="FB236" s="161">
        <f t="shared" si="5"/>
        <v>0</v>
      </c>
    </row>
    <row r="237" spans="158:158" x14ac:dyDescent="0.25">
      <c r="FB237" s="161">
        <f t="shared" si="5"/>
        <v>0</v>
      </c>
    </row>
    <row r="238" spans="158:158" x14ac:dyDescent="0.25">
      <c r="FB238" s="161">
        <f t="shared" si="5"/>
        <v>0</v>
      </c>
    </row>
    <row r="239" spans="158:158" x14ac:dyDescent="0.25">
      <c r="FB239" s="161">
        <f t="shared" si="5"/>
        <v>0</v>
      </c>
    </row>
    <row r="240" spans="158:158" x14ac:dyDescent="0.25">
      <c r="FB240" s="161">
        <f t="shared" si="5"/>
        <v>0</v>
      </c>
    </row>
    <row r="241" spans="158:158" x14ac:dyDescent="0.25">
      <c r="FB241" s="161">
        <f t="shared" si="5"/>
        <v>0</v>
      </c>
    </row>
    <row r="242" spans="158:158" x14ac:dyDescent="0.25">
      <c r="FB242" s="161">
        <f t="shared" si="5"/>
        <v>0</v>
      </c>
    </row>
    <row r="243" spans="158:158" x14ac:dyDescent="0.25">
      <c r="FB243" s="161">
        <f t="shared" si="5"/>
        <v>0</v>
      </c>
    </row>
    <row r="244" spans="158:158" x14ac:dyDescent="0.25">
      <c r="FB244" s="161">
        <f t="shared" si="5"/>
        <v>0</v>
      </c>
    </row>
    <row r="245" spans="158:158" x14ac:dyDescent="0.25">
      <c r="FB245" s="161">
        <f t="shared" si="5"/>
        <v>0</v>
      </c>
    </row>
    <row r="246" spans="158:158" x14ac:dyDescent="0.25">
      <c r="FB246" s="161">
        <f t="shared" si="5"/>
        <v>0</v>
      </c>
    </row>
    <row r="247" spans="158:158" x14ac:dyDescent="0.25">
      <c r="FB247" s="161">
        <f t="shared" si="5"/>
        <v>0</v>
      </c>
    </row>
    <row r="248" spans="158:158" x14ac:dyDescent="0.25">
      <c r="FB248" s="161">
        <f t="shared" si="5"/>
        <v>0</v>
      </c>
    </row>
    <row r="249" spans="158:158" x14ac:dyDescent="0.25">
      <c r="FB249" s="161">
        <f t="shared" si="5"/>
        <v>0</v>
      </c>
    </row>
    <row r="250" spans="158:158" x14ac:dyDescent="0.25">
      <c r="FB250" s="161">
        <f t="shared" si="5"/>
        <v>0</v>
      </c>
    </row>
    <row r="251" spans="158:158" x14ac:dyDescent="0.25">
      <c r="FB251" s="161">
        <f t="shared" si="5"/>
        <v>0</v>
      </c>
    </row>
    <row r="252" spans="158:158" x14ac:dyDescent="0.25">
      <c r="FB252" s="161">
        <f t="shared" si="5"/>
        <v>0</v>
      </c>
    </row>
    <row r="253" spans="158:158" x14ac:dyDescent="0.25">
      <c r="FB253" s="161">
        <f t="shared" si="5"/>
        <v>0</v>
      </c>
    </row>
    <row r="254" spans="158:158" x14ac:dyDescent="0.25">
      <c r="FB254" s="161">
        <f t="shared" si="5"/>
        <v>0</v>
      </c>
    </row>
    <row r="255" spans="158:158" x14ac:dyDescent="0.25">
      <c r="FB255" s="161">
        <f t="shared" si="5"/>
        <v>0</v>
      </c>
    </row>
    <row r="256" spans="158:158" x14ac:dyDescent="0.25">
      <c r="FB256" s="161">
        <f t="shared" si="5"/>
        <v>0</v>
      </c>
    </row>
    <row r="257" spans="158:158" x14ac:dyDescent="0.25">
      <c r="FB257" s="161">
        <f t="shared" si="5"/>
        <v>0</v>
      </c>
    </row>
    <row r="258" spans="158:158" x14ac:dyDescent="0.25">
      <c r="FB258" s="161">
        <f t="shared" si="5"/>
        <v>0</v>
      </c>
    </row>
    <row r="259" spans="158:158" x14ac:dyDescent="0.25">
      <c r="FB259" s="161">
        <f t="shared" ref="FB259:FB322" si="6">BX326-CB326</f>
        <v>0</v>
      </c>
    </row>
    <row r="260" spans="158:158" x14ac:dyDescent="0.25">
      <c r="FB260" s="161">
        <f t="shared" si="6"/>
        <v>0</v>
      </c>
    </row>
    <row r="261" spans="158:158" x14ac:dyDescent="0.25">
      <c r="FB261" s="161">
        <f t="shared" si="6"/>
        <v>0</v>
      </c>
    </row>
    <row r="262" spans="158:158" x14ac:dyDescent="0.25">
      <c r="FB262" s="161">
        <f t="shared" si="6"/>
        <v>0</v>
      </c>
    </row>
    <row r="263" spans="158:158" x14ac:dyDescent="0.25">
      <c r="FB263" s="161">
        <f t="shared" si="6"/>
        <v>0</v>
      </c>
    </row>
    <row r="264" spans="158:158" x14ac:dyDescent="0.25">
      <c r="FB264" s="161">
        <f t="shared" si="6"/>
        <v>0</v>
      </c>
    </row>
    <row r="265" spans="158:158" x14ac:dyDescent="0.25">
      <c r="FB265" s="161">
        <f t="shared" si="6"/>
        <v>0</v>
      </c>
    </row>
    <row r="266" spans="158:158" x14ac:dyDescent="0.25">
      <c r="FB266" s="161">
        <f t="shared" si="6"/>
        <v>0</v>
      </c>
    </row>
    <row r="267" spans="158:158" x14ac:dyDescent="0.25">
      <c r="FB267" s="161">
        <f t="shared" si="6"/>
        <v>0</v>
      </c>
    </row>
    <row r="268" spans="158:158" x14ac:dyDescent="0.25">
      <c r="FB268" s="161">
        <f t="shared" si="6"/>
        <v>0</v>
      </c>
    </row>
    <row r="269" spans="158:158" x14ac:dyDescent="0.25">
      <c r="FB269" s="161">
        <f t="shared" si="6"/>
        <v>0</v>
      </c>
    </row>
    <row r="270" spans="158:158" x14ac:dyDescent="0.25">
      <c r="FB270" s="161">
        <f t="shared" si="6"/>
        <v>0</v>
      </c>
    </row>
    <row r="271" spans="158:158" x14ac:dyDescent="0.25">
      <c r="FB271" s="161">
        <f t="shared" si="6"/>
        <v>0</v>
      </c>
    </row>
    <row r="272" spans="158:158" x14ac:dyDescent="0.25">
      <c r="FB272" s="161">
        <f t="shared" si="6"/>
        <v>0</v>
      </c>
    </row>
    <row r="273" spans="158:158" x14ac:dyDescent="0.25">
      <c r="FB273" s="161">
        <f t="shared" si="6"/>
        <v>0</v>
      </c>
    </row>
    <row r="274" spans="158:158" x14ac:dyDescent="0.25">
      <c r="FB274" s="161">
        <f t="shared" si="6"/>
        <v>0</v>
      </c>
    </row>
    <row r="275" spans="158:158" x14ac:dyDescent="0.25">
      <c r="FB275" s="161">
        <f t="shared" si="6"/>
        <v>0</v>
      </c>
    </row>
    <row r="276" spans="158:158" x14ac:dyDescent="0.25">
      <c r="FB276" s="161">
        <f t="shared" si="6"/>
        <v>0</v>
      </c>
    </row>
    <row r="277" spans="158:158" x14ac:dyDescent="0.25">
      <c r="FB277" s="161">
        <f t="shared" si="6"/>
        <v>0</v>
      </c>
    </row>
    <row r="278" spans="158:158" x14ac:dyDescent="0.25">
      <c r="FB278" s="161">
        <f t="shared" si="6"/>
        <v>0</v>
      </c>
    </row>
    <row r="279" spans="158:158" x14ac:dyDescent="0.25">
      <c r="FB279" s="161">
        <f t="shared" si="6"/>
        <v>0</v>
      </c>
    </row>
    <row r="280" spans="158:158" x14ac:dyDescent="0.25">
      <c r="FB280" s="161">
        <f t="shared" si="6"/>
        <v>0</v>
      </c>
    </row>
    <row r="281" spans="158:158" x14ac:dyDescent="0.25">
      <c r="FB281" s="161">
        <f t="shared" si="6"/>
        <v>0</v>
      </c>
    </row>
    <row r="282" spans="158:158" x14ac:dyDescent="0.25">
      <c r="FB282" s="161">
        <f t="shared" si="6"/>
        <v>0</v>
      </c>
    </row>
    <row r="283" spans="158:158" x14ac:dyDescent="0.25">
      <c r="FB283" s="161">
        <f t="shared" si="6"/>
        <v>0</v>
      </c>
    </row>
    <row r="284" spans="158:158" x14ac:dyDescent="0.25">
      <c r="FB284" s="161">
        <f t="shared" si="6"/>
        <v>0</v>
      </c>
    </row>
    <row r="285" spans="158:158" x14ac:dyDescent="0.25">
      <c r="FB285" s="161">
        <f t="shared" si="6"/>
        <v>0</v>
      </c>
    </row>
    <row r="286" spans="158:158" x14ac:dyDescent="0.25">
      <c r="FB286" s="161">
        <f t="shared" si="6"/>
        <v>0</v>
      </c>
    </row>
    <row r="287" spans="158:158" x14ac:dyDescent="0.25">
      <c r="FB287" s="161">
        <f t="shared" si="6"/>
        <v>0</v>
      </c>
    </row>
    <row r="288" spans="158:158" x14ac:dyDescent="0.25">
      <c r="FB288" s="161">
        <f t="shared" si="6"/>
        <v>0</v>
      </c>
    </row>
    <row r="289" spans="158:158" x14ac:dyDescent="0.25">
      <c r="FB289" s="161">
        <f t="shared" si="6"/>
        <v>0</v>
      </c>
    </row>
    <row r="290" spans="158:158" x14ac:dyDescent="0.25">
      <c r="FB290" s="161">
        <f t="shared" si="6"/>
        <v>0</v>
      </c>
    </row>
    <row r="291" spans="158:158" x14ac:dyDescent="0.25">
      <c r="FB291" s="161">
        <f t="shared" si="6"/>
        <v>0</v>
      </c>
    </row>
    <row r="292" spans="158:158" x14ac:dyDescent="0.25">
      <c r="FB292" s="161">
        <f t="shared" si="6"/>
        <v>0</v>
      </c>
    </row>
    <row r="293" spans="158:158" x14ac:dyDescent="0.25">
      <c r="FB293" s="161">
        <f t="shared" si="6"/>
        <v>0</v>
      </c>
    </row>
    <row r="294" spans="158:158" x14ac:dyDescent="0.25">
      <c r="FB294" s="161">
        <f t="shared" si="6"/>
        <v>0</v>
      </c>
    </row>
    <row r="295" spans="158:158" x14ac:dyDescent="0.25">
      <c r="FB295" s="161">
        <f t="shared" si="6"/>
        <v>0</v>
      </c>
    </row>
    <row r="296" spans="158:158" x14ac:dyDescent="0.25">
      <c r="FB296" s="161">
        <f t="shared" si="6"/>
        <v>0</v>
      </c>
    </row>
    <row r="297" spans="158:158" x14ac:dyDescent="0.25">
      <c r="FB297" s="161">
        <f t="shared" si="6"/>
        <v>0</v>
      </c>
    </row>
    <row r="298" spans="158:158" x14ac:dyDescent="0.25">
      <c r="FB298" s="161">
        <f t="shared" si="6"/>
        <v>0</v>
      </c>
    </row>
    <row r="299" spans="158:158" x14ac:dyDescent="0.25">
      <c r="FB299" s="161">
        <f t="shared" si="6"/>
        <v>0</v>
      </c>
    </row>
    <row r="300" spans="158:158" x14ac:dyDescent="0.25">
      <c r="FB300" s="161">
        <f t="shared" si="6"/>
        <v>0</v>
      </c>
    </row>
    <row r="301" spans="158:158" x14ac:dyDescent="0.25">
      <c r="FB301" s="161">
        <f t="shared" si="6"/>
        <v>0</v>
      </c>
    </row>
    <row r="302" spans="158:158" x14ac:dyDescent="0.25">
      <c r="FB302" s="161">
        <f t="shared" si="6"/>
        <v>0</v>
      </c>
    </row>
    <row r="303" spans="158:158" x14ac:dyDescent="0.25">
      <c r="FB303" s="161">
        <f t="shared" si="6"/>
        <v>0</v>
      </c>
    </row>
    <row r="304" spans="158:158" x14ac:dyDescent="0.25">
      <c r="FB304" s="161">
        <f t="shared" si="6"/>
        <v>0</v>
      </c>
    </row>
    <row r="305" spans="158:158" x14ac:dyDescent="0.25">
      <c r="FB305" s="161">
        <f t="shared" si="6"/>
        <v>0</v>
      </c>
    </row>
    <row r="306" spans="158:158" x14ac:dyDescent="0.25">
      <c r="FB306" s="161">
        <f t="shared" si="6"/>
        <v>0</v>
      </c>
    </row>
    <row r="307" spans="158:158" x14ac:dyDescent="0.25">
      <c r="FB307" s="161">
        <f t="shared" si="6"/>
        <v>0</v>
      </c>
    </row>
    <row r="308" spans="158:158" x14ac:dyDescent="0.25">
      <c r="FB308" s="161">
        <f t="shared" si="6"/>
        <v>0</v>
      </c>
    </row>
    <row r="309" spans="158:158" x14ac:dyDescent="0.25">
      <c r="FB309" s="161">
        <f t="shared" si="6"/>
        <v>0</v>
      </c>
    </row>
    <row r="310" spans="158:158" x14ac:dyDescent="0.25">
      <c r="FB310" s="161">
        <f t="shared" si="6"/>
        <v>0</v>
      </c>
    </row>
    <row r="311" spans="158:158" x14ac:dyDescent="0.25">
      <c r="FB311" s="161">
        <f t="shared" si="6"/>
        <v>0</v>
      </c>
    </row>
    <row r="312" spans="158:158" x14ac:dyDescent="0.25">
      <c r="FB312" s="161">
        <f t="shared" si="6"/>
        <v>0</v>
      </c>
    </row>
    <row r="313" spans="158:158" x14ac:dyDescent="0.25">
      <c r="FB313" s="161">
        <f t="shared" si="6"/>
        <v>0</v>
      </c>
    </row>
    <row r="314" spans="158:158" x14ac:dyDescent="0.25">
      <c r="FB314" s="161">
        <f t="shared" si="6"/>
        <v>0</v>
      </c>
    </row>
    <row r="315" spans="158:158" x14ac:dyDescent="0.25">
      <c r="FB315" s="161">
        <f t="shared" si="6"/>
        <v>0</v>
      </c>
    </row>
    <row r="316" spans="158:158" x14ac:dyDescent="0.25">
      <c r="FB316" s="161">
        <f t="shared" si="6"/>
        <v>0</v>
      </c>
    </row>
    <row r="317" spans="158:158" x14ac:dyDescent="0.25">
      <c r="FB317" s="161">
        <f t="shared" si="6"/>
        <v>0</v>
      </c>
    </row>
    <row r="318" spans="158:158" x14ac:dyDescent="0.25">
      <c r="FB318" s="161">
        <f t="shared" si="6"/>
        <v>0</v>
      </c>
    </row>
    <row r="319" spans="158:158" x14ac:dyDescent="0.25">
      <c r="FB319" s="161">
        <f t="shared" si="6"/>
        <v>0</v>
      </c>
    </row>
    <row r="320" spans="158:158" x14ac:dyDescent="0.25">
      <c r="FB320" s="161">
        <f t="shared" si="6"/>
        <v>0</v>
      </c>
    </row>
    <row r="321" spans="158:158" x14ac:dyDescent="0.25">
      <c r="FB321" s="161">
        <f t="shared" si="6"/>
        <v>0</v>
      </c>
    </row>
    <row r="322" spans="158:158" x14ac:dyDescent="0.25">
      <c r="FB322" s="161">
        <f t="shared" si="6"/>
        <v>0</v>
      </c>
    </row>
  </sheetData>
  <pageMargins left="0.7" right="0.7" top="0.75" bottom="0.75" header="0.3" footer="0.3"/>
  <pageSetup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Y51"/>
  <sheetViews>
    <sheetView topLeftCell="EJ1" zoomScale="87" zoomScaleNormal="87" workbookViewId="0">
      <selection activeCell="EQ11" sqref="EQ11"/>
    </sheetView>
  </sheetViews>
  <sheetFormatPr defaultRowHeight="15" x14ac:dyDescent="0.25"/>
  <cols>
    <col min="1" max="1" width="12.5703125" bestFit="1" customWidth="1"/>
    <col min="2" max="2" width="16.42578125" bestFit="1" customWidth="1"/>
    <col min="3" max="3" width="16.7109375" bestFit="1" customWidth="1"/>
    <col min="4" max="4" width="14.140625" bestFit="1" customWidth="1"/>
    <col min="5" max="5" width="20" bestFit="1" customWidth="1"/>
    <col min="6" max="6" width="18.85546875" bestFit="1" customWidth="1"/>
    <col min="7" max="7" width="16.7109375" bestFit="1" customWidth="1"/>
    <col min="8" max="8" width="11.42578125" bestFit="1" customWidth="1"/>
    <col min="9" max="9" width="11.5703125" bestFit="1" customWidth="1"/>
    <col min="10" max="10" width="10.5703125" bestFit="1" customWidth="1"/>
    <col min="11" max="11" width="9" bestFit="1" customWidth="1"/>
    <col min="12" max="12" width="19.85546875" bestFit="1" customWidth="1"/>
    <col min="13" max="13" width="19.140625" bestFit="1" customWidth="1"/>
    <col min="14" max="14" width="18.28515625" bestFit="1" customWidth="1"/>
    <col min="15" max="15" width="16.140625" bestFit="1" customWidth="1"/>
    <col min="16" max="16" width="19.7109375" bestFit="1" customWidth="1"/>
    <col min="17" max="17" width="19.140625" bestFit="1" customWidth="1"/>
    <col min="18" max="18" width="18.28515625" bestFit="1" customWidth="1"/>
    <col min="19" max="19" width="16.140625" bestFit="1" customWidth="1"/>
    <col min="20" max="20" width="17.85546875" bestFit="1" customWidth="1"/>
    <col min="21" max="21" width="17.42578125" bestFit="1" customWidth="1"/>
    <col min="22" max="22" width="16.28515625" bestFit="1" customWidth="1"/>
    <col min="23" max="23" width="14.28515625" bestFit="1" customWidth="1"/>
    <col min="24" max="24" width="7.85546875" bestFit="1" customWidth="1"/>
    <col min="25" max="25" width="12.28515625" bestFit="1" customWidth="1"/>
    <col min="26" max="26" width="11.28515625" bestFit="1" customWidth="1"/>
    <col min="27" max="27" width="9.28515625" bestFit="1" customWidth="1"/>
    <col min="28" max="28" width="10.42578125" bestFit="1" customWidth="1"/>
    <col min="29" max="29" width="16.42578125" bestFit="1" customWidth="1"/>
    <col min="30" max="30" width="15.28515625" bestFit="1" customWidth="1"/>
    <col min="31" max="31" width="13.140625" bestFit="1" customWidth="1"/>
    <col min="32" max="32" width="10.42578125" bestFit="1" customWidth="1"/>
    <col min="33" max="33" width="16.28515625" bestFit="1" customWidth="1"/>
    <col min="34" max="34" width="15.140625" bestFit="1" customWidth="1"/>
    <col min="35" max="35" width="13" bestFit="1" customWidth="1"/>
    <col min="36" max="36" width="8.7109375" bestFit="1" customWidth="1"/>
    <col min="37" max="37" width="14.42578125" bestFit="1" customWidth="1"/>
    <col min="38" max="38" width="13.28515625" bestFit="1" customWidth="1"/>
    <col min="39" max="39" width="11.28515625" bestFit="1" customWidth="1"/>
    <col min="40" max="40" width="11.42578125" bestFit="1" customWidth="1"/>
    <col min="41" max="41" width="12.5703125" bestFit="1" customWidth="1"/>
    <col min="42" max="42" width="12.42578125" bestFit="1" customWidth="1"/>
    <col min="43" max="43" width="17" bestFit="1" customWidth="1"/>
    <col min="44" max="44" width="22.7109375" bestFit="1" customWidth="1"/>
    <col min="45" max="45" width="21.85546875" bestFit="1" customWidth="1"/>
    <col min="46" max="46" width="19.7109375" bestFit="1" customWidth="1"/>
    <col min="47" max="47" width="15.140625" bestFit="1" customWidth="1"/>
    <col min="48" max="48" width="21" bestFit="1" customWidth="1"/>
    <col min="49" max="49" width="19.85546875" bestFit="1" customWidth="1"/>
    <col min="50" max="50" width="17.85546875" bestFit="1" customWidth="1"/>
    <col min="51" max="51" width="15.140625" bestFit="1" customWidth="1"/>
    <col min="52" max="52" width="20.85546875" bestFit="1" customWidth="1"/>
    <col min="53" max="53" width="19.85546875" bestFit="1" customWidth="1"/>
    <col min="54" max="54" width="17.85546875" bestFit="1" customWidth="1"/>
    <col min="55" max="55" width="13.140625" bestFit="1" customWidth="1"/>
    <col min="56" max="56" width="19" bestFit="1" customWidth="1"/>
    <col min="57" max="57" width="18" bestFit="1" customWidth="1"/>
    <col min="58" max="58" width="15.85546875" bestFit="1" customWidth="1"/>
    <col min="59" max="59" width="14.140625" bestFit="1" customWidth="1"/>
    <col min="60" max="60" width="19.85546875" bestFit="1" customWidth="1"/>
    <col min="61" max="61" width="18.85546875" bestFit="1" customWidth="1"/>
    <col min="62" max="62" width="16.7109375" bestFit="1" customWidth="1"/>
    <col min="63" max="63" width="14" bestFit="1" customWidth="1"/>
    <col min="64" max="64" width="19.5703125" bestFit="1" customWidth="1"/>
    <col min="65" max="65" width="18.7109375" bestFit="1" customWidth="1"/>
    <col min="66" max="66" width="16.5703125" bestFit="1" customWidth="1"/>
    <col min="67" max="67" width="15.42578125" bestFit="1" customWidth="1"/>
    <col min="68" max="68" width="21.140625" bestFit="1" customWidth="1"/>
    <col min="69" max="69" width="20.140625" bestFit="1" customWidth="1"/>
    <col min="70" max="70" width="18.140625" bestFit="1" customWidth="1"/>
    <col min="71" max="71" width="15" bestFit="1" customWidth="1"/>
    <col min="72" max="72" width="20.85546875" bestFit="1" customWidth="1"/>
    <col min="73" max="73" width="19.7109375" bestFit="1" customWidth="1"/>
    <col min="74" max="74" width="17.7109375" bestFit="1" customWidth="1"/>
    <col min="75" max="75" width="14.28515625" bestFit="1" customWidth="1"/>
    <col min="76" max="76" width="16.42578125" bestFit="1" customWidth="1"/>
    <col min="77" max="77" width="15.42578125" bestFit="1" customWidth="1"/>
    <col min="78" max="78" width="13.42578125" bestFit="1" customWidth="1"/>
    <col min="79" max="79" width="14.28515625" bestFit="1" customWidth="1"/>
    <col min="80" max="80" width="14.5703125" bestFit="1" customWidth="1"/>
    <col min="81" max="81" width="14" bestFit="1" customWidth="1"/>
    <col min="82" max="82" width="11.42578125" bestFit="1" customWidth="1"/>
    <col min="83" max="83" width="14.28515625" bestFit="1" customWidth="1"/>
    <col min="84" max="84" width="14.42578125" bestFit="1" customWidth="1"/>
    <col min="85" max="85" width="13.5703125" bestFit="1" customWidth="1"/>
    <col min="86" max="87" width="11.42578125" bestFit="1" customWidth="1"/>
    <col min="88" max="88" width="12.85546875" bestFit="1" customWidth="1"/>
    <col min="89" max="89" width="11.5703125" bestFit="1" customWidth="1"/>
    <col min="90" max="90" width="9.7109375" bestFit="1" customWidth="1"/>
    <col min="91" max="92" width="14.28515625" bestFit="1" customWidth="1"/>
    <col min="93" max="93" width="14" bestFit="1" customWidth="1"/>
    <col min="94" max="94" width="10.42578125" bestFit="1" customWidth="1"/>
    <col min="95" max="96" width="14.28515625" bestFit="1" customWidth="1"/>
    <col min="97" max="97" width="12.28515625" bestFit="1" customWidth="1"/>
    <col min="98" max="98" width="10.28515625" bestFit="1" customWidth="1"/>
    <col min="99" max="99" width="14.28515625" bestFit="1" customWidth="1"/>
    <col min="100" max="100" width="14.7109375" bestFit="1" customWidth="1"/>
    <col min="101" max="101" width="14" bestFit="1" customWidth="1"/>
    <col min="102" max="102" width="11.7109375" bestFit="1" customWidth="1"/>
    <col min="103" max="103" width="8.140625" bestFit="1" customWidth="1"/>
    <col min="104" max="104" width="8.85546875" bestFit="1" customWidth="1"/>
    <col min="105" max="106" width="7.85546875" bestFit="1" customWidth="1"/>
    <col min="107" max="107" width="8.140625" bestFit="1" customWidth="1"/>
    <col min="108" max="108" width="9.5703125" bestFit="1" customWidth="1"/>
    <col min="109" max="109" width="11.85546875" bestFit="1" customWidth="1"/>
    <col min="110" max="110" width="7.85546875" bestFit="1" customWidth="1"/>
    <col min="111" max="111" width="8.140625" bestFit="1" customWidth="1"/>
    <col min="112" max="112" width="13.28515625" bestFit="1" customWidth="1"/>
    <col min="113" max="113" width="12.28515625" bestFit="1" customWidth="1"/>
    <col min="114" max="114" width="10.28515625" bestFit="1" customWidth="1"/>
    <col min="115" max="115" width="8.140625" bestFit="1" customWidth="1"/>
    <col min="116" max="116" width="13.140625" bestFit="1" customWidth="1"/>
    <col min="117" max="117" width="12.140625" bestFit="1" customWidth="1"/>
    <col min="118" max="118" width="10.140625" bestFit="1" customWidth="1"/>
    <col min="119" max="119" width="7.5703125" bestFit="1" customWidth="1"/>
    <col min="120" max="120" width="13.28515625" bestFit="1" customWidth="1"/>
    <col min="121" max="121" width="12.140625" bestFit="1" customWidth="1"/>
    <col min="122" max="122" width="10.140625" bestFit="1" customWidth="1"/>
    <col min="123" max="124" width="11.42578125" bestFit="1" customWidth="1"/>
    <col min="125" max="125" width="8.85546875" bestFit="1" customWidth="1"/>
    <col min="126" max="126" width="14.5703125" bestFit="1" customWidth="1"/>
    <col min="127" max="127" width="13.42578125" bestFit="1" customWidth="1"/>
    <col min="128" max="128" width="11.42578125" bestFit="1" customWidth="1"/>
    <col min="129" max="129" width="10" bestFit="1" customWidth="1"/>
    <col min="130" max="130" width="15.85546875" bestFit="1" customWidth="1"/>
    <col min="131" max="131" width="15.28515625" bestFit="1" customWidth="1"/>
    <col min="132" max="132" width="12.5703125" bestFit="1" customWidth="1"/>
    <col min="133" max="133" width="11.42578125" bestFit="1" customWidth="1"/>
    <col min="134" max="134" width="13.5703125" bestFit="1" customWidth="1"/>
    <col min="135" max="135" width="13.140625" bestFit="1" customWidth="1"/>
    <col min="136" max="136" width="16" bestFit="1" customWidth="1"/>
    <col min="137" max="137" width="11.28515625" bestFit="1" customWidth="1"/>
    <col min="138" max="138" width="12.85546875" bestFit="1" customWidth="1"/>
    <col min="139" max="139" width="20.85546875" bestFit="1" customWidth="1"/>
    <col min="140" max="140" width="20.7109375" bestFit="1" customWidth="1"/>
    <col min="141" max="141" width="23.85546875" bestFit="1" customWidth="1"/>
    <col min="142" max="142" width="15" bestFit="1" customWidth="1"/>
    <col min="143" max="143" width="22.28515625" bestFit="1" customWidth="1"/>
    <col min="144" max="144" width="22" bestFit="1" customWidth="1"/>
    <col min="145" max="145" width="21" bestFit="1" customWidth="1"/>
    <col min="146" max="146" width="19" bestFit="1" customWidth="1"/>
    <col min="147" max="147" width="14.5703125" bestFit="1" customWidth="1"/>
    <col min="148" max="148" width="14.42578125" bestFit="1" customWidth="1"/>
    <col min="149" max="149" width="17.5703125" bestFit="1" customWidth="1"/>
    <col min="150" max="150" width="18.85546875" bestFit="1" customWidth="1"/>
    <col min="151" max="151" width="15.85546875" bestFit="1" customWidth="1"/>
    <col min="152" max="152" width="15.7109375" bestFit="1" customWidth="1"/>
    <col min="153" max="153" width="14.7109375" bestFit="1" customWidth="1"/>
    <col min="154" max="154" width="12.5703125" bestFit="1" customWidth="1"/>
    <col min="155" max="155" width="14.140625" bestFit="1" customWidth="1"/>
  </cols>
  <sheetData>
    <row r="1" spans="1:155" ht="18" thickBot="1" x14ac:dyDescent="0.3">
      <c r="A1" s="164" t="s">
        <v>0</v>
      </c>
      <c r="B1" s="164" t="s">
        <v>1</v>
      </c>
      <c r="C1" s="164" t="s">
        <v>2</v>
      </c>
      <c r="D1" s="164" t="s">
        <v>344</v>
      </c>
      <c r="E1" s="164" t="s">
        <v>345</v>
      </c>
      <c r="F1" s="164" t="s">
        <v>346</v>
      </c>
      <c r="G1" s="164" t="s">
        <v>347</v>
      </c>
      <c r="H1" s="164" t="s">
        <v>9</v>
      </c>
      <c r="I1" s="164" t="s">
        <v>10</v>
      </c>
      <c r="J1" s="164" t="s">
        <v>11</v>
      </c>
      <c r="K1" s="164" t="s">
        <v>12</v>
      </c>
      <c r="L1" s="164" t="s">
        <v>13</v>
      </c>
      <c r="M1" s="164" t="s">
        <v>14</v>
      </c>
      <c r="N1" s="164" t="s">
        <v>15</v>
      </c>
      <c r="O1" s="164" t="s">
        <v>16</v>
      </c>
      <c r="P1" s="164" t="s">
        <v>17</v>
      </c>
      <c r="Q1" s="164" t="s">
        <v>18</v>
      </c>
      <c r="R1" s="164" t="s">
        <v>19</v>
      </c>
      <c r="S1" s="164" t="s">
        <v>20</v>
      </c>
      <c r="T1" s="164" t="s">
        <v>21</v>
      </c>
      <c r="U1" s="164" t="s">
        <v>22</v>
      </c>
      <c r="V1" s="164" t="s">
        <v>23</v>
      </c>
      <c r="W1" s="164" t="s">
        <v>24</v>
      </c>
      <c r="X1" s="164" t="s">
        <v>25</v>
      </c>
      <c r="Y1" s="164" t="s">
        <v>26</v>
      </c>
      <c r="Z1" s="164" t="s">
        <v>27</v>
      </c>
      <c r="AA1" s="164" t="s">
        <v>28</v>
      </c>
      <c r="AB1" s="164" t="s">
        <v>29</v>
      </c>
      <c r="AC1" s="164" t="s">
        <v>30</v>
      </c>
      <c r="AD1" s="164" t="s">
        <v>31</v>
      </c>
      <c r="AE1" s="164" t="s">
        <v>32</v>
      </c>
      <c r="AF1" s="164" t="s">
        <v>33</v>
      </c>
      <c r="AG1" s="164" t="s">
        <v>34</v>
      </c>
      <c r="AH1" s="164" t="s">
        <v>35</v>
      </c>
      <c r="AI1" s="164" t="s">
        <v>36</v>
      </c>
      <c r="AJ1" s="164" t="s">
        <v>37</v>
      </c>
      <c r="AK1" s="164" t="s">
        <v>38</v>
      </c>
      <c r="AL1" s="164" t="s">
        <v>39</v>
      </c>
      <c r="AM1" s="164" t="s">
        <v>40</v>
      </c>
      <c r="AN1" s="164" t="s">
        <v>41</v>
      </c>
      <c r="AO1" s="164" t="s">
        <v>42</v>
      </c>
      <c r="AP1" s="164" t="s">
        <v>43</v>
      </c>
      <c r="AQ1" s="164" t="s">
        <v>348</v>
      </c>
      <c r="AR1" s="164" t="s">
        <v>349</v>
      </c>
      <c r="AS1" s="164" t="s">
        <v>350</v>
      </c>
      <c r="AT1" s="164" t="s">
        <v>351</v>
      </c>
      <c r="AU1" s="164" t="s">
        <v>48</v>
      </c>
      <c r="AV1" s="164" t="s">
        <v>49</v>
      </c>
      <c r="AW1" s="164" t="s">
        <v>50</v>
      </c>
      <c r="AX1" s="164" t="s">
        <v>51</v>
      </c>
      <c r="AY1" s="164" t="s">
        <v>52</v>
      </c>
      <c r="AZ1" s="164" t="s">
        <v>53</v>
      </c>
      <c r="BA1" s="164" t="s">
        <v>54</v>
      </c>
      <c r="BB1" s="164" t="s">
        <v>55</v>
      </c>
      <c r="BC1" s="164" t="s">
        <v>56</v>
      </c>
      <c r="BD1" s="164" t="s">
        <v>57</v>
      </c>
      <c r="BE1" s="164" t="s">
        <v>58</v>
      </c>
      <c r="BF1" s="164" t="s">
        <v>59</v>
      </c>
      <c r="BG1" s="164" t="s">
        <v>60</v>
      </c>
      <c r="BH1" s="164" t="s">
        <v>61</v>
      </c>
      <c r="BI1" s="164" t="s">
        <v>62</v>
      </c>
      <c r="BJ1" s="164" t="s">
        <v>63</v>
      </c>
      <c r="BK1" s="164" t="s">
        <v>64</v>
      </c>
      <c r="BL1" s="164" t="s">
        <v>65</v>
      </c>
      <c r="BM1" s="164" t="s">
        <v>66</v>
      </c>
      <c r="BN1" s="164" t="s">
        <v>67</v>
      </c>
      <c r="BO1" s="164" t="s">
        <v>68</v>
      </c>
      <c r="BP1" s="164" t="s">
        <v>69</v>
      </c>
      <c r="BQ1" s="164" t="s">
        <v>70</v>
      </c>
      <c r="BR1" s="164" t="s">
        <v>71</v>
      </c>
      <c r="BS1" s="164" t="s">
        <v>72</v>
      </c>
      <c r="BT1" s="164" t="s">
        <v>73</v>
      </c>
      <c r="BU1" s="164" t="s">
        <v>74</v>
      </c>
      <c r="BV1" s="164" t="s">
        <v>75</v>
      </c>
      <c r="BW1" s="164" t="s">
        <v>352</v>
      </c>
      <c r="BX1" s="164" t="s">
        <v>353</v>
      </c>
      <c r="BY1" s="164" t="s">
        <v>354</v>
      </c>
      <c r="BZ1" s="164" t="s">
        <v>355</v>
      </c>
      <c r="CA1" s="164" t="s">
        <v>80</v>
      </c>
      <c r="CB1" s="164" t="s">
        <v>81</v>
      </c>
      <c r="CC1" s="164" t="s">
        <v>82</v>
      </c>
      <c r="CD1" s="164" t="s">
        <v>83</v>
      </c>
      <c r="CE1" s="164" t="s">
        <v>84</v>
      </c>
      <c r="CF1" s="164" t="s">
        <v>85</v>
      </c>
      <c r="CG1" s="164" t="s">
        <v>86</v>
      </c>
      <c r="CH1" s="164" t="s">
        <v>87</v>
      </c>
      <c r="CI1" s="164" t="s">
        <v>88</v>
      </c>
      <c r="CJ1" s="164" t="s">
        <v>89</v>
      </c>
      <c r="CK1" s="164" t="s">
        <v>90</v>
      </c>
      <c r="CL1" s="164" t="s">
        <v>91</v>
      </c>
      <c r="CM1" s="164" t="s">
        <v>92</v>
      </c>
      <c r="CN1" s="164" t="s">
        <v>93</v>
      </c>
      <c r="CO1" s="164" t="s">
        <v>94</v>
      </c>
      <c r="CP1" s="164" t="s">
        <v>95</v>
      </c>
      <c r="CQ1" s="164" t="s">
        <v>96</v>
      </c>
      <c r="CR1" s="164" t="s">
        <v>97</v>
      </c>
      <c r="CS1" s="164" t="s">
        <v>98</v>
      </c>
      <c r="CT1" s="164" t="s">
        <v>99</v>
      </c>
      <c r="CU1" s="164" t="s">
        <v>100</v>
      </c>
      <c r="CV1" s="164" t="s">
        <v>101</v>
      </c>
      <c r="CW1" s="164" t="s">
        <v>102</v>
      </c>
      <c r="CX1" s="164" t="s">
        <v>103</v>
      </c>
      <c r="CY1" s="164" t="s">
        <v>104</v>
      </c>
      <c r="CZ1" s="164" t="s">
        <v>105</v>
      </c>
      <c r="DA1" s="164" t="s">
        <v>106</v>
      </c>
      <c r="DB1" s="164" t="s">
        <v>107</v>
      </c>
      <c r="DC1" s="164" t="s">
        <v>108</v>
      </c>
      <c r="DD1" s="164" t="s">
        <v>109</v>
      </c>
      <c r="DE1" s="164" t="s">
        <v>110</v>
      </c>
      <c r="DF1" s="164" t="s">
        <v>111</v>
      </c>
      <c r="DG1" s="164" t="s">
        <v>112</v>
      </c>
      <c r="DH1" s="164" t="s">
        <v>113</v>
      </c>
      <c r="DI1" s="164" t="s">
        <v>114</v>
      </c>
      <c r="DJ1" s="164" t="s">
        <v>115</v>
      </c>
      <c r="DK1" s="164" t="s">
        <v>116</v>
      </c>
      <c r="DL1" s="164" t="s">
        <v>117</v>
      </c>
      <c r="DM1" s="164" t="s">
        <v>118</v>
      </c>
      <c r="DN1" s="164" t="s">
        <v>119</v>
      </c>
      <c r="DO1" s="164" t="s">
        <v>120</v>
      </c>
      <c r="DP1" s="164" t="s">
        <v>121</v>
      </c>
      <c r="DQ1" s="164" t="s">
        <v>122</v>
      </c>
      <c r="DR1" s="164" t="s">
        <v>123</v>
      </c>
      <c r="DS1" s="164" t="s">
        <v>124</v>
      </c>
      <c r="DT1" s="164" t="s">
        <v>125</v>
      </c>
      <c r="DU1" s="164" t="s">
        <v>126</v>
      </c>
      <c r="DV1" s="164" t="s">
        <v>127</v>
      </c>
      <c r="DW1" s="164" t="s">
        <v>128</v>
      </c>
      <c r="DX1" s="164" t="s">
        <v>129</v>
      </c>
      <c r="DY1" s="164" t="s">
        <v>130</v>
      </c>
      <c r="DZ1" s="164" t="s">
        <v>131</v>
      </c>
      <c r="EA1" s="164" t="s">
        <v>132</v>
      </c>
      <c r="EB1" s="164" t="s">
        <v>133</v>
      </c>
      <c r="EC1" s="164" t="s">
        <v>134</v>
      </c>
      <c r="ED1" s="164" t="s">
        <v>135</v>
      </c>
      <c r="EE1" s="164" t="s">
        <v>136</v>
      </c>
      <c r="EF1" s="164" t="s">
        <v>137</v>
      </c>
      <c r="EG1" s="164" t="s">
        <v>138</v>
      </c>
      <c r="EH1" s="164" t="s">
        <v>139</v>
      </c>
      <c r="EI1" s="164" t="s">
        <v>140</v>
      </c>
      <c r="EJ1" s="164" t="s">
        <v>141</v>
      </c>
      <c r="EK1" s="164" t="s">
        <v>142</v>
      </c>
      <c r="EL1" s="164" t="s">
        <v>72</v>
      </c>
      <c r="EM1" s="164" t="s">
        <v>143</v>
      </c>
      <c r="EN1" s="164" t="s">
        <v>144</v>
      </c>
      <c r="EO1" s="164" t="s">
        <v>145</v>
      </c>
      <c r="EP1" s="164" t="s">
        <v>146</v>
      </c>
      <c r="EQ1" s="164" t="s">
        <v>147</v>
      </c>
      <c r="ER1" s="164" t="s">
        <v>148</v>
      </c>
      <c r="ES1" s="164" t="s">
        <v>149</v>
      </c>
      <c r="ET1" s="164" t="s">
        <v>150</v>
      </c>
      <c r="EU1" s="164" t="s">
        <v>151</v>
      </c>
      <c r="EV1" s="164" t="s">
        <v>152</v>
      </c>
      <c r="EW1" s="164" t="s">
        <v>153</v>
      </c>
      <c r="EX1" s="164" t="s">
        <v>154</v>
      </c>
      <c r="EY1" s="164" t="s">
        <v>155</v>
      </c>
    </row>
    <row r="2" spans="1:155" ht="17.25" thickBot="1" x14ac:dyDescent="0.3">
      <c r="A2" s="226">
        <v>45981</v>
      </c>
      <c r="B2" s="227" t="s">
        <v>215</v>
      </c>
      <c r="C2" s="227" t="s">
        <v>159</v>
      </c>
      <c r="D2" s="231">
        <v>2450.9</v>
      </c>
      <c r="E2" s="231">
        <v>2438.1999999999998</v>
      </c>
      <c r="F2" s="228">
        <v>12.7</v>
      </c>
      <c r="G2" s="229">
        <v>5.1999999999999998E-3</v>
      </c>
      <c r="H2" s="231">
        <v>2446.1</v>
      </c>
      <c r="I2" s="231">
        <v>2433.1</v>
      </c>
      <c r="J2" s="228">
        <v>13</v>
      </c>
      <c r="K2" s="229">
        <v>5.3E-3</v>
      </c>
      <c r="L2" s="231">
        <v>2450.9</v>
      </c>
      <c r="M2" s="231">
        <v>2438.1999999999998</v>
      </c>
      <c r="N2" s="228">
        <v>12.7</v>
      </c>
      <c r="O2" s="229">
        <v>5.1999999999999998E-3</v>
      </c>
      <c r="P2" s="231">
        <v>2466</v>
      </c>
      <c r="Q2" s="231">
        <v>2453.5</v>
      </c>
      <c r="R2" s="228">
        <v>12.5</v>
      </c>
      <c r="S2" s="229">
        <v>5.1000000000000004E-3</v>
      </c>
      <c r="T2" s="231">
        <v>2480.6999999999998</v>
      </c>
      <c r="U2" s="231">
        <v>2468.4</v>
      </c>
      <c r="V2" s="228">
        <v>12.3</v>
      </c>
      <c r="W2" s="229">
        <v>5.0000000000000001E-3</v>
      </c>
      <c r="X2" s="228">
        <v>4.8</v>
      </c>
      <c r="Y2" s="228">
        <v>5.0999999999999996</v>
      </c>
      <c r="Z2" s="228">
        <v>-0.3</v>
      </c>
      <c r="AA2" s="229">
        <v>2E-3</v>
      </c>
      <c r="AB2" s="228">
        <v>4.8</v>
      </c>
      <c r="AC2" s="228">
        <v>5.0999999999999996</v>
      </c>
      <c r="AD2" s="228">
        <v>-0.3</v>
      </c>
      <c r="AE2" s="229">
        <v>2E-3</v>
      </c>
      <c r="AF2" s="228">
        <v>19.899999999999999</v>
      </c>
      <c r="AG2" s="228">
        <v>20.399999999999999</v>
      </c>
      <c r="AH2" s="228">
        <v>-0.5</v>
      </c>
      <c r="AI2" s="229">
        <v>8.0999999999999996E-3</v>
      </c>
      <c r="AJ2" s="228">
        <v>34.6</v>
      </c>
      <c r="AK2" s="228">
        <v>35.299999999999997</v>
      </c>
      <c r="AL2" s="228">
        <v>-0.7</v>
      </c>
      <c r="AM2" s="229">
        <v>1.41E-2</v>
      </c>
      <c r="AN2" s="231">
        <v>2458.21</v>
      </c>
      <c r="AO2" s="231">
        <v>2471.5700000000002</v>
      </c>
      <c r="AP2" s="228">
        <v>0</v>
      </c>
      <c r="AQ2" s="230">
        <v>22735</v>
      </c>
      <c r="AR2" s="230">
        <v>7734</v>
      </c>
      <c r="AS2" s="230">
        <v>15001</v>
      </c>
      <c r="AT2" s="229">
        <v>1.9396</v>
      </c>
      <c r="AU2" s="230">
        <v>12219</v>
      </c>
      <c r="AV2" s="230">
        <v>5339</v>
      </c>
      <c r="AW2" s="230">
        <v>6880</v>
      </c>
      <c r="AX2" s="229">
        <v>1.2886</v>
      </c>
      <c r="AY2" s="230">
        <v>10381</v>
      </c>
      <c r="AZ2" s="230">
        <v>2340</v>
      </c>
      <c r="BA2" s="230">
        <v>8041</v>
      </c>
      <c r="BB2" s="229">
        <v>3.4363000000000001</v>
      </c>
      <c r="BC2" s="228">
        <v>135</v>
      </c>
      <c r="BD2" s="228">
        <v>55</v>
      </c>
      <c r="BE2" s="228">
        <v>80</v>
      </c>
      <c r="BF2" s="229">
        <v>1.4544999999999999</v>
      </c>
      <c r="BG2" s="230">
        <v>102265</v>
      </c>
      <c r="BH2" s="230">
        <v>43442</v>
      </c>
      <c r="BI2" s="230">
        <v>58823</v>
      </c>
      <c r="BJ2" s="229">
        <v>1.3541000000000001</v>
      </c>
      <c r="BK2" s="230">
        <v>37992</v>
      </c>
      <c r="BL2" s="230">
        <v>22163</v>
      </c>
      <c r="BM2" s="230">
        <v>15829</v>
      </c>
      <c r="BN2" s="229">
        <v>0.71419999999999995</v>
      </c>
      <c r="BO2" s="230">
        <v>162992</v>
      </c>
      <c r="BP2" s="230">
        <v>73339</v>
      </c>
      <c r="BQ2" s="230">
        <v>89653</v>
      </c>
      <c r="BR2" s="229">
        <v>1.2223999999999999</v>
      </c>
      <c r="BS2" s="230">
        <v>1581302</v>
      </c>
      <c r="BT2" s="230">
        <v>808088</v>
      </c>
      <c r="BU2" s="230">
        <v>773214</v>
      </c>
      <c r="BV2" s="229">
        <v>0.95679999999999998</v>
      </c>
      <c r="BW2" s="230">
        <v>13069155</v>
      </c>
      <c r="BX2" s="230">
        <v>12772515</v>
      </c>
      <c r="BY2" s="230">
        <v>296640</v>
      </c>
      <c r="BZ2" s="229">
        <v>2.3199999999999998E-2</v>
      </c>
      <c r="CA2" s="230">
        <v>8685990</v>
      </c>
      <c r="CB2" s="230">
        <v>10665444</v>
      </c>
      <c r="CC2" s="230">
        <v>-1979454</v>
      </c>
      <c r="CD2" s="229">
        <v>-0.18559999999999999</v>
      </c>
      <c r="CE2" s="230">
        <v>4290465</v>
      </c>
      <c r="CF2" s="230">
        <v>2029512</v>
      </c>
      <c r="CG2" s="230">
        <v>2260953</v>
      </c>
      <c r="CH2" s="229">
        <v>1.1140000000000001</v>
      </c>
      <c r="CI2" s="230">
        <v>92700</v>
      </c>
      <c r="CJ2" s="230">
        <v>77559</v>
      </c>
      <c r="CK2" s="230">
        <v>15141</v>
      </c>
      <c r="CL2" s="229">
        <v>0.19520000000000001</v>
      </c>
      <c r="CM2" s="230">
        <v>11216700</v>
      </c>
      <c r="CN2" s="230">
        <v>10649067</v>
      </c>
      <c r="CO2" s="230">
        <v>567633</v>
      </c>
      <c r="CP2" s="229">
        <v>5.33E-2</v>
      </c>
      <c r="CQ2" s="230">
        <v>7497267</v>
      </c>
      <c r="CR2" s="230">
        <v>7547634</v>
      </c>
      <c r="CS2" s="230">
        <v>-50367</v>
      </c>
      <c r="CT2" s="229">
        <v>-6.7000000000000002E-3</v>
      </c>
      <c r="CU2" s="230">
        <v>31783122</v>
      </c>
      <c r="CV2" s="230">
        <v>30969216</v>
      </c>
      <c r="CW2" s="230">
        <v>813906</v>
      </c>
      <c r="CX2" s="229">
        <v>2.63E-2</v>
      </c>
      <c r="CY2" s="228">
        <v>28.32</v>
      </c>
      <c r="CZ2" s="228">
        <v>29.37</v>
      </c>
      <c r="DA2" s="228">
        <v>-1.05</v>
      </c>
      <c r="DB2" s="228">
        <v>-1.05</v>
      </c>
      <c r="DC2" s="228">
        <v>47.88</v>
      </c>
      <c r="DD2" s="228">
        <v>47.99</v>
      </c>
      <c r="DE2" s="228">
        <v>-19.559999999999999</v>
      </c>
      <c r="DF2" s="228">
        <v>-0.11</v>
      </c>
      <c r="DG2" s="228">
        <v>27.98</v>
      </c>
      <c r="DH2" s="228">
        <v>28.01</v>
      </c>
      <c r="DI2" s="228">
        <v>-0.03</v>
      </c>
      <c r="DJ2" s="228">
        <v>-0.03</v>
      </c>
      <c r="DK2" s="228">
        <v>28.89</v>
      </c>
      <c r="DL2" s="228">
        <v>32.020000000000003</v>
      </c>
      <c r="DM2" s="228">
        <v>-3.13</v>
      </c>
      <c r="DN2" s="228">
        <v>-3.13</v>
      </c>
      <c r="DO2" s="228">
        <v>0.67</v>
      </c>
      <c r="DP2" s="228">
        <v>0.71</v>
      </c>
      <c r="DQ2" s="228">
        <v>-0.04</v>
      </c>
      <c r="DR2" s="229">
        <v>-5.6300000000000003E-2</v>
      </c>
      <c r="DS2" s="231">
        <v>2520.65</v>
      </c>
      <c r="DT2" s="231">
        <v>2423.6999999999998</v>
      </c>
      <c r="DU2" s="228">
        <v>0.37</v>
      </c>
      <c r="DV2" s="228">
        <v>0.51</v>
      </c>
      <c r="DW2" s="228">
        <v>-0.14000000000000001</v>
      </c>
      <c r="DX2" s="229">
        <v>-0.27450000000000002</v>
      </c>
      <c r="DY2" s="229">
        <v>0.33539999999999998</v>
      </c>
      <c r="DZ2" s="230">
        <v>2107071</v>
      </c>
      <c r="EA2" s="229">
        <v>6.1999999999999998E-3</v>
      </c>
      <c r="EB2" s="229">
        <v>0.33539999999999998</v>
      </c>
      <c r="EC2" s="228">
        <v>13.36</v>
      </c>
      <c r="ED2" s="229">
        <v>5.4000000000000003E-3</v>
      </c>
      <c r="EE2" s="230">
        <v>430122</v>
      </c>
      <c r="EF2" s="230">
        <v>286933</v>
      </c>
      <c r="EG2" s="229">
        <v>0.499</v>
      </c>
      <c r="EH2" s="229">
        <v>0.27200000000000002</v>
      </c>
      <c r="EI2" s="231">
        <v>798547.93</v>
      </c>
      <c r="EJ2" s="231">
        <v>284309.96000000002</v>
      </c>
      <c r="EK2" s="231">
        <v>173132.62</v>
      </c>
      <c r="EL2" s="231">
        <v>14228</v>
      </c>
      <c r="EM2" s="231">
        <v>1255990.51</v>
      </c>
      <c r="EN2" s="231">
        <v>558380.38</v>
      </c>
      <c r="EO2" s="231">
        <v>697610.13</v>
      </c>
      <c r="EP2" s="229">
        <v>1.2493000000000001</v>
      </c>
      <c r="EQ2" s="231">
        <v>282527</v>
      </c>
      <c r="ER2" s="231">
        <v>176735</v>
      </c>
      <c r="ES2" s="231">
        <v>320987</v>
      </c>
      <c r="ET2" s="231">
        <v>30942206</v>
      </c>
      <c r="EU2" s="231">
        <v>780250</v>
      </c>
      <c r="EV2" s="231">
        <v>757175</v>
      </c>
      <c r="EW2" s="231">
        <v>23075</v>
      </c>
      <c r="EX2" s="229">
        <v>3.0499999999999999E-2</v>
      </c>
      <c r="EY2" s="229">
        <v>1.0271999999999999</v>
      </c>
    </row>
    <row r="3" spans="1:155" ht="17.25" thickBot="1" x14ac:dyDescent="0.3">
      <c r="A3" s="226">
        <v>45981</v>
      </c>
      <c r="B3" s="227" t="s">
        <v>215</v>
      </c>
      <c r="C3" s="227" t="s">
        <v>160</v>
      </c>
      <c r="D3" s="231">
        <v>1492.4</v>
      </c>
      <c r="E3" s="231">
        <v>1486.9</v>
      </c>
      <c r="F3" s="228">
        <v>5.5</v>
      </c>
      <c r="G3" s="229">
        <v>3.7000000000000002E-3</v>
      </c>
      <c r="H3" s="231">
        <v>1491.1</v>
      </c>
      <c r="I3" s="231">
        <v>1484.2</v>
      </c>
      <c r="J3" s="228">
        <v>6.9</v>
      </c>
      <c r="K3" s="229">
        <v>4.5999999999999999E-3</v>
      </c>
      <c r="L3" s="231">
        <v>1492.4</v>
      </c>
      <c r="M3" s="231">
        <v>1486.9</v>
      </c>
      <c r="N3" s="228">
        <v>5.5</v>
      </c>
      <c r="O3" s="229">
        <v>3.7000000000000002E-3</v>
      </c>
      <c r="P3" s="231">
        <v>1502.6</v>
      </c>
      <c r="Q3" s="231">
        <v>1496.7</v>
      </c>
      <c r="R3" s="228">
        <v>5.9</v>
      </c>
      <c r="S3" s="229">
        <v>3.8999999999999998E-3</v>
      </c>
      <c r="T3" s="231">
        <v>1510</v>
      </c>
      <c r="U3" s="231">
        <v>1505.8</v>
      </c>
      <c r="V3" s="228">
        <v>4.2</v>
      </c>
      <c r="W3" s="229">
        <v>2.8E-3</v>
      </c>
      <c r="X3" s="228">
        <v>1.3</v>
      </c>
      <c r="Y3" s="228">
        <v>2.7</v>
      </c>
      <c r="Z3" s="228">
        <v>-1.4</v>
      </c>
      <c r="AA3" s="229">
        <v>8.9999999999999998E-4</v>
      </c>
      <c r="AB3" s="228">
        <v>1.3</v>
      </c>
      <c r="AC3" s="228">
        <v>2.7</v>
      </c>
      <c r="AD3" s="228">
        <v>-1.4</v>
      </c>
      <c r="AE3" s="229">
        <v>8.9999999999999998E-4</v>
      </c>
      <c r="AF3" s="228">
        <v>11.5</v>
      </c>
      <c r="AG3" s="228">
        <v>12.5</v>
      </c>
      <c r="AH3" s="228">
        <v>-1</v>
      </c>
      <c r="AI3" s="229">
        <v>7.7000000000000002E-3</v>
      </c>
      <c r="AJ3" s="228">
        <v>18.899999999999999</v>
      </c>
      <c r="AK3" s="228">
        <v>21.6</v>
      </c>
      <c r="AL3" s="228">
        <v>-2.7</v>
      </c>
      <c r="AM3" s="229">
        <v>1.2699999999999999E-2</v>
      </c>
      <c r="AN3" s="231">
        <v>1497.08</v>
      </c>
      <c r="AO3" s="231">
        <v>1507.03</v>
      </c>
      <c r="AP3" s="228">
        <v>0</v>
      </c>
      <c r="AQ3" s="230">
        <v>24441</v>
      </c>
      <c r="AR3" s="230">
        <v>9798</v>
      </c>
      <c r="AS3" s="230">
        <v>14643</v>
      </c>
      <c r="AT3" s="229">
        <v>1.4944999999999999</v>
      </c>
      <c r="AU3" s="230">
        <v>12820</v>
      </c>
      <c r="AV3" s="230">
        <v>5988</v>
      </c>
      <c r="AW3" s="230">
        <v>6832</v>
      </c>
      <c r="AX3" s="229">
        <v>1.1409</v>
      </c>
      <c r="AY3" s="230">
        <v>11517</v>
      </c>
      <c r="AZ3" s="230">
        <v>3727</v>
      </c>
      <c r="BA3" s="230">
        <v>7790</v>
      </c>
      <c r="BB3" s="229">
        <v>2.0901999999999998</v>
      </c>
      <c r="BC3" s="228">
        <v>104</v>
      </c>
      <c r="BD3" s="228">
        <v>83</v>
      </c>
      <c r="BE3" s="228">
        <v>21</v>
      </c>
      <c r="BF3" s="229">
        <v>0.253</v>
      </c>
      <c r="BG3" s="230">
        <v>45913</v>
      </c>
      <c r="BH3" s="230">
        <v>36085</v>
      </c>
      <c r="BI3" s="230">
        <v>9828</v>
      </c>
      <c r="BJ3" s="229">
        <v>0.27239999999999998</v>
      </c>
      <c r="BK3" s="230">
        <v>16535</v>
      </c>
      <c r="BL3" s="230">
        <v>16782</v>
      </c>
      <c r="BM3" s="228">
        <v>-247</v>
      </c>
      <c r="BN3" s="229">
        <v>-1.47E-2</v>
      </c>
      <c r="BO3" s="230">
        <v>86889</v>
      </c>
      <c r="BP3" s="230">
        <v>62665</v>
      </c>
      <c r="BQ3" s="230">
        <v>24224</v>
      </c>
      <c r="BR3" s="229">
        <v>0.3866</v>
      </c>
      <c r="BS3" s="230">
        <v>1549215</v>
      </c>
      <c r="BT3" s="230">
        <v>1838026</v>
      </c>
      <c r="BU3" s="230">
        <v>-288811</v>
      </c>
      <c r="BV3" s="229">
        <v>-0.15709999999999999</v>
      </c>
      <c r="BW3" s="230">
        <v>25695600</v>
      </c>
      <c r="BX3" s="230">
        <v>25396825</v>
      </c>
      <c r="BY3" s="230">
        <v>298775</v>
      </c>
      <c r="BZ3" s="229">
        <v>1.18E-2</v>
      </c>
      <c r="CA3" s="230">
        <v>17022100</v>
      </c>
      <c r="CB3" s="230">
        <v>21579250</v>
      </c>
      <c r="CC3" s="230">
        <v>-4557150</v>
      </c>
      <c r="CD3" s="229">
        <v>-0.2112</v>
      </c>
      <c r="CE3" s="230">
        <v>8487775</v>
      </c>
      <c r="CF3" s="230">
        <v>3649425</v>
      </c>
      <c r="CG3" s="230">
        <v>4838350</v>
      </c>
      <c r="CH3" s="229">
        <v>1.3258000000000001</v>
      </c>
      <c r="CI3" s="230">
        <v>185725</v>
      </c>
      <c r="CJ3" s="230">
        <v>168150</v>
      </c>
      <c r="CK3" s="230">
        <v>17575</v>
      </c>
      <c r="CL3" s="229">
        <v>0.1045</v>
      </c>
      <c r="CM3" s="230">
        <v>11028075</v>
      </c>
      <c r="CN3" s="230">
        <v>11567200</v>
      </c>
      <c r="CO3" s="230">
        <v>-539125</v>
      </c>
      <c r="CP3" s="229">
        <v>-4.6600000000000003E-2</v>
      </c>
      <c r="CQ3" s="230">
        <v>6352650</v>
      </c>
      <c r="CR3" s="230">
        <v>6534100</v>
      </c>
      <c r="CS3" s="230">
        <v>-181450</v>
      </c>
      <c r="CT3" s="229">
        <v>-2.7799999999999998E-2</v>
      </c>
      <c r="CU3" s="230">
        <v>43076325</v>
      </c>
      <c r="CV3" s="230">
        <v>43498125</v>
      </c>
      <c r="CW3" s="230">
        <v>-421800</v>
      </c>
      <c r="CX3" s="229">
        <v>-9.7000000000000003E-3</v>
      </c>
      <c r="CY3" s="228">
        <v>23.01</v>
      </c>
      <c r="CZ3" s="228">
        <v>24.28</v>
      </c>
      <c r="DA3" s="228">
        <v>-1.27</v>
      </c>
      <c r="DB3" s="228">
        <v>-1.27</v>
      </c>
      <c r="DC3" s="228">
        <v>37.47</v>
      </c>
      <c r="DD3" s="228">
        <v>37.549999999999997</v>
      </c>
      <c r="DE3" s="228">
        <v>-14.46</v>
      </c>
      <c r="DF3" s="228">
        <v>-0.08</v>
      </c>
      <c r="DG3" s="228">
        <v>22.91</v>
      </c>
      <c r="DH3" s="228">
        <v>24.56</v>
      </c>
      <c r="DI3" s="228">
        <v>-1.65</v>
      </c>
      <c r="DJ3" s="228">
        <v>-1.65</v>
      </c>
      <c r="DK3" s="228">
        <v>23.31</v>
      </c>
      <c r="DL3" s="228">
        <v>23.67</v>
      </c>
      <c r="DM3" s="228">
        <v>-0.36</v>
      </c>
      <c r="DN3" s="228">
        <v>-0.36</v>
      </c>
      <c r="DO3" s="228">
        <v>0.57999999999999996</v>
      </c>
      <c r="DP3" s="228">
        <v>0.56000000000000005</v>
      </c>
      <c r="DQ3" s="228">
        <v>0.02</v>
      </c>
      <c r="DR3" s="229">
        <v>3.5700000000000003E-2</v>
      </c>
      <c r="DS3" s="231">
        <v>1500</v>
      </c>
      <c r="DT3" s="231">
        <v>1500</v>
      </c>
      <c r="DU3" s="228">
        <v>0.36</v>
      </c>
      <c r="DV3" s="228">
        <v>0.47</v>
      </c>
      <c r="DW3" s="228">
        <v>-0.11</v>
      </c>
      <c r="DX3" s="229">
        <v>-0.23400000000000001</v>
      </c>
      <c r="DY3" s="229">
        <v>0.33750000000000002</v>
      </c>
      <c r="DZ3" s="230">
        <v>3817575</v>
      </c>
      <c r="EA3" s="229">
        <v>6.7999999999999996E-3</v>
      </c>
      <c r="EB3" s="229">
        <v>0.33750000000000002</v>
      </c>
      <c r="EC3" s="228">
        <v>9.9499999999999993</v>
      </c>
      <c r="ED3" s="229">
        <v>6.6E-3</v>
      </c>
      <c r="EE3" s="230">
        <v>668670</v>
      </c>
      <c r="EF3" s="230">
        <v>1097092</v>
      </c>
      <c r="EG3" s="229">
        <v>-0.39050000000000001</v>
      </c>
      <c r="EH3" s="229">
        <v>0.43159999999999998</v>
      </c>
      <c r="EI3" s="231">
        <v>335621.9</v>
      </c>
      <c r="EJ3" s="231">
        <v>116324.08</v>
      </c>
      <c r="EK3" s="231">
        <v>174357.09</v>
      </c>
      <c r="EL3" s="231">
        <v>8180</v>
      </c>
      <c r="EM3" s="231">
        <v>626303.06999999995</v>
      </c>
      <c r="EN3" s="231">
        <v>450411.83</v>
      </c>
      <c r="EO3" s="231">
        <v>175891.24</v>
      </c>
      <c r="EP3" s="229">
        <v>0.39050000000000001</v>
      </c>
      <c r="EQ3" s="231">
        <v>168821</v>
      </c>
      <c r="ER3" s="231">
        <v>91354</v>
      </c>
      <c r="ES3" s="231">
        <v>384380</v>
      </c>
      <c r="ET3" s="231">
        <v>73799006</v>
      </c>
      <c r="EU3" s="231">
        <v>644555</v>
      </c>
      <c r="EV3" s="231">
        <v>649037</v>
      </c>
      <c r="EW3" s="231">
        <v>-4482</v>
      </c>
      <c r="EX3" s="229">
        <v>-6.8999999999999999E-3</v>
      </c>
      <c r="EY3" s="229">
        <v>0.5837</v>
      </c>
    </row>
    <row r="4" spans="1:155" ht="17.25" thickBot="1" x14ac:dyDescent="0.3">
      <c r="A4" s="226">
        <v>45981</v>
      </c>
      <c r="B4" s="227" t="s">
        <v>170</v>
      </c>
      <c r="C4" s="227" t="s">
        <v>165</v>
      </c>
      <c r="D4" s="231">
        <v>7433.5</v>
      </c>
      <c r="E4" s="231">
        <v>7456.5</v>
      </c>
      <c r="F4" s="228">
        <v>-23</v>
      </c>
      <c r="G4" s="229">
        <v>-3.0999999999999999E-3</v>
      </c>
      <c r="H4" s="231">
        <v>7423</v>
      </c>
      <c r="I4" s="231">
        <v>7459</v>
      </c>
      <c r="J4" s="228">
        <v>-36</v>
      </c>
      <c r="K4" s="229">
        <v>-4.7999999999999996E-3</v>
      </c>
      <c r="L4" s="231">
        <v>7433.5</v>
      </c>
      <c r="M4" s="231">
        <v>7456.5</v>
      </c>
      <c r="N4" s="228">
        <v>-23</v>
      </c>
      <c r="O4" s="229">
        <v>-3.0999999999999999E-3</v>
      </c>
      <c r="P4" s="231">
        <v>7483.5</v>
      </c>
      <c r="Q4" s="231">
        <v>7505.5</v>
      </c>
      <c r="R4" s="228">
        <v>-22</v>
      </c>
      <c r="S4" s="229">
        <v>-2.8999999999999998E-3</v>
      </c>
      <c r="T4" s="231">
        <v>7531</v>
      </c>
      <c r="U4" s="231">
        <v>7550</v>
      </c>
      <c r="V4" s="228">
        <v>-19</v>
      </c>
      <c r="W4" s="229">
        <v>-2.5000000000000001E-3</v>
      </c>
      <c r="X4" s="228">
        <v>10.5</v>
      </c>
      <c r="Y4" s="228">
        <v>-2.5</v>
      </c>
      <c r="Z4" s="228">
        <v>13</v>
      </c>
      <c r="AA4" s="229">
        <v>1.4E-3</v>
      </c>
      <c r="AB4" s="228">
        <v>10.5</v>
      </c>
      <c r="AC4" s="228">
        <v>-2.5</v>
      </c>
      <c r="AD4" s="228">
        <v>13</v>
      </c>
      <c r="AE4" s="229">
        <v>1.4E-3</v>
      </c>
      <c r="AF4" s="228">
        <v>60.5</v>
      </c>
      <c r="AG4" s="228">
        <v>46.5</v>
      </c>
      <c r="AH4" s="228">
        <v>14</v>
      </c>
      <c r="AI4" s="229">
        <v>8.2000000000000007E-3</v>
      </c>
      <c r="AJ4" s="228">
        <v>108</v>
      </c>
      <c r="AK4" s="228">
        <v>91</v>
      </c>
      <c r="AL4" s="228">
        <v>17</v>
      </c>
      <c r="AM4" s="229">
        <v>1.4500000000000001E-2</v>
      </c>
      <c r="AN4" s="231">
        <v>7458.57</v>
      </c>
      <c r="AO4" s="231">
        <v>7507.65</v>
      </c>
      <c r="AP4" s="228">
        <v>0</v>
      </c>
      <c r="AQ4" s="230">
        <v>10387</v>
      </c>
      <c r="AR4" s="230">
        <v>4946</v>
      </c>
      <c r="AS4" s="230">
        <v>5441</v>
      </c>
      <c r="AT4" s="229">
        <v>1.1001000000000001</v>
      </c>
      <c r="AU4" s="230">
        <v>5426</v>
      </c>
      <c r="AV4" s="230">
        <v>3551</v>
      </c>
      <c r="AW4" s="230">
        <v>1875</v>
      </c>
      <c r="AX4" s="229">
        <v>0.52800000000000002</v>
      </c>
      <c r="AY4" s="230">
        <v>4920</v>
      </c>
      <c r="AZ4" s="230">
        <v>1340</v>
      </c>
      <c r="BA4" s="230">
        <v>3580</v>
      </c>
      <c r="BB4" s="229">
        <v>2.6716000000000002</v>
      </c>
      <c r="BC4" s="228">
        <v>41</v>
      </c>
      <c r="BD4" s="228">
        <v>55</v>
      </c>
      <c r="BE4" s="228">
        <v>-14</v>
      </c>
      <c r="BF4" s="229">
        <v>-0.2545</v>
      </c>
      <c r="BG4" s="230">
        <v>21600</v>
      </c>
      <c r="BH4" s="230">
        <v>41316</v>
      </c>
      <c r="BI4" s="230">
        <v>-19716</v>
      </c>
      <c r="BJ4" s="229">
        <v>-0.47720000000000001</v>
      </c>
      <c r="BK4" s="230">
        <v>6938</v>
      </c>
      <c r="BL4" s="230">
        <v>12367</v>
      </c>
      <c r="BM4" s="230">
        <v>-5429</v>
      </c>
      <c r="BN4" s="229">
        <v>-0.439</v>
      </c>
      <c r="BO4" s="230">
        <v>38925</v>
      </c>
      <c r="BP4" s="230">
        <v>58629</v>
      </c>
      <c r="BQ4" s="230">
        <v>-19704</v>
      </c>
      <c r="BR4" s="229">
        <v>-0.33610000000000001</v>
      </c>
      <c r="BS4" s="230">
        <v>230369</v>
      </c>
      <c r="BT4" s="230">
        <v>488895</v>
      </c>
      <c r="BU4" s="230">
        <v>-258526</v>
      </c>
      <c r="BV4" s="229">
        <v>-0.52880000000000005</v>
      </c>
      <c r="BW4" s="230">
        <v>2962875</v>
      </c>
      <c r="BX4" s="230">
        <v>2978375</v>
      </c>
      <c r="BY4" s="230">
        <v>-15500</v>
      </c>
      <c r="BZ4" s="229">
        <v>-5.1999999999999998E-3</v>
      </c>
      <c r="CA4" s="230">
        <v>2100250</v>
      </c>
      <c r="CB4" s="230">
        <v>2619000</v>
      </c>
      <c r="CC4" s="230">
        <v>-518750</v>
      </c>
      <c r="CD4" s="229">
        <v>-0.1981</v>
      </c>
      <c r="CE4" s="230">
        <v>837250</v>
      </c>
      <c r="CF4" s="230">
        <v>335875</v>
      </c>
      <c r="CG4" s="230">
        <v>501375</v>
      </c>
      <c r="CH4" s="229">
        <v>1.4926999999999999</v>
      </c>
      <c r="CI4" s="230">
        <v>25375</v>
      </c>
      <c r="CJ4" s="230">
        <v>23500</v>
      </c>
      <c r="CK4" s="230">
        <v>1875</v>
      </c>
      <c r="CL4" s="229">
        <v>7.9799999999999996E-2</v>
      </c>
      <c r="CM4" s="230">
        <v>2228625</v>
      </c>
      <c r="CN4" s="230">
        <v>2325375</v>
      </c>
      <c r="CO4" s="230">
        <v>-96750</v>
      </c>
      <c r="CP4" s="229">
        <v>-4.1599999999999998E-2</v>
      </c>
      <c r="CQ4" s="230">
        <v>916500</v>
      </c>
      <c r="CR4" s="230">
        <v>959875</v>
      </c>
      <c r="CS4" s="230">
        <v>-43375</v>
      </c>
      <c r="CT4" s="229">
        <v>-4.5199999999999997E-2</v>
      </c>
      <c r="CU4" s="230">
        <v>6108000</v>
      </c>
      <c r="CV4" s="230">
        <v>6263625</v>
      </c>
      <c r="CW4" s="230">
        <v>-155625</v>
      </c>
      <c r="CX4" s="229">
        <v>-2.4799999999999999E-2</v>
      </c>
      <c r="CY4" s="228">
        <v>18.53</v>
      </c>
      <c r="CZ4" s="228">
        <v>20.059999999999999</v>
      </c>
      <c r="DA4" s="228">
        <v>-1.53</v>
      </c>
      <c r="DB4" s="228">
        <v>-1.53</v>
      </c>
      <c r="DC4" s="228">
        <v>25.73</v>
      </c>
      <c r="DD4" s="228">
        <v>25.79</v>
      </c>
      <c r="DE4" s="228">
        <v>-7.2</v>
      </c>
      <c r="DF4" s="228">
        <v>-0.06</v>
      </c>
      <c r="DG4" s="228">
        <v>18.37</v>
      </c>
      <c r="DH4" s="228">
        <v>20.18</v>
      </c>
      <c r="DI4" s="228">
        <v>-1.81</v>
      </c>
      <c r="DJ4" s="228">
        <v>-1.81</v>
      </c>
      <c r="DK4" s="228">
        <v>19.07</v>
      </c>
      <c r="DL4" s="228">
        <v>19.649999999999999</v>
      </c>
      <c r="DM4" s="228">
        <v>-0.57999999999999996</v>
      </c>
      <c r="DN4" s="228">
        <v>-0.57999999999999996</v>
      </c>
      <c r="DO4" s="228">
        <v>0.41</v>
      </c>
      <c r="DP4" s="228">
        <v>0.41</v>
      </c>
      <c r="DQ4" s="228">
        <v>0</v>
      </c>
      <c r="DR4" s="229">
        <v>0</v>
      </c>
      <c r="DS4" s="231">
        <v>7500</v>
      </c>
      <c r="DT4" s="231">
        <v>7000</v>
      </c>
      <c r="DU4" s="228">
        <v>0.32</v>
      </c>
      <c r="DV4" s="228">
        <v>0.3</v>
      </c>
      <c r="DW4" s="228">
        <v>0.02</v>
      </c>
      <c r="DX4" s="229">
        <v>6.6699999999999995E-2</v>
      </c>
      <c r="DY4" s="229">
        <v>0.29110000000000003</v>
      </c>
      <c r="DZ4" s="230">
        <v>359375</v>
      </c>
      <c r="EA4" s="229">
        <v>6.7000000000000002E-3</v>
      </c>
      <c r="EB4" s="229">
        <v>0.29110000000000003</v>
      </c>
      <c r="EC4" s="228">
        <v>49.08</v>
      </c>
      <c r="ED4" s="229">
        <v>6.6E-3</v>
      </c>
      <c r="EE4" s="230">
        <v>150569</v>
      </c>
      <c r="EF4" s="230">
        <v>311375</v>
      </c>
      <c r="EG4" s="229">
        <v>-0.51639999999999997</v>
      </c>
      <c r="EH4" s="229">
        <v>0.65359999999999996</v>
      </c>
      <c r="EI4" s="231">
        <v>208212.59</v>
      </c>
      <c r="EJ4" s="231">
        <v>63804.97</v>
      </c>
      <c r="EK4" s="231">
        <v>97146.68</v>
      </c>
      <c r="EL4" s="231">
        <v>3518</v>
      </c>
      <c r="EM4" s="231">
        <v>369164.24</v>
      </c>
      <c r="EN4" s="231">
        <v>555077.37</v>
      </c>
      <c r="EO4" s="231">
        <v>-185913.13</v>
      </c>
      <c r="EP4" s="229">
        <v>-0.33489999999999998</v>
      </c>
      <c r="EQ4" s="231">
        <v>175327</v>
      </c>
      <c r="ER4" s="231">
        <v>67821</v>
      </c>
      <c r="ES4" s="231">
        <v>220689</v>
      </c>
      <c r="ET4" s="231">
        <v>15240043</v>
      </c>
      <c r="EU4" s="231">
        <v>463836</v>
      </c>
      <c r="EV4" s="231">
        <v>476301</v>
      </c>
      <c r="EW4" s="231">
        <v>-12465</v>
      </c>
      <c r="EX4" s="229">
        <v>-2.6200000000000001E-2</v>
      </c>
      <c r="EY4" s="229">
        <v>0.40079999999999999</v>
      </c>
    </row>
    <row r="5" spans="1:155" ht="17.25" thickBot="1" x14ac:dyDescent="0.3">
      <c r="A5" s="226">
        <v>45981</v>
      </c>
      <c r="B5" s="227" t="s">
        <v>168</v>
      </c>
      <c r="C5" s="227" t="s">
        <v>169</v>
      </c>
      <c r="D5" s="231">
        <v>2860</v>
      </c>
      <c r="E5" s="231">
        <v>2889</v>
      </c>
      <c r="F5" s="228">
        <v>-29</v>
      </c>
      <c r="G5" s="229">
        <v>-0.01</v>
      </c>
      <c r="H5" s="231">
        <v>2859.8</v>
      </c>
      <c r="I5" s="231">
        <v>2893.7</v>
      </c>
      <c r="J5" s="228">
        <v>-33.9</v>
      </c>
      <c r="K5" s="229">
        <v>-1.17E-2</v>
      </c>
      <c r="L5" s="231">
        <v>2860</v>
      </c>
      <c r="M5" s="231">
        <v>2889</v>
      </c>
      <c r="N5" s="228">
        <v>-29</v>
      </c>
      <c r="O5" s="229">
        <v>-0.01</v>
      </c>
      <c r="P5" s="231">
        <v>2874.8</v>
      </c>
      <c r="Q5" s="231">
        <v>2900.2</v>
      </c>
      <c r="R5" s="228">
        <v>-25.4</v>
      </c>
      <c r="S5" s="229">
        <v>-8.8000000000000005E-3</v>
      </c>
      <c r="T5" s="231">
        <v>2889.7</v>
      </c>
      <c r="U5" s="231">
        <v>2911.8</v>
      </c>
      <c r="V5" s="228">
        <v>-22.1</v>
      </c>
      <c r="W5" s="229">
        <v>-7.6E-3</v>
      </c>
      <c r="X5" s="228">
        <v>0.2</v>
      </c>
      <c r="Y5" s="228">
        <v>-4.7</v>
      </c>
      <c r="Z5" s="228">
        <v>4.9000000000000004</v>
      </c>
      <c r="AA5" s="229">
        <v>1E-4</v>
      </c>
      <c r="AB5" s="228">
        <v>0.2</v>
      </c>
      <c r="AC5" s="228">
        <v>-4.7</v>
      </c>
      <c r="AD5" s="228">
        <v>4.9000000000000004</v>
      </c>
      <c r="AE5" s="229">
        <v>1E-4</v>
      </c>
      <c r="AF5" s="228">
        <v>15</v>
      </c>
      <c r="AG5" s="228">
        <v>6.5</v>
      </c>
      <c r="AH5" s="228">
        <v>8.5</v>
      </c>
      <c r="AI5" s="229">
        <v>5.1999999999999998E-3</v>
      </c>
      <c r="AJ5" s="228">
        <v>29.9</v>
      </c>
      <c r="AK5" s="228">
        <v>18.100000000000001</v>
      </c>
      <c r="AL5" s="228">
        <v>11.8</v>
      </c>
      <c r="AM5" s="229">
        <v>1.0500000000000001E-2</v>
      </c>
      <c r="AN5" s="231">
        <v>2864.94</v>
      </c>
      <c r="AO5" s="231">
        <v>2877.11</v>
      </c>
      <c r="AP5" s="228">
        <v>0</v>
      </c>
      <c r="AQ5" s="230">
        <v>24562</v>
      </c>
      <c r="AR5" s="230">
        <v>8719</v>
      </c>
      <c r="AS5" s="230">
        <v>15843</v>
      </c>
      <c r="AT5" s="229">
        <v>1.8170999999999999</v>
      </c>
      <c r="AU5" s="230">
        <v>14764</v>
      </c>
      <c r="AV5" s="230">
        <v>5915</v>
      </c>
      <c r="AW5" s="230">
        <v>8849</v>
      </c>
      <c r="AX5" s="229">
        <v>1.496</v>
      </c>
      <c r="AY5" s="230">
        <v>9697</v>
      </c>
      <c r="AZ5" s="230">
        <v>2719</v>
      </c>
      <c r="BA5" s="230">
        <v>6978</v>
      </c>
      <c r="BB5" s="229">
        <v>2.5663999999999998</v>
      </c>
      <c r="BC5" s="228">
        <v>101</v>
      </c>
      <c r="BD5" s="228">
        <v>85</v>
      </c>
      <c r="BE5" s="228">
        <v>16</v>
      </c>
      <c r="BF5" s="229">
        <v>0.18820000000000001</v>
      </c>
      <c r="BG5" s="230">
        <v>79366</v>
      </c>
      <c r="BH5" s="230">
        <v>50280</v>
      </c>
      <c r="BI5" s="230">
        <v>29086</v>
      </c>
      <c r="BJ5" s="229">
        <v>0.57850000000000001</v>
      </c>
      <c r="BK5" s="230">
        <v>54044</v>
      </c>
      <c r="BL5" s="230">
        <v>43181</v>
      </c>
      <c r="BM5" s="230">
        <v>10863</v>
      </c>
      <c r="BN5" s="229">
        <v>0.25159999999999999</v>
      </c>
      <c r="BO5" s="230">
        <v>157972</v>
      </c>
      <c r="BP5" s="230">
        <v>102180</v>
      </c>
      <c r="BQ5" s="230">
        <v>55792</v>
      </c>
      <c r="BR5" s="229">
        <v>0.54600000000000004</v>
      </c>
      <c r="BS5" s="230">
        <v>1126340</v>
      </c>
      <c r="BT5" s="230">
        <v>1423098</v>
      </c>
      <c r="BU5" s="230">
        <v>-296758</v>
      </c>
      <c r="BV5" s="229">
        <v>-0.20849999999999999</v>
      </c>
      <c r="BW5" s="230">
        <v>13631750</v>
      </c>
      <c r="BX5" s="230">
        <v>14006750</v>
      </c>
      <c r="BY5" s="230">
        <v>-375000</v>
      </c>
      <c r="BZ5" s="229">
        <v>-2.6800000000000001E-2</v>
      </c>
      <c r="CA5" s="230">
        <v>10065500</v>
      </c>
      <c r="CB5" s="230">
        <v>11894000</v>
      </c>
      <c r="CC5" s="230">
        <v>-1828500</v>
      </c>
      <c r="CD5" s="229">
        <v>-0.1537</v>
      </c>
      <c r="CE5" s="230">
        <v>3482750</v>
      </c>
      <c r="CF5" s="230">
        <v>2024750</v>
      </c>
      <c r="CG5" s="230">
        <v>1458000</v>
      </c>
      <c r="CH5" s="229">
        <v>0.72009999999999996</v>
      </c>
      <c r="CI5" s="230">
        <v>83500</v>
      </c>
      <c r="CJ5" s="230">
        <v>88000</v>
      </c>
      <c r="CK5" s="230">
        <v>-4500</v>
      </c>
      <c r="CL5" s="229">
        <v>-5.11E-2</v>
      </c>
      <c r="CM5" s="230">
        <v>11116000</v>
      </c>
      <c r="CN5" s="230">
        <v>12134500</v>
      </c>
      <c r="CO5" s="230">
        <v>-1018500</v>
      </c>
      <c r="CP5" s="229">
        <v>-8.3900000000000002E-2</v>
      </c>
      <c r="CQ5" s="230">
        <v>8785250</v>
      </c>
      <c r="CR5" s="230">
        <v>10694750</v>
      </c>
      <c r="CS5" s="230">
        <v>-1909500</v>
      </c>
      <c r="CT5" s="229">
        <v>-0.17849999999999999</v>
      </c>
      <c r="CU5" s="230">
        <v>33533000</v>
      </c>
      <c r="CV5" s="230">
        <v>36836000</v>
      </c>
      <c r="CW5" s="230">
        <v>-3303000</v>
      </c>
      <c r="CX5" s="229">
        <v>-8.9700000000000002E-2</v>
      </c>
      <c r="CY5" s="228">
        <v>19.18</v>
      </c>
      <c r="CZ5" s="228">
        <v>20.65</v>
      </c>
      <c r="DA5" s="228">
        <v>-1.47</v>
      </c>
      <c r="DB5" s="228">
        <v>-1.47</v>
      </c>
      <c r="DC5" s="228">
        <v>25.13</v>
      </c>
      <c r="DD5" s="228">
        <v>25.14</v>
      </c>
      <c r="DE5" s="228">
        <v>-5.95</v>
      </c>
      <c r="DF5" s="228">
        <v>-0.01</v>
      </c>
      <c r="DG5" s="228">
        <v>19.25</v>
      </c>
      <c r="DH5" s="228">
        <v>20.79</v>
      </c>
      <c r="DI5" s="228">
        <v>-1.54</v>
      </c>
      <c r="DJ5" s="228">
        <v>-1.54</v>
      </c>
      <c r="DK5" s="228">
        <v>19.079999999999998</v>
      </c>
      <c r="DL5" s="228">
        <v>20.49</v>
      </c>
      <c r="DM5" s="228">
        <v>-1.41</v>
      </c>
      <c r="DN5" s="228">
        <v>-1.41</v>
      </c>
      <c r="DO5" s="228">
        <v>0.79</v>
      </c>
      <c r="DP5" s="228">
        <v>0.88</v>
      </c>
      <c r="DQ5" s="228">
        <v>-0.09</v>
      </c>
      <c r="DR5" s="229">
        <v>-0.1023</v>
      </c>
      <c r="DS5" s="231">
        <v>3000</v>
      </c>
      <c r="DT5" s="231">
        <v>2800</v>
      </c>
      <c r="DU5" s="228">
        <v>0.68</v>
      </c>
      <c r="DV5" s="228">
        <v>0.86</v>
      </c>
      <c r="DW5" s="228">
        <v>-0.18</v>
      </c>
      <c r="DX5" s="229">
        <v>-0.20930000000000001</v>
      </c>
      <c r="DY5" s="229">
        <v>0.2616</v>
      </c>
      <c r="DZ5" s="230">
        <v>2112750</v>
      </c>
      <c r="EA5" s="229">
        <v>5.1999999999999998E-3</v>
      </c>
      <c r="EB5" s="229">
        <v>0.2616</v>
      </c>
      <c r="EC5" s="228">
        <v>12.17</v>
      </c>
      <c r="ED5" s="229">
        <v>4.1999999999999997E-3</v>
      </c>
      <c r="EE5" s="230">
        <v>778002</v>
      </c>
      <c r="EF5" s="230">
        <v>974713</v>
      </c>
      <c r="EG5" s="229">
        <v>-0.20180000000000001</v>
      </c>
      <c r="EH5" s="229">
        <v>0.69069999999999998</v>
      </c>
      <c r="EI5" s="231">
        <v>585930.15</v>
      </c>
      <c r="EJ5" s="231">
        <v>381805.47</v>
      </c>
      <c r="EK5" s="231">
        <v>176223.28</v>
      </c>
      <c r="EL5" s="231">
        <v>15869</v>
      </c>
      <c r="EM5" s="231">
        <v>1143958.8999999999</v>
      </c>
      <c r="EN5" s="231">
        <v>744028.4</v>
      </c>
      <c r="EO5" s="231">
        <v>399930.5</v>
      </c>
      <c r="EP5" s="229">
        <v>0.53749999999999998</v>
      </c>
      <c r="EQ5" s="231">
        <v>318112</v>
      </c>
      <c r="ER5" s="231">
        <v>237772</v>
      </c>
      <c r="ES5" s="231">
        <v>390408</v>
      </c>
      <c r="ET5" s="231">
        <v>52357280</v>
      </c>
      <c r="EU5" s="231">
        <v>946293</v>
      </c>
      <c r="EV5" s="231">
        <v>1044502</v>
      </c>
      <c r="EW5" s="231">
        <v>-98209</v>
      </c>
      <c r="EX5" s="229">
        <v>-9.4E-2</v>
      </c>
      <c r="EY5" s="229">
        <v>0.64049999999999996</v>
      </c>
    </row>
    <row r="6" spans="1:155" ht="17.25" thickBot="1" x14ac:dyDescent="0.3">
      <c r="A6" s="226">
        <v>45981</v>
      </c>
      <c r="B6" s="227" t="s">
        <v>172</v>
      </c>
      <c r="C6" s="227" t="s">
        <v>173</v>
      </c>
      <c r="D6" s="231">
        <v>1283.7</v>
      </c>
      <c r="E6" s="231">
        <v>1269.5999999999999</v>
      </c>
      <c r="F6" s="228">
        <v>14.1</v>
      </c>
      <c r="G6" s="229">
        <v>1.11E-2</v>
      </c>
      <c r="H6" s="231">
        <v>1285.2</v>
      </c>
      <c r="I6" s="231">
        <v>1270.4000000000001</v>
      </c>
      <c r="J6" s="228">
        <v>14.8</v>
      </c>
      <c r="K6" s="229">
        <v>1.1599999999999999E-2</v>
      </c>
      <c r="L6" s="231">
        <v>1283.7</v>
      </c>
      <c r="M6" s="231">
        <v>1269.5999999999999</v>
      </c>
      <c r="N6" s="228">
        <v>14.1</v>
      </c>
      <c r="O6" s="229">
        <v>1.11E-2</v>
      </c>
      <c r="P6" s="231">
        <v>1292.9000000000001</v>
      </c>
      <c r="Q6" s="231">
        <v>1278</v>
      </c>
      <c r="R6" s="228">
        <v>14.9</v>
      </c>
      <c r="S6" s="229">
        <v>1.17E-2</v>
      </c>
      <c r="T6" s="231">
        <v>1300.5</v>
      </c>
      <c r="U6" s="231">
        <v>1285.2</v>
      </c>
      <c r="V6" s="228">
        <v>15.3</v>
      </c>
      <c r="W6" s="229">
        <v>1.1900000000000001E-2</v>
      </c>
      <c r="X6" s="228">
        <v>-1.5</v>
      </c>
      <c r="Y6" s="228">
        <v>-0.8</v>
      </c>
      <c r="Z6" s="228">
        <v>-0.7</v>
      </c>
      <c r="AA6" s="229">
        <v>-1.1999999999999999E-3</v>
      </c>
      <c r="AB6" s="228">
        <v>-1.5</v>
      </c>
      <c r="AC6" s="228">
        <v>-0.8</v>
      </c>
      <c r="AD6" s="228">
        <v>-0.7</v>
      </c>
      <c r="AE6" s="229">
        <v>-1.1999999999999999E-3</v>
      </c>
      <c r="AF6" s="228">
        <v>7.7</v>
      </c>
      <c r="AG6" s="228">
        <v>7.6</v>
      </c>
      <c r="AH6" s="228">
        <v>0.1</v>
      </c>
      <c r="AI6" s="229">
        <v>6.0000000000000001E-3</v>
      </c>
      <c r="AJ6" s="228">
        <v>15.3</v>
      </c>
      <c r="AK6" s="228">
        <v>14.8</v>
      </c>
      <c r="AL6" s="228">
        <v>0.5</v>
      </c>
      <c r="AM6" s="229">
        <v>1.1900000000000001E-2</v>
      </c>
      <c r="AN6" s="231">
        <v>1279.25</v>
      </c>
      <c r="AO6" s="231">
        <v>1288.5999999999999</v>
      </c>
      <c r="AP6" s="228">
        <v>0</v>
      </c>
      <c r="AQ6" s="230">
        <v>107224</v>
      </c>
      <c r="AR6" s="230">
        <v>26426</v>
      </c>
      <c r="AS6" s="230">
        <v>80798</v>
      </c>
      <c r="AT6" s="229">
        <v>3.0575000000000001</v>
      </c>
      <c r="AU6" s="230">
        <v>56726</v>
      </c>
      <c r="AV6" s="230">
        <v>16560</v>
      </c>
      <c r="AW6" s="230">
        <v>40166</v>
      </c>
      <c r="AX6" s="229">
        <v>2.4255</v>
      </c>
      <c r="AY6" s="230">
        <v>50282</v>
      </c>
      <c r="AZ6" s="230">
        <v>9740</v>
      </c>
      <c r="BA6" s="230">
        <v>40542</v>
      </c>
      <c r="BB6" s="229">
        <v>4.1623999999999999</v>
      </c>
      <c r="BC6" s="228">
        <v>216</v>
      </c>
      <c r="BD6" s="228">
        <v>126</v>
      </c>
      <c r="BE6" s="228">
        <v>90</v>
      </c>
      <c r="BF6" s="229">
        <v>0.71430000000000005</v>
      </c>
      <c r="BG6" s="230">
        <v>127090</v>
      </c>
      <c r="BH6" s="230">
        <v>71642</v>
      </c>
      <c r="BI6" s="230">
        <v>55448</v>
      </c>
      <c r="BJ6" s="229">
        <v>0.77400000000000002</v>
      </c>
      <c r="BK6" s="230">
        <v>63898</v>
      </c>
      <c r="BL6" s="230">
        <v>38239</v>
      </c>
      <c r="BM6" s="230">
        <v>25659</v>
      </c>
      <c r="BN6" s="229">
        <v>0.67100000000000004</v>
      </c>
      <c r="BO6" s="230">
        <v>298212</v>
      </c>
      <c r="BP6" s="230">
        <v>136307</v>
      </c>
      <c r="BQ6" s="230">
        <v>161905</v>
      </c>
      <c r="BR6" s="229">
        <v>1.1878</v>
      </c>
      <c r="BS6" s="230">
        <v>5871134</v>
      </c>
      <c r="BT6" s="230">
        <v>4166647</v>
      </c>
      <c r="BU6" s="230">
        <v>1704487</v>
      </c>
      <c r="BV6" s="229">
        <v>0.40910000000000002</v>
      </c>
      <c r="BW6" s="230">
        <v>74943125</v>
      </c>
      <c r="BX6" s="230">
        <v>75598750</v>
      </c>
      <c r="BY6" s="230">
        <v>-655625</v>
      </c>
      <c r="BZ6" s="229">
        <v>-8.6999999999999994E-3</v>
      </c>
      <c r="CA6" s="230">
        <v>35402500</v>
      </c>
      <c r="CB6" s="230">
        <v>64166875</v>
      </c>
      <c r="CC6" s="230">
        <v>-28764375</v>
      </c>
      <c r="CD6" s="229">
        <v>-0.44829999999999998</v>
      </c>
      <c r="CE6" s="230">
        <v>39129375</v>
      </c>
      <c r="CF6" s="230">
        <v>11063125</v>
      </c>
      <c r="CG6" s="230">
        <v>28066250</v>
      </c>
      <c r="CH6" s="229">
        <v>2.5369000000000002</v>
      </c>
      <c r="CI6" s="230">
        <v>411250</v>
      </c>
      <c r="CJ6" s="230">
        <v>368750</v>
      </c>
      <c r="CK6" s="230">
        <v>42500</v>
      </c>
      <c r="CL6" s="229">
        <v>0.1153</v>
      </c>
      <c r="CM6" s="230">
        <v>18295000</v>
      </c>
      <c r="CN6" s="230">
        <v>19750625</v>
      </c>
      <c r="CO6" s="230">
        <v>-1455625</v>
      </c>
      <c r="CP6" s="229">
        <v>-7.3700000000000002E-2</v>
      </c>
      <c r="CQ6" s="230">
        <v>13889375</v>
      </c>
      <c r="CR6" s="230">
        <v>13410625</v>
      </c>
      <c r="CS6" s="230">
        <v>478750</v>
      </c>
      <c r="CT6" s="229">
        <v>3.5700000000000003E-2</v>
      </c>
      <c r="CU6" s="230">
        <v>107127500</v>
      </c>
      <c r="CV6" s="230">
        <v>108760000</v>
      </c>
      <c r="CW6" s="230">
        <v>-1632500</v>
      </c>
      <c r="CX6" s="229">
        <v>-1.4999999999999999E-2</v>
      </c>
      <c r="CY6" s="228">
        <v>18.12</v>
      </c>
      <c r="CZ6" s="228">
        <v>17.54</v>
      </c>
      <c r="DA6" s="228">
        <v>0.57999999999999996</v>
      </c>
      <c r="DB6" s="228">
        <v>0.57999999999999996</v>
      </c>
      <c r="DC6" s="228">
        <v>26.1</v>
      </c>
      <c r="DD6" s="228">
        <v>26.12</v>
      </c>
      <c r="DE6" s="228">
        <v>-7.98</v>
      </c>
      <c r="DF6" s="228">
        <v>-0.02</v>
      </c>
      <c r="DG6" s="228">
        <v>17.78</v>
      </c>
      <c r="DH6" s="228">
        <v>17.329999999999998</v>
      </c>
      <c r="DI6" s="228">
        <v>0.45</v>
      </c>
      <c r="DJ6" s="228">
        <v>0.45</v>
      </c>
      <c r="DK6" s="228">
        <v>18.79</v>
      </c>
      <c r="DL6" s="228">
        <v>17.940000000000001</v>
      </c>
      <c r="DM6" s="228">
        <v>0.85</v>
      </c>
      <c r="DN6" s="228">
        <v>0.85</v>
      </c>
      <c r="DO6" s="228">
        <v>0.76</v>
      </c>
      <c r="DP6" s="228">
        <v>0.68</v>
      </c>
      <c r="DQ6" s="228">
        <v>0.08</v>
      </c>
      <c r="DR6" s="229">
        <v>0.1176</v>
      </c>
      <c r="DS6" s="231">
        <v>1300</v>
      </c>
      <c r="DT6" s="231">
        <v>1260</v>
      </c>
      <c r="DU6" s="228">
        <v>0.5</v>
      </c>
      <c r="DV6" s="228">
        <v>0.53</v>
      </c>
      <c r="DW6" s="228">
        <v>-0.03</v>
      </c>
      <c r="DX6" s="229">
        <v>-5.6599999999999998E-2</v>
      </c>
      <c r="DY6" s="229">
        <v>0.52759999999999996</v>
      </c>
      <c r="DZ6" s="230">
        <v>11431875</v>
      </c>
      <c r="EA6" s="229">
        <v>7.1999999999999998E-3</v>
      </c>
      <c r="EB6" s="229">
        <v>0.52759999999999996</v>
      </c>
      <c r="EC6" s="228">
        <v>9.35</v>
      </c>
      <c r="ED6" s="229">
        <v>7.3000000000000001E-3</v>
      </c>
      <c r="EE6" s="230">
        <v>3345212</v>
      </c>
      <c r="EF6" s="230">
        <v>2904682</v>
      </c>
      <c r="EG6" s="229">
        <v>0.1517</v>
      </c>
      <c r="EH6" s="229">
        <v>0.56979999999999997</v>
      </c>
      <c r="EI6" s="231">
        <v>1033220.99</v>
      </c>
      <c r="EJ6" s="231">
        <v>505523.46</v>
      </c>
      <c r="EK6" s="231">
        <v>860249.08</v>
      </c>
      <c r="EL6" s="231">
        <v>17815</v>
      </c>
      <c r="EM6" s="231">
        <v>2398993.5299999998</v>
      </c>
      <c r="EN6" s="231">
        <v>1089037.71</v>
      </c>
      <c r="EO6" s="231">
        <v>1309955.82</v>
      </c>
      <c r="EP6" s="229">
        <v>1.2029000000000001</v>
      </c>
      <c r="EQ6" s="231">
        <v>235714</v>
      </c>
      <c r="ER6" s="231">
        <v>170366</v>
      </c>
      <c r="ES6" s="231">
        <v>965714</v>
      </c>
      <c r="ET6" s="231">
        <v>316147681</v>
      </c>
      <c r="EU6" s="231">
        <v>1371793</v>
      </c>
      <c r="EV6" s="231">
        <v>1378112</v>
      </c>
      <c r="EW6" s="231">
        <v>-6319</v>
      </c>
      <c r="EX6" s="229">
        <v>-4.5999999999999999E-3</v>
      </c>
      <c r="EY6" s="229">
        <v>0.33889999999999998</v>
      </c>
    </row>
    <row r="7" spans="1:155" ht="17.25" thickBot="1" x14ac:dyDescent="0.3">
      <c r="A7" s="226">
        <v>45981</v>
      </c>
      <c r="B7" s="227" t="s">
        <v>162</v>
      </c>
      <c r="C7" s="227" t="s">
        <v>174</v>
      </c>
      <c r="D7" s="231">
        <v>8982</v>
      </c>
      <c r="E7" s="231">
        <v>8885</v>
      </c>
      <c r="F7" s="228">
        <v>97</v>
      </c>
      <c r="G7" s="229">
        <v>1.09E-2</v>
      </c>
      <c r="H7" s="231">
        <v>8979.5</v>
      </c>
      <c r="I7" s="231">
        <v>8884.5</v>
      </c>
      <c r="J7" s="228">
        <v>95</v>
      </c>
      <c r="K7" s="229">
        <v>1.0699999999999999E-2</v>
      </c>
      <c r="L7" s="231">
        <v>8982</v>
      </c>
      <c r="M7" s="231">
        <v>8885</v>
      </c>
      <c r="N7" s="228">
        <v>97</v>
      </c>
      <c r="O7" s="229">
        <v>1.09E-2</v>
      </c>
      <c r="P7" s="231">
        <v>9001</v>
      </c>
      <c r="Q7" s="231">
        <v>8916</v>
      </c>
      <c r="R7" s="228">
        <v>85</v>
      </c>
      <c r="S7" s="229">
        <v>9.4999999999999998E-3</v>
      </c>
      <c r="T7" s="231">
        <v>9028.5</v>
      </c>
      <c r="U7" s="231">
        <v>8940.5</v>
      </c>
      <c r="V7" s="228">
        <v>88</v>
      </c>
      <c r="W7" s="229">
        <v>9.7999999999999997E-3</v>
      </c>
      <c r="X7" s="228">
        <v>2.5</v>
      </c>
      <c r="Y7" s="228">
        <v>0.5</v>
      </c>
      <c r="Z7" s="228">
        <v>2</v>
      </c>
      <c r="AA7" s="229">
        <v>2.9999999999999997E-4</v>
      </c>
      <c r="AB7" s="228">
        <v>2.5</v>
      </c>
      <c r="AC7" s="228">
        <v>0.5</v>
      </c>
      <c r="AD7" s="228">
        <v>2</v>
      </c>
      <c r="AE7" s="229">
        <v>2.9999999999999997E-4</v>
      </c>
      <c r="AF7" s="228">
        <v>21.5</v>
      </c>
      <c r="AG7" s="228">
        <v>31.5</v>
      </c>
      <c r="AH7" s="228">
        <v>-10</v>
      </c>
      <c r="AI7" s="229">
        <v>2.3999999999999998E-3</v>
      </c>
      <c r="AJ7" s="228">
        <v>49</v>
      </c>
      <c r="AK7" s="228">
        <v>56</v>
      </c>
      <c r="AL7" s="228">
        <v>-7</v>
      </c>
      <c r="AM7" s="229">
        <v>5.4999999999999997E-3</v>
      </c>
      <c r="AN7" s="231">
        <v>8964.76</v>
      </c>
      <c r="AO7" s="231">
        <v>8985.15</v>
      </c>
      <c r="AP7" s="228">
        <v>0</v>
      </c>
      <c r="AQ7" s="230">
        <v>42283</v>
      </c>
      <c r="AR7" s="230">
        <v>6408</v>
      </c>
      <c r="AS7" s="230">
        <v>35875</v>
      </c>
      <c r="AT7" s="229">
        <v>5.5984999999999996</v>
      </c>
      <c r="AU7" s="230">
        <v>21868</v>
      </c>
      <c r="AV7" s="230">
        <v>3939</v>
      </c>
      <c r="AW7" s="230">
        <v>17929</v>
      </c>
      <c r="AX7" s="229">
        <v>4.5517000000000003</v>
      </c>
      <c r="AY7" s="230">
        <v>20339</v>
      </c>
      <c r="AZ7" s="230">
        <v>2414</v>
      </c>
      <c r="BA7" s="230">
        <v>17925</v>
      </c>
      <c r="BB7" s="229">
        <v>7.4253999999999998</v>
      </c>
      <c r="BC7" s="228">
        <v>76</v>
      </c>
      <c r="BD7" s="228">
        <v>55</v>
      </c>
      <c r="BE7" s="228">
        <v>21</v>
      </c>
      <c r="BF7" s="229">
        <v>0.38179999999999997</v>
      </c>
      <c r="BG7" s="230">
        <v>67514</v>
      </c>
      <c r="BH7" s="230">
        <v>37230</v>
      </c>
      <c r="BI7" s="230">
        <v>30284</v>
      </c>
      <c r="BJ7" s="229">
        <v>0.81340000000000001</v>
      </c>
      <c r="BK7" s="230">
        <v>29633</v>
      </c>
      <c r="BL7" s="230">
        <v>14115</v>
      </c>
      <c r="BM7" s="230">
        <v>15518</v>
      </c>
      <c r="BN7" s="229">
        <v>1.0993999999999999</v>
      </c>
      <c r="BO7" s="230">
        <v>139430</v>
      </c>
      <c r="BP7" s="230">
        <v>57753</v>
      </c>
      <c r="BQ7" s="230">
        <v>81677</v>
      </c>
      <c r="BR7" s="229">
        <v>1.4141999999999999</v>
      </c>
      <c r="BS7" s="230">
        <v>196133</v>
      </c>
      <c r="BT7" s="230">
        <v>335993</v>
      </c>
      <c r="BU7" s="230">
        <v>-139860</v>
      </c>
      <c r="BV7" s="229">
        <v>-0.4163</v>
      </c>
      <c r="BW7" s="230">
        <v>3381150</v>
      </c>
      <c r="BX7" s="230">
        <v>3758100</v>
      </c>
      <c r="BY7" s="230">
        <v>-376950</v>
      </c>
      <c r="BZ7" s="229">
        <v>-0.1003</v>
      </c>
      <c r="CA7" s="230">
        <v>2071875</v>
      </c>
      <c r="CB7" s="230">
        <v>3275475</v>
      </c>
      <c r="CC7" s="230">
        <v>-1203600</v>
      </c>
      <c r="CD7" s="229">
        <v>-0.36749999999999999</v>
      </c>
      <c r="CE7" s="230">
        <v>1284675</v>
      </c>
      <c r="CF7" s="230">
        <v>458850</v>
      </c>
      <c r="CG7" s="230">
        <v>825825</v>
      </c>
      <c r="CH7" s="229">
        <v>1.7998000000000001</v>
      </c>
      <c r="CI7" s="230">
        <v>24600</v>
      </c>
      <c r="CJ7" s="230">
        <v>23775</v>
      </c>
      <c r="CK7" s="228">
        <v>825</v>
      </c>
      <c r="CL7" s="229">
        <v>3.4700000000000002E-2</v>
      </c>
      <c r="CM7" s="230">
        <v>2031450</v>
      </c>
      <c r="CN7" s="230">
        <v>2178000</v>
      </c>
      <c r="CO7" s="230">
        <v>-146550</v>
      </c>
      <c r="CP7" s="229">
        <v>-6.7299999999999999E-2</v>
      </c>
      <c r="CQ7" s="230">
        <v>1223475</v>
      </c>
      <c r="CR7" s="230">
        <v>1291575</v>
      </c>
      <c r="CS7" s="230">
        <v>-68100</v>
      </c>
      <c r="CT7" s="229">
        <v>-5.2699999999999997E-2</v>
      </c>
      <c r="CU7" s="230">
        <v>6636075</v>
      </c>
      <c r="CV7" s="230">
        <v>7227675</v>
      </c>
      <c r="CW7" s="230">
        <v>-591600</v>
      </c>
      <c r="CX7" s="229">
        <v>-8.1900000000000001E-2</v>
      </c>
      <c r="CY7" s="228">
        <v>22.06</v>
      </c>
      <c r="CZ7" s="228">
        <v>23.14</v>
      </c>
      <c r="DA7" s="228">
        <v>-1.08</v>
      </c>
      <c r="DB7" s="228">
        <v>-1.08</v>
      </c>
      <c r="DC7" s="228">
        <v>29.17</v>
      </c>
      <c r="DD7" s="228">
        <v>29.21</v>
      </c>
      <c r="DE7" s="228">
        <v>-7.11</v>
      </c>
      <c r="DF7" s="228">
        <v>-0.04</v>
      </c>
      <c r="DG7" s="228">
        <v>21.46</v>
      </c>
      <c r="DH7" s="228">
        <v>23.39</v>
      </c>
      <c r="DI7" s="228">
        <v>-1.93</v>
      </c>
      <c r="DJ7" s="228">
        <v>-1.93</v>
      </c>
      <c r="DK7" s="228">
        <v>22.87</v>
      </c>
      <c r="DL7" s="228">
        <v>22.5</v>
      </c>
      <c r="DM7" s="228">
        <v>0.37</v>
      </c>
      <c r="DN7" s="228">
        <v>0.37</v>
      </c>
      <c r="DO7" s="228">
        <v>0.6</v>
      </c>
      <c r="DP7" s="228">
        <v>0.59</v>
      </c>
      <c r="DQ7" s="228">
        <v>0.01</v>
      </c>
      <c r="DR7" s="229">
        <v>1.6899999999999998E-2</v>
      </c>
      <c r="DS7" s="231">
        <v>9000</v>
      </c>
      <c r="DT7" s="231">
        <v>8800</v>
      </c>
      <c r="DU7" s="228">
        <v>0.44</v>
      </c>
      <c r="DV7" s="228">
        <v>0.38</v>
      </c>
      <c r="DW7" s="228">
        <v>0.06</v>
      </c>
      <c r="DX7" s="229">
        <v>0.15790000000000001</v>
      </c>
      <c r="DY7" s="229">
        <v>0.38719999999999999</v>
      </c>
      <c r="DZ7" s="230">
        <v>482625</v>
      </c>
      <c r="EA7" s="229">
        <v>2.0999999999999999E-3</v>
      </c>
      <c r="EB7" s="229">
        <v>0.38719999999999999</v>
      </c>
      <c r="EC7" s="228">
        <v>20.39</v>
      </c>
      <c r="ED7" s="229">
        <v>2.3E-3</v>
      </c>
      <c r="EE7" s="230">
        <v>96308</v>
      </c>
      <c r="EF7" s="230">
        <v>234693</v>
      </c>
      <c r="EG7" s="229">
        <v>-0.58960000000000001</v>
      </c>
      <c r="EH7" s="229">
        <v>0.49099999999999999</v>
      </c>
      <c r="EI7" s="231">
        <v>467702.9</v>
      </c>
      <c r="EJ7" s="231">
        <v>193894.94</v>
      </c>
      <c r="EK7" s="231">
        <v>284607.59999999998</v>
      </c>
      <c r="EL7" s="231">
        <v>7866</v>
      </c>
      <c r="EM7" s="231">
        <v>946205.44</v>
      </c>
      <c r="EN7" s="231">
        <v>393878.33</v>
      </c>
      <c r="EO7" s="231">
        <v>552327.11</v>
      </c>
      <c r="EP7" s="229">
        <v>1.4023000000000001</v>
      </c>
      <c r="EQ7" s="231">
        <v>189749</v>
      </c>
      <c r="ER7" s="231">
        <v>106049</v>
      </c>
      <c r="ES7" s="231">
        <v>303950</v>
      </c>
      <c r="ET7" s="231">
        <v>12547731</v>
      </c>
      <c r="EU7" s="231">
        <v>599748</v>
      </c>
      <c r="EV7" s="231">
        <v>648822</v>
      </c>
      <c r="EW7" s="231">
        <v>-49074</v>
      </c>
      <c r="EX7" s="229">
        <v>-7.5600000000000001E-2</v>
      </c>
      <c r="EY7" s="229">
        <v>0.52890000000000004</v>
      </c>
    </row>
    <row r="8" spans="1:155" ht="17.25" thickBot="1" x14ac:dyDescent="0.3">
      <c r="A8" s="226">
        <v>45981</v>
      </c>
      <c r="B8" s="227" t="s">
        <v>175</v>
      </c>
      <c r="C8" s="227" t="s">
        <v>176</v>
      </c>
      <c r="D8" s="231">
        <v>2099.3000000000002</v>
      </c>
      <c r="E8" s="231">
        <v>2051</v>
      </c>
      <c r="F8" s="228">
        <v>48.3</v>
      </c>
      <c r="G8" s="229">
        <v>2.35E-2</v>
      </c>
      <c r="H8" s="231">
        <v>2095.6</v>
      </c>
      <c r="I8" s="231">
        <v>2050.1999999999998</v>
      </c>
      <c r="J8" s="228">
        <v>45.4</v>
      </c>
      <c r="K8" s="229">
        <v>2.2100000000000002E-2</v>
      </c>
      <c r="L8" s="231">
        <v>2099.3000000000002</v>
      </c>
      <c r="M8" s="231">
        <v>2051</v>
      </c>
      <c r="N8" s="228">
        <v>48.3</v>
      </c>
      <c r="O8" s="229">
        <v>2.35E-2</v>
      </c>
      <c r="P8" s="231">
        <v>2114.5</v>
      </c>
      <c r="Q8" s="231">
        <v>2065.3000000000002</v>
      </c>
      <c r="R8" s="228">
        <v>49.2</v>
      </c>
      <c r="S8" s="229">
        <v>2.3800000000000002E-2</v>
      </c>
      <c r="T8" s="231">
        <v>2126</v>
      </c>
      <c r="U8" s="231">
        <v>2075.6999999999998</v>
      </c>
      <c r="V8" s="228">
        <v>50.3</v>
      </c>
      <c r="W8" s="229">
        <v>2.4199999999999999E-2</v>
      </c>
      <c r="X8" s="228">
        <v>3.7</v>
      </c>
      <c r="Y8" s="228">
        <v>0.8</v>
      </c>
      <c r="Z8" s="228">
        <v>2.9</v>
      </c>
      <c r="AA8" s="229">
        <v>1.8E-3</v>
      </c>
      <c r="AB8" s="228">
        <v>3.7</v>
      </c>
      <c r="AC8" s="228">
        <v>0.8</v>
      </c>
      <c r="AD8" s="228">
        <v>2.9</v>
      </c>
      <c r="AE8" s="229">
        <v>1.8E-3</v>
      </c>
      <c r="AF8" s="228">
        <v>18.899999999999999</v>
      </c>
      <c r="AG8" s="228">
        <v>15.1</v>
      </c>
      <c r="AH8" s="228">
        <v>3.8</v>
      </c>
      <c r="AI8" s="229">
        <v>8.9999999999999993E-3</v>
      </c>
      <c r="AJ8" s="228">
        <v>30.4</v>
      </c>
      <c r="AK8" s="228">
        <v>25.5</v>
      </c>
      <c r="AL8" s="228">
        <v>4.9000000000000004</v>
      </c>
      <c r="AM8" s="229">
        <v>1.4500000000000001E-2</v>
      </c>
      <c r="AN8" s="231">
        <v>2083.7600000000002</v>
      </c>
      <c r="AO8" s="231">
        <v>2097.84</v>
      </c>
      <c r="AP8" s="228">
        <v>0</v>
      </c>
      <c r="AQ8" s="230">
        <v>49882</v>
      </c>
      <c r="AR8" s="230">
        <v>16798</v>
      </c>
      <c r="AS8" s="230">
        <v>33084</v>
      </c>
      <c r="AT8" s="229">
        <v>1.9695</v>
      </c>
      <c r="AU8" s="230">
        <v>26170</v>
      </c>
      <c r="AV8" s="230">
        <v>10239</v>
      </c>
      <c r="AW8" s="230">
        <v>15931</v>
      </c>
      <c r="AX8" s="229">
        <v>1.5559000000000001</v>
      </c>
      <c r="AY8" s="230">
        <v>23548</v>
      </c>
      <c r="AZ8" s="230">
        <v>6496</v>
      </c>
      <c r="BA8" s="230">
        <v>17052</v>
      </c>
      <c r="BB8" s="229">
        <v>2.625</v>
      </c>
      <c r="BC8" s="228">
        <v>164</v>
      </c>
      <c r="BD8" s="228">
        <v>63</v>
      </c>
      <c r="BE8" s="228">
        <v>101</v>
      </c>
      <c r="BF8" s="229">
        <v>1.6032</v>
      </c>
      <c r="BG8" s="230">
        <v>98484</v>
      </c>
      <c r="BH8" s="230">
        <v>35770</v>
      </c>
      <c r="BI8" s="230">
        <v>62714</v>
      </c>
      <c r="BJ8" s="229">
        <v>1.7533000000000001</v>
      </c>
      <c r="BK8" s="230">
        <v>36987</v>
      </c>
      <c r="BL8" s="230">
        <v>15397</v>
      </c>
      <c r="BM8" s="230">
        <v>21590</v>
      </c>
      <c r="BN8" s="229">
        <v>1.4021999999999999</v>
      </c>
      <c r="BO8" s="230">
        <v>185353</v>
      </c>
      <c r="BP8" s="230">
        <v>67965</v>
      </c>
      <c r="BQ8" s="230">
        <v>117388</v>
      </c>
      <c r="BR8" s="229">
        <v>1.7272000000000001</v>
      </c>
      <c r="BS8" s="230">
        <v>1681219</v>
      </c>
      <c r="BT8" s="230">
        <v>720509</v>
      </c>
      <c r="BU8" s="230">
        <v>960710</v>
      </c>
      <c r="BV8" s="229">
        <v>1.3333999999999999</v>
      </c>
      <c r="BW8" s="230">
        <v>19174000</v>
      </c>
      <c r="BX8" s="230">
        <v>19194750</v>
      </c>
      <c r="BY8" s="230">
        <v>-20750</v>
      </c>
      <c r="BZ8" s="229">
        <v>-1.1000000000000001E-3</v>
      </c>
      <c r="CA8" s="230">
        <v>11741000</v>
      </c>
      <c r="CB8" s="230">
        <v>16714500</v>
      </c>
      <c r="CC8" s="230">
        <v>-4973500</v>
      </c>
      <c r="CD8" s="229">
        <v>-0.29759999999999998</v>
      </c>
      <c r="CE8" s="230">
        <v>7353000</v>
      </c>
      <c r="CF8" s="230">
        <v>2401750</v>
      </c>
      <c r="CG8" s="230">
        <v>4951250</v>
      </c>
      <c r="CH8" s="229">
        <v>2.0615000000000001</v>
      </c>
      <c r="CI8" s="230">
        <v>80000</v>
      </c>
      <c r="CJ8" s="230">
        <v>78500</v>
      </c>
      <c r="CK8" s="230">
        <v>1500</v>
      </c>
      <c r="CL8" s="229">
        <v>1.9099999999999999E-2</v>
      </c>
      <c r="CM8" s="230">
        <v>6710000</v>
      </c>
      <c r="CN8" s="230">
        <v>7250250</v>
      </c>
      <c r="CO8" s="230">
        <v>-540250</v>
      </c>
      <c r="CP8" s="229">
        <v>-7.4499999999999997E-2</v>
      </c>
      <c r="CQ8" s="230">
        <v>4833500</v>
      </c>
      <c r="CR8" s="230">
        <v>4417750</v>
      </c>
      <c r="CS8" s="230">
        <v>415750</v>
      </c>
      <c r="CT8" s="229">
        <v>9.4100000000000003E-2</v>
      </c>
      <c r="CU8" s="230">
        <v>30717500</v>
      </c>
      <c r="CV8" s="230">
        <v>30862750</v>
      </c>
      <c r="CW8" s="230">
        <v>-145250</v>
      </c>
      <c r="CX8" s="229">
        <v>-4.7000000000000002E-3</v>
      </c>
      <c r="CY8" s="228">
        <v>20.25</v>
      </c>
      <c r="CZ8" s="228">
        <v>20.74</v>
      </c>
      <c r="DA8" s="228">
        <v>-0.49</v>
      </c>
      <c r="DB8" s="228">
        <v>-0.49</v>
      </c>
      <c r="DC8" s="228">
        <v>29.05</v>
      </c>
      <c r="DD8" s="228">
        <v>28.95</v>
      </c>
      <c r="DE8" s="228">
        <v>-8.8000000000000007</v>
      </c>
      <c r="DF8" s="228">
        <v>0.1</v>
      </c>
      <c r="DG8" s="228">
        <v>19.940000000000001</v>
      </c>
      <c r="DH8" s="228">
        <v>20.96</v>
      </c>
      <c r="DI8" s="228">
        <v>-1.02</v>
      </c>
      <c r="DJ8" s="228">
        <v>-1.02</v>
      </c>
      <c r="DK8" s="228">
        <v>20.89</v>
      </c>
      <c r="DL8" s="228">
        <v>20.23</v>
      </c>
      <c r="DM8" s="228">
        <v>0.66</v>
      </c>
      <c r="DN8" s="228">
        <v>0.66</v>
      </c>
      <c r="DO8" s="228">
        <v>0.72</v>
      </c>
      <c r="DP8" s="228">
        <v>0.61</v>
      </c>
      <c r="DQ8" s="228">
        <v>0.11</v>
      </c>
      <c r="DR8" s="229">
        <v>0.18029999999999999</v>
      </c>
      <c r="DS8" s="231">
        <v>2100</v>
      </c>
      <c r="DT8" s="231">
        <v>2000</v>
      </c>
      <c r="DU8" s="228">
        <v>0.38</v>
      </c>
      <c r="DV8" s="228">
        <v>0.43</v>
      </c>
      <c r="DW8" s="228">
        <v>-0.05</v>
      </c>
      <c r="DX8" s="229">
        <v>-0.1163</v>
      </c>
      <c r="DY8" s="229">
        <v>0.38769999999999999</v>
      </c>
      <c r="DZ8" s="230">
        <v>2480250</v>
      </c>
      <c r="EA8" s="229">
        <v>7.1999999999999998E-3</v>
      </c>
      <c r="EB8" s="229">
        <v>0.38769999999999999</v>
      </c>
      <c r="EC8" s="228">
        <v>14.08</v>
      </c>
      <c r="ED8" s="229">
        <v>6.7999999999999996E-3</v>
      </c>
      <c r="EE8" s="230">
        <v>896095</v>
      </c>
      <c r="EF8" s="230">
        <v>440994</v>
      </c>
      <c r="EG8" s="229">
        <v>1.032</v>
      </c>
      <c r="EH8" s="229">
        <v>0.53300000000000003</v>
      </c>
      <c r="EI8" s="231">
        <v>524552.54</v>
      </c>
      <c r="EJ8" s="231">
        <v>190933.43</v>
      </c>
      <c r="EK8" s="231">
        <v>260694.66</v>
      </c>
      <c r="EL8" s="231">
        <v>9340</v>
      </c>
      <c r="EM8" s="231">
        <v>976180.63</v>
      </c>
      <c r="EN8" s="231">
        <v>353226.46</v>
      </c>
      <c r="EO8" s="231">
        <v>622954.17000000004</v>
      </c>
      <c r="EP8" s="229">
        <v>1.7636000000000001</v>
      </c>
      <c r="EQ8" s="231">
        <v>144031</v>
      </c>
      <c r="ER8" s="231">
        <v>96938</v>
      </c>
      <c r="ES8" s="231">
        <v>403659</v>
      </c>
      <c r="ET8" s="231">
        <v>65659712</v>
      </c>
      <c r="EU8" s="231">
        <v>644627</v>
      </c>
      <c r="EV8" s="231">
        <v>637010</v>
      </c>
      <c r="EW8" s="231">
        <v>7617</v>
      </c>
      <c r="EX8" s="229">
        <v>1.2E-2</v>
      </c>
      <c r="EY8" s="229">
        <v>0.46779999999999999</v>
      </c>
    </row>
    <row r="9" spans="1:155" ht="17.25" thickBot="1" x14ac:dyDescent="0.3">
      <c r="A9" s="226">
        <v>45981</v>
      </c>
      <c r="B9" s="227" t="s">
        <v>175</v>
      </c>
      <c r="C9" s="227" t="s">
        <v>177</v>
      </c>
      <c r="D9" s="231">
        <v>1030.0999999999999</v>
      </c>
      <c r="E9" s="231">
        <v>1007.7</v>
      </c>
      <c r="F9" s="228">
        <v>22.4</v>
      </c>
      <c r="G9" s="229">
        <v>2.2200000000000001E-2</v>
      </c>
      <c r="H9" s="231">
        <v>1028.5999999999999</v>
      </c>
      <c r="I9" s="231">
        <v>1005.6</v>
      </c>
      <c r="J9" s="228">
        <v>23</v>
      </c>
      <c r="K9" s="229">
        <v>2.29E-2</v>
      </c>
      <c r="L9" s="231">
        <v>1030.0999999999999</v>
      </c>
      <c r="M9" s="231">
        <v>1007.7</v>
      </c>
      <c r="N9" s="228">
        <v>22.4</v>
      </c>
      <c r="O9" s="229">
        <v>2.2200000000000001E-2</v>
      </c>
      <c r="P9" s="231">
        <v>1036.9000000000001</v>
      </c>
      <c r="Q9" s="231">
        <v>1014.2</v>
      </c>
      <c r="R9" s="228">
        <v>22.7</v>
      </c>
      <c r="S9" s="229">
        <v>2.24E-2</v>
      </c>
      <c r="T9" s="231">
        <v>1042.9000000000001</v>
      </c>
      <c r="U9" s="231">
        <v>1020.6</v>
      </c>
      <c r="V9" s="228">
        <v>22.3</v>
      </c>
      <c r="W9" s="229">
        <v>2.18E-2</v>
      </c>
      <c r="X9" s="228">
        <v>1.5</v>
      </c>
      <c r="Y9" s="228">
        <v>2.1</v>
      </c>
      <c r="Z9" s="228">
        <v>-0.6</v>
      </c>
      <c r="AA9" s="229">
        <v>1.5E-3</v>
      </c>
      <c r="AB9" s="228">
        <v>1.5</v>
      </c>
      <c r="AC9" s="228">
        <v>2.1</v>
      </c>
      <c r="AD9" s="228">
        <v>-0.6</v>
      </c>
      <c r="AE9" s="229">
        <v>1.5E-3</v>
      </c>
      <c r="AF9" s="228">
        <v>8.3000000000000007</v>
      </c>
      <c r="AG9" s="228">
        <v>8.6</v>
      </c>
      <c r="AH9" s="228">
        <v>-0.3</v>
      </c>
      <c r="AI9" s="229">
        <v>8.0999999999999996E-3</v>
      </c>
      <c r="AJ9" s="228">
        <v>14.3</v>
      </c>
      <c r="AK9" s="228">
        <v>15</v>
      </c>
      <c r="AL9" s="228">
        <v>-0.7</v>
      </c>
      <c r="AM9" s="229">
        <v>1.3899999999999999E-2</v>
      </c>
      <c r="AN9" s="231">
        <v>1021.95</v>
      </c>
      <c r="AO9" s="231">
        <v>1028.53</v>
      </c>
      <c r="AP9" s="228">
        <v>0</v>
      </c>
      <c r="AQ9" s="230">
        <v>84550</v>
      </c>
      <c r="AR9" s="230">
        <v>15658</v>
      </c>
      <c r="AS9" s="230">
        <v>68892</v>
      </c>
      <c r="AT9" s="229">
        <v>4.3997999999999999</v>
      </c>
      <c r="AU9" s="230">
        <v>43175</v>
      </c>
      <c r="AV9" s="230">
        <v>9297</v>
      </c>
      <c r="AW9" s="230">
        <v>33878</v>
      </c>
      <c r="AX9" s="229">
        <v>3.6440000000000001</v>
      </c>
      <c r="AY9" s="230">
        <v>41144</v>
      </c>
      <c r="AZ9" s="230">
        <v>6174</v>
      </c>
      <c r="BA9" s="230">
        <v>34970</v>
      </c>
      <c r="BB9" s="229">
        <v>5.6641000000000004</v>
      </c>
      <c r="BC9" s="228">
        <v>231</v>
      </c>
      <c r="BD9" s="228">
        <v>187</v>
      </c>
      <c r="BE9" s="228">
        <v>44</v>
      </c>
      <c r="BF9" s="229">
        <v>0.23530000000000001</v>
      </c>
      <c r="BG9" s="230">
        <v>72343</v>
      </c>
      <c r="BH9" s="230">
        <v>48799</v>
      </c>
      <c r="BI9" s="230">
        <v>23544</v>
      </c>
      <c r="BJ9" s="229">
        <v>0.48249999999999998</v>
      </c>
      <c r="BK9" s="230">
        <v>31968</v>
      </c>
      <c r="BL9" s="230">
        <v>21212</v>
      </c>
      <c r="BM9" s="230">
        <v>10756</v>
      </c>
      <c r="BN9" s="229">
        <v>0.5071</v>
      </c>
      <c r="BO9" s="230">
        <v>188861</v>
      </c>
      <c r="BP9" s="230">
        <v>85669</v>
      </c>
      <c r="BQ9" s="230">
        <v>103192</v>
      </c>
      <c r="BR9" s="229">
        <v>1.2044999999999999</v>
      </c>
      <c r="BS9" s="230">
        <v>5923387</v>
      </c>
      <c r="BT9" s="230">
        <v>5841050</v>
      </c>
      <c r="BU9" s="230">
        <v>82337</v>
      </c>
      <c r="BV9" s="229">
        <v>1.41E-2</v>
      </c>
      <c r="BW9" s="230">
        <v>92992500</v>
      </c>
      <c r="BX9" s="230">
        <v>94208250</v>
      </c>
      <c r="BY9" s="230">
        <v>-1215750</v>
      </c>
      <c r="BZ9" s="229">
        <v>-1.29E-2</v>
      </c>
      <c r="CA9" s="230">
        <v>52906500</v>
      </c>
      <c r="CB9" s="230">
        <v>81330000</v>
      </c>
      <c r="CC9" s="230">
        <v>-28423500</v>
      </c>
      <c r="CD9" s="229">
        <v>-0.34949999999999998</v>
      </c>
      <c r="CE9" s="230">
        <v>39583500</v>
      </c>
      <c r="CF9" s="230">
        <v>12377250</v>
      </c>
      <c r="CG9" s="230">
        <v>27206250</v>
      </c>
      <c r="CH9" s="229">
        <v>2.1981000000000002</v>
      </c>
      <c r="CI9" s="230">
        <v>502500</v>
      </c>
      <c r="CJ9" s="230">
        <v>501000</v>
      </c>
      <c r="CK9" s="230">
        <v>1500</v>
      </c>
      <c r="CL9" s="229">
        <v>3.0000000000000001E-3</v>
      </c>
      <c r="CM9" s="230">
        <v>27608250</v>
      </c>
      <c r="CN9" s="230">
        <v>33400500</v>
      </c>
      <c r="CO9" s="230">
        <v>-5792250</v>
      </c>
      <c r="CP9" s="229">
        <v>-0.1734</v>
      </c>
      <c r="CQ9" s="230">
        <v>17313000</v>
      </c>
      <c r="CR9" s="230">
        <v>18675000</v>
      </c>
      <c r="CS9" s="230">
        <v>-1362000</v>
      </c>
      <c r="CT9" s="229">
        <v>-7.2900000000000006E-2</v>
      </c>
      <c r="CU9" s="230">
        <v>137913750</v>
      </c>
      <c r="CV9" s="230">
        <v>146283750</v>
      </c>
      <c r="CW9" s="230">
        <v>-8370000</v>
      </c>
      <c r="CX9" s="229">
        <v>-5.7200000000000001E-2</v>
      </c>
      <c r="CY9" s="228">
        <v>20.41</v>
      </c>
      <c r="CZ9" s="228">
        <v>25.25</v>
      </c>
      <c r="DA9" s="228">
        <v>-4.84</v>
      </c>
      <c r="DB9" s="228">
        <v>-4.84</v>
      </c>
      <c r="DC9" s="228">
        <v>32.130000000000003</v>
      </c>
      <c r="DD9" s="228">
        <v>32.07</v>
      </c>
      <c r="DE9" s="228">
        <v>-11.72</v>
      </c>
      <c r="DF9" s="228">
        <v>0.06</v>
      </c>
      <c r="DG9" s="228">
        <v>20.21</v>
      </c>
      <c r="DH9" s="228">
        <v>26.19</v>
      </c>
      <c r="DI9" s="228">
        <v>-5.98</v>
      </c>
      <c r="DJ9" s="228">
        <v>-5.98</v>
      </c>
      <c r="DK9" s="228">
        <v>20.85</v>
      </c>
      <c r="DL9" s="228">
        <v>23.09</v>
      </c>
      <c r="DM9" s="228">
        <v>-2.2400000000000002</v>
      </c>
      <c r="DN9" s="228">
        <v>-2.2400000000000002</v>
      </c>
      <c r="DO9" s="228">
        <v>0.63</v>
      </c>
      <c r="DP9" s="228">
        <v>0.56000000000000005</v>
      </c>
      <c r="DQ9" s="228">
        <v>7.0000000000000007E-2</v>
      </c>
      <c r="DR9" s="229">
        <v>0.125</v>
      </c>
      <c r="DS9" s="231">
        <v>1100</v>
      </c>
      <c r="DT9" s="231">
        <v>1000</v>
      </c>
      <c r="DU9" s="228">
        <v>0.44</v>
      </c>
      <c r="DV9" s="228">
        <v>0.43</v>
      </c>
      <c r="DW9" s="228">
        <v>0.01</v>
      </c>
      <c r="DX9" s="229">
        <v>2.3300000000000001E-2</v>
      </c>
      <c r="DY9" s="229">
        <v>0.43109999999999998</v>
      </c>
      <c r="DZ9" s="230">
        <v>12878250</v>
      </c>
      <c r="EA9" s="229">
        <v>6.6E-3</v>
      </c>
      <c r="EB9" s="229">
        <v>0.43109999999999998</v>
      </c>
      <c r="EC9" s="228">
        <v>6.58</v>
      </c>
      <c r="ED9" s="229">
        <v>6.4000000000000003E-3</v>
      </c>
      <c r="EE9" s="230">
        <v>3465123</v>
      </c>
      <c r="EF9" s="230">
        <v>4240980</v>
      </c>
      <c r="EG9" s="229">
        <v>-0.18290000000000001</v>
      </c>
      <c r="EH9" s="229">
        <v>0.58499999999999996</v>
      </c>
      <c r="EI9" s="231">
        <v>572760.89</v>
      </c>
      <c r="EJ9" s="231">
        <v>242739.71</v>
      </c>
      <c r="EK9" s="231">
        <v>650100.19999999995</v>
      </c>
      <c r="EL9" s="231">
        <v>12446</v>
      </c>
      <c r="EM9" s="231">
        <v>1465600.8</v>
      </c>
      <c r="EN9" s="231">
        <v>665609.23</v>
      </c>
      <c r="EO9" s="231">
        <v>799991.57</v>
      </c>
      <c r="EP9" s="229">
        <v>1.2019</v>
      </c>
      <c r="EQ9" s="231">
        <v>299337</v>
      </c>
      <c r="ER9" s="231">
        <v>174124</v>
      </c>
      <c r="ES9" s="231">
        <v>960672</v>
      </c>
      <c r="ET9" s="231">
        <v>281116345</v>
      </c>
      <c r="EU9" s="231">
        <v>1434134</v>
      </c>
      <c r="EV9" s="231">
        <v>1497929</v>
      </c>
      <c r="EW9" s="231">
        <v>-63795</v>
      </c>
      <c r="EX9" s="229">
        <v>-4.2599999999999999E-2</v>
      </c>
      <c r="EY9" s="229">
        <v>0.49059999999999998</v>
      </c>
    </row>
    <row r="10" spans="1:155" ht="17.25" thickBot="1" x14ac:dyDescent="0.3">
      <c r="A10" s="226">
        <v>45981</v>
      </c>
      <c r="B10" s="227" t="s">
        <v>184</v>
      </c>
      <c r="C10" s="227" t="s">
        <v>185</v>
      </c>
      <c r="D10" s="228">
        <v>423.6</v>
      </c>
      <c r="E10" s="228">
        <v>423.1</v>
      </c>
      <c r="F10" s="228">
        <v>0.5</v>
      </c>
      <c r="G10" s="229">
        <v>1.1999999999999999E-3</v>
      </c>
      <c r="H10" s="228">
        <v>423</v>
      </c>
      <c r="I10" s="228">
        <v>423.2</v>
      </c>
      <c r="J10" s="228">
        <v>-0.2</v>
      </c>
      <c r="K10" s="229">
        <v>-5.0000000000000001E-4</v>
      </c>
      <c r="L10" s="228">
        <v>423.6</v>
      </c>
      <c r="M10" s="228">
        <v>423.1</v>
      </c>
      <c r="N10" s="228">
        <v>0.5</v>
      </c>
      <c r="O10" s="229">
        <v>1.1999999999999999E-3</v>
      </c>
      <c r="P10" s="228">
        <v>426.4</v>
      </c>
      <c r="Q10" s="228">
        <v>425.85</v>
      </c>
      <c r="R10" s="228">
        <v>0.55000000000000004</v>
      </c>
      <c r="S10" s="229">
        <v>1.2999999999999999E-3</v>
      </c>
      <c r="T10" s="228">
        <v>429.1</v>
      </c>
      <c r="U10" s="228">
        <v>428.45</v>
      </c>
      <c r="V10" s="228">
        <v>0.65</v>
      </c>
      <c r="W10" s="229">
        <v>1.5E-3</v>
      </c>
      <c r="X10" s="228">
        <v>0.6</v>
      </c>
      <c r="Y10" s="228">
        <v>-0.1</v>
      </c>
      <c r="Z10" s="228">
        <v>0.7</v>
      </c>
      <c r="AA10" s="229">
        <v>1.4E-3</v>
      </c>
      <c r="AB10" s="228">
        <v>0.6</v>
      </c>
      <c r="AC10" s="228">
        <v>-0.1</v>
      </c>
      <c r="AD10" s="228">
        <v>0.7</v>
      </c>
      <c r="AE10" s="229">
        <v>1.4E-3</v>
      </c>
      <c r="AF10" s="228">
        <v>3.4</v>
      </c>
      <c r="AG10" s="228">
        <v>2.65</v>
      </c>
      <c r="AH10" s="228">
        <v>0.75</v>
      </c>
      <c r="AI10" s="229">
        <v>8.0000000000000002E-3</v>
      </c>
      <c r="AJ10" s="228">
        <v>6.1</v>
      </c>
      <c r="AK10" s="228">
        <v>5.25</v>
      </c>
      <c r="AL10" s="228">
        <v>0.85</v>
      </c>
      <c r="AM10" s="229">
        <v>1.44E-2</v>
      </c>
      <c r="AN10" s="228">
        <v>425.6</v>
      </c>
      <c r="AO10" s="228">
        <v>428.36</v>
      </c>
      <c r="AP10" s="228">
        <v>0</v>
      </c>
      <c r="AQ10" s="230">
        <v>31001</v>
      </c>
      <c r="AR10" s="230">
        <v>13936</v>
      </c>
      <c r="AS10" s="230">
        <v>17065</v>
      </c>
      <c r="AT10" s="229">
        <v>1.2244999999999999</v>
      </c>
      <c r="AU10" s="230">
        <v>17513</v>
      </c>
      <c r="AV10" s="230">
        <v>8917</v>
      </c>
      <c r="AW10" s="230">
        <v>8596</v>
      </c>
      <c r="AX10" s="229">
        <v>0.96399999999999997</v>
      </c>
      <c r="AY10" s="230">
        <v>13231</v>
      </c>
      <c r="AZ10" s="230">
        <v>4753</v>
      </c>
      <c r="BA10" s="230">
        <v>8478</v>
      </c>
      <c r="BB10" s="229">
        <v>1.7837000000000001</v>
      </c>
      <c r="BC10" s="228">
        <v>257</v>
      </c>
      <c r="BD10" s="228">
        <v>266</v>
      </c>
      <c r="BE10" s="228">
        <v>-9</v>
      </c>
      <c r="BF10" s="229">
        <v>-3.3799999999999997E-2</v>
      </c>
      <c r="BG10" s="230">
        <v>88036</v>
      </c>
      <c r="BH10" s="230">
        <v>87444</v>
      </c>
      <c r="BI10" s="228">
        <v>592</v>
      </c>
      <c r="BJ10" s="229">
        <v>6.7999999999999996E-3</v>
      </c>
      <c r="BK10" s="230">
        <v>38861</v>
      </c>
      <c r="BL10" s="230">
        <v>45590</v>
      </c>
      <c r="BM10" s="230">
        <v>-6729</v>
      </c>
      <c r="BN10" s="229">
        <v>-0.14760000000000001</v>
      </c>
      <c r="BO10" s="230">
        <v>157898</v>
      </c>
      <c r="BP10" s="230">
        <v>146970</v>
      </c>
      <c r="BQ10" s="230">
        <v>10928</v>
      </c>
      <c r="BR10" s="229">
        <v>7.4399999999999994E-2</v>
      </c>
      <c r="BS10" s="230">
        <v>11531947</v>
      </c>
      <c r="BT10" s="230">
        <v>10144350</v>
      </c>
      <c r="BU10" s="230">
        <v>1387597</v>
      </c>
      <c r="BV10" s="229">
        <v>0.1368</v>
      </c>
      <c r="BW10" s="230">
        <v>112361250</v>
      </c>
      <c r="BX10" s="230">
        <v>116221575</v>
      </c>
      <c r="BY10" s="230">
        <v>-3860325</v>
      </c>
      <c r="BZ10" s="229">
        <v>-3.32E-2</v>
      </c>
      <c r="CA10" s="230">
        <v>75563475</v>
      </c>
      <c r="CB10" s="230">
        <v>92988375</v>
      </c>
      <c r="CC10" s="230">
        <v>-17424900</v>
      </c>
      <c r="CD10" s="229">
        <v>-0.18740000000000001</v>
      </c>
      <c r="CE10" s="230">
        <v>34846950</v>
      </c>
      <c r="CF10" s="230">
        <v>21392100</v>
      </c>
      <c r="CG10" s="230">
        <v>13454850</v>
      </c>
      <c r="CH10" s="229">
        <v>0.629</v>
      </c>
      <c r="CI10" s="230">
        <v>1950825</v>
      </c>
      <c r="CJ10" s="230">
        <v>1841100</v>
      </c>
      <c r="CK10" s="230">
        <v>109725</v>
      </c>
      <c r="CL10" s="229">
        <v>5.96E-2</v>
      </c>
      <c r="CM10" s="230">
        <v>66883800</v>
      </c>
      <c r="CN10" s="230">
        <v>77471550</v>
      </c>
      <c r="CO10" s="230">
        <v>-10587750</v>
      </c>
      <c r="CP10" s="229">
        <v>-0.13669999999999999</v>
      </c>
      <c r="CQ10" s="230">
        <v>37498875</v>
      </c>
      <c r="CR10" s="230">
        <v>41350650</v>
      </c>
      <c r="CS10" s="230">
        <v>-3851775</v>
      </c>
      <c r="CT10" s="229">
        <v>-9.3100000000000002E-2</v>
      </c>
      <c r="CU10" s="230">
        <v>216743925</v>
      </c>
      <c r="CV10" s="230">
        <v>235043775</v>
      </c>
      <c r="CW10" s="230">
        <v>-18299850</v>
      </c>
      <c r="CX10" s="229">
        <v>-7.7899999999999997E-2</v>
      </c>
      <c r="CY10" s="228">
        <v>23.86</v>
      </c>
      <c r="CZ10" s="228">
        <v>25.73</v>
      </c>
      <c r="DA10" s="228">
        <v>-1.87</v>
      </c>
      <c r="DB10" s="228">
        <v>-1.87</v>
      </c>
      <c r="DC10" s="228">
        <v>36.56</v>
      </c>
      <c r="DD10" s="228">
        <v>36.659999999999997</v>
      </c>
      <c r="DE10" s="228">
        <v>-12.7</v>
      </c>
      <c r="DF10" s="228">
        <v>-0.1</v>
      </c>
      <c r="DG10" s="228">
        <v>24.09</v>
      </c>
      <c r="DH10" s="228">
        <v>26.3</v>
      </c>
      <c r="DI10" s="228">
        <v>-2.21</v>
      </c>
      <c r="DJ10" s="228">
        <v>-2.21</v>
      </c>
      <c r="DK10" s="228">
        <v>23.4</v>
      </c>
      <c r="DL10" s="228">
        <v>24.63</v>
      </c>
      <c r="DM10" s="228">
        <v>-1.23</v>
      </c>
      <c r="DN10" s="228">
        <v>-1.23</v>
      </c>
      <c r="DO10" s="228">
        <v>0.56000000000000005</v>
      </c>
      <c r="DP10" s="228">
        <v>0.53</v>
      </c>
      <c r="DQ10" s="228">
        <v>0.03</v>
      </c>
      <c r="DR10" s="229">
        <v>5.6599999999999998E-2</v>
      </c>
      <c r="DS10" s="228">
        <v>430</v>
      </c>
      <c r="DT10" s="228">
        <v>420</v>
      </c>
      <c r="DU10" s="228">
        <v>0.44</v>
      </c>
      <c r="DV10" s="228">
        <v>0.52</v>
      </c>
      <c r="DW10" s="228">
        <v>-0.08</v>
      </c>
      <c r="DX10" s="229">
        <v>-0.15379999999999999</v>
      </c>
      <c r="DY10" s="229">
        <v>0.32750000000000001</v>
      </c>
      <c r="DZ10" s="230">
        <v>23233200</v>
      </c>
      <c r="EA10" s="229">
        <v>6.6E-3</v>
      </c>
      <c r="EB10" s="229">
        <v>0.32750000000000001</v>
      </c>
      <c r="EC10" s="228">
        <v>2.76</v>
      </c>
      <c r="ED10" s="229">
        <v>6.4999999999999997E-3</v>
      </c>
      <c r="EE10" s="230">
        <v>6591309</v>
      </c>
      <c r="EF10" s="230">
        <v>5380596</v>
      </c>
      <c r="EG10" s="229">
        <v>0.22500000000000001</v>
      </c>
      <c r="EH10" s="229">
        <v>0.5716</v>
      </c>
      <c r="EI10" s="231">
        <v>551785.91</v>
      </c>
      <c r="EJ10" s="231">
        <v>232722.69</v>
      </c>
      <c r="EK10" s="231">
        <v>188557.4</v>
      </c>
      <c r="EL10" s="231">
        <v>13284</v>
      </c>
      <c r="EM10" s="231">
        <v>973066</v>
      </c>
      <c r="EN10" s="231">
        <v>898407.93</v>
      </c>
      <c r="EO10" s="231">
        <v>74658.070000000007</v>
      </c>
      <c r="EP10" s="229">
        <v>8.3099999999999993E-2</v>
      </c>
      <c r="EQ10" s="231">
        <v>291081</v>
      </c>
      <c r="ER10" s="231">
        <v>153423</v>
      </c>
      <c r="ES10" s="231">
        <v>477045</v>
      </c>
      <c r="ET10" s="231">
        <v>535778534</v>
      </c>
      <c r="EU10" s="231">
        <v>921549</v>
      </c>
      <c r="EV10" s="231">
        <v>999085</v>
      </c>
      <c r="EW10" s="231">
        <v>-77536</v>
      </c>
      <c r="EX10" s="229">
        <v>-7.7600000000000002E-2</v>
      </c>
      <c r="EY10" s="229">
        <v>0.40450000000000003</v>
      </c>
    </row>
    <row r="11" spans="1:155" ht="17.25" thickBot="1" x14ac:dyDescent="0.3">
      <c r="A11" s="226">
        <v>45981</v>
      </c>
      <c r="B11" s="227" t="s">
        <v>188</v>
      </c>
      <c r="C11" s="227" t="s">
        <v>189</v>
      </c>
      <c r="D11" s="231">
        <v>2158.9</v>
      </c>
      <c r="E11" s="231">
        <v>2158.8000000000002</v>
      </c>
      <c r="F11" s="228">
        <v>0.1</v>
      </c>
      <c r="G11" s="229">
        <v>0</v>
      </c>
      <c r="H11" s="231">
        <v>2158.3000000000002</v>
      </c>
      <c r="I11" s="231">
        <v>2159.8000000000002</v>
      </c>
      <c r="J11" s="228">
        <v>-1.5</v>
      </c>
      <c r="K11" s="229">
        <v>-6.9999999999999999E-4</v>
      </c>
      <c r="L11" s="231">
        <v>2158.9</v>
      </c>
      <c r="M11" s="231">
        <v>2158.8000000000002</v>
      </c>
      <c r="N11" s="228">
        <v>0.1</v>
      </c>
      <c r="O11" s="229">
        <v>0</v>
      </c>
      <c r="P11" s="231">
        <v>2174.6999999999998</v>
      </c>
      <c r="Q11" s="231">
        <v>2173.4</v>
      </c>
      <c r="R11" s="228">
        <v>1.3</v>
      </c>
      <c r="S11" s="229">
        <v>5.9999999999999995E-4</v>
      </c>
      <c r="T11" s="231">
        <v>2187</v>
      </c>
      <c r="U11" s="231">
        <v>2185.1999999999998</v>
      </c>
      <c r="V11" s="228">
        <v>1.8</v>
      </c>
      <c r="W11" s="229">
        <v>8.0000000000000004E-4</v>
      </c>
      <c r="X11" s="228">
        <v>0.6</v>
      </c>
      <c r="Y11" s="228">
        <v>-1</v>
      </c>
      <c r="Z11" s="228">
        <v>1.6</v>
      </c>
      <c r="AA11" s="229">
        <v>2.9999999999999997E-4</v>
      </c>
      <c r="AB11" s="228">
        <v>0.6</v>
      </c>
      <c r="AC11" s="228">
        <v>-1</v>
      </c>
      <c r="AD11" s="228">
        <v>1.6</v>
      </c>
      <c r="AE11" s="229">
        <v>2.9999999999999997E-4</v>
      </c>
      <c r="AF11" s="228">
        <v>16.399999999999999</v>
      </c>
      <c r="AG11" s="228">
        <v>13.6</v>
      </c>
      <c r="AH11" s="228">
        <v>2.8</v>
      </c>
      <c r="AI11" s="229">
        <v>7.6E-3</v>
      </c>
      <c r="AJ11" s="228">
        <v>28.7</v>
      </c>
      <c r="AK11" s="228">
        <v>25.4</v>
      </c>
      <c r="AL11" s="228">
        <v>3.3</v>
      </c>
      <c r="AM11" s="229">
        <v>1.3299999999999999E-2</v>
      </c>
      <c r="AN11" s="231">
        <v>2160.5500000000002</v>
      </c>
      <c r="AO11" s="231">
        <v>2176.1999999999998</v>
      </c>
      <c r="AP11" s="228">
        <v>0</v>
      </c>
      <c r="AQ11" s="230">
        <v>55803</v>
      </c>
      <c r="AR11" s="230">
        <v>13953</v>
      </c>
      <c r="AS11" s="230">
        <v>41850</v>
      </c>
      <c r="AT11" s="229">
        <v>2.9994000000000001</v>
      </c>
      <c r="AU11" s="230">
        <v>29453</v>
      </c>
      <c r="AV11" s="230">
        <v>10744</v>
      </c>
      <c r="AW11" s="230">
        <v>18709</v>
      </c>
      <c r="AX11" s="229">
        <v>1.7413000000000001</v>
      </c>
      <c r="AY11" s="230">
        <v>26272</v>
      </c>
      <c r="AZ11" s="230">
        <v>3107</v>
      </c>
      <c r="BA11" s="230">
        <v>23165</v>
      </c>
      <c r="BB11" s="229">
        <v>7.4557000000000002</v>
      </c>
      <c r="BC11" s="228">
        <v>78</v>
      </c>
      <c r="BD11" s="228">
        <v>102</v>
      </c>
      <c r="BE11" s="228">
        <v>-24</v>
      </c>
      <c r="BF11" s="229">
        <v>-0.23530000000000001</v>
      </c>
      <c r="BG11" s="230">
        <v>73917</v>
      </c>
      <c r="BH11" s="230">
        <v>65561</v>
      </c>
      <c r="BI11" s="230">
        <v>8356</v>
      </c>
      <c r="BJ11" s="229">
        <v>0.1275</v>
      </c>
      <c r="BK11" s="230">
        <v>56595</v>
      </c>
      <c r="BL11" s="230">
        <v>50973</v>
      </c>
      <c r="BM11" s="230">
        <v>5622</v>
      </c>
      <c r="BN11" s="229">
        <v>0.1103</v>
      </c>
      <c r="BO11" s="230">
        <v>186315</v>
      </c>
      <c r="BP11" s="230">
        <v>130487</v>
      </c>
      <c r="BQ11" s="230">
        <v>55828</v>
      </c>
      <c r="BR11" s="229">
        <v>0.42780000000000001</v>
      </c>
      <c r="BS11" s="230">
        <v>7877407</v>
      </c>
      <c r="BT11" s="230">
        <v>7594816</v>
      </c>
      <c r="BU11" s="230">
        <v>282591</v>
      </c>
      <c r="BV11" s="229">
        <v>3.7199999999999997E-2</v>
      </c>
      <c r="BW11" s="230">
        <v>42887275</v>
      </c>
      <c r="BX11" s="230">
        <v>41809500</v>
      </c>
      <c r="BY11" s="230">
        <v>1077775</v>
      </c>
      <c r="BZ11" s="229">
        <v>2.58E-2</v>
      </c>
      <c r="CA11" s="230">
        <v>23262175</v>
      </c>
      <c r="CB11" s="230">
        <v>33382525</v>
      </c>
      <c r="CC11" s="230">
        <v>-10120350</v>
      </c>
      <c r="CD11" s="229">
        <v>-0.30320000000000003</v>
      </c>
      <c r="CE11" s="230">
        <v>19278825</v>
      </c>
      <c r="CF11" s="230">
        <v>8090200</v>
      </c>
      <c r="CG11" s="230">
        <v>11188625</v>
      </c>
      <c r="CH11" s="229">
        <v>1.383</v>
      </c>
      <c r="CI11" s="230">
        <v>346275</v>
      </c>
      <c r="CJ11" s="230">
        <v>336775</v>
      </c>
      <c r="CK11" s="230">
        <v>9500</v>
      </c>
      <c r="CL11" s="229">
        <v>2.8199999999999999E-2</v>
      </c>
      <c r="CM11" s="230">
        <v>20081575</v>
      </c>
      <c r="CN11" s="230">
        <v>21327975</v>
      </c>
      <c r="CO11" s="230">
        <v>-1246400</v>
      </c>
      <c r="CP11" s="229">
        <v>-5.8400000000000001E-2</v>
      </c>
      <c r="CQ11" s="230">
        <v>13438225</v>
      </c>
      <c r="CR11" s="230">
        <v>14355450</v>
      </c>
      <c r="CS11" s="230">
        <v>-917225</v>
      </c>
      <c r="CT11" s="229">
        <v>-6.3899999999999998E-2</v>
      </c>
      <c r="CU11" s="230">
        <v>76407075</v>
      </c>
      <c r="CV11" s="230">
        <v>77492925</v>
      </c>
      <c r="CW11" s="230">
        <v>-1085850</v>
      </c>
      <c r="CX11" s="229">
        <v>-1.4E-2</v>
      </c>
      <c r="CY11" s="228">
        <v>17.329999999999998</v>
      </c>
      <c r="CZ11" s="228">
        <v>17.77</v>
      </c>
      <c r="DA11" s="228">
        <v>-0.44</v>
      </c>
      <c r="DB11" s="228">
        <v>-0.44</v>
      </c>
      <c r="DC11" s="228">
        <v>25.26</v>
      </c>
      <c r="DD11" s="228">
        <v>25.32</v>
      </c>
      <c r="DE11" s="228">
        <v>-7.93</v>
      </c>
      <c r="DF11" s="228">
        <v>-0.06</v>
      </c>
      <c r="DG11" s="228">
        <v>16.89</v>
      </c>
      <c r="DH11" s="228">
        <v>17.059999999999999</v>
      </c>
      <c r="DI11" s="228">
        <v>-0.17</v>
      </c>
      <c r="DJ11" s="228">
        <v>-0.17</v>
      </c>
      <c r="DK11" s="228">
        <v>17.88</v>
      </c>
      <c r="DL11" s="228">
        <v>18.68</v>
      </c>
      <c r="DM11" s="228">
        <v>-0.8</v>
      </c>
      <c r="DN11" s="228">
        <v>-0.8</v>
      </c>
      <c r="DO11" s="228">
        <v>0.67</v>
      </c>
      <c r="DP11" s="228">
        <v>0.67</v>
      </c>
      <c r="DQ11" s="228">
        <v>0</v>
      </c>
      <c r="DR11" s="229">
        <v>0</v>
      </c>
      <c r="DS11" s="231">
        <v>2100</v>
      </c>
      <c r="DT11" s="231">
        <v>2100</v>
      </c>
      <c r="DU11" s="228">
        <v>0.77</v>
      </c>
      <c r="DV11" s="228">
        <v>0.78</v>
      </c>
      <c r="DW11" s="228">
        <v>-0.01</v>
      </c>
      <c r="DX11" s="229">
        <v>-1.2800000000000001E-2</v>
      </c>
      <c r="DY11" s="229">
        <v>0.45760000000000001</v>
      </c>
      <c r="DZ11" s="230">
        <v>8426975</v>
      </c>
      <c r="EA11" s="229">
        <v>7.3000000000000001E-3</v>
      </c>
      <c r="EB11" s="229">
        <v>0.45760000000000001</v>
      </c>
      <c r="EC11" s="228">
        <v>15.65</v>
      </c>
      <c r="ED11" s="229">
        <v>7.1999999999999998E-3</v>
      </c>
      <c r="EE11" s="230">
        <v>4571511</v>
      </c>
      <c r="EF11" s="230">
        <v>5771230</v>
      </c>
      <c r="EG11" s="229">
        <v>-0.2079</v>
      </c>
      <c r="EH11" s="229">
        <v>0.58030000000000004</v>
      </c>
      <c r="EI11" s="231">
        <v>772370.32</v>
      </c>
      <c r="EJ11" s="231">
        <v>569964.59</v>
      </c>
      <c r="EK11" s="231">
        <v>574647.48</v>
      </c>
      <c r="EL11" s="231">
        <v>13167</v>
      </c>
      <c r="EM11" s="231">
        <v>1916982.39</v>
      </c>
      <c r="EN11" s="231">
        <v>1339495.52</v>
      </c>
      <c r="EO11" s="231">
        <v>577486.87</v>
      </c>
      <c r="EP11" s="229">
        <v>0.43109999999999998</v>
      </c>
      <c r="EQ11" s="231">
        <v>431672</v>
      </c>
      <c r="ER11" s="231">
        <v>276876</v>
      </c>
      <c r="ES11" s="231">
        <v>929037</v>
      </c>
      <c r="ET11" s="231">
        <v>314058656</v>
      </c>
      <c r="EU11" s="231">
        <v>1637585</v>
      </c>
      <c r="EV11" s="231">
        <v>1657608</v>
      </c>
      <c r="EW11" s="231">
        <v>-20023</v>
      </c>
      <c r="EX11" s="229">
        <v>-1.21E-2</v>
      </c>
      <c r="EY11" s="229">
        <v>0.24329999999999999</v>
      </c>
    </row>
    <row r="12" spans="1:155" ht="17.25" thickBot="1" x14ac:dyDescent="0.3">
      <c r="A12" s="226">
        <v>45981</v>
      </c>
      <c r="B12" s="227" t="s">
        <v>170</v>
      </c>
      <c r="C12" s="227" t="s">
        <v>199</v>
      </c>
      <c r="D12" s="231">
        <v>1530.1</v>
      </c>
      <c r="E12" s="231">
        <v>1528.8</v>
      </c>
      <c r="F12" s="228">
        <v>1.3</v>
      </c>
      <c r="G12" s="229">
        <v>8.9999999999999998E-4</v>
      </c>
      <c r="H12" s="231">
        <v>1529.2</v>
      </c>
      <c r="I12" s="231">
        <v>1526.8</v>
      </c>
      <c r="J12" s="228">
        <v>2.4</v>
      </c>
      <c r="K12" s="229">
        <v>1.6000000000000001E-3</v>
      </c>
      <c r="L12" s="231">
        <v>1530.1</v>
      </c>
      <c r="M12" s="231">
        <v>1528.8</v>
      </c>
      <c r="N12" s="228">
        <v>1.3</v>
      </c>
      <c r="O12" s="229">
        <v>8.9999999999999998E-4</v>
      </c>
      <c r="P12" s="231">
        <v>1540.3</v>
      </c>
      <c r="Q12" s="231">
        <v>1539.7</v>
      </c>
      <c r="R12" s="228">
        <v>0.6</v>
      </c>
      <c r="S12" s="229">
        <v>4.0000000000000002E-4</v>
      </c>
      <c r="T12" s="231">
        <v>1549.4</v>
      </c>
      <c r="U12" s="231">
        <v>1547.9</v>
      </c>
      <c r="V12" s="228">
        <v>1.5</v>
      </c>
      <c r="W12" s="229">
        <v>1E-3</v>
      </c>
      <c r="X12" s="228">
        <v>0.9</v>
      </c>
      <c r="Y12" s="228">
        <v>2</v>
      </c>
      <c r="Z12" s="228">
        <v>-1.1000000000000001</v>
      </c>
      <c r="AA12" s="229">
        <v>5.9999999999999995E-4</v>
      </c>
      <c r="AB12" s="228">
        <v>0.9</v>
      </c>
      <c r="AC12" s="228">
        <v>2</v>
      </c>
      <c r="AD12" s="228">
        <v>-1.1000000000000001</v>
      </c>
      <c r="AE12" s="229">
        <v>5.9999999999999995E-4</v>
      </c>
      <c r="AF12" s="228">
        <v>11.1</v>
      </c>
      <c r="AG12" s="228">
        <v>12.9</v>
      </c>
      <c r="AH12" s="228">
        <v>-1.8</v>
      </c>
      <c r="AI12" s="229">
        <v>7.3000000000000001E-3</v>
      </c>
      <c r="AJ12" s="228">
        <v>20.2</v>
      </c>
      <c r="AK12" s="228">
        <v>21.1</v>
      </c>
      <c r="AL12" s="228">
        <v>-0.9</v>
      </c>
      <c r="AM12" s="229">
        <v>1.32E-2</v>
      </c>
      <c r="AN12" s="231">
        <v>1530.25</v>
      </c>
      <c r="AO12" s="231">
        <v>1540.17</v>
      </c>
      <c r="AP12" s="228">
        <v>0</v>
      </c>
      <c r="AQ12" s="230">
        <v>20774</v>
      </c>
      <c r="AR12" s="230">
        <v>5870</v>
      </c>
      <c r="AS12" s="230">
        <v>14904</v>
      </c>
      <c r="AT12" s="229">
        <v>2.5390000000000001</v>
      </c>
      <c r="AU12" s="230">
        <v>11163</v>
      </c>
      <c r="AV12" s="230">
        <v>4027</v>
      </c>
      <c r="AW12" s="230">
        <v>7136</v>
      </c>
      <c r="AX12" s="229">
        <v>1.772</v>
      </c>
      <c r="AY12" s="230">
        <v>9570</v>
      </c>
      <c r="AZ12" s="230">
        <v>1769</v>
      </c>
      <c r="BA12" s="230">
        <v>7801</v>
      </c>
      <c r="BB12" s="229">
        <v>4.4097999999999997</v>
      </c>
      <c r="BC12" s="228">
        <v>41</v>
      </c>
      <c r="BD12" s="228">
        <v>74</v>
      </c>
      <c r="BE12" s="228">
        <v>-33</v>
      </c>
      <c r="BF12" s="229">
        <v>-0.44590000000000002</v>
      </c>
      <c r="BG12" s="230">
        <v>19055</v>
      </c>
      <c r="BH12" s="230">
        <v>25242</v>
      </c>
      <c r="BI12" s="230">
        <v>-6187</v>
      </c>
      <c r="BJ12" s="229">
        <v>-0.24510000000000001</v>
      </c>
      <c r="BK12" s="230">
        <v>7611</v>
      </c>
      <c r="BL12" s="230">
        <v>9821</v>
      </c>
      <c r="BM12" s="230">
        <v>-2210</v>
      </c>
      <c r="BN12" s="229">
        <v>-0.22500000000000001</v>
      </c>
      <c r="BO12" s="230">
        <v>47440</v>
      </c>
      <c r="BP12" s="230">
        <v>40933</v>
      </c>
      <c r="BQ12" s="230">
        <v>6507</v>
      </c>
      <c r="BR12" s="229">
        <v>0.159</v>
      </c>
      <c r="BS12" s="230">
        <v>1057908</v>
      </c>
      <c r="BT12" s="230">
        <v>1194438</v>
      </c>
      <c r="BU12" s="230">
        <v>-136530</v>
      </c>
      <c r="BV12" s="229">
        <v>-0.1143</v>
      </c>
      <c r="BW12" s="230">
        <v>14716500</v>
      </c>
      <c r="BX12" s="230">
        <v>15126000</v>
      </c>
      <c r="BY12" s="230">
        <v>-409500</v>
      </c>
      <c r="BZ12" s="229">
        <v>-2.7099999999999999E-2</v>
      </c>
      <c r="CA12" s="230">
        <v>10101000</v>
      </c>
      <c r="CB12" s="230">
        <v>13525125</v>
      </c>
      <c r="CC12" s="230">
        <v>-3424125</v>
      </c>
      <c r="CD12" s="229">
        <v>-0.25319999999999998</v>
      </c>
      <c r="CE12" s="230">
        <v>4515375</v>
      </c>
      <c r="CF12" s="230">
        <v>1504125</v>
      </c>
      <c r="CG12" s="230">
        <v>3011250</v>
      </c>
      <c r="CH12" s="229">
        <v>2.0019999999999998</v>
      </c>
      <c r="CI12" s="230">
        <v>100125</v>
      </c>
      <c r="CJ12" s="230">
        <v>96750</v>
      </c>
      <c r="CK12" s="230">
        <v>3375</v>
      </c>
      <c r="CL12" s="229">
        <v>3.49E-2</v>
      </c>
      <c r="CM12" s="230">
        <v>9038625</v>
      </c>
      <c r="CN12" s="230">
        <v>9744750</v>
      </c>
      <c r="CO12" s="230">
        <v>-706125</v>
      </c>
      <c r="CP12" s="229">
        <v>-7.2499999999999995E-2</v>
      </c>
      <c r="CQ12" s="230">
        <v>4566375</v>
      </c>
      <c r="CR12" s="230">
        <v>4826625</v>
      </c>
      <c r="CS12" s="230">
        <v>-260250</v>
      </c>
      <c r="CT12" s="229">
        <v>-5.3900000000000003E-2</v>
      </c>
      <c r="CU12" s="230">
        <v>28321500</v>
      </c>
      <c r="CV12" s="230">
        <v>29697375</v>
      </c>
      <c r="CW12" s="230">
        <v>-1375875</v>
      </c>
      <c r="CX12" s="229">
        <v>-4.6300000000000001E-2</v>
      </c>
      <c r="CY12" s="228">
        <v>19.18</v>
      </c>
      <c r="CZ12" s="228">
        <v>19.920000000000002</v>
      </c>
      <c r="DA12" s="228">
        <v>-0.74</v>
      </c>
      <c r="DB12" s="228">
        <v>-0.74</v>
      </c>
      <c r="DC12" s="228">
        <v>26.5</v>
      </c>
      <c r="DD12" s="228">
        <v>26.57</v>
      </c>
      <c r="DE12" s="228">
        <v>-7.32</v>
      </c>
      <c r="DF12" s="228">
        <v>-7.0000000000000007E-2</v>
      </c>
      <c r="DG12" s="228">
        <v>19.27</v>
      </c>
      <c r="DH12" s="228">
        <v>19.72</v>
      </c>
      <c r="DI12" s="228">
        <v>-0.45</v>
      </c>
      <c r="DJ12" s="228">
        <v>-0.45</v>
      </c>
      <c r="DK12" s="228">
        <v>19.04</v>
      </c>
      <c r="DL12" s="228">
        <v>20.440000000000001</v>
      </c>
      <c r="DM12" s="228">
        <v>-1.4</v>
      </c>
      <c r="DN12" s="228">
        <v>-1.4</v>
      </c>
      <c r="DO12" s="228">
        <v>0.51</v>
      </c>
      <c r="DP12" s="228">
        <v>0.5</v>
      </c>
      <c r="DQ12" s="228">
        <v>0.01</v>
      </c>
      <c r="DR12" s="229">
        <v>0.02</v>
      </c>
      <c r="DS12" s="231">
        <v>1600</v>
      </c>
      <c r="DT12" s="231">
        <v>1500</v>
      </c>
      <c r="DU12" s="228">
        <v>0.4</v>
      </c>
      <c r="DV12" s="228">
        <v>0.39</v>
      </c>
      <c r="DW12" s="228">
        <v>0.01</v>
      </c>
      <c r="DX12" s="229">
        <v>2.5600000000000001E-2</v>
      </c>
      <c r="DY12" s="229">
        <v>0.31359999999999999</v>
      </c>
      <c r="DZ12" s="230">
        <v>1600875</v>
      </c>
      <c r="EA12" s="229">
        <v>6.7000000000000002E-3</v>
      </c>
      <c r="EB12" s="229">
        <v>0.31359999999999999</v>
      </c>
      <c r="EC12" s="228">
        <v>9.92</v>
      </c>
      <c r="ED12" s="229">
        <v>6.4999999999999997E-3</v>
      </c>
      <c r="EE12" s="230">
        <v>668421</v>
      </c>
      <c r="EF12" s="230">
        <v>806164</v>
      </c>
      <c r="EG12" s="229">
        <v>-0.1709</v>
      </c>
      <c r="EH12" s="229">
        <v>0.63180000000000003</v>
      </c>
      <c r="EI12" s="231">
        <v>112715.2</v>
      </c>
      <c r="EJ12" s="231">
        <v>43319.87</v>
      </c>
      <c r="EK12" s="231">
        <v>119569.63</v>
      </c>
      <c r="EL12" s="231">
        <v>4388</v>
      </c>
      <c r="EM12" s="231">
        <v>275604.7</v>
      </c>
      <c r="EN12" s="231">
        <v>237450.95</v>
      </c>
      <c r="EO12" s="231">
        <v>38153.75</v>
      </c>
      <c r="EP12" s="229">
        <v>0.16070000000000001</v>
      </c>
      <c r="EQ12" s="231">
        <v>146626</v>
      </c>
      <c r="ER12" s="231">
        <v>68516</v>
      </c>
      <c r="ES12" s="231">
        <v>225657</v>
      </c>
      <c r="ET12" s="231">
        <v>57073940</v>
      </c>
      <c r="EU12" s="231">
        <v>440799</v>
      </c>
      <c r="EV12" s="231">
        <v>461911</v>
      </c>
      <c r="EW12" s="231">
        <v>-21112</v>
      </c>
      <c r="EX12" s="229">
        <v>-4.5699999999999998E-2</v>
      </c>
      <c r="EY12" s="229">
        <v>0.49619999999999997</v>
      </c>
    </row>
    <row r="13" spans="1:155" ht="17.25" thickBot="1" x14ac:dyDescent="0.3">
      <c r="A13" s="226">
        <v>45981</v>
      </c>
      <c r="B13" s="227" t="s">
        <v>227</v>
      </c>
      <c r="C13" s="227" t="s">
        <v>200</v>
      </c>
      <c r="D13" s="228">
        <v>380.5</v>
      </c>
      <c r="E13" s="228">
        <v>379.95</v>
      </c>
      <c r="F13" s="228">
        <v>0.55000000000000004</v>
      </c>
      <c r="G13" s="229">
        <v>1.4E-3</v>
      </c>
      <c r="H13" s="228">
        <v>379.65</v>
      </c>
      <c r="I13" s="228">
        <v>379.05</v>
      </c>
      <c r="J13" s="228">
        <v>0.6</v>
      </c>
      <c r="K13" s="229">
        <v>1.6000000000000001E-3</v>
      </c>
      <c r="L13" s="228">
        <v>380.5</v>
      </c>
      <c r="M13" s="228">
        <v>379.95</v>
      </c>
      <c r="N13" s="228">
        <v>0.55000000000000004</v>
      </c>
      <c r="O13" s="229">
        <v>1.4E-3</v>
      </c>
      <c r="P13" s="228">
        <v>382.9</v>
      </c>
      <c r="Q13" s="228">
        <v>382.3</v>
      </c>
      <c r="R13" s="228">
        <v>0.6</v>
      </c>
      <c r="S13" s="229">
        <v>1.6000000000000001E-3</v>
      </c>
      <c r="T13" s="228">
        <v>384.9</v>
      </c>
      <c r="U13" s="228">
        <v>384.6</v>
      </c>
      <c r="V13" s="228">
        <v>0.3</v>
      </c>
      <c r="W13" s="229">
        <v>8.0000000000000004E-4</v>
      </c>
      <c r="X13" s="228">
        <v>0.85</v>
      </c>
      <c r="Y13" s="228">
        <v>0.9</v>
      </c>
      <c r="Z13" s="228">
        <v>-0.05</v>
      </c>
      <c r="AA13" s="229">
        <v>2.2000000000000001E-3</v>
      </c>
      <c r="AB13" s="228">
        <v>0.85</v>
      </c>
      <c r="AC13" s="228">
        <v>0.9</v>
      </c>
      <c r="AD13" s="228">
        <v>-0.05</v>
      </c>
      <c r="AE13" s="229">
        <v>2.2000000000000001E-3</v>
      </c>
      <c r="AF13" s="228">
        <v>3.25</v>
      </c>
      <c r="AG13" s="228">
        <v>3.25</v>
      </c>
      <c r="AH13" s="228">
        <v>0</v>
      </c>
      <c r="AI13" s="229">
        <v>8.6E-3</v>
      </c>
      <c r="AJ13" s="228">
        <v>5.25</v>
      </c>
      <c r="AK13" s="228">
        <v>5.55</v>
      </c>
      <c r="AL13" s="228">
        <v>-0.3</v>
      </c>
      <c r="AM13" s="229">
        <v>1.38E-2</v>
      </c>
      <c r="AN13" s="228">
        <v>380.09</v>
      </c>
      <c r="AO13" s="228">
        <v>382.54</v>
      </c>
      <c r="AP13" s="228">
        <v>0</v>
      </c>
      <c r="AQ13" s="230">
        <v>22885</v>
      </c>
      <c r="AR13" s="230">
        <v>6053</v>
      </c>
      <c r="AS13" s="230">
        <v>16832</v>
      </c>
      <c r="AT13" s="229">
        <v>2.7808000000000002</v>
      </c>
      <c r="AU13" s="230">
        <v>11501</v>
      </c>
      <c r="AV13" s="230">
        <v>3812</v>
      </c>
      <c r="AW13" s="230">
        <v>7689</v>
      </c>
      <c r="AX13" s="229">
        <v>2.0171000000000001</v>
      </c>
      <c r="AY13" s="230">
        <v>11254</v>
      </c>
      <c r="AZ13" s="230">
        <v>2066</v>
      </c>
      <c r="BA13" s="230">
        <v>9188</v>
      </c>
      <c r="BB13" s="229">
        <v>4.4471999999999996</v>
      </c>
      <c r="BC13" s="228">
        <v>130</v>
      </c>
      <c r="BD13" s="228">
        <v>175</v>
      </c>
      <c r="BE13" s="228">
        <v>-45</v>
      </c>
      <c r="BF13" s="229">
        <v>-0.2571</v>
      </c>
      <c r="BG13" s="230">
        <v>10526</v>
      </c>
      <c r="BH13" s="230">
        <v>15910</v>
      </c>
      <c r="BI13" s="230">
        <v>-5384</v>
      </c>
      <c r="BJ13" s="229">
        <v>-0.33839999999999998</v>
      </c>
      <c r="BK13" s="230">
        <v>6128</v>
      </c>
      <c r="BL13" s="230">
        <v>8465</v>
      </c>
      <c r="BM13" s="230">
        <v>-2337</v>
      </c>
      <c r="BN13" s="229">
        <v>-0.27610000000000001</v>
      </c>
      <c r="BO13" s="230">
        <v>39539</v>
      </c>
      <c r="BP13" s="230">
        <v>30428</v>
      </c>
      <c r="BQ13" s="230">
        <v>9111</v>
      </c>
      <c r="BR13" s="229">
        <v>0.2994</v>
      </c>
      <c r="BS13" s="230">
        <v>4182025</v>
      </c>
      <c r="BT13" s="230">
        <v>5729573</v>
      </c>
      <c r="BU13" s="230">
        <v>-1547548</v>
      </c>
      <c r="BV13" s="229">
        <v>-0.27010000000000001</v>
      </c>
      <c r="BW13" s="230">
        <v>60399000</v>
      </c>
      <c r="BX13" s="230">
        <v>60277500</v>
      </c>
      <c r="BY13" s="230">
        <v>121500</v>
      </c>
      <c r="BZ13" s="229">
        <v>2E-3</v>
      </c>
      <c r="CA13" s="230">
        <v>40873950</v>
      </c>
      <c r="CB13" s="230">
        <v>53897400</v>
      </c>
      <c r="CC13" s="230">
        <v>-13023450</v>
      </c>
      <c r="CD13" s="229">
        <v>-0.24160000000000001</v>
      </c>
      <c r="CE13" s="230">
        <v>18939150</v>
      </c>
      <c r="CF13" s="230">
        <v>5860350</v>
      </c>
      <c r="CG13" s="230">
        <v>13078800</v>
      </c>
      <c r="CH13" s="229">
        <v>2.2317</v>
      </c>
      <c r="CI13" s="230">
        <v>585900</v>
      </c>
      <c r="CJ13" s="230">
        <v>519750</v>
      </c>
      <c r="CK13" s="230">
        <v>66150</v>
      </c>
      <c r="CL13" s="229">
        <v>0.1273</v>
      </c>
      <c r="CM13" s="230">
        <v>27718200</v>
      </c>
      <c r="CN13" s="230">
        <v>28530900</v>
      </c>
      <c r="CO13" s="230">
        <v>-812700</v>
      </c>
      <c r="CP13" s="229">
        <v>-2.8500000000000001E-2</v>
      </c>
      <c r="CQ13" s="230">
        <v>22119750</v>
      </c>
      <c r="CR13" s="230">
        <v>22148100</v>
      </c>
      <c r="CS13" s="230">
        <v>-28350</v>
      </c>
      <c r="CT13" s="229">
        <v>-1.2999999999999999E-3</v>
      </c>
      <c r="CU13" s="230">
        <v>110236950</v>
      </c>
      <c r="CV13" s="230">
        <v>110956500</v>
      </c>
      <c r="CW13" s="230">
        <v>-719550</v>
      </c>
      <c r="CX13" s="229">
        <v>-6.4999999999999997E-3</v>
      </c>
      <c r="CY13" s="228">
        <v>16.22</v>
      </c>
      <c r="CZ13" s="228">
        <v>18.059999999999999</v>
      </c>
      <c r="DA13" s="228">
        <v>-1.84</v>
      </c>
      <c r="DB13" s="228">
        <v>-1.84</v>
      </c>
      <c r="DC13" s="228">
        <v>27.72</v>
      </c>
      <c r="DD13" s="228">
        <v>27.79</v>
      </c>
      <c r="DE13" s="228">
        <v>-11.5</v>
      </c>
      <c r="DF13" s="228">
        <v>-7.0000000000000007E-2</v>
      </c>
      <c r="DG13" s="228">
        <v>15.88</v>
      </c>
      <c r="DH13" s="228">
        <v>18.440000000000001</v>
      </c>
      <c r="DI13" s="228">
        <v>-2.56</v>
      </c>
      <c r="DJ13" s="228">
        <v>-2.56</v>
      </c>
      <c r="DK13" s="228">
        <v>16.66</v>
      </c>
      <c r="DL13" s="228">
        <v>17.34</v>
      </c>
      <c r="DM13" s="228">
        <v>-0.68</v>
      </c>
      <c r="DN13" s="228">
        <v>-0.68</v>
      </c>
      <c r="DO13" s="228">
        <v>0.8</v>
      </c>
      <c r="DP13" s="228">
        <v>0.78</v>
      </c>
      <c r="DQ13" s="228">
        <v>0.02</v>
      </c>
      <c r="DR13" s="229">
        <v>2.5600000000000001E-2</v>
      </c>
      <c r="DS13" s="228">
        <v>389.75</v>
      </c>
      <c r="DT13" s="228">
        <v>439.75</v>
      </c>
      <c r="DU13" s="228">
        <v>0.57999999999999996</v>
      </c>
      <c r="DV13" s="228">
        <v>0.53</v>
      </c>
      <c r="DW13" s="228">
        <v>0.05</v>
      </c>
      <c r="DX13" s="229">
        <v>9.4299999999999995E-2</v>
      </c>
      <c r="DY13" s="229">
        <v>0.32329999999999998</v>
      </c>
      <c r="DZ13" s="230">
        <v>6380100</v>
      </c>
      <c r="EA13" s="229">
        <v>6.3E-3</v>
      </c>
      <c r="EB13" s="229">
        <v>0.32329999999999998</v>
      </c>
      <c r="EC13" s="228">
        <v>2.4500000000000002</v>
      </c>
      <c r="ED13" s="229">
        <v>6.4000000000000003E-3</v>
      </c>
      <c r="EE13" s="230">
        <v>2328161</v>
      </c>
      <c r="EF13" s="230">
        <v>3817003</v>
      </c>
      <c r="EG13" s="229">
        <v>-0.3901</v>
      </c>
      <c r="EH13" s="229">
        <v>0.55669999999999997</v>
      </c>
      <c r="EI13" s="231">
        <v>55370.92</v>
      </c>
      <c r="EJ13" s="231">
        <v>31835.5</v>
      </c>
      <c r="EK13" s="231">
        <v>117808.82</v>
      </c>
      <c r="EL13" s="231">
        <v>4045</v>
      </c>
      <c r="EM13" s="231">
        <v>205015.24</v>
      </c>
      <c r="EN13" s="231">
        <v>158841.88</v>
      </c>
      <c r="EO13" s="231">
        <v>46173.36</v>
      </c>
      <c r="EP13" s="229">
        <v>0.29070000000000001</v>
      </c>
      <c r="EQ13" s="231">
        <v>109827</v>
      </c>
      <c r="ER13" s="231">
        <v>83905</v>
      </c>
      <c r="ES13" s="231">
        <v>230299</v>
      </c>
      <c r="ET13" s="231">
        <v>227199238</v>
      </c>
      <c r="EU13" s="231">
        <v>424031</v>
      </c>
      <c r="EV13" s="231">
        <v>426236</v>
      </c>
      <c r="EW13" s="231">
        <v>-2205</v>
      </c>
      <c r="EX13" s="229">
        <v>-5.1999999999999998E-3</v>
      </c>
      <c r="EY13" s="229">
        <v>0.48520000000000002</v>
      </c>
    </row>
    <row r="14" spans="1:155" ht="17.25" thickBot="1" x14ac:dyDescent="0.3">
      <c r="A14" s="226">
        <v>45981</v>
      </c>
      <c r="B14" s="227" t="s">
        <v>170</v>
      </c>
      <c r="C14" s="227" t="s">
        <v>208</v>
      </c>
      <c r="D14" s="231">
        <v>1247.5999999999999</v>
      </c>
      <c r="E14" s="231">
        <v>1247</v>
      </c>
      <c r="F14" s="228">
        <v>0.6</v>
      </c>
      <c r="G14" s="229">
        <v>5.0000000000000001E-4</v>
      </c>
      <c r="H14" s="231">
        <v>1248.5999999999999</v>
      </c>
      <c r="I14" s="231">
        <v>1250.2</v>
      </c>
      <c r="J14" s="228">
        <v>-1.6</v>
      </c>
      <c r="K14" s="229">
        <v>-1.2999999999999999E-3</v>
      </c>
      <c r="L14" s="231">
        <v>1247.5999999999999</v>
      </c>
      <c r="M14" s="231">
        <v>1247</v>
      </c>
      <c r="N14" s="228">
        <v>0.6</v>
      </c>
      <c r="O14" s="229">
        <v>5.0000000000000001E-4</v>
      </c>
      <c r="P14" s="231">
        <v>1249.8</v>
      </c>
      <c r="Q14" s="231">
        <v>1249.8</v>
      </c>
      <c r="R14" s="228">
        <v>0</v>
      </c>
      <c r="S14" s="229">
        <v>0</v>
      </c>
      <c r="T14" s="231">
        <v>1251.8</v>
      </c>
      <c r="U14" s="231">
        <v>1251.7</v>
      </c>
      <c r="V14" s="228">
        <v>0.1</v>
      </c>
      <c r="W14" s="229">
        <v>1E-4</v>
      </c>
      <c r="X14" s="228">
        <v>-1</v>
      </c>
      <c r="Y14" s="228">
        <v>-3.2</v>
      </c>
      <c r="Z14" s="228">
        <v>2.2000000000000002</v>
      </c>
      <c r="AA14" s="229">
        <v>-8.0000000000000004E-4</v>
      </c>
      <c r="AB14" s="228">
        <v>-1</v>
      </c>
      <c r="AC14" s="228">
        <v>-3.2</v>
      </c>
      <c r="AD14" s="228">
        <v>2.2000000000000002</v>
      </c>
      <c r="AE14" s="229">
        <v>-8.0000000000000004E-4</v>
      </c>
      <c r="AF14" s="228">
        <v>1.2</v>
      </c>
      <c r="AG14" s="228">
        <v>-0.4</v>
      </c>
      <c r="AH14" s="228">
        <v>1.6</v>
      </c>
      <c r="AI14" s="229">
        <v>1E-3</v>
      </c>
      <c r="AJ14" s="228">
        <v>3.2</v>
      </c>
      <c r="AK14" s="228">
        <v>1.5</v>
      </c>
      <c r="AL14" s="228">
        <v>1.7</v>
      </c>
      <c r="AM14" s="229">
        <v>2.5999999999999999E-3</v>
      </c>
      <c r="AN14" s="231">
        <v>1244.94</v>
      </c>
      <c r="AO14" s="231">
        <v>1246.1099999999999</v>
      </c>
      <c r="AP14" s="228">
        <v>0</v>
      </c>
      <c r="AQ14" s="230">
        <v>18365</v>
      </c>
      <c r="AR14" s="230">
        <v>3006</v>
      </c>
      <c r="AS14" s="230">
        <v>15359</v>
      </c>
      <c r="AT14" s="229">
        <v>5.1093999999999999</v>
      </c>
      <c r="AU14" s="230">
        <v>9421</v>
      </c>
      <c r="AV14" s="230">
        <v>2221</v>
      </c>
      <c r="AW14" s="230">
        <v>7200</v>
      </c>
      <c r="AX14" s="229">
        <v>3.2418</v>
      </c>
      <c r="AY14" s="230">
        <v>8923</v>
      </c>
      <c r="AZ14" s="228">
        <v>767</v>
      </c>
      <c r="BA14" s="230">
        <v>8156</v>
      </c>
      <c r="BB14" s="229">
        <v>10.633599999999999</v>
      </c>
      <c r="BC14" s="228">
        <v>21</v>
      </c>
      <c r="BD14" s="228">
        <v>18</v>
      </c>
      <c r="BE14" s="228">
        <v>3</v>
      </c>
      <c r="BF14" s="229">
        <v>0.16669999999999999</v>
      </c>
      <c r="BG14" s="230">
        <v>11852</v>
      </c>
      <c r="BH14" s="230">
        <v>12498</v>
      </c>
      <c r="BI14" s="228">
        <v>-646</v>
      </c>
      <c r="BJ14" s="229">
        <v>-5.1700000000000003E-2</v>
      </c>
      <c r="BK14" s="230">
        <v>6221</v>
      </c>
      <c r="BL14" s="230">
        <v>5395</v>
      </c>
      <c r="BM14" s="228">
        <v>826</v>
      </c>
      <c r="BN14" s="229">
        <v>0.15310000000000001</v>
      </c>
      <c r="BO14" s="230">
        <v>36438</v>
      </c>
      <c r="BP14" s="230">
        <v>20899</v>
      </c>
      <c r="BQ14" s="230">
        <v>15539</v>
      </c>
      <c r="BR14" s="229">
        <v>0.74350000000000005</v>
      </c>
      <c r="BS14" s="230">
        <v>878639</v>
      </c>
      <c r="BT14" s="230">
        <v>895302</v>
      </c>
      <c r="BU14" s="230">
        <v>-16663</v>
      </c>
      <c r="BV14" s="229">
        <v>-1.8599999999999998E-2</v>
      </c>
      <c r="BW14" s="230">
        <v>15177500</v>
      </c>
      <c r="BX14" s="230">
        <v>16066250</v>
      </c>
      <c r="BY14" s="230">
        <v>-888750</v>
      </c>
      <c r="BZ14" s="229">
        <v>-5.5300000000000002E-2</v>
      </c>
      <c r="CA14" s="230">
        <v>9873125</v>
      </c>
      <c r="CB14" s="230">
        <v>14231875</v>
      </c>
      <c r="CC14" s="230">
        <v>-4358750</v>
      </c>
      <c r="CD14" s="229">
        <v>-0.30630000000000002</v>
      </c>
      <c r="CE14" s="230">
        <v>5195000</v>
      </c>
      <c r="CF14" s="230">
        <v>1723125</v>
      </c>
      <c r="CG14" s="230">
        <v>3471875</v>
      </c>
      <c r="CH14" s="229">
        <v>2.0148999999999999</v>
      </c>
      <c r="CI14" s="230">
        <v>109375</v>
      </c>
      <c r="CJ14" s="230">
        <v>111250</v>
      </c>
      <c r="CK14" s="230">
        <v>-1875</v>
      </c>
      <c r="CL14" s="229">
        <v>-1.6899999999999998E-2</v>
      </c>
      <c r="CM14" s="230">
        <v>10650000</v>
      </c>
      <c r="CN14" s="230">
        <v>11710625</v>
      </c>
      <c r="CO14" s="230">
        <v>-1060625</v>
      </c>
      <c r="CP14" s="229">
        <v>-9.06E-2</v>
      </c>
      <c r="CQ14" s="230">
        <v>5197500</v>
      </c>
      <c r="CR14" s="230">
        <v>5294375</v>
      </c>
      <c r="CS14" s="230">
        <v>-96875</v>
      </c>
      <c r="CT14" s="229">
        <v>-1.83E-2</v>
      </c>
      <c r="CU14" s="230">
        <v>31025000</v>
      </c>
      <c r="CV14" s="230">
        <v>33071250</v>
      </c>
      <c r="CW14" s="230">
        <v>-2046250</v>
      </c>
      <c r="CX14" s="229">
        <v>-6.1899999999999997E-2</v>
      </c>
      <c r="CY14" s="228">
        <v>19.84</v>
      </c>
      <c r="CZ14" s="228">
        <v>19.53</v>
      </c>
      <c r="DA14" s="228">
        <v>0.31</v>
      </c>
      <c r="DB14" s="228">
        <v>0.31</v>
      </c>
      <c r="DC14" s="228">
        <v>24.72</v>
      </c>
      <c r="DD14" s="228">
        <v>24.78</v>
      </c>
      <c r="DE14" s="228">
        <v>-4.88</v>
      </c>
      <c r="DF14" s="228">
        <v>-0.06</v>
      </c>
      <c r="DG14" s="228">
        <v>19.73</v>
      </c>
      <c r="DH14" s="228">
        <v>18.8</v>
      </c>
      <c r="DI14" s="228">
        <v>0.93</v>
      </c>
      <c r="DJ14" s="228">
        <v>0.93</v>
      </c>
      <c r="DK14" s="228">
        <v>20.02</v>
      </c>
      <c r="DL14" s="228">
        <v>21.2</v>
      </c>
      <c r="DM14" s="228">
        <v>-1.18</v>
      </c>
      <c r="DN14" s="228">
        <v>-1.18</v>
      </c>
      <c r="DO14" s="228">
        <v>0.49</v>
      </c>
      <c r="DP14" s="228">
        <v>0.45</v>
      </c>
      <c r="DQ14" s="228">
        <v>0.04</v>
      </c>
      <c r="DR14" s="229">
        <v>8.8900000000000007E-2</v>
      </c>
      <c r="DS14" s="231">
        <v>1300</v>
      </c>
      <c r="DT14" s="231">
        <v>1200</v>
      </c>
      <c r="DU14" s="228">
        <v>0.52</v>
      </c>
      <c r="DV14" s="228">
        <v>0.43</v>
      </c>
      <c r="DW14" s="228">
        <v>0.09</v>
      </c>
      <c r="DX14" s="229">
        <v>0.20930000000000001</v>
      </c>
      <c r="DY14" s="229">
        <v>0.34949999999999998</v>
      </c>
      <c r="DZ14" s="230">
        <v>1834375</v>
      </c>
      <c r="EA14" s="229">
        <v>1.8E-3</v>
      </c>
      <c r="EB14" s="229">
        <v>0.34949999999999998</v>
      </c>
      <c r="EC14" s="228">
        <v>1.17</v>
      </c>
      <c r="ED14" s="229">
        <v>8.9999999999999998E-4</v>
      </c>
      <c r="EE14" s="230">
        <v>417192</v>
      </c>
      <c r="EF14" s="230">
        <v>534314</v>
      </c>
      <c r="EG14" s="229">
        <v>-0.21920000000000001</v>
      </c>
      <c r="EH14" s="229">
        <v>0.4748</v>
      </c>
      <c r="EI14" s="231">
        <v>94801.14</v>
      </c>
      <c r="EJ14" s="231">
        <v>47885.86</v>
      </c>
      <c r="EK14" s="231">
        <v>142961.74</v>
      </c>
      <c r="EL14" s="231">
        <v>3456</v>
      </c>
      <c r="EM14" s="231">
        <v>285648.74</v>
      </c>
      <c r="EN14" s="231">
        <v>164254.63</v>
      </c>
      <c r="EO14" s="231">
        <v>121394.11</v>
      </c>
      <c r="EP14" s="229">
        <v>0.73909999999999998</v>
      </c>
      <c r="EQ14" s="231">
        <v>136470</v>
      </c>
      <c r="ER14" s="231">
        <v>62708</v>
      </c>
      <c r="ES14" s="231">
        <v>189473</v>
      </c>
      <c r="ET14" s="231">
        <v>61006521</v>
      </c>
      <c r="EU14" s="231">
        <v>388651</v>
      </c>
      <c r="EV14" s="231">
        <v>414568</v>
      </c>
      <c r="EW14" s="231">
        <v>-25917</v>
      </c>
      <c r="EX14" s="229">
        <v>-6.25E-2</v>
      </c>
      <c r="EY14" s="229">
        <v>0.50860000000000005</v>
      </c>
    </row>
    <row r="15" spans="1:155" ht="17.25" thickBot="1" x14ac:dyDescent="0.3">
      <c r="A15" s="226">
        <v>45981</v>
      </c>
      <c r="B15" s="227" t="s">
        <v>162</v>
      </c>
      <c r="C15" s="227" t="s">
        <v>209</v>
      </c>
      <c r="D15" s="231">
        <v>7113.5</v>
      </c>
      <c r="E15" s="231">
        <v>6889</v>
      </c>
      <c r="F15" s="228">
        <v>224.5</v>
      </c>
      <c r="G15" s="229">
        <v>3.2599999999999997E-2</v>
      </c>
      <c r="H15" s="231">
        <v>7125.5</v>
      </c>
      <c r="I15" s="231">
        <v>6896.5</v>
      </c>
      <c r="J15" s="228">
        <v>229</v>
      </c>
      <c r="K15" s="229">
        <v>3.32E-2</v>
      </c>
      <c r="L15" s="231">
        <v>7113.5</v>
      </c>
      <c r="M15" s="231">
        <v>6889</v>
      </c>
      <c r="N15" s="228">
        <v>224.5</v>
      </c>
      <c r="O15" s="229">
        <v>3.2599999999999997E-2</v>
      </c>
      <c r="P15" s="231">
        <v>7164.5</v>
      </c>
      <c r="Q15" s="231">
        <v>6934</v>
      </c>
      <c r="R15" s="228">
        <v>230.5</v>
      </c>
      <c r="S15" s="229">
        <v>3.32E-2</v>
      </c>
      <c r="T15" s="231">
        <v>7200.5</v>
      </c>
      <c r="U15" s="231">
        <v>6974.5</v>
      </c>
      <c r="V15" s="228">
        <v>226</v>
      </c>
      <c r="W15" s="229">
        <v>3.2399999999999998E-2</v>
      </c>
      <c r="X15" s="228">
        <v>-12</v>
      </c>
      <c r="Y15" s="228">
        <v>-7.5</v>
      </c>
      <c r="Z15" s="228">
        <v>-4.5</v>
      </c>
      <c r="AA15" s="229">
        <v>-1.6999999999999999E-3</v>
      </c>
      <c r="AB15" s="228">
        <v>-12</v>
      </c>
      <c r="AC15" s="228">
        <v>-7.5</v>
      </c>
      <c r="AD15" s="228">
        <v>-4.5</v>
      </c>
      <c r="AE15" s="229">
        <v>-1.6999999999999999E-3</v>
      </c>
      <c r="AF15" s="228">
        <v>39</v>
      </c>
      <c r="AG15" s="228">
        <v>37.5</v>
      </c>
      <c r="AH15" s="228">
        <v>1.5</v>
      </c>
      <c r="AI15" s="229">
        <v>5.4999999999999997E-3</v>
      </c>
      <c r="AJ15" s="228">
        <v>75</v>
      </c>
      <c r="AK15" s="228">
        <v>78</v>
      </c>
      <c r="AL15" s="228">
        <v>-3</v>
      </c>
      <c r="AM15" s="229">
        <v>1.0500000000000001E-2</v>
      </c>
      <c r="AN15" s="231">
        <v>7051.74</v>
      </c>
      <c r="AO15" s="231">
        <v>7102.01</v>
      </c>
      <c r="AP15" s="228">
        <v>0</v>
      </c>
      <c r="AQ15" s="230">
        <v>15121</v>
      </c>
      <c r="AR15" s="230">
        <v>4121</v>
      </c>
      <c r="AS15" s="230">
        <v>11000</v>
      </c>
      <c r="AT15" s="229">
        <v>2.6692999999999998</v>
      </c>
      <c r="AU15" s="230">
        <v>8407</v>
      </c>
      <c r="AV15" s="230">
        <v>2997</v>
      </c>
      <c r="AW15" s="230">
        <v>5410</v>
      </c>
      <c r="AX15" s="229">
        <v>1.8050999999999999</v>
      </c>
      <c r="AY15" s="230">
        <v>6533</v>
      </c>
      <c r="AZ15" s="230">
        <v>1101</v>
      </c>
      <c r="BA15" s="230">
        <v>5432</v>
      </c>
      <c r="BB15" s="229">
        <v>4.9337</v>
      </c>
      <c r="BC15" s="228">
        <v>181</v>
      </c>
      <c r="BD15" s="228">
        <v>23</v>
      </c>
      <c r="BE15" s="228">
        <v>158</v>
      </c>
      <c r="BF15" s="229">
        <v>6.8696000000000002</v>
      </c>
      <c r="BG15" s="230">
        <v>175624</v>
      </c>
      <c r="BH15" s="230">
        <v>31493</v>
      </c>
      <c r="BI15" s="230">
        <v>144131</v>
      </c>
      <c r="BJ15" s="229">
        <v>4.5766</v>
      </c>
      <c r="BK15" s="230">
        <v>51794</v>
      </c>
      <c r="BL15" s="230">
        <v>12869</v>
      </c>
      <c r="BM15" s="230">
        <v>38925</v>
      </c>
      <c r="BN15" s="229">
        <v>3.0247000000000002</v>
      </c>
      <c r="BO15" s="230">
        <v>242539</v>
      </c>
      <c r="BP15" s="230">
        <v>48483</v>
      </c>
      <c r="BQ15" s="230">
        <v>194056</v>
      </c>
      <c r="BR15" s="229">
        <v>4.0026000000000002</v>
      </c>
      <c r="BS15" s="230">
        <v>876233</v>
      </c>
      <c r="BT15" s="230">
        <v>420102</v>
      </c>
      <c r="BU15" s="230">
        <v>456131</v>
      </c>
      <c r="BV15" s="229">
        <v>1.0858000000000001</v>
      </c>
      <c r="BW15" s="230">
        <v>3118550</v>
      </c>
      <c r="BX15" s="230">
        <v>3108450</v>
      </c>
      <c r="BY15" s="230">
        <v>10100</v>
      </c>
      <c r="BZ15" s="229">
        <v>3.2000000000000002E-3</v>
      </c>
      <c r="CA15" s="230">
        <v>2156525</v>
      </c>
      <c r="CB15" s="230">
        <v>2782675</v>
      </c>
      <c r="CC15" s="230">
        <v>-626150</v>
      </c>
      <c r="CD15" s="229">
        <v>-0.22500000000000001</v>
      </c>
      <c r="CE15" s="230">
        <v>939225</v>
      </c>
      <c r="CF15" s="230">
        <v>310975</v>
      </c>
      <c r="CG15" s="230">
        <v>628250</v>
      </c>
      <c r="CH15" s="229">
        <v>2.0203000000000002</v>
      </c>
      <c r="CI15" s="230">
        <v>22800</v>
      </c>
      <c r="CJ15" s="230">
        <v>14800</v>
      </c>
      <c r="CK15" s="230">
        <v>8000</v>
      </c>
      <c r="CL15" s="229">
        <v>0.54049999999999998</v>
      </c>
      <c r="CM15" s="230">
        <v>2741500</v>
      </c>
      <c r="CN15" s="230">
        <v>2403400</v>
      </c>
      <c r="CO15" s="230">
        <v>338100</v>
      </c>
      <c r="CP15" s="229">
        <v>0.14069999999999999</v>
      </c>
      <c r="CQ15" s="230">
        <v>2438175</v>
      </c>
      <c r="CR15" s="230">
        <v>1758125</v>
      </c>
      <c r="CS15" s="230">
        <v>680050</v>
      </c>
      <c r="CT15" s="229">
        <v>0.38679999999999998</v>
      </c>
      <c r="CU15" s="230">
        <v>8298225</v>
      </c>
      <c r="CV15" s="230">
        <v>7269975</v>
      </c>
      <c r="CW15" s="230">
        <v>1028250</v>
      </c>
      <c r="CX15" s="229">
        <v>0.1414</v>
      </c>
      <c r="CY15" s="228">
        <v>20.57</v>
      </c>
      <c r="CZ15" s="228">
        <v>20.22</v>
      </c>
      <c r="DA15" s="228">
        <v>0.35</v>
      </c>
      <c r="DB15" s="228">
        <v>0.35</v>
      </c>
      <c r="DC15" s="228">
        <v>27.7</v>
      </c>
      <c r="DD15" s="228">
        <v>27.42</v>
      </c>
      <c r="DE15" s="228">
        <v>-7.13</v>
      </c>
      <c r="DF15" s="228">
        <v>0.28000000000000003</v>
      </c>
      <c r="DG15" s="228">
        <v>20.190000000000001</v>
      </c>
      <c r="DH15" s="228">
        <v>19.940000000000001</v>
      </c>
      <c r="DI15" s="228">
        <v>0.25</v>
      </c>
      <c r="DJ15" s="228">
        <v>0.25</v>
      </c>
      <c r="DK15" s="228">
        <v>21.38</v>
      </c>
      <c r="DL15" s="228">
        <v>20.89</v>
      </c>
      <c r="DM15" s="228">
        <v>0.49</v>
      </c>
      <c r="DN15" s="228">
        <v>0.49</v>
      </c>
      <c r="DO15" s="228">
        <v>0.89</v>
      </c>
      <c r="DP15" s="228">
        <v>0.73</v>
      </c>
      <c r="DQ15" s="228">
        <v>0.16</v>
      </c>
      <c r="DR15" s="229">
        <v>0.21920000000000001</v>
      </c>
      <c r="DS15" s="231">
        <v>7500</v>
      </c>
      <c r="DT15" s="231">
        <v>7000</v>
      </c>
      <c r="DU15" s="228">
        <v>0.28999999999999998</v>
      </c>
      <c r="DV15" s="228">
        <v>0.41</v>
      </c>
      <c r="DW15" s="228">
        <v>-0.12</v>
      </c>
      <c r="DX15" s="229">
        <v>-0.29270000000000002</v>
      </c>
      <c r="DY15" s="229">
        <v>0.3085</v>
      </c>
      <c r="DZ15" s="230">
        <v>325775</v>
      </c>
      <c r="EA15" s="229">
        <v>7.1999999999999998E-3</v>
      </c>
      <c r="EB15" s="229">
        <v>0.3085</v>
      </c>
      <c r="EC15" s="228">
        <v>50.27</v>
      </c>
      <c r="ED15" s="229">
        <v>7.1000000000000004E-3</v>
      </c>
      <c r="EE15" s="230">
        <v>405930</v>
      </c>
      <c r="EF15" s="230">
        <v>287095</v>
      </c>
      <c r="EG15" s="229">
        <v>0.41389999999999999</v>
      </c>
      <c r="EH15" s="229">
        <v>0.46329999999999999</v>
      </c>
      <c r="EI15" s="231">
        <v>2219926.48</v>
      </c>
      <c r="EJ15" s="231">
        <v>629408.6</v>
      </c>
      <c r="EK15" s="231">
        <v>186235.48</v>
      </c>
      <c r="EL15" s="231">
        <v>6638</v>
      </c>
      <c r="EM15" s="231">
        <v>3035570.56</v>
      </c>
      <c r="EN15" s="231">
        <v>588995.49</v>
      </c>
      <c r="EO15" s="231">
        <v>2446575.0699999998</v>
      </c>
      <c r="EP15" s="229">
        <v>4.1538000000000004</v>
      </c>
      <c r="EQ15" s="231">
        <v>200144</v>
      </c>
      <c r="ER15" s="231">
        <v>163660</v>
      </c>
      <c r="ES15" s="231">
        <v>222337</v>
      </c>
      <c r="ET15" s="231">
        <v>20353850</v>
      </c>
      <c r="EU15" s="231">
        <v>586141</v>
      </c>
      <c r="EV15" s="231">
        <v>502306</v>
      </c>
      <c r="EW15" s="231">
        <v>83835</v>
      </c>
      <c r="EX15" s="229">
        <v>0.16689999999999999</v>
      </c>
      <c r="EY15" s="229">
        <v>0.40770000000000001</v>
      </c>
    </row>
    <row r="16" spans="1:155" ht="17.25" thickBot="1" x14ac:dyDescent="0.3">
      <c r="A16" s="226">
        <v>45981</v>
      </c>
      <c r="B16" s="227" t="s">
        <v>615</v>
      </c>
      <c r="C16" s="227" t="s">
        <v>668</v>
      </c>
      <c r="D16" s="228">
        <v>306.75</v>
      </c>
      <c r="E16" s="228">
        <v>306.8</v>
      </c>
      <c r="F16" s="228">
        <v>-0.05</v>
      </c>
      <c r="G16" s="229">
        <v>-2.0000000000000001E-4</v>
      </c>
      <c r="H16" s="228">
        <v>306.89999999999998</v>
      </c>
      <c r="I16" s="228">
        <v>306.60000000000002</v>
      </c>
      <c r="J16" s="228">
        <v>0.3</v>
      </c>
      <c r="K16" s="229">
        <v>1E-3</v>
      </c>
      <c r="L16" s="228">
        <v>306.75</v>
      </c>
      <c r="M16" s="228">
        <v>306.8</v>
      </c>
      <c r="N16" s="228">
        <v>-0.05</v>
      </c>
      <c r="O16" s="229">
        <v>-2.0000000000000001E-4</v>
      </c>
      <c r="P16" s="228">
        <v>308.85000000000002</v>
      </c>
      <c r="Q16" s="228">
        <v>308.85000000000002</v>
      </c>
      <c r="R16" s="228">
        <v>0</v>
      </c>
      <c r="S16" s="229">
        <v>0</v>
      </c>
      <c r="T16" s="228">
        <v>310.7</v>
      </c>
      <c r="U16" s="228">
        <v>310.64999999999998</v>
      </c>
      <c r="V16" s="228">
        <v>0.05</v>
      </c>
      <c r="W16" s="229">
        <v>2.0000000000000001E-4</v>
      </c>
      <c r="X16" s="228">
        <v>-0.15</v>
      </c>
      <c r="Y16" s="228">
        <v>0.2</v>
      </c>
      <c r="Z16" s="228">
        <v>-0.35</v>
      </c>
      <c r="AA16" s="229">
        <v>-5.0000000000000001E-4</v>
      </c>
      <c r="AB16" s="228">
        <v>-0.15</v>
      </c>
      <c r="AC16" s="228">
        <v>0.2</v>
      </c>
      <c r="AD16" s="228">
        <v>-0.35</v>
      </c>
      <c r="AE16" s="229">
        <v>-5.0000000000000001E-4</v>
      </c>
      <c r="AF16" s="228">
        <v>1.95</v>
      </c>
      <c r="AG16" s="228">
        <v>2.25</v>
      </c>
      <c r="AH16" s="228">
        <v>-0.3</v>
      </c>
      <c r="AI16" s="229">
        <v>6.4000000000000003E-3</v>
      </c>
      <c r="AJ16" s="228">
        <v>3.8</v>
      </c>
      <c r="AK16" s="228">
        <v>4.05</v>
      </c>
      <c r="AL16" s="228">
        <v>-0.25</v>
      </c>
      <c r="AM16" s="229">
        <v>1.24E-2</v>
      </c>
      <c r="AN16" s="228">
        <v>307.04000000000002</v>
      </c>
      <c r="AO16" s="228">
        <v>309.13</v>
      </c>
      <c r="AP16" s="228">
        <v>0</v>
      </c>
      <c r="AQ16" s="230">
        <v>74270</v>
      </c>
      <c r="AR16" s="230">
        <v>10012</v>
      </c>
      <c r="AS16" s="230">
        <v>64258</v>
      </c>
      <c r="AT16" s="229">
        <v>6.4180999999999999</v>
      </c>
      <c r="AU16" s="230">
        <v>37531</v>
      </c>
      <c r="AV16" s="230">
        <v>7010</v>
      </c>
      <c r="AW16" s="230">
        <v>30521</v>
      </c>
      <c r="AX16" s="229">
        <v>4.3539000000000003</v>
      </c>
      <c r="AY16" s="230">
        <v>36581</v>
      </c>
      <c r="AZ16" s="230">
        <v>2902</v>
      </c>
      <c r="BA16" s="230">
        <v>33679</v>
      </c>
      <c r="BB16" s="229">
        <v>11.605399999999999</v>
      </c>
      <c r="BC16" s="228">
        <v>158</v>
      </c>
      <c r="BD16" s="228">
        <v>100</v>
      </c>
      <c r="BE16" s="228">
        <v>58</v>
      </c>
      <c r="BF16" s="229">
        <v>0.57999999999999996</v>
      </c>
      <c r="BG16" s="230">
        <v>37366</v>
      </c>
      <c r="BH16" s="230">
        <v>37625</v>
      </c>
      <c r="BI16" s="228">
        <v>-259</v>
      </c>
      <c r="BJ16" s="229">
        <v>-6.8999999999999999E-3</v>
      </c>
      <c r="BK16" s="230">
        <v>12050</v>
      </c>
      <c r="BL16" s="230">
        <v>13734</v>
      </c>
      <c r="BM16" s="230">
        <v>-1684</v>
      </c>
      <c r="BN16" s="229">
        <v>-0.1226</v>
      </c>
      <c r="BO16" s="230">
        <v>123686</v>
      </c>
      <c r="BP16" s="230">
        <v>61371</v>
      </c>
      <c r="BQ16" s="230">
        <v>62315</v>
      </c>
      <c r="BR16" s="229">
        <v>1.0154000000000001</v>
      </c>
      <c r="BS16" s="230">
        <v>16800466</v>
      </c>
      <c r="BT16" s="230">
        <v>16134803</v>
      </c>
      <c r="BU16" s="230">
        <v>665663</v>
      </c>
      <c r="BV16" s="229">
        <v>4.1300000000000003E-2</v>
      </c>
      <c r="BW16" s="230">
        <v>304221100</v>
      </c>
      <c r="BX16" s="230">
        <v>303430550</v>
      </c>
      <c r="BY16" s="230">
        <v>790550</v>
      </c>
      <c r="BZ16" s="229">
        <v>2.5999999999999999E-3</v>
      </c>
      <c r="CA16" s="230">
        <v>190968750</v>
      </c>
      <c r="CB16" s="230">
        <v>274609425</v>
      </c>
      <c r="CC16" s="230">
        <v>-83640675</v>
      </c>
      <c r="CD16" s="229">
        <v>-0.30459999999999998</v>
      </c>
      <c r="CE16" s="230">
        <v>111501500</v>
      </c>
      <c r="CF16" s="230">
        <v>27138175</v>
      </c>
      <c r="CG16" s="230">
        <v>84363325</v>
      </c>
      <c r="CH16" s="229">
        <v>3.1086999999999998</v>
      </c>
      <c r="CI16" s="230">
        <v>1750850</v>
      </c>
      <c r="CJ16" s="230">
        <v>1682950</v>
      </c>
      <c r="CK16" s="230">
        <v>67900</v>
      </c>
      <c r="CL16" s="229">
        <v>4.0300000000000002E-2</v>
      </c>
      <c r="CM16" s="230">
        <v>106479325</v>
      </c>
      <c r="CN16" s="230">
        <v>114993500</v>
      </c>
      <c r="CO16" s="230">
        <v>-8514175</v>
      </c>
      <c r="CP16" s="229">
        <v>-7.3999999999999996E-2</v>
      </c>
      <c r="CQ16" s="230">
        <v>53563400</v>
      </c>
      <c r="CR16" s="230">
        <v>54290900</v>
      </c>
      <c r="CS16" s="230">
        <v>-727500</v>
      </c>
      <c r="CT16" s="229">
        <v>-1.34E-2</v>
      </c>
      <c r="CU16" s="230">
        <v>464263825</v>
      </c>
      <c r="CV16" s="230">
        <v>472714950</v>
      </c>
      <c r="CW16" s="230">
        <v>-8451125</v>
      </c>
      <c r="CX16" s="229">
        <v>-1.7899999999999999E-2</v>
      </c>
      <c r="CY16" s="228">
        <v>28.17</v>
      </c>
      <c r="CZ16" s="228">
        <v>29.93</v>
      </c>
      <c r="DA16" s="228">
        <v>-1.76</v>
      </c>
      <c r="DB16" s="228">
        <v>-1.76</v>
      </c>
      <c r="DC16" s="228">
        <v>44.65</v>
      </c>
      <c r="DD16" s="228">
        <v>44.76</v>
      </c>
      <c r="DE16" s="228">
        <v>-16.48</v>
      </c>
      <c r="DF16" s="228">
        <v>-0.11</v>
      </c>
      <c r="DG16" s="228">
        <v>27.99</v>
      </c>
      <c r="DH16" s="228">
        <v>30.5</v>
      </c>
      <c r="DI16" s="228">
        <v>-2.5099999999999998</v>
      </c>
      <c r="DJ16" s="228">
        <v>-2.5099999999999998</v>
      </c>
      <c r="DK16" s="228">
        <v>28.63</v>
      </c>
      <c r="DL16" s="228">
        <v>28.37</v>
      </c>
      <c r="DM16" s="228">
        <v>0.26</v>
      </c>
      <c r="DN16" s="228">
        <v>0.26</v>
      </c>
      <c r="DO16" s="228">
        <v>0.5</v>
      </c>
      <c r="DP16" s="228">
        <v>0.47</v>
      </c>
      <c r="DQ16" s="228">
        <v>0.03</v>
      </c>
      <c r="DR16" s="229">
        <v>6.3799999999999996E-2</v>
      </c>
      <c r="DS16" s="228">
        <v>330</v>
      </c>
      <c r="DT16" s="228">
        <v>300</v>
      </c>
      <c r="DU16" s="228">
        <v>0.32</v>
      </c>
      <c r="DV16" s="228">
        <v>0.37</v>
      </c>
      <c r="DW16" s="228">
        <v>-0.05</v>
      </c>
      <c r="DX16" s="229">
        <v>-0.1351</v>
      </c>
      <c r="DY16" s="229">
        <v>0.37230000000000002</v>
      </c>
      <c r="DZ16" s="230">
        <v>28821125</v>
      </c>
      <c r="EA16" s="229">
        <v>6.7999999999999996E-3</v>
      </c>
      <c r="EB16" s="229">
        <v>0.37230000000000002</v>
      </c>
      <c r="EC16" s="228">
        <v>2.09</v>
      </c>
      <c r="ED16" s="229">
        <v>6.7999999999999996E-3</v>
      </c>
      <c r="EE16" s="230">
        <v>11147738</v>
      </c>
      <c r="EF16" s="230">
        <v>9262738</v>
      </c>
      <c r="EG16" s="229">
        <v>0.20349999999999999</v>
      </c>
      <c r="EH16" s="229">
        <v>0.66349999999999998</v>
      </c>
      <c r="EI16" s="231">
        <v>293963.59999999998</v>
      </c>
      <c r="EJ16" s="231">
        <v>89403.79</v>
      </c>
      <c r="EK16" s="231">
        <v>554861.91</v>
      </c>
      <c r="EL16" s="231">
        <v>15539</v>
      </c>
      <c r="EM16" s="231">
        <v>938229.3</v>
      </c>
      <c r="EN16" s="231">
        <v>471749.49</v>
      </c>
      <c r="EO16" s="231">
        <v>466479.81</v>
      </c>
      <c r="EP16" s="229">
        <v>0.98880000000000001</v>
      </c>
      <c r="EQ16" s="231">
        <v>351666</v>
      </c>
      <c r="ER16" s="231">
        <v>165288</v>
      </c>
      <c r="ES16" s="231">
        <v>935609</v>
      </c>
      <c r="ET16" s="231">
        <v>1361988292</v>
      </c>
      <c r="EU16" s="231">
        <v>1452563</v>
      </c>
      <c r="EV16" s="231">
        <v>1479783</v>
      </c>
      <c r="EW16" s="231">
        <v>-27220</v>
      </c>
      <c r="EX16" s="229">
        <v>-1.84E-2</v>
      </c>
      <c r="EY16" s="229">
        <v>0.34089999999999998</v>
      </c>
    </row>
    <row r="17" spans="1:155" ht="17.25" thickBot="1" x14ac:dyDescent="0.3">
      <c r="A17" s="226">
        <v>45981</v>
      </c>
      <c r="B17" s="227" t="s">
        <v>157</v>
      </c>
      <c r="C17" s="227" t="s">
        <v>219</v>
      </c>
      <c r="D17" s="231">
        <v>2751.9</v>
      </c>
      <c r="E17" s="231">
        <v>2745.7</v>
      </c>
      <c r="F17" s="228">
        <v>6.2</v>
      </c>
      <c r="G17" s="229">
        <v>2.3E-3</v>
      </c>
      <c r="H17" s="231">
        <v>2748.6</v>
      </c>
      <c r="I17" s="231">
        <v>2744.7</v>
      </c>
      <c r="J17" s="228">
        <v>3.9</v>
      </c>
      <c r="K17" s="229">
        <v>1.4E-3</v>
      </c>
      <c r="L17" s="231">
        <v>2751.9</v>
      </c>
      <c r="M17" s="231">
        <v>2745.7</v>
      </c>
      <c r="N17" s="228">
        <v>6.2</v>
      </c>
      <c r="O17" s="229">
        <v>2.3E-3</v>
      </c>
      <c r="P17" s="231">
        <v>2771</v>
      </c>
      <c r="Q17" s="231">
        <v>2765.4</v>
      </c>
      <c r="R17" s="228">
        <v>5.6</v>
      </c>
      <c r="S17" s="229">
        <v>2E-3</v>
      </c>
      <c r="T17" s="231">
        <v>2796.6</v>
      </c>
      <c r="U17" s="231">
        <v>2782.7</v>
      </c>
      <c r="V17" s="228">
        <v>13.9</v>
      </c>
      <c r="W17" s="229">
        <v>5.0000000000000001E-3</v>
      </c>
      <c r="X17" s="228">
        <v>3.3</v>
      </c>
      <c r="Y17" s="228">
        <v>1</v>
      </c>
      <c r="Z17" s="228">
        <v>2.2999999999999998</v>
      </c>
      <c r="AA17" s="229">
        <v>1.1999999999999999E-3</v>
      </c>
      <c r="AB17" s="228">
        <v>3.3</v>
      </c>
      <c r="AC17" s="228">
        <v>1</v>
      </c>
      <c r="AD17" s="228">
        <v>2.2999999999999998</v>
      </c>
      <c r="AE17" s="229">
        <v>1.1999999999999999E-3</v>
      </c>
      <c r="AF17" s="228">
        <v>22.4</v>
      </c>
      <c r="AG17" s="228">
        <v>20.7</v>
      </c>
      <c r="AH17" s="228">
        <v>1.7</v>
      </c>
      <c r="AI17" s="229">
        <v>8.0999999999999996E-3</v>
      </c>
      <c r="AJ17" s="228">
        <v>48</v>
      </c>
      <c r="AK17" s="228">
        <v>38</v>
      </c>
      <c r="AL17" s="228">
        <v>10</v>
      </c>
      <c r="AM17" s="229">
        <v>1.7500000000000002E-2</v>
      </c>
      <c r="AN17" s="231">
        <v>2758.28</v>
      </c>
      <c r="AO17" s="231">
        <v>2776.92</v>
      </c>
      <c r="AP17" s="228">
        <v>0</v>
      </c>
      <c r="AQ17" s="230">
        <v>27361</v>
      </c>
      <c r="AR17" s="230">
        <v>27916</v>
      </c>
      <c r="AS17" s="228">
        <v>-555</v>
      </c>
      <c r="AT17" s="229">
        <v>-1.9900000000000001E-2</v>
      </c>
      <c r="AU17" s="230">
        <v>13973</v>
      </c>
      <c r="AV17" s="230">
        <v>15027</v>
      </c>
      <c r="AW17" s="230">
        <v>-1054</v>
      </c>
      <c r="AX17" s="229">
        <v>-7.0099999999999996E-2</v>
      </c>
      <c r="AY17" s="230">
        <v>13379</v>
      </c>
      <c r="AZ17" s="230">
        <v>12883</v>
      </c>
      <c r="BA17" s="228">
        <v>496</v>
      </c>
      <c r="BB17" s="229">
        <v>3.85E-2</v>
      </c>
      <c r="BC17" s="228">
        <v>9</v>
      </c>
      <c r="BD17" s="228">
        <v>6</v>
      </c>
      <c r="BE17" s="228">
        <v>3</v>
      </c>
      <c r="BF17" s="229">
        <v>0.5</v>
      </c>
      <c r="BG17" s="230">
        <v>14881</v>
      </c>
      <c r="BH17" s="230">
        <v>17502</v>
      </c>
      <c r="BI17" s="230">
        <v>-2621</v>
      </c>
      <c r="BJ17" s="229">
        <v>-0.14979999999999999</v>
      </c>
      <c r="BK17" s="230">
        <v>5945</v>
      </c>
      <c r="BL17" s="230">
        <v>6280</v>
      </c>
      <c r="BM17" s="228">
        <v>-335</v>
      </c>
      <c r="BN17" s="229">
        <v>-5.33E-2</v>
      </c>
      <c r="BO17" s="230">
        <v>48187</v>
      </c>
      <c r="BP17" s="230">
        <v>51698</v>
      </c>
      <c r="BQ17" s="230">
        <v>-3511</v>
      </c>
      <c r="BR17" s="229">
        <v>-6.7900000000000002E-2</v>
      </c>
      <c r="BS17" s="230">
        <v>643955</v>
      </c>
      <c r="BT17" s="230">
        <v>609688</v>
      </c>
      <c r="BU17" s="230">
        <v>34267</v>
      </c>
      <c r="BV17" s="229">
        <v>5.62E-2</v>
      </c>
      <c r="BW17" s="230">
        <v>16096000</v>
      </c>
      <c r="BX17" s="230">
        <v>16174750</v>
      </c>
      <c r="BY17" s="230">
        <v>-78750</v>
      </c>
      <c r="BZ17" s="229">
        <v>-4.8999999999999998E-3</v>
      </c>
      <c r="CA17" s="230">
        <v>9388000</v>
      </c>
      <c r="CB17" s="230">
        <v>12308750</v>
      </c>
      <c r="CC17" s="230">
        <v>-2920750</v>
      </c>
      <c r="CD17" s="229">
        <v>-0.23730000000000001</v>
      </c>
      <c r="CE17" s="230">
        <v>6684750</v>
      </c>
      <c r="CF17" s="230">
        <v>3844000</v>
      </c>
      <c r="CG17" s="230">
        <v>2840750</v>
      </c>
      <c r="CH17" s="229">
        <v>0.73899999999999999</v>
      </c>
      <c r="CI17" s="230">
        <v>23250</v>
      </c>
      <c r="CJ17" s="230">
        <v>22000</v>
      </c>
      <c r="CK17" s="230">
        <v>1250</v>
      </c>
      <c r="CL17" s="229">
        <v>5.6800000000000003E-2</v>
      </c>
      <c r="CM17" s="230">
        <v>4752000</v>
      </c>
      <c r="CN17" s="230">
        <v>4984500</v>
      </c>
      <c r="CO17" s="230">
        <v>-232500</v>
      </c>
      <c r="CP17" s="229">
        <v>-4.6600000000000003E-2</v>
      </c>
      <c r="CQ17" s="230">
        <v>2557000</v>
      </c>
      <c r="CR17" s="230">
        <v>2572250</v>
      </c>
      <c r="CS17" s="230">
        <v>-15250</v>
      </c>
      <c r="CT17" s="229">
        <v>-5.8999999999999999E-3</v>
      </c>
      <c r="CU17" s="230">
        <v>23405000</v>
      </c>
      <c r="CV17" s="230">
        <v>23731500</v>
      </c>
      <c r="CW17" s="230">
        <v>-326500</v>
      </c>
      <c r="CX17" s="229">
        <v>-1.38E-2</v>
      </c>
      <c r="CY17" s="228">
        <v>17.260000000000002</v>
      </c>
      <c r="CZ17" s="228">
        <v>20.260000000000002</v>
      </c>
      <c r="DA17" s="228">
        <v>-3</v>
      </c>
      <c r="DB17" s="228">
        <v>-3</v>
      </c>
      <c r="DC17" s="228">
        <v>26.27</v>
      </c>
      <c r="DD17" s="228">
        <v>26.33</v>
      </c>
      <c r="DE17" s="228">
        <v>-9.01</v>
      </c>
      <c r="DF17" s="228">
        <v>-0.06</v>
      </c>
      <c r="DG17" s="228">
        <v>17.8</v>
      </c>
      <c r="DH17" s="228">
        <v>21.16</v>
      </c>
      <c r="DI17" s="228">
        <v>-3.36</v>
      </c>
      <c r="DJ17" s="228">
        <v>-3.36</v>
      </c>
      <c r="DK17" s="228">
        <v>16.670000000000002</v>
      </c>
      <c r="DL17" s="228">
        <v>17.77</v>
      </c>
      <c r="DM17" s="228">
        <v>-1.1000000000000001</v>
      </c>
      <c r="DN17" s="228">
        <v>-1.1000000000000001</v>
      </c>
      <c r="DO17" s="228">
        <v>0.54</v>
      </c>
      <c r="DP17" s="228">
        <v>0.52</v>
      </c>
      <c r="DQ17" s="228">
        <v>0.02</v>
      </c>
      <c r="DR17" s="229">
        <v>3.85E-2</v>
      </c>
      <c r="DS17" s="231">
        <v>3000</v>
      </c>
      <c r="DT17" s="231">
        <v>2700</v>
      </c>
      <c r="DU17" s="228">
        <v>0.4</v>
      </c>
      <c r="DV17" s="228">
        <v>0.36</v>
      </c>
      <c r="DW17" s="228">
        <v>0.04</v>
      </c>
      <c r="DX17" s="229">
        <v>0.1111</v>
      </c>
      <c r="DY17" s="229">
        <v>0.41670000000000001</v>
      </c>
      <c r="DZ17" s="230">
        <v>3866000</v>
      </c>
      <c r="EA17" s="229">
        <v>6.8999999999999999E-3</v>
      </c>
      <c r="EB17" s="229">
        <v>0.41670000000000001</v>
      </c>
      <c r="EC17" s="228">
        <v>18.64</v>
      </c>
      <c r="ED17" s="229">
        <v>6.7999999999999996E-3</v>
      </c>
      <c r="EE17" s="230">
        <v>453189</v>
      </c>
      <c r="EF17" s="230">
        <v>397632</v>
      </c>
      <c r="EG17" s="229">
        <v>0.13969999999999999</v>
      </c>
      <c r="EH17" s="229">
        <v>0.70379999999999998</v>
      </c>
      <c r="EI17" s="231">
        <v>106528.82</v>
      </c>
      <c r="EJ17" s="231">
        <v>41002.53</v>
      </c>
      <c r="EK17" s="231">
        <v>189297.67</v>
      </c>
      <c r="EL17" s="231">
        <v>9173</v>
      </c>
      <c r="EM17" s="231">
        <v>336829.02</v>
      </c>
      <c r="EN17" s="231">
        <v>361929.31</v>
      </c>
      <c r="EO17" s="231">
        <v>-25100.29</v>
      </c>
      <c r="EP17" s="229">
        <v>-6.9400000000000003E-2</v>
      </c>
      <c r="EQ17" s="231">
        <v>139053</v>
      </c>
      <c r="ER17" s="231">
        <v>69950</v>
      </c>
      <c r="ES17" s="231">
        <v>444233</v>
      </c>
      <c r="ET17" s="231">
        <v>38514157</v>
      </c>
      <c r="EU17" s="231">
        <v>653235</v>
      </c>
      <c r="EV17" s="231">
        <v>661561</v>
      </c>
      <c r="EW17" s="231">
        <v>-8326</v>
      </c>
      <c r="EX17" s="229">
        <v>-1.26E-2</v>
      </c>
      <c r="EY17" s="229">
        <v>0.60770000000000002</v>
      </c>
    </row>
    <row r="18" spans="1:155" ht="17.25" thickBot="1" x14ac:dyDescent="0.3">
      <c r="A18" s="226">
        <v>45981</v>
      </c>
      <c r="B18" s="227" t="s">
        <v>221</v>
      </c>
      <c r="C18" s="227" t="s">
        <v>222</v>
      </c>
      <c r="D18" s="231">
        <v>1647.6</v>
      </c>
      <c r="E18" s="231">
        <v>1660</v>
      </c>
      <c r="F18" s="228">
        <v>-12.4</v>
      </c>
      <c r="G18" s="229">
        <v>-7.4999999999999997E-3</v>
      </c>
      <c r="H18" s="231">
        <v>1645.4</v>
      </c>
      <c r="I18" s="231">
        <v>1662.6</v>
      </c>
      <c r="J18" s="228">
        <v>-17.2</v>
      </c>
      <c r="K18" s="229">
        <v>-1.03E-2</v>
      </c>
      <c r="L18" s="231">
        <v>1647.6</v>
      </c>
      <c r="M18" s="231">
        <v>1660</v>
      </c>
      <c r="N18" s="228">
        <v>-12.4</v>
      </c>
      <c r="O18" s="229">
        <v>-7.4999999999999997E-3</v>
      </c>
      <c r="P18" s="231">
        <v>1658.8</v>
      </c>
      <c r="Q18" s="231">
        <v>1671.1</v>
      </c>
      <c r="R18" s="228">
        <v>-12.3</v>
      </c>
      <c r="S18" s="229">
        <v>-7.4000000000000003E-3</v>
      </c>
      <c r="T18" s="231">
        <v>1657.4</v>
      </c>
      <c r="U18" s="231">
        <v>1668.6</v>
      </c>
      <c r="V18" s="228">
        <v>-11.2</v>
      </c>
      <c r="W18" s="229">
        <v>-6.7000000000000002E-3</v>
      </c>
      <c r="X18" s="228">
        <v>2.2000000000000002</v>
      </c>
      <c r="Y18" s="228">
        <v>-2.6</v>
      </c>
      <c r="Z18" s="228">
        <v>4.8</v>
      </c>
      <c r="AA18" s="229">
        <v>1.2999999999999999E-3</v>
      </c>
      <c r="AB18" s="228">
        <v>2.2000000000000002</v>
      </c>
      <c r="AC18" s="228">
        <v>-2.6</v>
      </c>
      <c r="AD18" s="228">
        <v>4.8</v>
      </c>
      <c r="AE18" s="229">
        <v>1.2999999999999999E-3</v>
      </c>
      <c r="AF18" s="228">
        <v>13.4</v>
      </c>
      <c r="AG18" s="228">
        <v>8.5</v>
      </c>
      <c r="AH18" s="228">
        <v>4.9000000000000004</v>
      </c>
      <c r="AI18" s="229">
        <v>8.0999999999999996E-3</v>
      </c>
      <c r="AJ18" s="228">
        <v>12</v>
      </c>
      <c r="AK18" s="228">
        <v>6</v>
      </c>
      <c r="AL18" s="228">
        <v>6</v>
      </c>
      <c r="AM18" s="229">
        <v>7.3000000000000001E-3</v>
      </c>
      <c r="AN18" s="231">
        <v>1654.51</v>
      </c>
      <c r="AO18" s="231">
        <v>1665.25</v>
      </c>
      <c r="AP18" s="228">
        <v>0</v>
      </c>
      <c r="AQ18" s="230">
        <v>31658</v>
      </c>
      <c r="AR18" s="230">
        <v>19734</v>
      </c>
      <c r="AS18" s="230">
        <v>11924</v>
      </c>
      <c r="AT18" s="229">
        <v>0.60419999999999996</v>
      </c>
      <c r="AU18" s="230">
        <v>16429</v>
      </c>
      <c r="AV18" s="230">
        <v>14373</v>
      </c>
      <c r="AW18" s="230">
        <v>2056</v>
      </c>
      <c r="AX18" s="229">
        <v>0.14299999999999999</v>
      </c>
      <c r="AY18" s="230">
        <v>15013</v>
      </c>
      <c r="AZ18" s="230">
        <v>4908</v>
      </c>
      <c r="BA18" s="230">
        <v>10105</v>
      </c>
      <c r="BB18" s="229">
        <v>2.0589</v>
      </c>
      <c r="BC18" s="228">
        <v>216</v>
      </c>
      <c r="BD18" s="228">
        <v>453</v>
      </c>
      <c r="BE18" s="228">
        <v>-237</v>
      </c>
      <c r="BF18" s="229">
        <v>-0.5232</v>
      </c>
      <c r="BG18" s="230">
        <v>49384</v>
      </c>
      <c r="BH18" s="230">
        <v>193741</v>
      </c>
      <c r="BI18" s="230">
        <v>-144357</v>
      </c>
      <c r="BJ18" s="229">
        <v>-0.74509999999999998</v>
      </c>
      <c r="BK18" s="230">
        <v>33726</v>
      </c>
      <c r="BL18" s="230">
        <v>78355</v>
      </c>
      <c r="BM18" s="230">
        <v>-44629</v>
      </c>
      <c r="BN18" s="229">
        <v>-0.5696</v>
      </c>
      <c r="BO18" s="230">
        <v>114768</v>
      </c>
      <c r="BP18" s="230">
        <v>291830</v>
      </c>
      <c r="BQ18" s="230">
        <v>-177062</v>
      </c>
      <c r="BR18" s="229">
        <v>-0.60670000000000002</v>
      </c>
      <c r="BS18" s="230">
        <v>2886062</v>
      </c>
      <c r="BT18" s="230">
        <v>6507861</v>
      </c>
      <c r="BU18" s="230">
        <v>-3621799</v>
      </c>
      <c r="BV18" s="229">
        <v>-0.55649999999999999</v>
      </c>
      <c r="BW18" s="230">
        <v>15910650</v>
      </c>
      <c r="BX18" s="230">
        <v>15928150</v>
      </c>
      <c r="BY18" s="230">
        <v>-17500</v>
      </c>
      <c r="BZ18" s="229">
        <v>-1.1000000000000001E-3</v>
      </c>
      <c r="CA18" s="230">
        <v>10245900</v>
      </c>
      <c r="CB18" s="230">
        <v>13986700</v>
      </c>
      <c r="CC18" s="230">
        <v>-3740800</v>
      </c>
      <c r="CD18" s="229">
        <v>-0.26750000000000002</v>
      </c>
      <c r="CE18" s="230">
        <v>5530350</v>
      </c>
      <c r="CF18" s="230">
        <v>1799350</v>
      </c>
      <c r="CG18" s="230">
        <v>3731000</v>
      </c>
      <c r="CH18" s="229">
        <v>2.0735000000000001</v>
      </c>
      <c r="CI18" s="230">
        <v>134400</v>
      </c>
      <c r="CJ18" s="230">
        <v>142100</v>
      </c>
      <c r="CK18" s="230">
        <v>-7700</v>
      </c>
      <c r="CL18" s="229">
        <v>-5.4199999999999998E-2</v>
      </c>
      <c r="CM18" s="230">
        <v>7007700</v>
      </c>
      <c r="CN18" s="230">
        <v>6834800</v>
      </c>
      <c r="CO18" s="230">
        <v>172900</v>
      </c>
      <c r="CP18" s="229">
        <v>2.53E-2</v>
      </c>
      <c r="CQ18" s="230">
        <v>5400150</v>
      </c>
      <c r="CR18" s="230">
        <v>6243650</v>
      </c>
      <c r="CS18" s="230">
        <v>-843500</v>
      </c>
      <c r="CT18" s="229">
        <v>-0.1351</v>
      </c>
      <c r="CU18" s="230">
        <v>28318500</v>
      </c>
      <c r="CV18" s="230">
        <v>29006600</v>
      </c>
      <c r="CW18" s="230">
        <v>-688100</v>
      </c>
      <c r="CX18" s="229">
        <v>-2.3699999999999999E-2</v>
      </c>
      <c r="CY18" s="228">
        <v>21.25</v>
      </c>
      <c r="CZ18" s="228">
        <v>23.95</v>
      </c>
      <c r="DA18" s="228">
        <v>-2.7</v>
      </c>
      <c r="DB18" s="228">
        <v>-2.7</v>
      </c>
      <c r="DC18" s="228">
        <v>28.73</v>
      </c>
      <c r="DD18" s="228">
        <v>28.77</v>
      </c>
      <c r="DE18" s="228">
        <v>-7.48</v>
      </c>
      <c r="DF18" s="228">
        <v>-0.04</v>
      </c>
      <c r="DG18" s="228">
        <v>21.19</v>
      </c>
      <c r="DH18" s="228">
        <v>23.15</v>
      </c>
      <c r="DI18" s="228">
        <v>-1.96</v>
      </c>
      <c r="DJ18" s="228">
        <v>-1.96</v>
      </c>
      <c r="DK18" s="228">
        <v>21.35</v>
      </c>
      <c r="DL18" s="228">
        <v>25.95</v>
      </c>
      <c r="DM18" s="228">
        <v>-4.5999999999999996</v>
      </c>
      <c r="DN18" s="228">
        <v>-4.5999999999999996</v>
      </c>
      <c r="DO18" s="228">
        <v>0.77</v>
      </c>
      <c r="DP18" s="228">
        <v>0.91</v>
      </c>
      <c r="DQ18" s="228">
        <v>-0.14000000000000001</v>
      </c>
      <c r="DR18" s="229">
        <v>-0.15379999999999999</v>
      </c>
      <c r="DS18" s="231">
        <v>1700</v>
      </c>
      <c r="DT18" s="231">
        <v>1600</v>
      </c>
      <c r="DU18" s="228">
        <v>0.68</v>
      </c>
      <c r="DV18" s="228">
        <v>0.4</v>
      </c>
      <c r="DW18" s="228">
        <v>0.28000000000000003</v>
      </c>
      <c r="DX18" s="229">
        <v>0.7</v>
      </c>
      <c r="DY18" s="229">
        <v>0.35599999999999998</v>
      </c>
      <c r="DZ18" s="230">
        <v>1941450</v>
      </c>
      <c r="EA18" s="229">
        <v>6.7999999999999996E-3</v>
      </c>
      <c r="EB18" s="229">
        <v>0.35599999999999998</v>
      </c>
      <c r="EC18" s="228">
        <v>10.74</v>
      </c>
      <c r="ED18" s="229">
        <v>6.4999999999999997E-3</v>
      </c>
      <c r="EE18" s="230">
        <v>1780902</v>
      </c>
      <c r="EF18" s="230">
        <v>3498382</v>
      </c>
      <c r="EG18" s="229">
        <v>-0.4909</v>
      </c>
      <c r="EH18" s="229">
        <v>0.61709999999999998</v>
      </c>
      <c r="EI18" s="231">
        <v>294768.44</v>
      </c>
      <c r="EJ18" s="231">
        <v>193253.21</v>
      </c>
      <c r="EK18" s="231">
        <v>183895.25</v>
      </c>
      <c r="EL18" s="231">
        <v>9329</v>
      </c>
      <c r="EM18" s="231">
        <v>671916.9</v>
      </c>
      <c r="EN18" s="231">
        <v>1697949.87</v>
      </c>
      <c r="EO18" s="231">
        <v>-1026032.97</v>
      </c>
      <c r="EP18" s="229">
        <v>-0.60429999999999995</v>
      </c>
      <c r="EQ18" s="231">
        <v>116514</v>
      </c>
      <c r="ER18" s="231">
        <v>83470</v>
      </c>
      <c r="ES18" s="231">
        <v>262776</v>
      </c>
      <c r="ET18" s="231">
        <v>145993539</v>
      </c>
      <c r="EU18" s="231">
        <v>462761</v>
      </c>
      <c r="EV18" s="231">
        <v>475129</v>
      </c>
      <c r="EW18" s="231">
        <v>-12368</v>
      </c>
      <c r="EX18" s="229">
        <v>-2.5999999999999999E-2</v>
      </c>
      <c r="EY18" s="229">
        <v>0.19400000000000001</v>
      </c>
    </row>
    <row r="19" spans="1:155" ht="17.25" thickBot="1" x14ac:dyDescent="0.3">
      <c r="A19" s="226">
        <v>45981</v>
      </c>
      <c r="B19" s="227" t="s">
        <v>172</v>
      </c>
      <c r="C19" s="227" t="s">
        <v>224</v>
      </c>
      <c r="D19" s="231">
        <v>1010.05</v>
      </c>
      <c r="E19" s="228">
        <v>995.2</v>
      </c>
      <c r="F19" s="228">
        <v>14.85</v>
      </c>
      <c r="G19" s="229">
        <v>1.49E-2</v>
      </c>
      <c r="H19" s="231">
        <v>1008.85</v>
      </c>
      <c r="I19" s="228">
        <v>994.6</v>
      </c>
      <c r="J19" s="228">
        <v>14.25</v>
      </c>
      <c r="K19" s="229">
        <v>1.43E-2</v>
      </c>
      <c r="L19" s="231">
        <v>1010.05</v>
      </c>
      <c r="M19" s="228">
        <v>995.2</v>
      </c>
      <c r="N19" s="228">
        <v>14.85</v>
      </c>
      <c r="O19" s="229">
        <v>1.49E-2</v>
      </c>
      <c r="P19" s="231">
        <v>1016.9</v>
      </c>
      <c r="Q19" s="231">
        <v>1001.8</v>
      </c>
      <c r="R19" s="228">
        <v>15.1</v>
      </c>
      <c r="S19" s="229">
        <v>1.5100000000000001E-2</v>
      </c>
      <c r="T19" s="231">
        <v>1022.35</v>
      </c>
      <c r="U19" s="231">
        <v>1007.55</v>
      </c>
      <c r="V19" s="228">
        <v>14.8</v>
      </c>
      <c r="W19" s="229">
        <v>1.47E-2</v>
      </c>
      <c r="X19" s="228">
        <v>1.2</v>
      </c>
      <c r="Y19" s="228">
        <v>0.6</v>
      </c>
      <c r="Z19" s="228">
        <v>0.6</v>
      </c>
      <c r="AA19" s="229">
        <v>1.1999999999999999E-3</v>
      </c>
      <c r="AB19" s="228">
        <v>1.2</v>
      </c>
      <c r="AC19" s="228">
        <v>0.6</v>
      </c>
      <c r="AD19" s="228">
        <v>0.6</v>
      </c>
      <c r="AE19" s="229">
        <v>1.1999999999999999E-3</v>
      </c>
      <c r="AF19" s="228">
        <v>8.0500000000000007</v>
      </c>
      <c r="AG19" s="228">
        <v>7.2</v>
      </c>
      <c r="AH19" s="228">
        <v>0.85</v>
      </c>
      <c r="AI19" s="229">
        <v>8.0000000000000002E-3</v>
      </c>
      <c r="AJ19" s="228">
        <v>13.5</v>
      </c>
      <c r="AK19" s="228">
        <v>12.95</v>
      </c>
      <c r="AL19" s="228">
        <v>0.55000000000000004</v>
      </c>
      <c r="AM19" s="229">
        <v>1.34E-2</v>
      </c>
      <c r="AN19" s="231">
        <v>1004.09</v>
      </c>
      <c r="AO19" s="231">
        <v>1011</v>
      </c>
      <c r="AP19" s="228">
        <v>0</v>
      </c>
      <c r="AQ19" s="230">
        <v>205107</v>
      </c>
      <c r="AR19" s="230">
        <v>49274</v>
      </c>
      <c r="AS19" s="230">
        <v>155833</v>
      </c>
      <c r="AT19" s="229">
        <v>3.1625999999999999</v>
      </c>
      <c r="AU19" s="230">
        <v>106004</v>
      </c>
      <c r="AV19" s="230">
        <v>29027</v>
      </c>
      <c r="AW19" s="230">
        <v>76977</v>
      </c>
      <c r="AX19" s="229">
        <v>2.6518999999999999</v>
      </c>
      <c r="AY19" s="230">
        <v>98576</v>
      </c>
      <c r="AZ19" s="230">
        <v>19559</v>
      </c>
      <c r="BA19" s="230">
        <v>79017</v>
      </c>
      <c r="BB19" s="229">
        <v>4.0399000000000003</v>
      </c>
      <c r="BC19" s="228">
        <v>527</v>
      </c>
      <c r="BD19" s="228">
        <v>688</v>
      </c>
      <c r="BE19" s="228">
        <v>-161</v>
      </c>
      <c r="BF19" s="229">
        <v>-0.23400000000000001</v>
      </c>
      <c r="BG19" s="230">
        <v>209961</v>
      </c>
      <c r="BH19" s="230">
        <v>123206</v>
      </c>
      <c r="BI19" s="230">
        <v>86755</v>
      </c>
      <c r="BJ19" s="229">
        <v>0.70409999999999995</v>
      </c>
      <c r="BK19" s="230">
        <v>106106</v>
      </c>
      <c r="BL19" s="230">
        <v>57985</v>
      </c>
      <c r="BM19" s="230">
        <v>48121</v>
      </c>
      <c r="BN19" s="229">
        <v>0.82989999999999997</v>
      </c>
      <c r="BO19" s="230">
        <v>521174</v>
      </c>
      <c r="BP19" s="230">
        <v>230465</v>
      </c>
      <c r="BQ19" s="230">
        <v>290709</v>
      </c>
      <c r="BR19" s="229">
        <v>1.2614000000000001</v>
      </c>
      <c r="BS19" s="230">
        <v>21454088</v>
      </c>
      <c r="BT19" s="230">
        <v>20157526</v>
      </c>
      <c r="BU19" s="230">
        <v>1296562</v>
      </c>
      <c r="BV19" s="229">
        <v>6.4299999999999996E-2</v>
      </c>
      <c r="BW19" s="230">
        <v>216296300</v>
      </c>
      <c r="BX19" s="230">
        <v>215444900</v>
      </c>
      <c r="BY19" s="230">
        <v>851400</v>
      </c>
      <c r="BZ19" s="229">
        <v>4.0000000000000001E-3</v>
      </c>
      <c r="CA19" s="230">
        <v>137464250</v>
      </c>
      <c r="CB19" s="230">
        <v>186607850</v>
      </c>
      <c r="CC19" s="230">
        <v>-49143600</v>
      </c>
      <c r="CD19" s="229">
        <v>-0.26340000000000002</v>
      </c>
      <c r="CE19" s="230">
        <v>77297000</v>
      </c>
      <c r="CF19" s="230">
        <v>27398250</v>
      </c>
      <c r="CG19" s="230">
        <v>49898750</v>
      </c>
      <c r="CH19" s="229">
        <v>1.8211999999999999</v>
      </c>
      <c r="CI19" s="230">
        <v>1535050</v>
      </c>
      <c r="CJ19" s="230">
        <v>1438800</v>
      </c>
      <c r="CK19" s="230">
        <v>96250</v>
      </c>
      <c r="CL19" s="229">
        <v>6.6900000000000001E-2</v>
      </c>
      <c r="CM19" s="230">
        <v>33656150</v>
      </c>
      <c r="CN19" s="230">
        <v>39628050</v>
      </c>
      <c r="CO19" s="230">
        <v>-5971900</v>
      </c>
      <c r="CP19" s="229">
        <v>-0.1507</v>
      </c>
      <c r="CQ19" s="230">
        <v>24792350</v>
      </c>
      <c r="CR19" s="230">
        <v>24395800</v>
      </c>
      <c r="CS19" s="230">
        <v>396550</v>
      </c>
      <c r="CT19" s="229">
        <v>1.6299999999999999E-2</v>
      </c>
      <c r="CU19" s="230">
        <v>274744800</v>
      </c>
      <c r="CV19" s="230">
        <v>279468750</v>
      </c>
      <c r="CW19" s="230">
        <v>-4723950</v>
      </c>
      <c r="CX19" s="229">
        <v>-1.6899999999999998E-2</v>
      </c>
      <c r="CY19" s="228">
        <v>15.76</v>
      </c>
      <c r="CZ19" s="228">
        <v>16.61</v>
      </c>
      <c r="DA19" s="228">
        <v>-0.85</v>
      </c>
      <c r="DB19" s="228">
        <v>-0.85</v>
      </c>
      <c r="DC19" s="228">
        <v>20.46</v>
      </c>
      <c r="DD19" s="228">
        <v>20.420000000000002</v>
      </c>
      <c r="DE19" s="228">
        <v>-4.7</v>
      </c>
      <c r="DF19" s="228">
        <v>0.04</v>
      </c>
      <c r="DG19" s="228">
        <v>15.55</v>
      </c>
      <c r="DH19" s="228">
        <v>16.48</v>
      </c>
      <c r="DI19" s="228">
        <v>-0.93</v>
      </c>
      <c r="DJ19" s="228">
        <v>-0.93</v>
      </c>
      <c r="DK19" s="228">
        <v>16.23</v>
      </c>
      <c r="DL19" s="228">
        <v>16.89</v>
      </c>
      <c r="DM19" s="228">
        <v>-0.66</v>
      </c>
      <c r="DN19" s="228">
        <v>-0.66</v>
      </c>
      <c r="DO19" s="228">
        <v>0.74</v>
      </c>
      <c r="DP19" s="228">
        <v>0.62</v>
      </c>
      <c r="DQ19" s="228">
        <v>0.12</v>
      </c>
      <c r="DR19" s="229">
        <v>0.19350000000000001</v>
      </c>
      <c r="DS19" s="231">
        <v>1020</v>
      </c>
      <c r="DT19" s="228">
        <v>950</v>
      </c>
      <c r="DU19" s="228">
        <v>0.51</v>
      </c>
      <c r="DV19" s="228">
        <v>0.47</v>
      </c>
      <c r="DW19" s="228">
        <v>0.04</v>
      </c>
      <c r="DX19" s="229">
        <v>8.5099999999999995E-2</v>
      </c>
      <c r="DY19" s="229">
        <v>0.36449999999999999</v>
      </c>
      <c r="DZ19" s="230">
        <v>28837050</v>
      </c>
      <c r="EA19" s="229">
        <v>6.7999999999999996E-3</v>
      </c>
      <c r="EB19" s="229">
        <v>0.36449999999999999</v>
      </c>
      <c r="EC19" s="228">
        <v>6.91</v>
      </c>
      <c r="ED19" s="229">
        <v>6.8999999999999999E-3</v>
      </c>
      <c r="EE19" s="230">
        <v>13066818</v>
      </c>
      <c r="EF19" s="230">
        <v>14599934</v>
      </c>
      <c r="EG19" s="229">
        <v>-0.105</v>
      </c>
      <c r="EH19" s="229">
        <v>0.60909999999999997</v>
      </c>
      <c r="EI19" s="231">
        <v>1177328.1000000001</v>
      </c>
      <c r="EJ19" s="231">
        <v>581662.44999999995</v>
      </c>
      <c r="EK19" s="231">
        <v>1136482.3799999999</v>
      </c>
      <c r="EL19" s="231">
        <v>37660</v>
      </c>
      <c r="EM19" s="231">
        <v>2895472.93</v>
      </c>
      <c r="EN19" s="231">
        <v>1269184.3700000001</v>
      </c>
      <c r="EO19" s="231">
        <v>1626288.56</v>
      </c>
      <c r="EP19" s="229">
        <v>1.2814000000000001</v>
      </c>
      <c r="EQ19" s="231">
        <v>344918</v>
      </c>
      <c r="ER19" s="231">
        <v>241212</v>
      </c>
      <c r="ES19" s="231">
        <v>2190184</v>
      </c>
      <c r="ET19" s="231">
        <v>1329733550</v>
      </c>
      <c r="EU19" s="231">
        <v>2776315</v>
      </c>
      <c r="EV19" s="231">
        <v>2786695</v>
      </c>
      <c r="EW19" s="231">
        <v>-10380</v>
      </c>
      <c r="EX19" s="229">
        <v>-3.7000000000000002E-3</v>
      </c>
      <c r="EY19" s="229">
        <v>0.20660000000000001</v>
      </c>
    </row>
    <row r="20" spans="1:155" ht="17.25" thickBot="1" x14ac:dyDescent="0.3">
      <c r="A20" s="226">
        <v>45981</v>
      </c>
      <c r="B20" s="227" t="s">
        <v>175</v>
      </c>
      <c r="C20" s="227" t="s">
        <v>225</v>
      </c>
      <c r="D20" s="228">
        <v>762.6</v>
      </c>
      <c r="E20" s="228">
        <v>760.45</v>
      </c>
      <c r="F20" s="228">
        <v>2.15</v>
      </c>
      <c r="G20" s="229">
        <v>2.8E-3</v>
      </c>
      <c r="H20" s="228">
        <v>762.2</v>
      </c>
      <c r="I20" s="228">
        <v>761.1</v>
      </c>
      <c r="J20" s="228">
        <v>1.1000000000000001</v>
      </c>
      <c r="K20" s="229">
        <v>1.4E-3</v>
      </c>
      <c r="L20" s="228">
        <v>762.6</v>
      </c>
      <c r="M20" s="228">
        <v>760.45</v>
      </c>
      <c r="N20" s="228">
        <v>2.15</v>
      </c>
      <c r="O20" s="229">
        <v>2.8E-3</v>
      </c>
      <c r="P20" s="228">
        <v>767.6</v>
      </c>
      <c r="Q20" s="228">
        <v>765.6</v>
      </c>
      <c r="R20" s="228">
        <v>2</v>
      </c>
      <c r="S20" s="229">
        <v>2.5999999999999999E-3</v>
      </c>
      <c r="T20" s="228">
        <v>773.2</v>
      </c>
      <c r="U20" s="228">
        <v>770.7</v>
      </c>
      <c r="V20" s="228">
        <v>2.5</v>
      </c>
      <c r="W20" s="229">
        <v>3.2000000000000002E-3</v>
      </c>
      <c r="X20" s="228">
        <v>0.4</v>
      </c>
      <c r="Y20" s="228">
        <v>-0.65</v>
      </c>
      <c r="Z20" s="228">
        <v>1.05</v>
      </c>
      <c r="AA20" s="229">
        <v>5.0000000000000001E-4</v>
      </c>
      <c r="AB20" s="228">
        <v>0.4</v>
      </c>
      <c r="AC20" s="228">
        <v>-0.65</v>
      </c>
      <c r="AD20" s="228">
        <v>1.05</v>
      </c>
      <c r="AE20" s="229">
        <v>5.0000000000000001E-4</v>
      </c>
      <c r="AF20" s="228">
        <v>5.4</v>
      </c>
      <c r="AG20" s="228">
        <v>4.5</v>
      </c>
      <c r="AH20" s="228">
        <v>0.9</v>
      </c>
      <c r="AI20" s="229">
        <v>7.1000000000000004E-3</v>
      </c>
      <c r="AJ20" s="228">
        <v>11</v>
      </c>
      <c r="AK20" s="228">
        <v>9.6</v>
      </c>
      <c r="AL20" s="228">
        <v>1.4</v>
      </c>
      <c r="AM20" s="229">
        <v>1.44E-2</v>
      </c>
      <c r="AN20" s="228">
        <v>758.12</v>
      </c>
      <c r="AO20" s="228">
        <v>763.42</v>
      </c>
      <c r="AP20" s="228">
        <v>0</v>
      </c>
      <c r="AQ20" s="230">
        <v>16519</v>
      </c>
      <c r="AR20" s="230">
        <v>2883</v>
      </c>
      <c r="AS20" s="230">
        <v>13636</v>
      </c>
      <c r="AT20" s="229">
        <v>4.7298</v>
      </c>
      <c r="AU20" s="230">
        <v>8656</v>
      </c>
      <c r="AV20" s="230">
        <v>1996</v>
      </c>
      <c r="AW20" s="230">
        <v>6660</v>
      </c>
      <c r="AX20" s="229">
        <v>3.3367</v>
      </c>
      <c r="AY20" s="230">
        <v>7807</v>
      </c>
      <c r="AZ20" s="228">
        <v>865</v>
      </c>
      <c r="BA20" s="230">
        <v>6942</v>
      </c>
      <c r="BB20" s="229">
        <v>8.0253999999999994</v>
      </c>
      <c r="BC20" s="228">
        <v>56</v>
      </c>
      <c r="BD20" s="228">
        <v>22</v>
      </c>
      <c r="BE20" s="228">
        <v>34</v>
      </c>
      <c r="BF20" s="229">
        <v>1.5455000000000001</v>
      </c>
      <c r="BG20" s="230">
        <v>14506</v>
      </c>
      <c r="BH20" s="230">
        <v>8595</v>
      </c>
      <c r="BI20" s="230">
        <v>5911</v>
      </c>
      <c r="BJ20" s="229">
        <v>0.68769999999999998</v>
      </c>
      <c r="BK20" s="230">
        <v>8074</v>
      </c>
      <c r="BL20" s="230">
        <v>4145</v>
      </c>
      <c r="BM20" s="230">
        <v>3929</v>
      </c>
      <c r="BN20" s="229">
        <v>0.94789999999999996</v>
      </c>
      <c r="BO20" s="230">
        <v>39099</v>
      </c>
      <c r="BP20" s="230">
        <v>15623</v>
      </c>
      <c r="BQ20" s="230">
        <v>23476</v>
      </c>
      <c r="BR20" s="229">
        <v>1.5026999999999999</v>
      </c>
      <c r="BS20" s="230">
        <v>2651014</v>
      </c>
      <c r="BT20" s="230">
        <v>962410</v>
      </c>
      <c r="BU20" s="230">
        <v>1688604</v>
      </c>
      <c r="BV20" s="229">
        <v>1.7545999999999999</v>
      </c>
      <c r="BW20" s="230">
        <v>29570200</v>
      </c>
      <c r="BX20" s="230">
        <v>29434900</v>
      </c>
      <c r="BY20" s="230">
        <v>135300</v>
      </c>
      <c r="BZ20" s="229">
        <v>4.5999999999999999E-3</v>
      </c>
      <c r="CA20" s="230">
        <v>20323600</v>
      </c>
      <c r="CB20" s="230">
        <v>27170000</v>
      </c>
      <c r="CC20" s="230">
        <v>-6846400</v>
      </c>
      <c r="CD20" s="229">
        <v>-0.252</v>
      </c>
      <c r="CE20" s="230">
        <v>9154200</v>
      </c>
      <c r="CF20" s="230">
        <v>2186800</v>
      </c>
      <c r="CG20" s="230">
        <v>6967400</v>
      </c>
      <c r="CH20" s="229">
        <v>3.1861000000000002</v>
      </c>
      <c r="CI20" s="230">
        <v>92400</v>
      </c>
      <c r="CJ20" s="230">
        <v>78100</v>
      </c>
      <c r="CK20" s="230">
        <v>14300</v>
      </c>
      <c r="CL20" s="229">
        <v>0.18310000000000001</v>
      </c>
      <c r="CM20" s="230">
        <v>10588600</v>
      </c>
      <c r="CN20" s="230">
        <v>10681000</v>
      </c>
      <c r="CO20" s="230">
        <v>-92400</v>
      </c>
      <c r="CP20" s="229">
        <v>-8.6999999999999994E-3</v>
      </c>
      <c r="CQ20" s="230">
        <v>7492100</v>
      </c>
      <c r="CR20" s="230">
        <v>7114800</v>
      </c>
      <c r="CS20" s="230">
        <v>377300</v>
      </c>
      <c r="CT20" s="229">
        <v>5.2999999999999999E-2</v>
      </c>
      <c r="CU20" s="230">
        <v>47650900</v>
      </c>
      <c r="CV20" s="230">
        <v>47230700</v>
      </c>
      <c r="CW20" s="230">
        <v>420200</v>
      </c>
      <c r="CX20" s="229">
        <v>8.8999999999999999E-3</v>
      </c>
      <c r="CY20" s="228">
        <v>19.39</v>
      </c>
      <c r="CZ20" s="228">
        <v>16.98</v>
      </c>
      <c r="DA20" s="228">
        <v>2.41</v>
      </c>
      <c r="DB20" s="228">
        <v>2.41</v>
      </c>
      <c r="DC20" s="228">
        <v>25.75</v>
      </c>
      <c r="DD20" s="228">
        <v>25.81</v>
      </c>
      <c r="DE20" s="228">
        <v>-6.36</v>
      </c>
      <c r="DF20" s="228">
        <v>-0.06</v>
      </c>
      <c r="DG20" s="228">
        <v>19.649999999999999</v>
      </c>
      <c r="DH20" s="228">
        <v>17.27</v>
      </c>
      <c r="DI20" s="228">
        <v>2.38</v>
      </c>
      <c r="DJ20" s="228">
        <v>2.38</v>
      </c>
      <c r="DK20" s="228">
        <v>18.86</v>
      </c>
      <c r="DL20" s="228">
        <v>16.37</v>
      </c>
      <c r="DM20" s="228">
        <v>2.4900000000000002</v>
      </c>
      <c r="DN20" s="228">
        <v>2.4900000000000002</v>
      </c>
      <c r="DO20" s="228">
        <v>0.71</v>
      </c>
      <c r="DP20" s="228">
        <v>0.67</v>
      </c>
      <c r="DQ20" s="228">
        <v>0.04</v>
      </c>
      <c r="DR20" s="229">
        <v>5.9700000000000003E-2</v>
      </c>
      <c r="DS20" s="228">
        <v>820</v>
      </c>
      <c r="DT20" s="228">
        <v>740</v>
      </c>
      <c r="DU20" s="228">
        <v>0.56000000000000005</v>
      </c>
      <c r="DV20" s="228">
        <v>0.48</v>
      </c>
      <c r="DW20" s="228">
        <v>0.08</v>
      </c>
      <c r="DX20" s="229">
        <v>0.16669999999999999</v>
      </c>
      <c r="DY20" s="229">
        <v>0.31269999999999998</v>
      </c>
      <c r="DZ20" s="230">
        <v>2264900</v>
      </c>
      <c r="EA20" s="229">
        <v>6.6E-3</v>
      </c>
      <c r="EB20" s="229">
        <v>0.31269999999999998</v>
      </c>
      <c r="EC20" s="228">
        <v>5.3</v>
      </c>
      <c r="ED20" s="229">
        <v>7.0000000000000001E-3</v>
      </c>
      <c r="EE20" s="230">
        <v>1557377</v>
      </c>
      <c r="EF20" s="230">
        <v>579888</v>
      </c>
      <c r="EG20" s="229">
        <v>1.6857</v>
      </c>
      <c r="EH20" s="229">
        <v>0.58750000000000002</v>
      </c>
      <c r="EI20" s="231">
        <v>123813.8</v>
      </c>
      <c r="EJ20" s="231">
        <v>66853.33</v>
      </c>
      <c r="EK20" s="231">
        <v>138217.87</v>
      </c>
      <c r="EL20" s="231">
        <v>2849</v>
      </c>
      <c r="EM20" s="231">
        <v>328885</v>
      </c>
      <c r="EN20" s="231">
        <v>132187.48000000001</v>
      </c>
      <c r="EO20" s="231">
        <v>196697.52</v>
      </c>
      <c r="EP20" s="229">
        <v>1.488</v>
      </c>
      <c r="EQ20" s="231">
        <v>83537</v>
      </c>
      <c r="ER20" s="231">
        <v>54945</v>
      </c>
      <c r="ES20" s="231">
        <v>225970</v>
      </c>
      <c r="ET20" s="231">
        <v>119296253</v>
      </c>
      <c r="EU20" s="231">
        <v>364452</v>
      </c>
      <c r="EV20" s="231">
        <v>360450</v>
      </c>
      <c r="EW20" s="231">
        <v>4002</v>
      </c>
      <c r="EX20" s="229">
        <v>1.11E-2</v>
      </c>
      <c r="EY20" s="229">
        <v>0.39939999999999998</v>
      </c>
    </row>
    <row r="21" spans="1:155" ht="17.25" thickBot="1" x14ac:dyDescent="0.3">
      <c r="A21" s="226">
        <v>45981</v>
      </c>
      <c r="B21" s="227" t="s">
        <v>227</v>
      </c>
      <c r="C21" s="227" t="s">
        <v>228</v>
      </c>
      <c r="D21" s="228">
        <v>800.45</v>
      </c>
      <c r="E21" s="228">
        <v>792.1</v>
      </c>
      <c r="F21" s="228">
        <v>8.35</v>
      </c>
      <c r="G21" s="229">
        <v>1.0500000000000001E-2</v>
      </c>
      <c r="H21" s="228">
        <v>799.8</v>
      </c>
      <c r="I21" s="228">
        <v>790.95</v>
      </c>
      <c r="J21" s="228">
        <v>8.85</v>
      </c>
      <c r="K21" s="229">
        <v>1.12E-2</v>
      </c>
      <c r="L21" s="228">
        <v>800.45</v>
      </c>
      <c r="M21" s="228">
        <v>792.1</v>
      </c>
      <c r="N21" s="228">
        <v>8.35</v>
      </c>
      <c r="O21" s="229">
        <v>1.0500000000000001E-2</v>
      </c>
      <c r="P21" s="228">
        <v>806.35</v>
      </c>
      <c r="Q21" s="228">
        <v>797.6</v>
      </c>
      <c r="R21" s="228">
        <v>8.75</v>
      </c>
      <c r="S21" s="229">
        <v>1.0999999999999999E-2</v>
      </c>
      <c r="T21" s="228">
        <v>811</v>
      </c>
      <c r="U21" s="228">
        <v>802.3</v>
      </c>
      <c r="V21" s="228">
        <v>8.6999999999999993</v>
      </c>
      <c r="W21" s="229">
        <v>1.0800000000000001E-2</v>
      </c>
      <c r="X21" s="228">
        <v>0.65</v>
      </c>
      <c r="Y21" s="228">
        <v>1.1499999999999999</v>
      </c>
      <c r="Z21" s="228">
        <v>-0.5</v>
      </c>
      <c r="AA21" s="229">
        <v>8.0000000000000004E-4</v>
      </c>
      <c r="AB21" s="228">
        <v>0.65</v>
      </c>
      <c r="AC21" s="228">
        <v>1.1499999999999999</v>
      </c>
      <c r="AD21" s="228">
        <v>-0.5</v>
      </c>
      <c r="AE21" s="229">
        <v>8.0000000000000004E-4</v>
      </c>
      <c r="AF21" s="228">
        <v>6.55</v>
      </c>
      <c r="AG21" s="228">
        <v>6.65</v>
      </c>
      <c r="AH21" s="228">
        <v>-0.1</v>
      </c>
      <c r="AI21" s="229">
        <v>8.2000000000000007E-3</v>
      </c>
      <c r="AJ21" s="228">
        <v>11.2</v>
      </c>
      <c r="AK21" s="228">
        <v>11.35</v>
      </c>
      <c r="AL21" s="228">
        <v>-0.15</v>
      </c>
      <c r="AM21" s="229">
        <v>1.4E-2</v>
      </c>
      <c r="AN21" s="228">
        <v>799.66</v>
      </c>
      <c r="AO21" s="228">
        <v>805.2</v>
      </c>
      <c r="AP21" s="228">
        <v>0</v>
      </c>
      <c r="AQ21" s="230">
        <v>68079</v>
      </c>
      <c r="AR21" s="230">
        <v>56233</v>
      </c>
      <c r="AS21" s="230">
        <v>11846</v>
      </c>
      <c r="AT21" s="229">
        <v>0.2107</v>
      </c>
      <c r="AU21" s="230">
        <v>35449</v>
      </c>
      <c r="AV21" s="230">
        <v>31005</v>
      </c>
      <c r="AW21" s="230">
        <v>4444</v>
      </c>
      <c r="AX21" s="229">
        <v>0.14330000000000001</v>
      </c>
      <c r="AY21" s="230">
        <v>32541</v>
      </c>
      <c r="AZ21" s="230">
        <v>25170</v>
      </c>
      <c r="BA21" s="230">
        <v>7371</v>
      </c>
      <c r="BB21" s="229">
        <v>0.2928</v>
      </c>
      <c r="BC21" s="228">
        <v>89</v>
      </c>
      <c r="BD21" s="228">
        <v>58</v>
      </c>
      <c r="BE21" s="228">
        <v>31</v>
      </c>
      <c r="BF21" s="229">
        <v>0.53449999999999998</v>
      </c>
      <c r="BG21" s="230">
        <v>60483</v>
      </c>
      <c r="BH21" s="230">
        <v>40065</v>
      </c>
      <c r="BI21" s="230">
        <v>20418</v>
      </c>
      <c r="BJ21" s="229">
        <v>0.50960000000000005</v>
      </c>
      <c r="BK21" s="230">
        <v>25016</v>
      </c>
      <c r="BL21" s="230">
        <v>23913</v>
      </c>
      <c r="BM21" s="230">
        <v>1103</v>
      </c>
      <c r="BN21" s="229">
        <v>4.6100000000000002E-2</v>
      </c>
      <c r="BO21" s="230">
        <v>153578</v>
      </c>
      <c r="BP21" s="230">
        <v>120211</v>
      </c>
      <c r="BQ21" s="230">
        <v>33367</v>
      </c>
      <c r="BR21" s="229">
        <v>0.27760000000000001</v>
      </c>
      <c r="BS21" s="230">
        <v>6174795</v>
      </c>
      <c r="BT21" s="230">
        <v>3085892</v>
      </c>
      <c r="BU21" s="230">
        <v>3088903</v>
      </c>
      <c r="BV21" s="229">
        <v>1.0009999999999999</v>
      </c>
      <c r="BW21" s="230">
        <v>81377100</v>
      </c>
      <c r="BX21" s="230">
        <v>81040400</v>
      </c>
      <c r="BY21" s="230">
        <v>336700</v>
      </c>
      <c r="BZ21" s="229">
        <v>4.1999999999999997E-3</v>
      </c>
      <c r="CA21" s="230">
        <v>38987900</v>
      </c>
      <c r="CB21" s="230">
        <v>59154900</v>
      </c>
      <c r="CC21" s="230">
        <v>-20167000</v>
      </c>
      <c r="CD21" s="229">
        <v>-0.34089999999999998</v>
      </c>
      <c r="CE21" s="230">
        <v>42082600</v>
      </c>
      <c r="CF21" s="230">
        <v>21599900</v>
      </c>
      <c r="CG21" s="230">
        <v>20482700</v>
      </c>
      <c r="CH21" s="229">
        <v>0.94830000000000003</v>
      </c>
      <c r="CI21" s="230">
        <v>306600</v>
      </c>
      <c r="CJ21" s="230">
        <v>285600</v>
      </c>
      <c r="CK21" s="230">
        <v>21000</v>
      </c>
      <c r="CL21" s="229">
        <v>7.3499999999999996E-2</v>
      </c>
      <c r="CM21" s="230">
        <v>24368400</v>
      </c>
      <c r="CN21" s="230">
        <v>25390400</v>
      </c>
      <c r="CO21" s="230">
        <v>-1022000</v>
      </c>
      <c r="CP21" s="229">
        <v>-4.0300000000000002E-2</v>
      </c>
      <c r="CQ21" s="230">
        <v>16871400</v>
      </c>
      <c r="CR21" s="230">
        <v>17306800</v>
      </c>
      <c r="CS21" s="230">
        <v>-435400</v>
      </c>
      <c r="CT21" s="229">
        <v>-2.52E-2</v>
      </c>
      <c r="CU21" s="230">
        <v>122616900</v>
      </c>
      <c r="CV21" s="230">
        <v>123737600</v>
      </c>
      <c r="CW21" s="230">
        <v>-1120700</v>
      </c>
      <c r="CX21" s="229">
        <v>-9.1000000000000004E-3</v>
      </c>
      <c r="CY21" s="228">
        <v>23.96</v>
      </c>
      <c r="CZ21" s="228">
        <v>25.08</v>
      </c>
      <c r="DA21" s="228">
        <v>-1.1200000000000001</v>
      </c>
      <c r="DB21" s="228">
        <v>-1.1200000000000001</v>
      </c>
      <c r="DC21" s="228">
        <v>33.159999999999997</v>
      </c>
      <c r="DD21" s="228">
        <v>33.21</v>
      </c>
      <c r="DE21" s="228">
        <v>-9.1999999999999993</v>
      </c>
      <c r="DF21" s="228">
        <v>-0.05</v>
      </c>
      <c r="DG21" s="228">
        <v>24.02</v>
      </c>
      <c r="DH21" s="228">
        <v>25.77</v>
      </c>
      <c r="DI21" s="228">
        <v>-1.75</v>
      </c>
      <c r="DJ21" s="228">
        <v>-1.75</v>
      </c>
      <c r="DK21" s="228">
        <v>23.89</v>
      </c>
      <c r="DL21" s="228">
        <v>23.91</v>
      </c>
      <c r="DM21" s="228">
        <v>-0.02</v>
      </c>
      <c r="DN21" s="228">
        <v>-0.02</v>
      </c>
      <c r="DO21" s="228">
        <v>0.69</v>
      </c>
      <c r="DP21" s="228">
        <v>0.68</v>
      </c>
      <c r="DQ21" s="228">
        <v>0.01</v>
      </c>
      <c r="DR21" s="229">
        <v>1.47E-2</v>
      </c>
      <c r="DS21" s="228">
        <v>800</v>
      </c>
      <c r="DT21" s="228">
        <v>800</v>
      </c>
      <c r="DU21" s="228">
        <v>0.41</v>
      </c>
      <c r="DV21" s="228">
        <v>0.6</v>
      </c>
      <c r="DW21" s="228">
        <v>-0.19</v>
      </c>
      <c r="DX21" s="229">
        <v>-0.31669999999999998</v>
      </c>
      <c r="DY21" s="229">
        <v>0.52090000000000003</v>
      </c>
      <c r="DZ21" s="230">
        <v>21885500</v>
      </c>
      <c r="EA21" s="229">
        <v>7.4000000000000003E-3</v>
      </c>
      <c r="EB21" s="229">
        <v>0.52090000000000003</v>
      </c>
      <c r="EC21" s="228">
        <v>5.54</v>
      </c>
      <c r="ED21" s="229">
        <v>6.8999999999999999E-3</v>
      </c>
      <c r="EE21" s="230">
        <v>3602295</v>
      </c>
      <c r="EF21" s="230">
        <v>1651638</v>
      </c>
      <c r="EG21" s="229">
        <v>1.181</v>
      </c>
      <c r="EH21" s="229">
        <v>0.58340000000000003</v>
      </c>
      <c r="EI21" s="231">
        <v>347640.63</v>
      </c>
      <c r="EJ21" s="231">
        <v>138995.66</v>
      </c>
      <c r="EK21" s="231">
        <v>382348.19</v>
      </c>
      <c r="EL21" s="231">
        <v>21740</v>
      </c>
      <c r="EM21" s="231">
        <v>868984.48</v>
      </c>
      <c r="EN21" s="231">
        <v>679205.32</v>
      </c>
      <c r="EO21" s="231">
        <v>189779.16</v>
      </c>
      <c r="EP21" s="229">
        <v>0.27939999999999998</v>
      </c>
      <c r="EQ21" s="231">
        <v>203185</v>
      </c>
      <c r="ER21" s="231">
        <v>132229</v>
      </c>
      <c r="ES21" s="231">
        <v>653898</v>
      </c>
      <c r="ET21" s="231">
        <v>176136372</v>
      </c>
      <c r="EU21" s="231">
        <v>989313</v>
      </c>
      <c r="EV21" s="231">
        <v>990492</v>
      </c>
      <c r="EW21" s="231">
        <v>-1179</v>
      </c>
      <c r="EX21" s="229">
        <v>-1.1999999999999999E-3</v>
      </c>
      <c r="EY21" s="229">
        <v>0.69610000000000005</v>
      </c>
    </row>
    <row r="22" spans="1:155" ht="17.25" thickBot="1" x14ac:dyDescent="0.3">
      <c r="A22" s="226">
        <v>45981</v>
      </c>
      <c r="B22" s="227" t="s">
        <v>168</v>
      </c>
      <c r="C22" s="227" t="s">
        <v>230</v>
      </c>
      <c r="D22" s="231">
        <v>2432.8000000000002</v>
      </c>
      <c r="E22" s="231">
        <v>2442.1</v>
      </c>
      <c r="F22" s="228">
        <v>-9.3000000000000007</v>
      </c>
      <c r="G22" s="229">
        <v>-3.8E-3</v>
      </c>
      <c r="H22" s="231">
        <v>2428.4</v>
      </c>
      <c r="I22" s="231">
        <v>2441.6</v>
      </c>
      <c r="J22" s="228">
        <v>-13.2</v>
      </c>
      <c r="K22" s="229">
        <v>-5.4000000000000003E-3</v>
      </c>
      <c r="L22" s="231">
        <v>2432.8000000000002</v>
      </c>
      <c r="M22" s="231">
        <v>2442.1</v>
      </c>
      <c r="N22" s="228">
        <v>-9.3000000000000007</v>
      </c>
      <c r="O22" s="229">
        <v>-3.8E-3</v>
      </c>
      <c r="P22" s="231">
        <v>2438.9</v>
      </c>
      <c r="Q22" s="231">
        <v>2449.1</v>
      </c>
      <c r="R22" s="228">
        <v>-10.199999999999999</v>
      </c>
      <c r="S22" s="229">
        <v>-4.1999999999999997E-3</v>
      </c>
      <c r="T22" s="231">
        <v>2441.5</v>
      </c>
      <c r="U22" s="231">
        <v>2450.1999999999998</v>
      </c>
      <c r="V22" s="228">
        <v>-8.6999999999999993</v>
      </c>
      <c r="W22" s="229">
        <v>-3.5999999999999999E-3</v>
      </c>
      <c r="X22" s="228">
        <v>4.4000000000000004</v>
      </c>
      <c r="Y22" s="228">
        <v>0.5</v>
      </c>
      <c r="Z22" s="228">
        <v>3.9</v>
      </c>
      <c r="AA22" s="229">
        <v>1.8E-3</v>
      </c>
      <c r="AB22" s="228">
        <v>4.4000000000000004</v>
      </c>
      <c r="AC22" s="228">
        <v>0.5</v>
      </c>
      <c r="AD22" s="228">
        <v>3.9</v>
      </c>
      <c r="AE22" s="229">
        <v>1.8E-3</v>
      </c>
      <c r="AF22" s="228">
        <v>10.5</v>
      </c>
      <c r="AG22" s="228">
        <v>7.5</v>
      </c>
      <c r="AH22" s="228">
        <v>3</v>
      </c>
      <c r="AI22" s="229">
        <v>4.3E-3</v>
      </c>
      <c r="AJ22" s="228">
        <v>13.1</v>
      </c>
      <c r="AK22" s="228">
        <v>8.6</v>
      </c>
      <c r="AL22" s="228">
        <v>4.5</v>
      </c>
      <c r="AM22" s="229">
        <v>5.4000000000000003E-3</v>
      </c>
      <c r="AN22" s="231">
        <v>2446.23</v>
      </c>
      <c r="AO22" s="231">
        <v>2450.9</v>
      </c>
      <c r="AP22" s="228">
        <v>0</v>
      </c>
      <c r="AQ22" s="230">
        <v>39218</v>
      </c>
      <c r="AR22" s="230">
        <v>18464</v>
      </c>
      <c r="AS22" s="230">
        <v>20754</v>
      </c>
      <c r="AT22" s="229">
        <v>1.1240000000000001</v>
      </c>
      <c r="AU22" s="230">
        <v>21114</v>
      </c>
      <c r="AV22" s="230">
        <v>11512</v>
      </c>
      <c r="AW22" s="230">
        <v>9602</v>
      </c>
      <c r="AX22" s="229">
        <v>0.83409999999999995</v>
      </c>
      <c r="AY22" s="230">
        <v>17902</v>
      </c>
      <c r="AZ22" s="230">
        <v>6724</v>
      </c>
      <c r="BA22" s="230">
        <v>11178</v>
      </c>
      <c r="BB22" s="229">
        <v>1.6624000000000001</v>
      </c>
      <c r="BC22" s="228">
        <v>202</v>
      </c>
      <c r="BD22" s="228">
        <v>228</v>
      </c>
      <c r="BE22" s="228">
        <v>-26</v>
      </c>
      <c r="BF22" s="229">
        <v>-0.114</v>
      </c>
      <c r="BG22" s="230">
        <v>55812</v>
      </c>
      <c r="BH22" s="230">
        <v>99279</v>
      </c>
      <c r="BI22" s="230">
        <v>-43467</v>
      </c>
      <c r="BJ22" s="229">
        <v>-0.43780000000000002</v>
      </c>
      <c r="BK22" s="230">
        <v>20533</v>
      </c>
      <c r="BL22" s="230">
        <v>34462</v>
      </c>
      <c r="BM22" s="230">
        <v>-13929</v>
      </c>
      <c r="BN22" s="229">
        <v>-0.4042</v>
      </c>
      <c r="BO22" s="230">
        <v>115563</v>
      </c>
      <c r="BP22" s="230">
        <v>152205</v>
      </c>
      <c r="BQ22" s="230">
        <v>-36642</v>
      </c>
      <c r="BR22" s="229">
        <v>-0.2407</v>
      </c>
      <c r="BS22" s="230">
        <v>1716912</v>
      </c>
      <c r="BT22" s="230">
        <v>1506217</v>
      </c>
      <c r="BU22" s="230">
        <v>210695</v>
      </c>
      <c r="BV22" s="229">
        <v>0.1399</v>
      </c>
      <c r="BW22" s="230">
        <v>18020700</v>
      </c>
      <c r="BX22" s="230">
        <v>19352100</v>
      </c>
      <c r="BY22" s="230">
        <v>-1331400</v>
      </c>
      <c r="BZ22" s="229">
        <v>-6.88E-2</v>
      </c>
      <c r="CA22" s="230">
        <v>11541600</v>
      </c>
      <c r="CB22" s="230">
        <v>16201800</v>
      </c>
      <c r="CC22" s="230">
        <v>-4660200</v>
      </c>
      <c r="CD22" s="229">
        <v>-0.28760000000000002</v>
      </c>
      <c r="CE22" s="230">
        <v>6203400</v>
      </c>
      <c r="CF22" s="230">
        <v>2897100</v>
      </c>
      <c r="CG22" s="230">
        <v>3306300</v>
      </c>
      <c r="CH22" s="229">
        <v>1.1412</v>
      </c>
      <c r="CI22" s="230">
        <v>275700</v>
      </c>
      <c r="CJ22" s="230">
        <v>253200</v>
      </c>
      <c r="CK22" s="230">
        <v>22500</v>
      </c>
      <c r="CL22" s="229">
        <v>8.8900000000000007E-2</v>
      </c>
      <c r="CM22" s="230">
        <v>11681100</v>
      </c>
      <c r="CN22" s="230">
        <v>12526500</v>
      </c>
      <c r="CO22" s="230">
        <v>-845400</v>
      </c>
      <c r="CP22" s="229">
        <v>-6.7500000000000004E-2</v>
      </c>
      <c r="CQ22" s="230">
        <v>5248800</v>
      </c>
      <c r="CR22" s="230">
        <v>5617500</v>
      </c>
      <c r="CS22" s="230">
        <v>-368700</v>
      </c>
      <c r="CT22" s="229">
        <v>-6.5600000000000006E-2</v>
      </c>
      <c r="CU22" s="230">
        <v>34950600</v>
      </c>
      <c r="CV22" s="230">
        <v>37496100</v>
      </c>
      <c r="CW22" s="230">
        <v>-2545500</v>
      </c>
      <c r="CX22" s="229">
        <v>-6.7900000000000002E-2</v>
      </c>
      <c r="CY22" s="228">
        <v>12.34</v>
      </c>
      <c r="CZ22" s="228">
        <v>16.5</v>
      </c>
      <c r="DA22" s="228">
        <v>-4.16</v>
      </c>
      <c r="DB22" s="228">
        <v>-4.16</v>
      </c>
      <c r="DC22" s="228">
        <v>22.21</v>
      </c>
      <c r="DD22" s="228">
        <v>22.25</v>
      </c>
      <c r="DE22" s="228">
        <v>-9.8699999999999992</v>
      </c>
      <c r="DF22" s="228">
        <v>-0.04</v>
      </c>
      <c r="DG22" s="228">
        <v>12.71</v>
      </c>
      <c r="DH22" s="228">
        <v>16.920000000000002</v>
      </c>
      <c r="DI22" s="228">
        <v>-4.21</v>
      </c>
      <c r="DJ22" s="228">
        <v>-4.21</v>
      </c>
      <c r="DK22" s="228">
        <v>11.34</v>
      </c>
      <c r="DL22" s="228">
        <v>15.29</v>
      </c>
      <c r="DM22" s="228">
        <v>-3.95</v>
      </c>
      <c r="DN22" s="228">
        <v>-3.95</v>
      </c>
      <c r="DO22" s="228">
        <v>0.45</v>
      </c>
      <c r="DP22" s="228">
        <v>0.45</v>
      </c>
      <c r="DQ22" s="228">
        <v>0</v>
      </c>
      <c r="DR22" s="229">
        <v>0</v>
      </c>
      <c r="DS22" s="231">
        <v>2500</v>
      </c>
      <c r="DT22" s="231">
        <v>2500</v>
      </c>
      <c r="DU22" s="228">
        <v>0.37</v>
      </c>
      <c r="DV22" s="228">
        <v>0.35</v>
      </c>
      <c r="DW22" s="228">
        <v>0.02</v>
      </c>
      <c r="DX22" s="229">
        <v>5.7099999999999998E-2</v>
      </c>
      <c r="DY22" s="229">
        <v>0.35949999999999999</v>
      </c>
      <c r="DZ22" s="230">
        <v>3150300</v>
      </c>
      <c r="EA22" s="229">
        <v>2.5000000000000001E-3</v>
      </c>
      <c r="EB22" s="229">
        <v>0.35949999999999999</v>
      </c>
      <c r="EC22" s="228">
        <v>4.67</v>
      </c>
      <c r="ED22" s="229">
        <v>1.9E-3</v>
      </c>
      <c r="EE22" s="230">
        <v>895304</v>
      </c>
      <c r="EF22" s="230">
        <v>771256</v>
      </c>
      <c r="EG22" s="229">
        <v>0.1608</v>
      </c>
      <c r="EH22" s="229">
        <v>0.52149999999999996</v>
      </c>
      <c r="EI22" s="231">
        <v>421491.48</v>
      </c>
      <c r="EJ22" s="231">
        <v>149714.16</v>
      </c>
      <c r="EK22" s="231">
        <v>288063.33</v>
      </c>
      <c r="EL22" s="231">
        <v>8408</v>
      </c>
      <c r="EM22" s="231">
        <v>859268.97</v>
      </c>
      <c r="EN22" s="231">
        <v>1131116.3500000001</v>
      </c>
      <c r="EO22" s="231">
        <v>-271847.38</v>
      </c>
      <c r="EP22" s="229">
        <v>-0.24030000000000001</v>
      </c>
      <c r="EQ22" s="231">
        <v>296913</v>
      </c>
      <c r="ER22" s="231">
        <v>128380</v>
      </c>
      <c r="ES22" s="231">
        <v>438810</v>
      </c>
      <c r="ET22" s="231">
        <v>89517840</v>
      </c>
      <c r="EU22" s="231">
        <v>864103</v>
      </c>
      <c r="EV22" s="231">
        <v>928872</v>
      </c>
      <c r="EW22" s="231">
        <v>-64769</v>
      </c>
      <c r="EX22" s="229">
        <v>-6.9699999999999998E-2</v>
      </c>
      <c r="EY22" s="229">
        <v>0.39040000000000002</v>
      </c>
    </row>
    <row r="23" spans="1:155" ht="17.25" thickBot="1" x14ac:dyDescent="0.3">
      <c r="A23" s="226">
        <v>45981</v>
      </c>
      <c r="B23" s="227" t="s">
        <v>172</v>
      </c>
      <c r="C23" s="227" t="s">
        <v>232</v>
      </c>
      <c r="D23" s="231">
        <v>1384.8</v>
      </c>
      <c r="E23" s="231">
        <v>1382.7</v>
      </c>
      <c r="F23" s="228">
        <v>2.1</v>
      </c>
      <c r="G23" s="229">
        <v>1.5E-3</v>
      </c>
      <c r="H23" s="231">
        <v>1383</v>
      </c>
      <c r="I23" s="231">
        <v>1383.1</v>
      </c>
      <c r="J23" s="228">
        <v>-0.1</v>
      </c>
      <c r="K23" s="229">
        <v>-1E-4</v>
      </c>
      <c r="L23" s="231">
        <v>1384.8</v>
      </c>
      <c r="M23" s="231">
        <v>1382.7</v>
      </c>
      <c r="N23" s="228">
        <v>2.1</v>
      </c>
      <c r="O23" s="229">
        <v>1.5E-3</v>
      </c>
      <c r="P23" s="231">
        <v>1394.1</v>
      </c>
      <c r="Q23" s="231">
        <v>1392</v>
      </c>
      <c r="R23" s="228">
        <v>2.1</v>
      </c>
      <c r="S23" s="229">
        <v>1.5E-3</v>
      </c>
      <c r="T23" s="231">
        <v>1401.8</v>
      </c>
      <c r="U23" s="231">
        <v>1399.7</v>
      </c>
      <c r="V23" s="228">
        <v>2.1</v>
      </c>
      <c r="W23" s="229">
        <v>1.5E-3</v>
      </c>
      <c r="X23" s="228">
        <v>1.8</v>
      </c>
      <c r="Y23" s="228">
        <v>-0.4</v>
      </c>
      <c r="Z23" s="228">
        <v>2.2000000000000002</v>
      </c>
      <c r="AA23" s="229">
        <v>1.2999999999999999E-3</v>
      </c>
      <c r="AB23" s="228">
        <v>1.8</v>
      </c>
      <c r="AC23" s="228">
        <v>-0.4</v>
      </c>
      <c r="AD23" s="228">
        <v>2.2000000000000002</v>
      </c>
      <c r="AE23" s="229">
        <v>1.2999999999999999E-3</v>
      </c>
      <c r="AF23" s="228">
        <v>11.1</v>
      </c>
      <c r="AG23" s="228">
        <v>8.9</v>
      </c>
      <c r="AH23" s="228">
        <v>2.2000000000000002</v>
      </c>
      <c r="AI23" s="229">
        <v>8.0000000000000002E-3</v>
      </c>
      <c r="AJ23" s="228">
        <v>18.8</v>
      </c>
      <c r="AK23" s="228">
        <v>16.600000000000001</v>
      </c>
      <c r="AL23" s="228">
        <v>2.2000000000000002</v>
      </c>
      <c r="AM23" s="229">
        <v>1.3599999999999999E-2</v>
      </c>
      <c r="AN23" s="231">
        <v>1382.91</v>
      </c>
      <c r="AO23" s="231">
        <v>1392.15</v>
      </c>
      <c r="AP23" s="228">
        <v>0</v>
      </c>
      <c r="AQ23" s="230">
        <v>62284</v>
      </c>
      <c r="AR23" s="230">
        <v>19602</v>
      </c>
      <c r="AS23" s="230">
        <v>42682</v>
      </c>
      <c r="AT23" s="229">
        <v>2.1774</v>
      </c>
      <c r="AU23" s="230">
        <v>33729</v>
      </c>
      <c r="AV23" s="230">
        <v>13434</v>
      </c>
      <c r="AW23" s="230">
        <v>20295</v>
      </c>
      <c r="AX23" s="229">
        <v>1.5106999999999999</v>
      </c>
      <c r="AY23" s="230">
        <v>28326</v>
      </c>
      <c r="AZ23" s="230">
        <v>6058</v>
      </c>
      <c r="BA23" s="230">
        <v>22268</v>
      </c>
      <c r="BB23" s="229">
        <v>3.6758000000000002</v>
      </c>
      <c r="BC23" s="228">
        <v>229</v>
      </c>
      <c r="BD23" s="228">
        <v>110</v>
      </c>
      <c r="BE23" s="228">
        <v>119</v>
      </c>
      <c r="BF23" s="229">
        <v>1.0818000000000001</v>
      </c>
      <c r="BG23" s="230">
        <v>85232</v>
      </c>
      <c r="BH23" s="230">
        <v>56938</v>
      </c>
      <c r="BI23" s="230">
        <v>28294</v>
      </c>
      <c r="BJ23" s="229">
        <v>0.49690000000000001</v>
      </c>
      <c r="BK23" s="230">
        <v>39579</v>
      </c>
      <c r="BL23" s="230">
        <v>34246</v>
      </c>
      <c r="BM23" s="230">
        <v>5333</v>
      </c>
      <c r="BN23" s="229">
        <v>0.15570000000000001</v>
      </c>
      <c r="BO23" s="230">
        <v>187095</v>
      </c>
      <c r="BP23" s="230">
        <v>110786</v>
      </c>
      <c r="BQ23" s="230">
        <v>76309</v>
      </c>
      <c r="BR23" s="229">
        <v>0.68879999999999997</v>
      </c>
      <c r="BS23" s="230">
        <v>11156009</v>
      </c>
      <c r="BT23" s="230">
        <v>10575291</v>
      </c>
      <c r="BU23" s="230">
        <v>580718</v>
      </c>
      <c r="BV23" s="229">
        <v>5.4899999999999997E-2</v>
      </c>
      <c r="BW23" s="230">
        <v>112245000</v>
      </c>
      <c r="BX23" s="230">
        <v>110748400</v>
      </c>
      <c r="BY23" s="230">
        <v>1496600</v>
      </c>
      <c r="BZ23" s="229">
        <v>1.35E-2</v>
      </c>
      <c r="CA23" s="230">
        <v>79351300</v>
      </c>
      <c r="CB23" s="230">
        <v>94576300</v>
      </c>
      <c r="CC23" s="230">
        <v>-15225000</v>
      </c>
      <c r="CD23" s="229">
        <v>-0.161</v>
      </c>
      <c r="CE23" s="230">
        <v>32147500</v>
      </c>
      <c r="CF23" s="230">
        <v>15475600</v>
      </c>
      <c r="CG23" s="230">
        <v>16671900</v>
      </c>
      <c r="CH23" s="229">
        <v>1.0772999999999999</v>
      </c>
      <c r="CI23" s="230">
        <v>746200</v>
      </c>
      <c r="CJ23" s="230">
        <v>696500</v>
      </c>
      <c r="CK23" s="230">
        <v>49700</v>
      </c>
      <c r="CL23" s="229">
        <v>7.1400000000000005E-2</v>
      </c>
      <c r="CM23" s="230">
        <v>38777200</v>
      </c>
      <c r="CN23" s="230">
        <v>39295200</v>
      </c>
      <c r="CO23" s="230">
        <v>-518000</v>
      </c>
      <c r="CP23" s="229">
        <v>-1.32E-2</v>
      </c>
      <c r="CQ23" s="230">
        <v>23900100</v>
      </c>
      <c r="CR23" s="230">
        <v>24462200</v>
      </c>
      <c r="CS23" s="230">
        <v>-562100</v>
      </c>
      <c r="CT23" s="229">
        <v>-2.3E-2</v>
      </c>
      <c r="CU23" s="230">
        <v>174922300</v>
      </c>
      <c r="CV23" s="230">
        <v>174505800</v>
      </c>
      <c r="CW23" s="230">
        <v>416500</v>
      </c>
      <c r="CX23" s="229">
        <v>2.3999999999999998E-3</v>
      </c>
      <c r="CY23" s="228">
        <v>15.21</v>
      </c>
      <c r="CZ23" s="228">
        <v>15.48</v>
      </c>
      <c r="DA23" s="228">
        <v>-0.27</v>
      </c>
      <c r="DB23" s="228">
        <v>-0.27</v>
      </c>
      <c r="DC23" s="228">
        <v>20.98</v>
      </c>
      <c r="DD23" s="228">
        <v>21.04</v>
      </c>
      <c r="DE23" s="228">
        <v>-5.77</v>
      </c>
      <c r="DF23" s="228">
        <v>-0.06</v>
      </c>
      <c r="DG23" s="228">
        <v>15.19</v>
      </c>
      <c r="DH23" s="228">
        <v>15.2</v>
      </c>
      <c r="DI23" s="228">
        <v>-0.01</v>
      </c>
      <c r="DJ23" s="228">
        <v>-0.01</v>
      </c>
      <c r="DK23" s="228">
        <v>15.24</v>
      </c>
      <c r="DL23" s="228">
        <v>15.93</v>
      </c>
      <c r="DM23" s="228">
        <v>-0.69</v>
      </c>
      <c r="DN23" s="228">
        <v>-0.69</v>
      </c>
      <c r="DO23" s="228">
        <v>0.62</v>
      </c>
      <c r="DP23" s="228">
        <v>0.62</v>
      </c>
      <c r="DQ23" s="228">
        <v>0</v>
      </c>
      <c r="DR23" s="229">
        <v>0</v>
      </c>
      <c r="DS23" s="231">
        <v>1400</v>
      </c>
      <c r="DT23" s="231">
        <v>1380</v>
      </c>
      <c r="DU23" s="228">
        <v>0.46</v>
      </c>
      <c r="DV23" s="228">
        <v>0.6</v>
      </c>
      <c r="DW23" s="228">
        <v>-0.14000000000000001</v>
      </c>
      <c r="DX23" s="229">
        <v>-0.23330000000000001</v>
      </c>
      <c r="DY23" s="229">
        <v>0.29310000000000003</v>
      </c>
      <c r="DZ23" s="230">
        <v>16172100</v>
      </c>
      <c r="EA23" s="229">
        <v>6.7000000000000002E-3</v>
      </c>
      <c r="EB23" s="229">
        <v>0.29310000000000003</v>
      </c>
      <c r="EC23" s="228">
        <v>9.24</v>
      </c>
      <c r="ED23" s="229">
        <v>6.7000000000000002E-3</v>
      </c>
      <c r="EE23" s="230">
        <v>6315757</v>
      </c>
      <c r="EF23" s="230">
        <v>8371026</v>
      </c>
      <c r="EG23" s="229">
        <v>-0.2455</v>
      </c>
      <c r="EH23" s="229">
        <v>0.56610000000000005</v>
      </c>
      <c r="EI23" s="231">
        <v>838893.77</v>
      </c>
      <c r="EJ23" s="231">
        <v>381938.05</v>
      </c>
      <c r="EK23" s="231">
        <v>604791.75</v>
      </c>
      <c r="EL23" s="231">
        <v>22251</v>
      </c>
      <c r="EM23" s="231">
        <v>1825623.57</v>
      </c>
      <c r="EN23" s="231">
        <v>1079100.72</v>
      </c>
      <c r="EO23" s="231">
        <v>746522.85</v>
      </c>
      <c r="EP23" s="229">
        <v>0.69179999999999997</v>
      </c>
      <c r="EQ23" s="231">
        <v>552477</v>
      </c>
      <c r="ER23" s="231">
        <v>323697</v>
      </c>
      <c r="ES23" s="231">
        <v>1557485</v>
      </c>
      <c r="ET23" s="231">
        <v>579785172</v>
      </c>
      <c r="EU23" s="231">
        <v>2433660</v>
      </c>
      <c r="EV23" s="231">
        <v>2423735</v>
      </c>
      <c r="EW23" s="231">
        <v>9925</v>
      </c>
      <c r="EX23" s="229">
        <v>4.1000000000000003E-3</v>
      </c>
      <c r="EY23" s="229">
        <v>0.30170000000000002</v>
      </c>
    </row>
    <row r="24" spans="1:155" ht="17.25" thickBot="1" x14ac:dyDescent="0.3">
      <c r="A24" s="226">
        <v>45981</v>
      </c>
      <c r="B24" s="227" t="s">
        <v>215</v>
      </c>
      <c r="C24" s="227" t="s">
        <v>238</v>
      </c>
      <c r="D24" s="231">
        <v>5788</v>
      </c>
      <c r="E24" s="231">
        <v>5768</v>
      </c>
      <c r="F24" s="228">
        <v>20</v>
      </c>
      <c r="G24" s="229">
        <v>3.5000000000000001E-3</v>
      </c>
      <c r="H24" s="231">
        <v>5785.5</v>
      </c>
      <c r="I24" s="231">
        <v>5758.5</v>
      </c>
      <c r="J24" s="228">
        <v>27</v>
      </c>
      <c r="K24" s="229">
        <v>4.7000000000000002E-3</v>
      </c>
      <c r="L24" s="231">
        <v>5788</v>
      </c>
      <c r="M24" s="231">
        <v>5768</v>
      </c>
      <c r="N24" s="228">
        <v>20</v>
      </c>
      <c r="O24" s="229">
        <v>3.5000000000000001E-3</v>
      </c>
      <c r="P24" s="231">
        <v>5822.5</v>
      </c>
      <c r="Q24" s="231">
        <v>5802.5</v>
      </c>
      <c r="R24" s="228">
        <v>20</v>
      </c>
      <c r="S24" s="229">
        <v>3.3999999999999998E-3</v>
      </c>
      <c r="T24" s="231">
        <v>5858</v>
      </c>
      <c r="U24" s="231">
        <v>5841.5</v>
      </c>
      <c r="V24" s="228">
        <v>16.5</v>
      </c>
      <c r="W24" s="229">
        <v>2.8E-3</v>
      </c>
      <c r="X24" s="228">
        <v>2.5</v>
      </c>
      <c r="Y24" s="228">
        <v>9.5</v>
      </c>
      <c r="Z24" s="228">
        <v>-7</v>
      </c>
      <c r="AA24" s="229">
        <v>4.0000000000000002E-4</v>
      </c>
      <c r="AB24" s="228">
        <v>2.5</v>
      </c>
      <c r="AC24" s="228">
        <v>9.5</v>
      </c>
      <c r="AD24" s="228">
        <v>-7</v>
      </c>
      <c r="AE24" s="229">
        <v>4.0000000000000002E-4</v>
      </c>
      <c r="AF24" s="228">
        <v>37</v>
      </c>
      <c r="AG24" s="228">
        <v>44</v>
      </c>
      <c r="AH24" s="228">
        <v>-7</v>
      </c>
      <c r="AI24" s="229">
        <v>6.4000000000000003E-3</v>
      </c>
      <c r="AJ24" s="228">
        <v>72.5</v>
      </c>
      <c r="AK24" s="228">
        <v>83</v>
      </c>
      <c r="AL24" s="228">
        <v>-10.5</v>
      </c>
      <c r="AM24" s="229">
        <v>1.2500000000000001E-2</v>
      </c>
      <c r="AN24" s="231">
        <v>5803.06</v>
      </c>
      <c r="AO24" s="231">
        <v>5835.23</v>
      </c>
      <c r="AP24" s="228">
        <v>0</v>
      </c>
      <c r="AQ24" s="230">
        <v>33997</v>
      </c>
      <c r="AR24" s="230">
        <v>11263</v>
      </c>
      <c r="AS24" s="230">
        <v>22734</v>
      </c>
      <c r="AT24" s="229">
        <v>2.0185</v>
      </c>
      <c r="AU24" s="230">
        <v>17452</v>
      </c>
      <c r="AV24" s="230">
        <v>6999</v>
      </c>
      <c r="AW24" s="230">
        <v>10453</v>
      </c>
      <c r="AX24" s="229">
        <v>1.4935</v>
      </c>
      <c r="AY24" s="230">
        <v>16385</v>
      </c>
      <c r="AZ24" s="230">
        <v>4183</v>
      </c>
      <c r="BA24" s="230">
        <v>12202</v>
      </c>
      <c r="BB24" s="229">
        <v>2.9169999999999998</v>
      </c>
      <c r="BC24" s="228">
        <v>160</v>
      </c>
      <c r="BD24" s="228">
        <v>81</v>
      </c>
      <c r="BE24" s="228">
        <v>79</v>
      </c>
      <c r="BF24" s="229">
        <v>0.97529999999999994</v>
      </c>
      <c r="BG24" s="230">
        <v>45784</v>
      </c>
      <c r="BH24" s="230">
        <v>44902</v>
      </c>
      <c r="BI24" s="228">
        <v>882</v>
      </c>
      <c r="BJ24" s="229">
        <v>1.9599999999999999E-2</v>
      </c>
      <c r="BK24" s="230">
        <v>21054</v>
      </c>
      <c r="BL24" s="230">
        <v>25920</v>
      </c>
      <c r="BM24" s="230">
        <v>-4866</v>
      </c>
      <c r="BN24" s="229">
        <v>-0.18770000000000001</v>
      </c>
      <c r="BO24" s="230">
        <v>100835</v>
      </c>
      <c r="BP24" s="230">
        <v>82085</v>
      </c>
      <c r="BQ24" s="230">
        <v>18750</v>
      </c>
      <c r="BR24" s="229">
        <v>0.22839999999999999</v>
      </c>
      <c r="BS24" s="230">
        <v>442522</v>
      </c>
      <c r="BT24" s="230">
        <v>797534</v>
      </c>
      <c r="BU24" s="230">
        <v>-355012</v>
      </c>
      <c r="BV24" s="229">
        <v>-0.4451</v>
      </c>
      <c r="BW24" s="230">
        <v>7956000</v>
      </c>
      <c r="BX24" s="230">
        <v>7809000</v>
      </c>
      <c r="BY24" s="230">
        <v>147000</v>
      </c>
      <c r="BZ24" s="229">
        <v>1.8800000000000001E-2</v>
      </c>
      <c r="CA24" s="230">
        <v>5069550</v>
      </c>
      <c r="CB24" s="230">
        <v>6817650</v>
      </c>
      <c r="CC24" s="230">
        <v>-1748100</v>
      </c>
      <c r="CD24" s="229">
        <v>-0.25640000000000002</v>
      </c>
      <c r="CE24" s="230">
        <v>2841150</v>
      </c>
      <c r="CF24" s="230">
        <v>949350</v>
      </c>
      <c r="CG24" s="230">
        <v>1891800</v>
      </c>
      <c r="CH24" s="229">
        <v>1.9926999999999999</v>
      </c>
      <c r="CI24" s="230">
        <v>45300</v>
      </c>
      <c r="CJ24" s="230">
        <v>42000</v>
      </c>
      <c r="CK24" s="230">
        <v>3300</v>
      </c>
      <c r="CL24" s="229">
        <v>7.8600000000000003E-2</v>
      </c>
      <c r="CM24" s="230">
        <v>3648000</v>
      </c>
      <c r="CN24" s="230">
        <v>3905100</v>
      </c>
      <c r="CO24" s="230">
        <v>-257100</v>
      </c>
      <c r="CP24" s="229">
        <v>-6.5799999999999997E-2</v>
      </c>
      <c r="CQ24" s="230">
        <v>2172750</v>
      </c>
      <c r="CR24" s="230">
        <v>2248200</v>
      </c>
      <c r="CS24" s="230">
        <v>-75450</v>
      </c>
      <c r="CT24" s="229">
        <v>-3.3599999999999998E-2</v>
      </c>
      <c r="CU24" s="230">
        <v>13776750</v>
      </c>
      <c r="CV24" s="230">
        <v>13962300</v>
      </c>
      <c r="CW24" s="230">
        <v>-185550</v>
      </c>
      <c r="CX24" s="229">
        <v>-1.3299999999999999E-2</v>
      </c>
      <c r="CY24" s="228">
        <v>20.3</v>
      </c>
      <c r="CZ24" s="228">
        <v>22.3</v>
      </c>
      <c r="DA24" s="228">
        <v>-2</v>
      </c>
      <c r="DB24" s="228">
        <v>-2</v>
      </c>
      <c r="DC24" s="228">
        <v>32.03</v>
      </c>
      <c r="DD24" s="228">
        <v>32.11</v>
      </c>
      <c r="DE24" s="228">
        <v>-11.73</v>
      </c>
      <c r="DF24" s="228">
        <v>-0.08</v>
      </c>
      <c r="DG24" s="228">
        <v>20.16</v>
      </c>
      <c r="DH24" s="228">
        <v>22.43</v>
      </c>
      <c r="DI24" s="228">
        <v>-2.27</v>
      </c>
      <c r="DJ24" s="228">
        <v>-2.27</v>
      </c>
      <c r="DK24" s="228">
        <v>20.52</v>
      </c>
      <c r="DL24" s="228">
        <v>22.08</v>
      </c>
      <c r="DM24" s="228">
        <v>-1.56</v>
      </c>
      <c r="DN24" s="228">
        <v>-1.56</v>
      </c>
      <c r="DO24" s="228">
        <v>0.6</v>
      </c>
      <c r="DP24" s="228">
        <v>0.57999999999999996</v>
      </c>
      <c r="DQ24" s="228">
        <v>0.02</v>
      </c>
      <c r="DR24" s="229">
        <v>3.4500000000000003E-2</v>
      </c>
      <c r="DS24" s="231">
        <v>5900</v>
      </c>
      <c r="DT24" s="231">
        <v>6000</v>
      </c>
      <c r="DU24" s="228">
        <v>0.46</v>
      </c>
      <c r="DV24" s="228">
        <v>0.57999999999999996</v>
      </c>
      <c r="DW24" s="228">
        <v>-0.12</v>
      </c>
      <c r="DX24" s="229">
        <v>-0.2069</v>
      </c>
      <c r="DY24" s="229">
        <v>0.36280000000000001</v>
      </c>
      <c r="DZ24" s="230">
        <v>991350</v>
      </c>
      <c r="EA24" s="229">
        <v>6.0000000000000001E-3</v>
      </c>
      <c r="EB24" s="229">
        <v>0.36280000000000001</v>
      </c>
      <c r="EC24" s="228">
        <v>32.17</v>
      </c>
      <c r="ED24" s="229">
        <v>5.4999999999999997E-3</v>
      </c>
      <c r="EE24" s="230">
        <v>269848</v>
      </c>
      <c r="EF24" s="230">
        <v>547648</v>
      </c>
      <c r="EG24" s="229">
        <v>-0.50729999999999997</v>
      </c>
      <c r="EH24" s="229">
        <v>0.60980000000000001</v>
      </c>
      <c r="EI24" s="231">
        <v>408718.07</v>
      </c>
      <c r="EJ24" s="231">
        <v>180788.1</v>
      </c>
      <c r="EK24" s="231">
        <v>296733.65000000002</v>
      </c>
      <c r="EL24" s="231">
        <v>7991</v>
      </c>
      <c r="EM24" s="231">
        <v>886239.82</v>
      </c>
      <c r="EN24" s="231">
        <v>717227.79</v>
      </c>
      <c r="EO24" s="231">
        <v>169012.03</v>
      </c>
      <c r="EP24" s="229">
        <v>0.2356</v>
      </c>
      <c r="EQ24" s="231">
        <v>218052</v>
      </c>
      <c r="ER24" s="231">
        <v>122613</v>
      </c>
      <c r="ES24" s="231">
        <v>461505</v>
      </c>
      <c r="ET24" s="231">
        <v>32732860</v>
      </c>
      <c r="EU24" s="231">
        <v>802170</v>
      </c>
      <c r="EV24" s="231">
        <v>810485</v>
      </c>
      <c r="EW24" s="231">
        <v>-8315</v>
      </c>
      <c r="EX24" s="229">
        <v>-1.03E-2</v>
      </c>
      <c r="EY24" s="229">
        <v>0.4209</v>
      </c>
    </row>
    <row r="25" spans="1:155" ht="17.25" thickBot="1" x14ac:dyDescent="0.3">
      <c r="A25" s="226">
        <v>45981</v>
      </c>
      <c r="B25" s="227" t="s">
        <v>221</v>
      </c>
      <c r="C25" s="227" t="s">
        <v>240</v>
      </c>
      <c r="D25" s="231">
        <v>1539.2</v>
      </c>
      <c r="E25" s="231">
        <v>1542.1</v>
      </c>
      <c r="F25" s="228">
        <v>-2.9</v>
      </c>
      <c r="G25" s="229">
        <v>-1.9E-3</v>
      </c>
      <c r="H25" s="231">
        <v>1536.5</v>
      </c>
      <c r="I25" s="231">
        <v>1541.1</v>
      </c>
      <c r="J25" s="228">
        <v>-4.5999999999999996</v>
      </c>
      <c r="K25" s="229">
        <v>-3.0000000000000001E-3</v>
      </c>
      <c r="L25" s="231">
        <v>1539.2</v>
      </c>
      <c r="M25" s="231">
        <v>1542.1</v>
      </c>
      <c r="N25" s="228">
        <v>-2.9</v>
      </c>
      <c r="O25" s="229">
        <v>-1.9E-3</v>
      </c>
      <c r="P25" s="231">
        <v>1539.2</v>
      </c>
      <c r="Q25" s="231">
        <v>1544</v>
      </c>
      <c r="R25" s="228">
        <v>-4.8</v>
      </c>
      <c r="S25" s="229">
        <v>-3.0999999999999999E-3</v>
      </c>
      <c r="T25" s="231">
        <v>1546.9</v>
      </c>
      <c r="U25" s="231">
        <v>1549.3</v>
      </c>
      <c r="V25" s="228">
        <v>-2.4</v>
      </c>
      <c r="W25" s="229">
        <v>-1.5E-3</v>
      </c>
      <c r="X25" s="228">
        <v>2.7</v>
      </c>
      <c r="Y25" s="228">
        <v>1</v>
      </c>
      <c r="Z25" s="228">
        <v>1.7</v>
      </c>
      <c r="AA25" s="229">
        <v>1.8E-3</v>
      </c>
      <c r="AB25" s="228">
        <v>2.7</v>
      </c>
      <c r="AC25" s="228">
        <v>1</v>
      </c>
      <c r="AD25" s="228">
        <v>1.7</v>
      </c>
      <c r="AE25" s="229">
        <v>1.8E-3</v>
      </c>
      <c r="AF25" s="228">
        <v>2.7</v>
      </c>
      <c r="AG25" s="228">
        <v>2.9</v>
      </c>
      <c r="AH25" s="228">
        <v>-0.2</v>
      </c>
      <c r="AI25" s="229">
        <v>1.8E-3</v>
      </c>
      <c r="AJ25" s="228">
        <v>10.4</v>
      </c>
      <c r="AK25" s="228">
        <v>8.1999999999999993</v>
      </c>
      <c r="AL25" s="228">
        <v>2.2000000000000002</v>
      </c>
      <c r="AM25" s="229">
        <v>6.7999999999999996E-3</v>
      </c>
      <c r="AN25" s="231">
        <v>1540.62</v>
      </c>
      <c r="AO25" s="231">
        <v>1540.42</v>
      </c>
      <c r="AP25" s="228">
        <v>0</v>
      </c>
      <c r="AQ25" s="230">
        <v>106255</v>
      </c>
      <c r="AR25" s="230">
        <v>50246</v>
      </c>
      <c r="AS25" s="230">
        <v>56009</v>
      </c>
      <c r="AT25" s="229">
        <v>1.1147</v>
      </c>
      <c r="AU25" s="230">
        <v>54627</v>
      </c>
      <c r="AV25" s="230">
        <v>38164</v>
      </c>
      <c r="AW25" s="230">
        <v>16463</v>
      </c>
      <c r="AX25" s="229">
        <v>0.43140000000000001</v>
      </c>
      <c r="AY25" s="230">
        <v>51368</v>
      </c>
      <c r="AZ25" s="230">
        <v>11196</v>
      </c>
      <c r="BA25" s="230">
        <v>40172</v>
      </c>
      <c r="BB25" s="229">
        <v>3.5880999999999998</v>
      </c>
      <c r="BC25" s="228">
        <v>260</v>
      </c>
      <c r="BD25" s="228">
        <v>886</v>
      </c>
      <c r="BE25" s="228">
        <v>-626</v>
      </c>
      <c r="BF25" s="229">
        <v>-0.70650000000000002</v>
      </c>
      <c r="BG25" s="230">
        <v>123564</v>
      </c>
      <c r="BH25" s="230">
        <v>344160</v>
      </c>
      <c r="BI25" s="230">
        <v>-220596</v>
      </c>
      <c r="BJ25" s="229">
        <v>-0.64100000000000001</v>
      </c>
      <c r="BK25" s="230">
        <v>74817</v>
      </c>
      <c r="BL25" s="230">
        <v>140354</v>
      </c>
      <c r="BM25" s="230">
        <v>-65537</v>
      </c>
      <c r="BN25" s="229">
        <v>-0.46689999999999998</v>
      </c>
      <c r="BO25" s="230">
        <v>304636</v>
      </c>
      <c r="BP25" s="230">
        <v>534760</v>
      </c>
      <c r="BQ25" s="230">
        <v>-230124</v>
      </c>
      <c r="BR25" s="229">
        <v>-0.43030000000000002</v>
      </c>
      <c r="BS25" s="230">
        <v>8319817</v>
      </c>
      <c r="BT25" s="230">
        <v>11396251</v>
      </c>
      <c r="BU25" s="230">
        <v>-3076434</v>
      </c>
      <c r="BV25" s="229">
        <v>-0.27</v>
      </c>
      <c r="BW25" s="230">
        <v>75855600</v>
      </c>
      <c r="BX25" s="230">
        <v>73547600</v>
      </c>
      <c r="BY25" s="230">
        <v>2308000</v>
      </c>
      <c r="BZ25" s="229">
        <v>3.1399999999999997E-2</v>
      </c>
      <c r="CA25" s="230">
        <v>38884800</v>
      </c>
      <c r="CB25" s="230">
        <v>53840800</v>
      </c>
      <c r="CC25" s="230">
        <v>-14956000</v>
      </c>
      <c r="CD25" s="229">
        <v>-0.27779999999999999</v>
      </c>
      <c r="CE25" s="230">
        <v>36488400</v>
      </c>
      <c r="CF25" s="230">
        <v>19237200</v>
      </c>
      <c r="CG25" s="230">
        <v>17251200</v>
      </c>
      <c r="CH25" s="229">
        <v>0.89680000000000004</v>
      </c>
      <c r="CI25" s="230">
        <v>482400</v>
      </c>
      <c r="CJ25" s="230">
        <v>469600</v>
      </c>
      <c r="CK25" s="230">
        <v>12800</v>
      </c>
      <c r="CL25" s="229">
        <v>2.7300000000000001E-2</v>
      </c>
      <c r="CM25" s="230">
        <v>25319600</v>
      </c>
      <c r="CN25" s="230">
        <v>25704800</v>
      </c>
      <c r="CO25" s="230">
        <v>-385200</v>
      </c>
      <c r="CP25" s="229">
        <v>-1.4999999999999999E-2</v>
      </c>
      <c r="CQ25" s="230">
        <v>18820800</v>
      </c>
      <c r="CR25" s="230">
        <v>19730400</v>
      </c>
      <c r="CS25" s="230">
        <v>-909600</v>
      </c>
      <c r="CT25" s="229">
        <v>-4.6100000000000002E-2</v>
      </c>
      <c r="CU25" s="230">
        <v>119996000</v>
      </c>
      <c r="CV25" s="230">
        <v>118982800</v>
      </c>
      <c r="CW25" s="230">
        <v>1013200</v>
      </c>
      <c r="CX25" s="229">
        <v>8.5000000000000006E-3</v>
      </c>
      <c r="CY25" s="228">
        <v>22.81</v>
      </c>
      <c r="CZ25" s="228">
        <v>25.99</v>
      </c>
      <c r="DA25" s="228">
        <v>-3.18</v>
      </c>
      <c r="DB25" s="228">
        <v>-3.18</v>
      </c>
      <c r="DC25" s="228">
        <v>29.37</v>
      </c>
      <c r="DD25" s="228">
        <v>29.44</v>
      </c>
      <c r="DE25" s="228">
        <v>-6.56</v>
      </c>
      <c r="DF25" s="228">
        <v>-7.0000000000000007E-2</v>
      </c>
      <c r="DG25" s="228">
        <v>22.7</v>
      </c>
      <c r="DH25" s="228">
        <v>25.63</v>
      </c>
      <c r="DI25" s="228">
        <v>-2.93</v>
      </c>
      <c r="DJ25" s="228">
        <v>-2.93</v>
      </c>
      <c r="DK25" s="228">
        <v>23</v>
      </c>
      <c r="DL25" s="228">
        <v>26.88</v>
      </c>
      <c r="DM25" s="228">
        <v>-3.88</v>
      </c>
      <c r="DN25" s="228">
        <v>-3.88</v>
      </c>
      <c r="DO25" s="228">
        <v>0.74</v>
      </c>
      <c r="DP25" s="228">
        <v>0.77</v>
      </c>
      <c r="DQ25" s="228">
        <v>-0.03</v>
      </c>
      <c r="DR25" s="229">
        <v>-3.9E-2</v>
      </c>
      <c r="DS25" s="231">
        <v>1600</v>
      </c>
      <c r="DT25" s="231">
        <v>1500</v>
      </c>
      <c r="DU25" s="228">
        <v>0.61</v>
      </c>
      <c r="DV25" s="228">
        <v>0.41</v>
      </c>
      <c r="DW25" s="228">
        <v>0.2</v>
      </c>
      <c r="DX25" s="229">
        <v>0.48780000000000001</v>
      </c>
      <c r="DY25" s="229">
        <v>0.4874</v>
      </c>
      <c r="DZ25" s="230">
        <v>19706800</v>
      </c>
      <c r="EA25" s="229">
        <v>0</v>
      </c>
      <c r="EB25" s="229">
        <v>0.4874</v>
      </c>
      <c r="EC25" s="228">
        <v>-0.2</v>
      </c>
      <c r="ED25" s="229">
        <v>-1E-4</v>
      </c>
      <c r="EE25" s="230">
        <v>3876897</v>
      </c>
      <c r="EF25" s="230">
        <v>5603118</v>
      </c>
      <c r="EG25" s="229">
        <v>-0.30809999999999998</v>
      </c>
      <c r="EH25" s="229">
        <v>0.46600000000000003</v>
      </c>
      <c r="EI25" s="231">
        <v>787162.36</v>
      </c>
      <c r="EJ25" s="231">
        <v>453152.19</v>
      </c>
      <c r="EK25" s="231">
        <v>654762.78</v>
      </c>
      <c r="EL25" s="231">
        <v>38111</v>
      </c>
      <c r="EM25" s="231">
        <v>1895077.33</v>
      </c>
      <c r="EN25" s="231">
        <v>3323198.84</v>
      </c>
      <c r="EO25" s="231">
        <v>-1428121.51</v>
      </c>
      <c r="EP25" s="229">
        <v>-0.42970000000000003</v>
      </c>
      <c r="EQ25" s="231">
        <v>399585</v>
      </c>
      <c r="ER25" s="231">
        <v>276912</v>
      </c>
      <c r="ES25" s="231">
        <v>1167607</v>
      </c>
      <c r="ET25" s="231">
        <v>341789333</v>
      </c>
      <c r="EU25" s="231">
        <v>1844104</v>
      </c>
      <c r="EV25" s="231">
        <v>1829644</v>
      </c>
      <c r="EW25" s="231">
        <v>14460</v>
      </c>
      <c r="EX25" s="229">
        <v>7.9000000000000008E-3</v>
      </c>
      <c r="EY25" s="229">
        <v>0.35110000000000002</v>
      </c>
    </row>
    <row r="26" spans="1:155" ht="17.25" thickBot="1" x14ac:dyDescent="0.3">
      <c r="A26" s="226">
        <v>45981</v>
      </c>
      <c r="B26" s="227" t="s">
        <v>168</v>
      </c>
      <c r="C26" s="227" t="s">
        <v>242</v>
      </c>
      <c r="D26" s="228">
        <v>405.85</v>
      </c>
      <c r="E26" s="228">
        <v>404.25</v>
      </c>
      <c r="F26" s="228">
        <v>1.6</v>
      </c>
      <c r="G26" s="229">
        <v>4.0000000000000001E-3</v>
      </c>
      <c r="H26" s="228">
        <v>405.45</v>
      </c>
      <c r="I26" s="228">
        <v>403.55</v>
      </c>
      <c r="J26" s="228">
        <v>1.9</v>
      </c>
      <c r="K26" s="229">
        <v>4.7000000000000002E-3</v>
      </c>
      <c r="L26" s="228">
        <v>405.85</v>
      </c>
      <c r="M26" s="228">
        <v>404.25</v>
      </c>
      <c r="N26" s="228">
        <v>1.6</v>
      </c>
      <c r="O26" s="229">
        <v>4.0000000000000001E-3</v>
      </c>
      <c r="P26" s="228">
        <v>408.6</v>
      </c>
      <c r="Q26" s="228">
        <v>406.95</v>
      </c>
      <c r="R26" s="228">
        <v>1.65</v>
      </c>
      <c r="S26" s="229">
        <v>4.1000000000000003E-3</v>
      </c>
      <c r="T26" s="228">
        <v>411.05</v>
      </c>
      <c r="U26" s="228">
        <v>409.4</v>
      </c>
      <c r="V26" s="228">
        <v>1.65</v>
      </c>
      <c r="W26" s="229">
        <v>4.0000000000000001E-3</v>
      </c>
      <c r="X26" s="228">
        <v>0.4</v>
      </c>
      <c r="Y26" s="228">
        <v>0.7</v>
      </c>
      <c r="Z26" s="228">
        <v>-0.3</v>
      </c>
      <c r="AA26" s="229">
        <v>1E-3</v>
      </c>
      <c r="AB26" s="228">
        <v>0.4</v>
      </c>
      <c r="AC26" s="228">
        <v>0.7</v>
      </c>
      <c r="AD26" s="228">
        <v>-0.3</v>
      </c>
      <c r="AE26" s="229">
        <v>1E-3</v>
      </c>
      <c r="AF26" s="228">
        <v>3.15</v>
      </c>
      <c r="AG26" s="228">
        <v>3.4</v>
      </c>
      <c r="AH26" s="228">
        <v>-0.25</v>
      </c>
      <c r="AI26" s="229">
        <v>7.7999999999999996E-3</v>
      </c>
      <c r="AJ26" s="228">
        <v>5.6</v>
      </c>
      <c r="AK26" s="228">
        <v>5.85</v>
      </c>
      <c r="AL26" s="228">
        <v>-0.25</v>
      </c>
      <c r="AM26" s="229">
        <v>1.38E-2</v>
      </c>
      <c r="AN26" s="228">
        <v>405.94</v>
      </c>
      <c r="AO26" s="228">
        <v>408.67</v>
      </c>
      <c r="AP26" s="228">
        <v>0</v>
      </c>
      <c r="AQ26" s="230">
        <v>48054</v>
      </c>
      <c r="AR26" s="230">
        <v>10060</v>
      </c>
      <c r="AS26" s="230">
        <v>37994</v>
      </c>
      <c r="AT26" s="229">
        <v>3.7766999999999999</v>
      </c>
      <c r="AU26" s="230">
        <v>24523</v>
      </c>
      <c r="AV26" s="230">
        <v>5506</v>
      </c>
      <c r="AW26" s="230">
        <v>19017</v>
      </c>
      <c r="AX26" s="229">
        <v>3.4539</v>
      </c>
      <c r="AY26" s="230">
        <v>23308</v>
      </c>
      <c r="AZ26" s="230">
        <v>4119</v>
      </c>
      <c r="BA26" s="230">
        <v>19189</v>
      </c>
      <c r="BB26" s="229">
        <v>4.6586999999999996</v>
      </c>
      <c r="BC26" s="228">
        <v>223</v>
      </c>
      <c r="BD26" s="228">
        <v>435</v>
      </c>
      <c r="BE26" s="228">
        <v>-212</v>
      </c>
      <c r="BF26" s="229">
        <v>-0.4874</v>
      </c>
      <c r="BG26" s="230">
        <v>32060</v>
      </c>
      <c r="BH26" s="230">
        <v>32245</v>
      </c>
      <c r="BI26" s="228">
        <v>-185</v>
      </c>
      <c r="BJ26" s="229">
        <v>-5.7000000000000002E-3</v>
      </c>
      <c r="BK26" s="230">
        <v>14446</v>
      </c>
      <c r="BL26" s="230">
        <v>12792</v>
      </c>
      <c r="BM26" s="230">
        <v>1654</v>
      </c>
      <c r="BN26" s="229">
        <v>0.1293</v>
      </c>
      <c r="BO26" s="230">
        <v>94560</v>
      </c>
      <c r="BP26" s="230">
        <v>55097</v>
      </c>
      <c r="BQ26" s="230">
        <v>39463</v>
      </c>
      <c r="BR26" s="229">
        <v>0.71619999999999995</v>
      </c>
      <c r="BS26" s="230">
        <v>7872851</v>
      </c>
      <c r="BT26" s="230">
        <v>8049048</v>
      </c>
      <c r="BU26" s="230">
        <v>-176197</v>
      </c>
      <c r="BV26" s="229">
        <v>-2.1899999999999999E-2</v>
      </c>
      <c r="BW26" s="230">
        <v>174758400</v>
      </c>
      <c r="BX26" s="230">
        <v>175307200</v>
      </c>
      <c r="BY26" s="230">
        <v>-548800</v>
      </c>
      <c r="BZ26" s="229">
        <v>-3.0999999999999999E-3</v>
      </c>
      <c r="CA26" s="230">
        <v>116472000</v>
      </c>
      <c r="CB26" s="230">
        <v>151707200</v>
      </c>
      <c r="CC26" s="230">
        <v>-35235200</v>
      </c>
      <c r="CD26" s="229">
        <v>-0.23230000000000001</v>
      </c>
      <c r="CE26" s="230">
        <v>56081600</v>
      </c>
      <c r="CF26" s="230">
        <v>21558400</v>
      </c>
      <c r="CG26" s="230">
        <v>34523200</v>
      </c>
      <c r="CH26" s="229">
        <v>1.6013999999999999</v>
      </c>
      <c r="CI26" s="230">
        <v>2204800</v>
      </c>
      <c r="CJ26" s="230">
        <v>2041600</v>
      </c>
      <c r="CK26" s="230">
        <v>163200</v>
      </c>
      <c r="CL26" s="229">
        <v>7.9899999999999999E-2</v>
      </c>
      <c r="CM26" s="230">
        <v>69395200</v>
      </c>
      <c r="CN26" s="230">
        <v>73953600</v>
      </c>
      <c r="CO26" s="230">
        <v>-4558400</v>
      </c>
      <c r="CP26" s="229">
        <v>-6.1600000000000002E-2</v>
      </c>
      <c r="CQ26" s="230">
        <v>31897600</v>
      </c>
      <c r="CR26" s="230">
        <v>33662400</v>
      </c>
      <c r="CS26" s="230">
        <v>-1764800</v>
      </c>
      <c r="CT26" s="229">
        <v>-5.2400000000000002E-2</v>
      </c>
      <c r="CU26" s="230">
        <v>276051200</v>
      </c>
      <c r="CV26" s="230">
        <v>282923200</v>
      </c>
      <c r="CW26" s="230">
        <v>-6872000</v>
      </c>
      <c r="CX26" s="229">
        <v>-2.4299999999999999E-2</v>
      </c>
      <c r="CY26" s="228">
        <v>13.88</v>
      </c>
      <c r="CZ26" s="228">
        <v>15.37</v>
      </c>
      <c r="DA26" s="228">
        <v>-1.49</v>
      </c>
      <c r="DB26" s="228">
        <v>-1.49</v>
      </c>
      <c r="DC26" s="228">
        <v>19.11</v>
      </c>
      <c r="DD26" s="228">
        <v>19.14</v>
      </c>
      <c r="DE26" s="228">
        <v>-5.23</v>
      </c>
      <c r="DF26" s="228">
        <v>-0.03</v>
      </c>
      <c r="DG26" s="228">
        <v>14.18</v>
      </c>
      <c r="DH26" s="228">
        <v>15.9</v>
      </c>
      <c r="DI26" s="228">
        <v>-1.72</v>
      </c>
      <c r="DJ26" s="228">
        <v>-1.72</v>
      </c>
      <c r="DK26" s="228">
        <v>13.21</v>
      </c>
      <c r="DL26" s="228">
        <v>14.04</v>
      </c>
      <c r="DM26" s="228">
        <v>-0.83</v>
      </c>
      <c r="DN26" s="228">
        <v>-0.83</v>
      </c>
      <c r="DO26" s="228">
        <v>0.46</v>
      </c>
      <c r="DP26" s="228">
        <v>0.46</v>
      </c>
      <c r="DQ26" s="228">
        <v>0</v>
      </c>
      <c r="DR26" s="229">
        <v>0</v>
      </c>
      <c r="DS26" s="228">
        <v>420</v>
      </c>
      <c r="DT26" s="228">
        <v>420</v>
      </c>
      <c r="DU26" s="228">
        <v>0.45</v>
      </c>
      <c r="DV26" s="228">
        <v>0.4</v>
      </c>
      <c r="DW26" s="228">
        <v>0.05</v>
      </c>
      <c r="DX26" s="229">
        <v>0.125</v>
      </c>
      <c r="DY26" s="229">
        <v>0.33350000000000002</v>
      </c>
      <c r="DZ26" s="230">
        <v>23600000</v>
      </c>
      <c r="EA26" s="229">
        <v>6.7999999999999996E-3</v>
      </c>
      <c r="EB26" s="229">
        <v>0.33350000000000002</v>
      </c>
      <c r="EC26" s="228">
        <v>2.73</v>
      </c>
      <c r="ED26" s="229">
        <v>6.7000000000000002E-3</v>
      </c>
      <c r="EE26" s="230">
        <v>4154359</v>
      </c>
      <c r="EF26" s="230">
        <v>5151356</v>
      </c>
      <c r="EG26" s="229">
        <v>-0.19350000000000001</v>
      </c>
      <c r="EH26" s="229">
        <v>0.52769999999999995</v>
      </c>
      <c r="EI26" s="231">
        <v>212723.68</v>
      </c>
      <c r="EJ26" s="231">
        <v>94321.66</v>
      </c>
      <c r="EK26" s="231">
        <v>313149.84999999998</v>
      </c>
      <c r="EL26" s="231">
        <v>8029</v>
      </c>
      <c r="EM26" s="231">
        <v>620195.18999999994</v>
      </c>
      <c r="EN26" s="231">
        <v>362956.06</v>
      </c>
      <c r="EO26" s="231">
        <v>257239.13</v>
      </c>
      <c r="EP26" s="229">
        <v>0.7087</v>
      </c>
      <c r="EQ26" s="231">
        <v>294576</v>
      </c>
      <c r="ER26" s="231">
        <v>129838</v>
      </c>
      <c r="ES26" s="231">
        <v>710914</v>
      </c>
      <c r="ET26" s="231">
        <v>1251412841</v>
      </c>
      <c r="EU26" s="231">
        <v>1135328</v>
      </c>
      <c r="EV26" s="231">
        <v>1159687</v>
      </c>
      <c r="EW26" s="231">
        <v>-24359</v>
      </c>
      <c r="EX26" s="229">
        <v>-2.1000000000000001E-2</v>
      </c>
      <c r="EY26" s="229">
        <v>0.22059999999999999</v>
      </c>
    </row>
    <row r="27" spans="1:155" ht="17.25" thickBot="1" x14ac:dyDescent="0.3">
      <c r="A27" s="226">
        <v>45981</v>
      </c>
      <c r="B27" s="227" t="s">
        <v>175</v>
      </c>
      <c r="C27" s="227" t="s">
        <v>570</v>
      </c>
      <c r="D27" s="228">
        <v>308.8</v>
      </c>
      <c r="E27" s="228">
        <v>304.7</v>
      </c>
      <c r="F27" s="228">
        <v>4.0999999999999996</v>
      </c>
      <c r="G27" s="229">
        <v>1.35E-2</v>
      </c>
      <c r="H27" s="228">
        <v>308.35000000000002</v>
      </c>
      <c r="I27" s="228">
        <v>304.45</v>
      </c>
      <c r="J27" s="228">
        <v>3.9</v>
      </c>
      <c r="K27" s="229">
        <v>1.2800000000000001E-2</v>
      </c>
      <c r="L27" s="228">
        <v>308.8</v>
      </c>
      <c r="M27" s="228">
        <v>304.7</v>
      </c>
      <c r="N27" s="228">
        <v>4.0999999999999996</v>
      </c>
      <c r="O27" s="229">
        <v>1.35E-2</v>
      </c>
      <c r="P27" s="228">
        <v>310.85000000000002</v>
      </c>
      <c r="Q27" s="228">
        <v>306.8</v>
      </c>
      <c r="R27" s="228">
        <v>4.05</v>
      </c>
      <c r="S27" s="229">
        <v>1.32E-2</v>
      </c>
      <c r="T27" s="228">
        <v>312.75</v>
      </c>
      <c r="U27" s="228">
        <v>308.8</v>
      </c>
      <c r="V27" s="228">
        <v>3.95</v>
      </c>
      <c r="W27" s="229">
        <v>1.2800000000000001E-2</v>
      </c>
      <c r="X27" s="228">
        <v>0.45</v>
      </c>
      <c r="Y27" s="228">
        <v>0.25</v>
      </c>
      <c r="Z27" s="228">
        <v>0.2</v>
      </c>
      <c r="AA27" s="229">
        <v>1.5E-3</v>
      </c>
      <c r="AB27" s="228">
        <v>0.45</v>
      </c>
      <c r="AC27" s="228">
        <v>0.25</v>
      </c>
      <c r="AD27" s="228">
        <v>0.2</v>
      </c>
      <c r="AE27" s="229">
        <v>1.5E-3</v>
      </c>
      <c r="AF27" s="228">
        <v>2.5</v>
      </c>
      <c r="AG27" s="228">
        <v>2.35</v>
      </c>
      <c r="AH27" s="228">
        <v>0.15</v>
      </c>
      <c r="AI27" s="229">
        <v>8.0999999999999996E-3</v>
      </c>
      <c r="AJ27" s="228">
        <v>4.4000000000000004</v>
      </c>
      <c r="AK27" s="228">
        <v>4.3499999999999996</v>
      </c>
      <c r="AL27" s="228">
        <v>0.05</v>
      </c>
      <c r="AM27" s="229">
        <v>1.43E-2</v>
      </c>
      <c r="AN27" s="228">
        <v>308.02</v>
      </c>
      <c r="AO27" s="228">
        <v>310.08999999999997</v>
      </c>
      <c r="AP27" s="228">
        <v>0</v>
      </c>
      <c r="AQ27" s="230">
        <v>23179</v>
      </c>
      <c r="AR27" s="230">
        <v>8507</v>
      </c>
      <c r="AS27" s="230">
        <v>14672</v>
      </c>
      <c r="AT27" s="229">
        <v>1.7246999999999999</v>
      </c>
      <c r="AU27" s="230">
        <v>11837</v>
      </c>
      <c r="AV27" s="230">
        <v>4940</v>
      </c>
      <c r="AW27" s="230">
        <v>6897</v>
      </c>
      <c r="AX27" s="229">
        <v>1.3962000000000001</v>
      </c>
      <c r="AY27" s="230">
        <v>11128</v>
      </c>
      <c r="AZ27" s="230">
        <v>3296</v>
      </c>
      <c r="BA27" s="230">
        <v>7832</v>
      </c>
      <c r="BB27" s="229">
        <v>2.3761999999999999</v>
      </c>
      <c r="BC27" s="228">
        <v>214</v>
      </c>
      <c r="BD27" s="228">
        <v>271</v>
      </c>
      <c r="BE27" s="228">
        <v>-57</v>
      </c>
      <c r="BF27" s="229">
        <v>-0.21029999999999999</v>
      </c>
      <c r="BG27" s="230">
        <v>34768</v>
      </c>
      <c r="BH27" s="230">
        <v>29330</v>
      </c>
      <c r="BI27" s="230">
        <v>5438</v>
      </c>
      <c r="BJ27" s="229">
        <v>0.18540000000000001</v>
      </c>
      <c r="BK27" s="230">
        <v>12119</v>
      </c>
      <c r="BL27" s="230">
        <v>11793</v>
      </c>
      <c r="BM27" s="228">
        <v>326</v>
      </c>
      <c r="BN27" s="229">
        <v>2.76E-2</v>
      </c>
      <c r="BO27" s="230">
        <v>70066</v>
      </c>
      <c r="BP27" s="230">
        <v>49630</v>
      </c>
      <c r="BQ27" s="230">
        <v>20436</v>
      </c>
      <c r="BR27" s="229">
        <v>0.4118</v>
      </c>
      <c r="BS27" s="230">
        <v>8876604</v>
      </c>
      <c r="BT27" s="230">
        <v>6489103</v>
      </c>
      <c r="BU27" s="230">
        <v>2387501</v>
      </c>
      <c r="BV27" s="229">
        <v>0.3679</v>
      </c>
      <c r="BW27" s="230">
        <v>152122550</v>
      </c>
      <c r="BX27" s="230">
        <v>152684200</v>
      </c>
      <c r="BY27" s="230">
        <v>-561650</v>
      </c>
      <c r="BZ27" s="229">
        <v>-3.7000000000000002E-3</v>
      </c>
      <c r="CA27" s="230">
        <v>95442900</v>
      </c>
      <c r="CB27" s="230">
        <v>116280350</v>
      </c>
      <c r="CC27" s="230">
        <v>-20837450</v>
      </c>
      <c r="CD27" s="229">
        <v>-0.1792</v>
      </c>
      <c r="CE27" s="230">
        <v>53521250</v>
      </c>
      <c r="CF27" s="230">
        <v>33257200</v>
      </c>
      <c r="CG27" s="230">
        <v>20264050</v>
      </c>
      <c r="CH27" s="229">
        <v>0.60929999999999995</v>
      </c>
      <c r="CI27" s="230">
        <v>3158400</v>
      </c>
      <c r="CJ27" s="230">
        <v>3146650</v>
      </c>
      <c r="CK27" s="230">
        <v>11750</v>
      </c>
      <c r="CL27" s="229">
        <v>3.7000000000000002E-3</v>
      </c>
      <c r="CM27" s="230">
        <v>72455200</v>
      </c>
      <c r="CN27" s="230">
        <v>75944950</v>
      </c>
      <c r="CO27" s="230">
        <v>-3489750</v>
      </c>
      <c r="CP27" s="229">
        <v>-4.5999999999999999E-2</v>
      </c>
      <c r="CQ27" s="230">
        <v>43930900</v>
      </c>
      <c r="CR27" s="230">
        <v>44168250</v>
      </c>
      <c r="CS27" s="230">
        <v>-237350</v>
      </c>
      <c r="CT27" s="229">
        <v>-5.4000000000000003E-3</v>
      </c>
      <c r="CU27" s="230">
        <v>268508650</v>
      </c>
      <c r="CV27" s="230">
        <v>272797400</v>
      </c>
      <c r="CW27" s="230">
        <v>-4288750</v>
      </c>
      <c r="CX27" s="229">
        <v>-1.5699999999999999E-2</v>
      </c>
      <c r="CY27" s="228">
        <v>23.52</v>
      </c>
      <c r="CZ27" s="228">
        <v>26.16</v>
      </c>
      <c r="DA27" s="228">
        <v>-2.64</v>
      </c>
      <c r="DB27" s="228">
        <v>-2.64</v>
      </c>
      <c r="DC27" s="228">
        <v>34.770000000000003</v>
      </c>
      <c r="DD27" s="228">
        <v>34.81</v>
      </c>
      <c r="DE27" s="228">
        <v>-11.25</v>
      </c>
      <c r="DF27" s="228">
        <v>-0.04</v>
      </c>
      <c r="DG27" s="228">
        <v>23.56</v>
      </c>
      <c r="DH27" s="228">
        <v>27.19</v>
      </c>
      <c r="DI27" s="228">
        <v>-3.63</v>
      </c>
      <c r="DJ27" s="228">
        <v>-3.63</v>
      </c>
      <c r="DK27" s="228">
        <v>23.45</v>
      </c>
      <c r="DL27" s="228">
        <v>23.59</v>
      </c>
      <c r="DM27" s="228">
        <v>-0.14000000000000001</v>
      </c>
      <c r="DN27" s="228">
        <v>-0.14000000000000001</v>
      </c>
      <c r="DO27" s="228">
        <v>0.61</v>
      </c>
      <c r="DP27" s="228">
        <v>0.57999999999999996</v>
      </c>
      <c r="DQ27" s="228">
        <v>0.03</v>
      </c>
      <c r="DR27" s="229">
        <v>5.1700000000000003E-2</v>
      </c>
      <c r="DS27" s="228">
        <v>310</v>
      </c>
      <c r="DT27" s="228">
        <v>310</v>
      </c>
      <c r="DU27" s="228">
        <v>0.35</v>
      </c>
      <c r="DV27" s="228">
        <v>0.4</v>
      </c>
      <c r="DW27" s="228">
        <v>-0.05</v>
      </c>
      <c r="DX27" s="229">
        <v>-0.125</v>
      </c>
      <c r="DY27" s="229">
        <v>0.37259999999999999</v>
      </c>
      <c r="DZ27" s="230">
        <v>36403850</v>
      </c>
      <c r="EA27" s="229">
        <v>6.6E-3</v>
      </c>
      <c r="EB27" s="229">
        <v>0.37259999999999999</v>
      </c>
      <c r="EC27" s="228">
        <v>2.0699999999999998</v>
      </c>
      <c r="ED27" s="229">
        <v>6.7000000000000002E-3</v>
      </c>
      <c r="EE27" s="230">
        <v>4448090</v>
      </c>
      <c r="EF27" s="230">
        <v>2850306</v>
      </c>
      <c r="EG27" s="229">
        <v>0.56059999999999999</v>
      </c>
      <c r="EH27" s="229">
        <v>0.50109999999999999</v>
      </c>
      <c r="EI27" s="231">
        <v>262194.28999999998</v>
      </c>
      <c r="EJ27" s="231">
        <v>87996.36</v>
      </c>
      <c r="EK27" s="231">
        <v>168341.25</v>
      </c>
      <c r="EL27" s="231">
        <v>10705</v>
      </c>
      <c r="EM27" s="231">
        <v>518531.9</v>
      </c>
      <c r="EN27" s="231">
        <v>366665.9</v>
      </c>
      <c r="EO27" s="231">
        <v>151866</v>
      </c>
      <c r="EP27" s="229">
        <v>0.41420000000000001</v>
      </c>
      <c r="EQ27" s="231">
        <v>234544</v>
      </c>
      <c r="ER27" s="231">
        <v>134732</v>
      </c>
      <c r="ES27" s="231">
        <v>470976</v>
      </c>
      <c r="ET27" s="231">
        <v>446457456</v>
      </c>
      <c r="EU27" s="231">
        <v>840252</v>
      </c>
      <c r="EV27" s="231">
        <v>847015</v>
      </c>
      <c r="EW27" s="231">
        <v>-6763</v>
      </c>
      <c r="EX27" s="229">
        <v>-8.0000000000000002E-3</v>
      </c>
      <c r="EY27" s="229">
        <v>0.60140000000000005</v>
      </c>
    </row>
    <row r="28" spans="1:155" ht="17.25" thickBot="1" x14ac:dyDescent="0.3">
      <c r="A28" s="226">
        <v>45981</v>
      </c>
      <c r="B28" s="227" t="s">
        <v>227</v>
      </c>
      <c r="C28" s="227" t="s">
        <v>244</v>
      </c>
      <c r="D28" s="231">
        <v>1172</v>
      </c>
      <c r="E28" s="231">
        <v>1165.0999999999999</v>
      </c>
      <c r="F28" s="228">
        <v>6.9</v>
      </c>
      <c r="G28" s="229">
        <v>5.8999999999999999E-3</v>
      </c>
      <c r="H28" s="231">
        <v>1170</v>
      </c>
      <c r="I28" s="231">
        <v>1164.9000000000001</v>
      </c>
      <c r="J28" s="228">
        <v>5.0999999999999996</v>
      </c>
      <c r="K28" s="229">
        <v>4.4000000000000003E-3</v>
      </c>
      <c r="L28" s="231">
        <v>1172</v>
      </c>
      <c r="M28" s="231">
        <v>1165.0999999999999</v>
      </c>
      <c r="N28" s="228">
        <v>6.9</v>
      </c>
      <c r="O28" s="229">
        <v>5.8999999999999999E-3</v>
      </c>
      <c r="P28" s="231">
        <v>1180</v>
      </c>
      <c r="Q28" s="231">
        <v>1172.5999999999999</v>
      </c>
      <c r="R28" s="228">
        <v>7.4</v>
      </c>
      <c r="S28" s="229">
        <v>6.3E-3</v>
      </c>
      <c r="T28" s="231">
        <v>1186.7</v>
      </c>
      <c r="U28" s="231">
        <v>1179.2</v>
      </c>
      <c r="V28" s="228">
        <v>7.5</v>
      </c>
      <c r="W28" s="229">
        <v>6.4000000000000003E-3</v>
      </c>
      <c r="X28" s="228">
        <v>2</v>
      </c>
      <c r="Y28" s="228">
        <v>0.2</v>
      </c>
      <c r="Z28" s="228">
        <v>1.8</v>
      </c>
      <c r="AA28" s="229">
        <v>1.6999999999999999E-3</v>
      </c>
      <c r="AB28" s="228">
        <v>2</v>
      </c>
      <c r="AC28" s="228">
        <v>0.2</v>
      </c>
      <c r="AD28" s="228">
        <v>1.8</v>
      </c>
      <c r="AE28" s="229">
        <v>1.6999999999999999E-3</v>
      </c>
      <c r="AF28" s="228">
        <v>10</v>
      </c>
      <c r="AG28" s="228">
        <v>7.7</v>
      </c>
      <c r="AH28" s="228">
        <v>2.2999999999999998</v>
      </c>
      <c r="AI28" s="229">
        <v>8.5000000000000006E-3</v>
      </c>
      <c r="AJ28" s="228">
        <v>16.7</v>
      </c>
      <c r="AK28" s="228">
        <v>14.3</v>
      </c>
      <c r="AL28" s="228">
        <v>2.4</v>
      </c>
      <c r="AM28" s="229">
        <v>1.43E-2</v>
      </c>
      <c r="AN28" s="231">
        <v>1170.81</v>
      </c>
      <c r="AO28" s="231">
        <v>1178.77</v>
      </c>
      <c r="AP28" s="228">
        <v>0</v>
      </c>
      <c r="AQ28" s="230">
        <v>37689</v>
      </c>
      <c r="AR28" s="230">
        <v>11368</v>
      </c>
      <c r="AS28" s="230">
        <v>26321</v>
      </c>
      <c r="AT28" s="229">
        <v>2.3153999999999999</v>
      </c>
      <c r="AU28" s="230">
        <v>19300</v>
      </c>
      <c r="AV28" s="230">
        <v>6538</v>
      </c>
      <c r="AW28" s="230">
        <v>12762</v>
      </c>
      <c r="AX28" s="229">
        <v>1.952</v>
      </c>
      <c r="AY28" s="230">
        <v>18342</v>
      </c>
      <c r="AZ28" s="230">
        <v>4798</v>
      </c>
      <c r="BA28" s="230">
        <v>13544</v>
      </c>
      <c r="BB28" s="229">
        <v>2.8228</v>
      </c>
      <c r="BC28" s="228">
        <v>47</v>
      </c>
      <c r="BD28" s="228">
        <v>32</v>
      </c>
      <c r="BE28" s="228">
        <v>15</v>
      </c>
      <c r="BF28" s="229">
        <v>0.46879999999999999</v>
      </c>
      <c r="BG28" s="230">
        <v>11335</v>
      </c>
      <c r="BH28" s="230">
        <v>10888</v>
      </c>
      <c r="BI28" s="228">
        <v>447</v>
      </c>
      <c r="BJ28" s="229">
        <v>4.1099999999999998E-2</v>
      </c>
      <c r="BK28" s="230">
        <v>5645</v>
      </c>
      <c r="BL28" s="230">
        <v>4312</v>
      </c>
      <c r="BM28" s="230">
        <v>1333</v>
      </c>
      <c r="BN28" s="229">
        <v>0.30909999999999999</v>
      </c>
      <c r="BO28" s="230">
        <v>54669</v>
      </c>
      <c r="BP28" s="230">
        <v>26568</v>
      </c>
      <c r="BQ28" s="230">
        <v>28101</v>
      </c>
      <c r="BR28" s="229">
        <v>1.0577000000000001</v>
      </c>
      <c r="BS28" s="230">
        <v>919209</v>
      </c>
      <c r="BT28" s="230">
        <v>531830</v>
      </c>
      <c r="BU28" s="230">
        <v>387379</v>
      </c>
      <c r="BV28" s="229">
        <v>0.72840000000000005</v>
      </c>
      <c r="BW28" s="230">
        <v>45245250</v>
      </c>
      <c r="BX28" s="230">
        <v>45052875</v>
      </c>
      <c r="BY28" s="230">
        <v>192375</v>
      </c>
      <c r="BZ28" s="229">
        <v>4.3E-3</v>
      </c>
      <c r="CA28" s="230">
        <v>28624725</v>
      </c>
      <c r="CB28" s="230">
        <v>39947850</v>
      </c>
      <c r="CC28" s="230">
        <v>-11323125</v>
      </c>
      <c r="CD28" s="229">
        <v>-0.28339999999999999</v>
      </c>
      <c r="CE28" s="230">
        <v>16546275</v>
      </c>
      <c r="CF28" s="230">
        <v>5037525</v>
      </c>
      <c r="CG28" s="230">
        <v>11508750</v>
      </c>
      <c r="CH28" s="229">
        <v>2.2846000000000002</v>
      </c>
      <c r="CI28" s="230">
        <v>74250</v>
      </c>
      <c r="CJ28" s="230">
        <v>67500</v>
      </c>
      <c r="CK28" s="230">
        <v>6750</v>
      </c>
      <c r="CL28" s="229">
        <v>0.1</v>
      </c>
      <c r="CM28" s="230">
        <v>8662275</v>
      </c>
      <c r="CN28" s="230">
        <v>9224550</v>
      </c>
      <c r="CO28" s="230">
        <v>-562275</v>
      </c>
      <c r="CP28" s="229">
        <v>-6.0999999999999999E-2</v>
      </c>
      <c r="CQ28" s="230">
        <v>5017275</v>
      </c>
      <c r="CR28" s="230">
        <v>5094225</v>
      </c>
      <c r="CS28" s="230">
        <v>-76950</v>
      </c>
      <c r="CT28" s="229">
        <v>-1.5100000000000001E-2</v>
      </c>
      <c r="CU28" s="230">
        <v>58924800</v>
      </c>
      <c r="CV28" s="230">
        <v>59371650</v>
      </c>
      <c r="CW28" s="230">
        <v>-446850</v>
      </c>
      <c r="CX28" s="229">
        <v>-7.4999999999999997E-3</v>
      </c>
      <c r="CY28" s="228">
        <v>21.52</v>
      </c>
      <c r="CZ28" s="228">
        <v>24.13</v>
      </c>
      <c r="DA28" s="228">
        <v>-2.61</v>
      </c>
      <c r="DB28" s="228">
        <v>-2.61</v>
      </c>
      <c r="DC28" s="228">
        <v>28.68</v>
      </c>
      <c r="DD28" s="228">
        <v>28.74</v>
      </c>
      <c r="DE28" s="228">
        <v>-7.16</v>
      </c>
      <c r="DF28" s="228">
        <v>-0.06</v>
      </c>
      <c r="DG28" s="228">
        <v>21.35</v>
      </c>
      <c r="DH28" s="228">
        <v>24.76</v>
      </c>
      <c r="DI28" s="228">
        <v>-3.41</v>
      </c>
      <c r="DJ28" s="228">
        <v>-3.41</v>
      </c>
      <c r="DK28" s="228">
        <v>21.84</v>
      </c>
      <c r="DL28" s="228">
        <v>22.53</v>
      </c>
      <c r="DM28" s="228">
        <v>-0.69</v>
      </c>
      <c r="DN28" s="228">
        <v>-0.69</v>
      </c>
      <c r="DO28" s="228">
        <v>0.57999999999999996</v>
      </c>
      <c r="DP28" s="228">
        <v>0.55000000000000004</v>
      </c>
      <c r="DQ28" s="228">
        <v>0.03</v>
      </c>
      <c r="DR28" s="229">
        <v>5.45E-2</v>
      </c>
      <c r="DS28" s="231">
        <v>1220</v>
      </c>
      <c r="DT28" s="231">
        <v>1150</v>
      </c>
      <c r="DU28" s="228">
        <v>0.5</v>
      </c>
      <c r="DV28" s="228">
        <v>0.4</v>
      </c>
      <c r="DW28" s="228">
        <v>0.1</v>
      </c>
      <c r="DX28" s="229">
        <v>0.25</v>
      </c>
      <c r="DY28" s="229">
        <v>0.36730000000000002</v>
      </c>
      <c r="DZ28" s="230">
        <v>5105025</v>
      </c>
      <c r="EA28" s="229">
        <v>6.7999999999999996E-3</v>
      </c>
      <c r="EB28" s="229">
        <v>0.36730000000000002</v>
      </c>
      <c r="EC28" s="228">
        <v>7.96</v>
      </c>
      <c r="ED28" s="229">
        <v>6.7999999999999996E-3</v>
      </c>
      <c r="EE28" s="230">
        <v>509217</v>
      </c>
      <c r="EF28" s="230">
        <v>228971</v>
      </c>
      <c r="EG28" s="229">
        <v>1.2239</v>
      </c>
      <c r="EH28" s="229">
        <v>0.55400000000000005</v>
      </c>
      <c r="EI28" s="231">
        <v>92229.08</v>
      </c>
      <c r="EJ28" s="231">
        <v>44249.59</v>
      </c>
      <c r="EK28" s="231">
        <v>298846.63</v>
      </c>
      <c r="EL28" s="231">
        <v>7787</v>
      </c>
      <c r="EM28" s="231">
        <v>435325.3</v>
      </c>
      <c r="EN28" s="231">
        <v>212220.7</v>
      </c>
      <c r="EO28" s="231">
        <v>223104.6</v>
      </c>
      <c r="EP28" s="229">
        <v>1.0512999999999999</v>
      </c>
      <c r="EQ28" s="231">
        <v>106563</v>
      </c>
      <c r="ER28" s="231">
        <v>57237</v>
      </c>
      <c r="ES28" s="231">
        <v>531609</v>
      </c>
      <c r="ET28" s="231">
        <v>133166619</v>
      </c>
      <c r="EU28" s="231">
        <v>695409</v>
      </c>
      <c r="EV28" s="231">
        <v>696713</v>
      </c>
      <c r="EW28" s="231">
        <v>-1304</v>
      </c>
      <c r="EX28" s="229">
        <v>-1.9E-3</v>
      </c>
      <c r="EY28" s="229">
        <v>0.4425</v>
      </c>
    </row>
    <row r="29" spans="1:155" ht="17.25" thickBot="1" x14ac:dyDescent="0.3">
      <c r="A29" s="226">
        <v>45981</v>
      </c>
      <c r="B29" s="227" t="s">
        <v>172</v>
      </c>
      <c r="C29" s="227" t="s">
        <v>246</v>
      </c>
      <c r="D29" s="231">
        <v>2097.1</v>
      </c>
      <c r="E29" s="231">
        <v>2105.1</v>
      </c>
      <c r="F29" s="228">
        <v>-8</v>
      </c>
      <c r="G29" s="229">
        <v>-3.8E-3</v>
      </c>
      <c r="H29" s="231">
        <v>2098.6999999999998</v>
      </c>
      <c r="I29" s="231">
        <v>2105.9</v>
      </c>
      <c r="J29" s="228">
        <v>-7.2</v>
      </c>
      <c r="K29" s="229">
        <v>-3.3999999999999998E-3</v>
      </c>
      <c r="L29" s="231">
        <v>2097.1</v>
      </c>
      <c r="M29" s="231">
        <v>2105.1</v>
      </c>
      <c r="N29" s="228">
        <v>-8</v>
      </c>
      <c r="O29" s="229">
        <v>-3.8E-3</v>
      </c>
      <c r="P29" s="231">
        <v>2111.3000000000002</v>
      </c>
      <c r="Q29" s="231">
        <v>2119.3000000000002</v>
      </c>
      <c r="R29" s="228">
        <v>-8</v>
      </c>
      <c r="S29" s="229">
        <v>-3.8E-3</v>
      </c>
      <c r="T29" s="231">
        <v>2123.9</v>
      </c>
      <c r="U29" s="231">
        <v>2133.9</v>
      </c>
      <c r="V29" s="228">
        <v>-10</v>
      </c>
      <c r="W29" s="229">
        <v>-4.7000000000000002E-3</v>
      </c>
      <c r="X29" s="228">
        <v>-1.6</v>
      </c>
      <c r="Y29" s="228">
        <v>-0.8</v>
      </c>
      <c r="Z29" s="228">
        <v>-0.8</v>
      </c>
      <c r="AA29" s="229">
        <v>-8.0000000000000004E-4</v>
      </c>
      <c r="AB29" s="228">
        <v>-1.6</v>
      </c>
      <c r="AC29" s="228">
        <v>-0.8</v>
      </c>
      <c r="AD29" s="228">
        <v>-0.8</v>
      </c>
      <c r="AE29" s="229">
        <v>-8.0000000000000004E-4</v>
      </c>
      <c r="AF29" s="228">
        <v>12.6</v>
      </c>
      <c r="AG29" s="228">
        <v>13.4</v>
      </c>
      <c r="AH29" s="228">
        <v>-0.8</v>
      </c>
      <c r="AI29" s="229">
        <v>6.0000000000000001E-3</v>
      </c>
      <c r="AJ29" s="228">
        <v>25.2</v>
      </c>
      <c r="AK29" s="228">
        <v>28</v>
      </c>
      <c r="AL29" s="228">
        <v>-2.8</v>
      </c>
      <c r="AM29" s="229">
        <v>1.2E-2</v>
      </c>
      <c r="AN29" s="231">
        <v>2101.9899999999998</v>
      </c>
      <c r="AO29" s="231">
        <v>2115.88</v>
      </c>
      <c r="AP29" s="228">
        <v>0</v>
      </c>
      <c r="AQ29" s="230">
        <v>49320</v>
      </c>
      <c r="AR29" s="230">
        <v>19497</v>
      </c>
      <c r="AS29" s="230">
        <v>29823</v>
      </c>
      <c r="AT29" s="229">
        <v>1.5296000000000001</v>
      </c>
      <c r="AU29" s="230">
        <v>26839</v>
      </c>
      <c r="AV29" s="230">
        <v>11999</v>
      </c>
      <c r="AW29" s="230">
        <v>14840</v>
      </c>
      <c r="AX29" s="229">
        <v>1.2367999999999999</v>
      </c>
      <c r="AY29" s="230">
        <v>22352</v>
      </c>
      <c r="AZ29" s="230">
        <v>7458</v>
      </c>
      <c r="BA29" s="230">
        <v>14894</v>
      </c>
      <c r="BB29" s="229">
        <v>1.9971000000000001</v>
      </c>
      <c r="BC29" s="228">
        <v>129</v>
      </c>
      <c r="BD29" s="228">
        <v>40</v>
      </c>
      <c r="BE29" s="228">
        <v>89</v>
      </c>
      <c r="BF29" s="229">
        <v>2.2250000000000001</v>
      </c>
      <c r="BG29" s="230">
        <v>61788</v>
      </c>
      <c r="BH29" s="230">
        <v>46519</v>
      </c>
      <c r="BI29" s="230">
        <v>15269</v>
      </c>
      <c r="BJ29" s="229">
        <v>0.32819999999999999</v>
      </c>
      <c r="BK29" s="230">
        <v>27093</v>
      </c>
      <c r="BL29" s="230">
        <v>19037</v>
      </c>
      <c r="BM29" s="230">
        <v>8056</v>
      </c>
      <c r="BN29" s="229">
        <v>0.42320000000000002</v>
      </c>
      <c r="BO29" s="230">
        <v>138201</v>
      </c>
      <c r="BP29" s="230">
        <v>85053</v>
      </c>
      <c r="BQ29" s="230">
        <v>53148</v>
      </c>
      <c r="BR29" s="229">
        <v>0.62490000000000001</v>
      </c>
      <c r="BS29" s="230">
        <v>7637132</v>
      </c>
      <c r="BT29" s="230">
        <v>2526129</v>
      </c>
      <c r="BU29" s="230">
        <v>5111003</v>
      </c>
      <c r="BV29" s="229">
        <v>2.0232999999999999</v>
      </c>
      <c r="BW29" s="230">
        <v>36570800</v>
      </c>
      <c r="BX29" s="230">
        <v>36630800</v>
      </c>
      <c r="BY29" s="230">
        <v>-60000</v>
      </c>
      <c r="BZ29" s="229">
        <v>-1.6000000000000001E-3</v>
      </c>
      <c r="CA29" s="230">
        <v>23024800</v>
      </c>
      <c r="CB29" s="230">
        <v>30853200</v>
      </c>
      <c r="CC29" s="230">
        <v>-7828400</v>
      </c>
      <c r="CD29" s="229">
        <v>-0.25369999999999998</v>
      </c>
      <c r="CE29" s="230">
        <v>13381600</v>
      </c>
      <c r="CF29" s="230">
        <v>5646800</v>
      </c>
      <c r="CG29" s="230">
        <v>7734800</v>
      </c>
      <c r="CH29" s="229">
        <v>1.3697999999999999</v>
      </c>
      <c r="CI29" s="230">
        <v>164400</v>
      </c>
      <c r="CJ29" s="230">
        <v>130800</v>
      </c>
      <c r="CK29" s="230">
        <v>33600</v>
      </c>
      <c r="CL29" s="229">
        <v>0.25690000000000002</v>
      </c>
      <c r="CM29" s="230">
        <v>14040000</v>
      </c>
      <c r="CN29" s="230">
        <v>14968800</v>
      </c>
      <c r="CO29" s="230">
        <v>-928800</v>
      </c>
      <c r="CP29" s="229">
        <v>-6.2E-2</v>
      </c>
      <c r="CQ29" s="230">
        <v>7238800</v>
      </c>
      <c r="CR29" s="230">
        <v>7434800</v>
      </c>
      <c r="CS29" s="230">
        <v>-196000</v>
      </c>
      <c r="CT29" s="229">
        <v>-2.64E-2</v>
      </c>
      <c r="CU29" s="230">
        <v>57849600</v>
      </c>
      <c r="CV29" s="230">
        <v>59034400</v>
      </c>
      <c r="CW29" s="230">
        <v>-1184800</v>
      </c>
      <c r="CX29" s="229">
        <v>-2.01E-2</v>
      </c>
      <c r="CY29" s="228">
        <v>17.72</v>
      </c>
      <c r="CZ29" s="228">
        <v>18.3</v>
      </c>
      <c r="DA29" s="228">
        <v>-0.57999999999999996</v>
      </c>
      <c r="DB29" s="228">
        <v>-0.57999999999999996</v>
      </c>
      <c r="DC29" s="228">
        <v>26.59</v>
      </c>
      <c r="DD29" s="228">
        <v>26.65</v>
      </c>
      <c r="DE29" s="228">
        <v>-8.8699999999999992</v>
      </c>
      <c r="DF29" s="228">
        <v>-0.06</v>
      </c>
      <c r="DG29" s="228">
        <v>17.920000000000002</v>
      </c>
      <c r="DH29" s="228">
        <v>18.7</v>
      </c>
      <c r="DI29" s="228">
        <v>-0.78</v>
      </c>
      <c r="DJ29" s="228">
        <v>-0.78</v>
      </c>
      <c r="DK29" s="228">
        <v>17.420000000000002</v>
      </c>
      <c r="DL29" s="228">
        <v>17.329999999999998</v>
      </c>
      <c r="DM29" s="228">
        <v>0.09</v>
      </c>
      <c r="DN29" s="228">
        <v>0.09</v>
      </c>
      <c r="DO29" s="228">
        <v>0.52</v>
      </c>
      <c r="DP29" s="228">
        <v>0.5</v>
      </c>
      <c r="DQ29" s="228">
        <v>0.02</v>
      </c>
      <c r="DR29" s="229">
        <v>0.04</v>
      </c>
      <c r="DS29" s="231">
        <v>2200</v>
      </c>
      <c r="DT29" s="231">
        <v>2100</v>
      </c>
      <c r="DU29" s="228">
        <v>0.44</v>
      </c>
      <c r="DV29" s="228">
        <v>0.41</v>
      </c>
      <c r="DW29" s="228">
        <v>0.03</v>
      </c>
      <c r="DX29" s="229">
        <v>7.3200000000000001E-2</v>
      </c>
      <c r="DY29" s="229">
        <v>0.37040000000000001</v>
      </c>
      <c r="DZ29" s="230">
        <v>5777600</v>
      </c>
      <c r="EA29" s="229">
        <v>6.7999999999999996E-3</v>
      </c>
      <c r="EB29" s="229">
        <v>0.37040000000000001</v>
      </c>
      <c r="EC29" s="228">
        <v>13.89</v>
      </c>
      <c r="ED29" s="229">
        <v>6.6E-3</v>
      </c>
      <c r="EE29" s="230">
        <v>6034531</v>
      </c>
      <c r="EF29" s="230">
        <v>2027008</v>
      </c>
      <c r="EG29" s="229">
        <v>1.9771000000000001</v>
      </c>
      <c r="EH29" s="229">
        <v>0.79020000000000001</v>
      </c>
      <c r="EI29" s="231">
        <v>534517.66</v>
      </c>
      <c r="EJ29" s="231">
        <v>227555.51</v>
      </c>
      <c r="EK29" s="231">
        <v>415935.86</v>
      </c>
      <c r="EL29" s="231">
        <v>12602</v>
      </c>
      <c r="EM29" s="231">
        <v>1178009.03</v>
      </c>
      <c r="EN29" s="231">
        <v>726163.64</v>
      </c>
      <c r="EO29" s="231">
        <v>451845.39</v>
      </c>
      <c r="EP29" s="229">
        <v>0.62219999999999998</v>
      </c>
      <c r="EQ29" s="231">
        <v>308149</v>
      </c>
      <c r="ER29" s="231">
        <v>150216</v>
      </c>
      <c r="ES29" s="231">
        <v>768870</v>
      </c>
      <c r="ET29" s="231">
        <v>215751979</v>
      </c>
      <c r="EU29" s="231">
        <v>1227235</v>
      </c>
      <c r="EV29" s="231">
        <v>1255786</v>
      </c>
      <c r="EW29" s="231">
        <v>-28551</v>
      </c>
      <c r="EX29" s="229">
        <v>-2.2700000000000001E-2</v>
      </c>
      <c r="EY29" s="229">
        <v>0.2681</v>
      </c>
    </row>
    <row r="30" spans="1:155" ht="17.25" thickBot="1" x14ac:dyDescent="0.3">
      <c r="A30" s="226">
        <v>45981</v>
      </c>
      <c r="B30" s="227" t="s">
        <v>184</v>
      </c>
      <c r="C30" s="227" t="s">
        <v>249</v>
      </c>
      <c r="D30" s="231">
        <v>4040</v>
      </c>
      <c r="E30" s="231">
        <v>4017.5</v>
      </c>
      <c r="F30" s="228">
        <v>22.5</v>
      </c>
      <c r="G30" s="229">
        <v>5.5999999999999999E-3</v>
      </c>
      <c r="H30" s="231">
        <v>4037.4</v>
      </c>
      <c r="I30" s="231">
        <v>4019.6</v>
      </c>
      <c r="J30" s="228">
        <v>17.8</v>
      </c>
      <c r="K30" s="229">
        <v>4.4000000000000003E-3</v>
      </c>
      <c r="L30" s="231">
        <v>4040</v>
      </c>
      <c r="M30" s="231">
        <v>4017.5</v>
      </c>
      <c r="N30" s="228">
        <v>22.5</v>
      </c>
      <c r="O30" s="229">
        <v>5.5999999999999999E-3</v>
      </c>
      <c r="P30" s="231">
        <v>4068.3</v>
      </c>
      <c r="Q30" s="231">
        <v>4045.3</v>
      </c>
      <c r="R30" s="228">
        <v>23</v>
      </c>
      <c r="S30" s="229">
        <v>5.7000000000000002E-3</v>
      </c>
      <c r="T30" s="231">
        <v>4092.3</v>
      </c>
      <c r="U30" s="231">
        <v>4069.6</v>
      </c>
      <c r="V30" s="228">
        <v>22.7</v>
      </c>
      <c r="W30" s="229">
        <v>5.5999999999999999E-3</v>
      </c>
      <c r="X30" s="228">
        <v>2.6</v>
      </c>
      <c r="Y30" s="228">
        <v>-2.1</v>
      </c>
      <c r="Z30" s="228">
        <v>4.7</v>
      </c>
      <c r="AA30" s="229">
        <v>5.9999999999999995E-4</v>
      </c>
      <c r="AB30" s="228">
        <v>2.6</v>
      </c>
      <c r="AC30" s="228">
        <v>-2.1</v>
      </c>
      <c r="AD30" s="228">
        <v>4.7</v>
      </c>
      <c r="AE30" s="229">
        <v>5.9999999999999995E-4</v>
      </c>
      <c r="AF30" s="228">
        <v>30.9</v>
      </c>
      <c r="AG30" s="228">
        <v>25.7</v>
      </c>
      <c r="AH30" s="228">
        <v>5.2</v>
      </c>
      <c r="AI30" s="229">
        <v>7.7000000000000002E-3</v>
      </c>
      <c r="AJ30" s="228">
        <v>54.9</v>
      </c>
      <c r="AK30" s="228">
        <v>50</v>
      </c>
      <c r="AL30" s="228">
        <v>4.9000000000000004</v>
      </c>
      <c r="AM30" s="229">
        <v>1.3599999999999999E-2</v>
      </c>
      <c r="AN30" s="231">
        <v>4031.28</v>
      </c>
      <c r="AO30" s="231">
        <v>4058.93</v>
      </c>
      <c r="AP30" s="228">
        <v>0</v>
      </c>
      <c r="AQ30" s="230">
        <v>47206</v>
      </c>
      <c r="AR30" s="230">
        <v>9255</v>
      </c>
      <c r="AS30" s="230">
        <v>37951</v>
      </c>
      <c r="AT30" s="229">
        <v>4.1006</v>
      </c>
      <c r="AU30" s="230">
        <v>24555</v>
      </c>
      <c r="AV30" s="230">
        <v>6162</v>
      </c>
      <c r="AW30" s="230">
        <v>18393</v>
      </c>
      <c r="AX30" s="229">
        <v>2.9849000000000001</v>
      </c>
      <c r="AY30" s="230">
        <v>22550</v>
      </c>
      <c r="AZ30" s="230">
        <v>3031</v>
      </c>
      <c r="BA30" s="230">
        <v>19519</v>
      </c>
      <c r="BB30" s="229">
        <v>6.4398</v>
      </c>
      <c r="BC30" s="228">
        <v>101</v>
      </c>
      <c r="BD30" s="228">
        <v>62</v>
      </c>
      <c r="BE30" s="228">
        <v>39</v>
      </c>
      <c r="BF30" s="229">
        <v>0.629</v>
      </c>
      <c r="BG30" s="230">
        <v>65542</v>
      </c>
      <c r="BH30" s="230">
        <v>44551</v>
      </c>
      <c r="BI30" s="230">
        <v>20991</v>
      </c>
      <c r="BJ30" s="229">
        <v>0.47120000000000001</v>
      </c>
      <c r="BK30" s="230">
        <v>29971</v>
      </c>
      <c r="BL30" s="230">
        <v>22107</v>
      </c>
      <c r="BM30" s="230">
        <v>7864</v>
      </c>
      <c r="BN30" s="229">
        <v>0.35570000000000002</v>
      </c>
      <c r="BO30" s="230">
        <v>142719</v>
      </c>
      <c r="BP30" s="230">
        <v>75913</v>
      </c>
      <c r="BQ30" s="230">
        <v>66806</v>
      </c>
      <c r="BR30" s="229">
        <v>0.88</v>
      </c>
      <c r="BS30" s="230">
        <v>1768251</v>
      </c>
      <c r="BT30" s="230">
        <v>972193</v>
      </c>
      <c r="BU30" s="230">
        <v>796058</v>
      </c>
      <c r="BV30" s="229">
        <v>0.81879999999999997</v>
      </c>
      <c r="BW30" s="230">
        <v>13295450</v>
      </c>
      <c r="BX30" s="230">
        <v>13157725</v>
      </c>
      <c r="BY30" s="230">
        <v>137725</v>
      </c>
      <c r="BZ30" s="229">
        <v>1.0500000000000001E-2</v>
      </c>
      <c r="CA30" s="230">
        <v>7732550</v>
      </c>
      <c r="CB30" s="230">
        <v>10870825</v>
      </c>
      <c r="CC30" s="230">
        <v>-3138275</v>
      </c>
      <c r="CD30" s="229">
        <v>-0.28870000000000001</v>
      </c>
      <c r="CE30" s="230">
        <v>5479950</v>
      </c>
      <c r="CF30" s="230">
        <v>2208850</v>
      </c>
      <c r="CG30" s="230">
        <v>3271100</v>
      </c>
      <c r="CH30" s="229">
        <v>1.4809000000000001</v>
      </c>
      <c r="CI30" s="230">
        <v>82950</v>
      </c>
      <c r="CJ30" s="230">
        <v>78050</v>
      </c>
      <c r="CK30" s="230">
        <v>4900</v>
      </c>
      <c r="CL30" s="229">
        <v>6.2799999999999995E-2</v>
      </c>
      <c r="CM30" s="230">
        <v>6524350</v>
      </c>
      <c r="CN30" s="230">
        <v>7027125</v>
      </c>
      <c r="CO30" s="230">
        <v>-502775</v>
      </c>
      <c r="CP30" s="229">
        <v>-7.1499999999999994E-2</v>
      </c>
      <c r="CQ30" s="230">
        <v>3840025</v>
      </c>
      <c r="CR30" s="230">
        <v>3627400</v>
      </c>
      <c r="CS30" s="230">
        <v>212625</v>
      </c>
      <c r="CT30" s="229">
        <v>5.8599999999999999E-2</v>
      </c>
      <c r="CU30" s="230">
        <v>23659825</v>
      </c>
      <c r="CV30" s="230">
        <v>23812250</v>
      </c>
      <c r="CW30" s="230">
        <v>-152425</v>
      </c>
      <c r="CX30" s="229">
        <v>-6.4000000000000003E-3</v>
      </c>
      <c r="CY30" s="228">
        <v>16.760000000000002</v>
      </c>
      <c r="CZ30" s="228">
        <v>15.93</v>
      </c>
      <c r="DA30" s="228">
        <v>0.83</v>
      </c>
      <c r="DB30" s="228">
        <v>0.83</v>
      </c>
      <c r="DC30" s="228">
        <v>26.92</v>
      </c>
      <c r="DD30" s="228">
        <v>26.98</v>
      </c>
      <c r="DE30" s="228">
        <v>-10.16</v>
      </c>
      <c r="DF30" s="228">
        <v>-0.06</v>
      </c>
      <c r="DG30" s="228">
        <v>16.57</v>
      </c>
      <c r="DH30" s="228">
        <v>15.64</v>
      </c>
      <c r="DI30" s="228">
        <v>0.93</v>
      </c>
      <c r="DJ30" s="228">
        <v>0.93</v>
      </c>
      <c r="DK30" s="228">
        <v>17.09</v>
      </c>
      <c r="DL30" s="228">
        <v>16.53</v>
      </c>
      <c r="DM30" s="228">
        <v>0.56000000000000005</v>
      </c>
      <c r="DN30" s="228">
        <v>0.56000000000000005</v>
      </c>
      <c r="DO30" s="228">
        <v>0.59</v>
      </c>
      <c r="DP30" s="228">
        <v>0.52</v>
      </c>
      <c r="DQ30" s="228">
        <v>7.0000000000000007E-2</v>
      </c>
      <c r="DR30" s="229">
        <v>0.1346</v>
      </c>
      <c r="DS30" s="231">
        <v>4100</v>
      </c>
      <c r="DT30" s="231">
        <v>4000</v>
      </c>
      <c r="DU30" s="228">
        <v>0.46</v>
      </c>
      <c r="DV30" s="228">
        <v>0.5</v>
      </c>
      <c r="DW30" s="228">
        <v>-0.04</v>
      </c>
      <c r="DX30" s="229">
        <v>-0.08</v>
      </c>
      <c r="DY30" s="229">
        <v>0.41839999999999999</v>
      </c>
      <c r="DZ30" s="230">
        <v>2286900</v>
      </c>
      <c r="EA30" s="229">
        <v>7.0000000000000001E-3</v>
      </c>
      <c r="EB30" s="229">
        <v>0.41839999999999999</v>
      </c>
      <c r="EC30" s="228">
        <v>27.65</v>
      </c>
      <c r="ED30" s="229">
        <v>6.8999999999999999E-3</v>
      </c>
      <c r="EE30" s="230">
        <v>697996</v>
      </c>
      <c r="EF30" s="230">
        <v>560006</v>
      </c>
      <c r="EG30" s="229">
        <v>0.24640000000000001</v>
      </c>
      <c r="EH30" s="229">
        <v>0.3947</v>
      </c>
      <c r="EI30" s="231">
        <v>470429.1</v>
      </c>
      <c r="EJ30" s="231">
        <v>209327.11</v>
      </c>
      <c r="EK30" s="231">
        <v>334127.08</v>
      </c>
      <c r="EL30" s="231">
        <v>11173</v>
      </c>
      <c r="EM30" s="231">
        <v>1013883.29</v>
      </c>
      <c r="EN30" s="231">
        <v>537308.64</v>
      </c>
      <c r="EO30" s="231">
        <v>476574.65</v>
      </c>
      <c r="EP30" s="229">
        <v>0.88700000000000001</v>
      </c>
      <c r="EQ30" s="231">
        <v>267930</v>
      </c>
      <c r="ER30" s="231">
        <v>148270</v>
      </c>
      <c r="ES30" s="231">
        <v>538730</v>
      </c>
      <c r="ET30" s="231">
        <v>136007303</v>
      </c>
      <c r="EU30" s="231">
        <v>954931</v>
      </c>
      <c r="EV30" s="231">
        <v>957160</v>
      </c>
      <c r="EW30" s="231">
        <v>-2229</v>
      </c>
      <c r="EX30" s="229">
        <v>-2.3E-3</v>
      </c>
      <c r="EY30" s="229">
        <v>0.17399999999999999</v>
      </c>
    </row>
    <row r="31" spans="1:155" ht="17.25" thickBot="1" x14ac:dyDescent="0.3">
      <c r="A31" s="226">
        <v>45981</v>
      </c>
      <c r="B31" s="227" t="s">
        <v>162</v>
      </c>
      <c r="C31" s="227" t="s">
        <v>251</v>
      </c>
      <c r="D31" s="231">
        <v>3721.7</v>
      </c>
      <c r="E31" s="231">
        <v>3724.3</v>
      </c>
      <c r="F31" s="228">
        <v>-2.6</v>
      </c>
      <c r="G31" s="229">
        <v>-6.9999999999999999E-4</v>
      </c>
      <c r="H31" s="231">
        <v>3716.7</v>
      </c>
      <c r="I31" s="231">
        <v>3722.5</v>
      </c>
      <c r="J31" s="228">
        <v>-5.8</v>
      </c>
      <c r="K31" s="229">
        <v>-1.6000000000000001E-3</v>
      </c>
      <c r="L31" s="231">
        <v>3721.7</v>
      </c>
      <c r="M31" s="231">
        <v>3724.3</v>
      </c>
      <c r="N31" s="228">
        <v>-2.6</v>
      </c>
      <c r="O31" s="229">
        <v>-6.9999999999999999E-4</v>
      </c>
      <c r="P31" s="231">
        <v>3747.3</v>
      </c>
      <c r="Q31" s="231">
        <v>3749.9</v>
      </c>
      <c r="R31" s="228">
        <v>-2.6</v>
      </c>
      <c r="S31" s="229">
        <v>-6.9999999999999999E-4</v>
      </c>
      <c r="T31" s="231">
        <v>3769.6</v>
      </c>
      <c r="U31" s="231">
        <v>3769.4</v>
      </c>
      <c r="V31" s="228">
        <v>0.2</v>
      </c>
      <c r="W31" s="229">
        <v>1E-4</v>
      </c>
      <c r="X31" s="228">
        <v>5</v>
      </c>
      <c r="Y31" s="228">
        <v>1.8</v>
      </c>
      <c r="Z31" s="228">
        <v>3.2</v>
      </c>
      <c r="AA31" s="229">
        <v>1.2999999999999999E-3</v>
      </c>
      <c r="AB31" s="228">
        <v>5</v>
      </c>
      <c r="AC31" s="228">
        <v>1.8</v>
      </c>
      <c r="AD31" s="228">
        <v>3.2</v>
      </c>
      <c r="AE31" s="229">
        <v>1.2999999999999999E-3</v>
      </c>
      <c r="AF31" s="228">
        <v>30.6</v>
      </c>
      <c r="AG31" s="228">
        <v>27.4</v>
      </c>
      <c r="AH31" s="228">
        <v>3.2</v>
      </c>
      <c r="AI31" s="229">
        <v>8.2000000000000007E-3</v>
      </c>
      <c r="AJ31" s="228">
        <v>52.9</v>
      </c>
      <c r="AK31" s="228">
        <v>46.9</v>
      </c>
      <c r="AL31" s="228">
        <v>6</v>
      </c>
      <c r="AM31" s="229">
        <v>1.4200000000000001E-2</v>
      </c>
      <c r="AN31" s="231">
        <v>3734.7</v>
      </c>
      <c r="AO31" s="231">
        <v>3760.05</v>
      </c>
      <c r="AP31" s="228">
        <v>0</v>
      </c>
      <c r="AQ31" s="230">
        <v>61450</v>
      </c>
      <c r="AR31" s="230">
        <v>11583</v>
      </c>
      <c r="AS31" s="230">
        <v>49867</v>
      </c>
      <c r="AT31" s="229">
        <v>4.3052000000000001</v>
      </c>
      <c r="AU31" s="230">
        <v>31494</v>
      </c>
      <c r="AV31" s="230">
        <v>8054</v>
      </c>
      <c r="AW31" s="230">
        <v>23440</v>
      </c>
      <c r="AX31" s="229">
        <v>2.9104000000000001</v>
      </c>
      <c r="AY31" s="230">
        <v>29833</v>
      </c>
      <c r="AZ31" s="230">
        <v>3421</v>
      </c>
      <c r="BA31" s="230">
        <v>26412</v>
      </c>
      <c r="BB31" s="229">
        <v>7.7205000000000004</v>
      </c>
      <c r="BC31" s="228">
        <v>123</v>
      </c>
      <c r="BD31" s="228">
        <v>108</v>
      </c>
      <c r="BE31" s="228">
        <v>15</v>
      </c>
      <c r="BF31" s="229">
        <v>0.1389</v>
      </c>
      <c r="BG31" s="230">
        <v>36897</v>
      </c>
      <c r="BH31" s="230">
        <v>37598</v>
      </c>
      <c r="BI31" s="228">
        <v>-701</v>
      </c>
      <c r="BJ31" s="229">
        <v>-1.8599999999999998E-2</v>
      </c>
      <c r="BK31" s="230">
        <v>19543</v>
      </c>
      <c r="BL31" s="230">
        <v>23929</v>
      </c>
      <c r="BM31" s="230">
        <v>-4386</v>
      </c>
      <c r="BN31" s="229">
        <v>-0.18329999999999999</v>
      </c>
      <c r="BO31" s="230">
        <v>117890</v>
      </c>
      <c r="BP31" s="230">
        <v>73110</v>
      </c>
      <c r="BQ31" s="230">
        <v>44780</v>
      </c>
      <c r="BR31" s="229">
        <v>0.61250000000000004</v>
      </c>
      <c r="BS31" s="230">
        <v>2058471</v>
      </c>
      <c r="BT31" s="230">
        <v>1676362</v>
      </c>
      <c r="BU31" s="230">
        <v>382109</v>
      </c>
      <c r="BV31" s="229">
        <v>0.22789999999999999</v>
      </c>
      <c r="BW31" s="230">
        <v>18563000</v>
      </c>
      <c r="BX31" s="230">
        <v>18586400</v>
      </c>
      <c r="BY31" s="230">
        <v>-23400</v>
      </c>
      <c r="BZ31" s="229">
        <v>-1.2999999999999999E-3</v>
      </c>
      <c r="CA31" s="230">
        <v>11351000</v>
      </c>
      <c r="CB31" s="230">
        <v>16620600</v>
      </c>
      <c r="CC31" s="230">
        <v>-5269600</v>
      </c>
      <c r="CD31" s="229">
        <v>-0.31709999999999999</v>
      </c>
      <c r="CE31" s="230">
        <v>7111000</v>
      </c>
      <c r="CF31" s="230">
        <v>1871600</v>
      </c>
      <c r="CG31" s="230">
        <v>5239400</v>
      </c>
      <c r="CH31" s="229">
        <v>2.7993999999999999</v>
      </c>
      <c r="CI31" s="230">
        <v>101000</v>
      </c>
      <c r="CJ31" s="230">
        <v>94200</v>
      </c>
      <c r="CK31" s="230">
        <v>6800</v>
      </c>
      <c r="CL31" s="229">
        <v>7.22E-2</v>
      </c>
      <c r="CM31" s="230">
        <v>4712600</v>
      </c>
      <c r="CN31" s="230">
        <v>4959200</v>
      </c>
      <c r="CO31" s="230">
        <v>-246600</v>
      </c>
      <c r="CP31" s="229">
        <v>-4.9700000000000001E-2</v>
      </c>
      <c r="CQ31" s="230">
        <v>3576800</v>
      </c>
      <c r="CR31" s="230">
        <v>3621000</v>
      </c>
      <c r="CS31" s="230">
        <v>-44200</v>
      </c>
      <c r="CT31" s="229">
        <v>-1.2200000000000001E-2</v>
      </c>
      <c r="CU31" s="230">
        <v>26852400</v>
      </c>
      <c r="CV31" s="230">
        <v>27166600</v>
      </c>
      <c r="CW31" s="230">
        <v>-314200</v>
      </c>
      <c r="CX31" s="229">
        <v>-1.1599999999999999E-2</v>
      </c>
      <c r="CY31" s="228">
        <v>23.75</v>
      </c>
      <c r="CZ31" s="228">
        <v>24.73</v>
      </c>
      <c r="DA31" s="228">
        <v>-0.98</v>
      </c>
      <c r="DB31" s="228">
        <v>-0.98</v>
      </c>
      <c r="DC31" s="228">
        <v>33.130000000000003</v>
      </c>
      <c r="DD31" s="228">
        <v>33.21</v>
      </c>
      <c r="DE31" s="228">
        <v>-9.3800000000000008</v>
      </c>
      <c r="DF31" s="228">
        <v>-0.08</v>
      </c>
      <c r="DG31" s="228">
        <v>23.67</v>
      </c>
      <c r="DH31" s="228">
        <v>23.51</v>
      </c>
      <c r="DI31" s="228">
        <v>0.16</v>
      </c>
      <c r="DJ31" s="228">
        <v>0.16</v>
      </c>
      <c r="DK31" s="228">
        <v>23.87</v>
      </c>
      <c r="DL31" s="228">
        <v>26.63</v>
      </c>
      <c r="DM31" s="228">
        <v>-2.76</v>
      </c>
      <c r="DN31" s="228">
        <v>-2.76</v>
      </c>
      <c r="DO31" s="228">
        <v>0.76</v>
      </c>
      <c r="DP31" s="228">
        <v>0.73</v>
      </c>
      <c r="DQ31" s="228">
        <v>0.03</v>
      </c>
      <c r="DR31" s="229">
        <v>4.1099999999999998E-2</v>
      </c>
      <c r="DS31" s="231">
        <v>3800</v>
      </c>
      <c r="DT31" s="231">
        <v>3600</v>
      </c>
      <c r="DU31" s="228">
        <v>0.53</v>
      </c>
      <c r="DV31" s="228">
        <v>0.64</v>
      </c>
      <c r="DW31" s="228">
        <v>-0.11</v>
      </c>
      <c r="DX31" s="229">
        <v>-0.1719</v>
      </c>
      <c r="DY31" s="229">
        <v>0.38850000000000001</v>
      </c>
      <c r="DZ31" s="230">
        <v>1965800</v>
      </c>
      <c r="EA31" s="229">
        <v>6.8999999999999999E-3</v>
      </c>
      <c r="EB31" s="229">
        <v>0.38850000000000001</v>
      </c>
      <c r="EC31" s="228">
        <v>25.35</v>
      </c>
      <c r="ED31" s="229">
        <v>6.7999999999999996E-3</v>
      </c>
      <c r="EE31" s="230">
        <v>1248172</v>
      </c>
      <c r="EF31" s="230">
        <v>1097186</v>
      </c>
      <c r="EG31" s="229">
        <v>0.1376</v>
      </c>
      <c r="EH31" s="229">
        <v>0.60640000000000005</v>
      </c>
      <c r="EI31" s="231">
        <v>282974.67</v>
      </c>
      <c r="EJ31" s="231">
        <v>142902.1</v>
      </c>
      <c r="EK31" s="231">
        <v>460519.72</v>
      </c>
      <c r="EL31" s="231">
        <v>10434</v>
      </c>
      <c r="EM31" s="231">
        <v>886396.49</v>
      </c>
      <c r="EN31" s="231">
        <v>548085.31999999995</v>
      </c>
      <c r="EO31" s="231">
        <v>338311.17</v>
      </c>
      <c r="EP31" s="229">
        <v>0.61729999999999996</v>
      </c>
      <c r="EQ31" s="231">
        <v>178433</v>
      </c>
      <c r="ER31" s="231">
        <v>126402</v>
      </c>
      <c r="ES31" s="231">
        <v>692728</v>
      </c>
      <c r="ET31" s="231">
        <v>100261459</v>
      </c>
      <c r="EU31" s="231">
        <v>997564</v>
      </c>
      <c r="EV31" s="231">
        <v>1008478</v>
      </c>
      <c r="EW31" s="231">
        <v>-10914</v>
      </c>
      <c r="EX31" s="229">
        <v>-1.0800000000000001E-2</v>
      </c>
      <c r="EY31" s="229">
        <v>0.26779999999999998</v>
      </c>
    </row>
    <row r="32" spans="1:155" ht="17.25" thickBot="1" x14ac:dyDescent="0.3">
      <c r="A32" s="226">
        <v>45981</v>
      </c>
      <c r="B32" s="227" t="s">
        <v>162</v>
      </c>
      <c r="C32" s="227" t="s">
        <v>255</v>
      </c>
      <c r="D32" s="231">
        <v>15813</v>
      </c>
      <c r="E32" s="231">
        <v>15753</v>
      </c>
      <c r="F32" s="228">
        <v>60</v>
      </c>
      <c r="G32" s="229">
        <v>3.8E-3</v>
      </c>
      <c r="H32" s="231">
        <v>15801</v>
      </c>
      <c r="I32" s="231">
        <v>15768</v>
      </c>
      <c r="J32" s="228">
        <v>33</v>
      </c>
      <c r="K32" s="229">
        <v>2.0999999999999999E-3</v>
      </c>
      <c r="L32" s="231">
        <v>15813</v>
      </c>
      <c r="M32" s="231">
        <v>15753</v>
      </c>
      <c r="N32" s="228">
        <v>60</v>
      </c>
      <c r="O32" s="229">
        <v>3.8E-3</v>
      </c>
      <c r="P32" s="231">
        <v>15921</v>
      </c>
      <c r="Q32" s="231">
        <v>15861</v>
      </c>
      <c r="R32" s="228">
        <v>60</v>
      </c>
      <c r="S32" s="229">
        <v>3.8E-3</v>
      </c>
      <c r="T32" s="231">
        <v>16012</v>
      </c>
      <c r="U32" s="231">
        <v>15949</v>
      </c>
      <c r="V32" s="228">
        <v>63</v>
      </c>
      <c r="W32" s="229">
        <v>4.0000000000000001E-3</v>
      </c>
      <c r="X32" s="228">
        <v>12</v>
      </c>
      <c r="Y32" s="228">
        <v>-15</v>
      </c>
      <c r="Z32" s="228">
        <v>27</v>
      </c>
      <c r="AA32" s="229">
        <v>8.0000000000000004E-4</v>
      </c>
      <c r="AB32" s="228">
        <v>12</v>
      </c>
      <c r="AC32" s="228">
        <v>-15</v>
      </c>
      <c r="AD32" s="228">
        <v>27</v>
      </c>
      <c r="AE32" s="229">
        <v>8.0000000000000004E-4</v>
      </c>
      <c r="AF32" s="228">
        <v>120</v>
      </c>
      <c r="AG32" s="228">
        <v>93</v>
      </c>
      <c r="AH32" s="228">
        <v>27</v>
      </c>
      <c r="AI32" s="229">
        <v>7.6E-3</v>
      </c>
      <c r="AJ32" s="228">
        <v>211</v>
      </c>
      <c r="AK32" s="228">
        <v>181</v>
      </c>
      <c r="AL32" s="228">
        <v>30</v>
      </c>
      <c r="AM32" s="229">
        <v>1.34E-2</v>
      </c>
      <c r="AN32" s="231">
        <v>15731.56</v>
      </c>
      <c r="AO32" s="231">
        <v>15838.91</v>
      </c>
      <c r="AP32" s="228">
        <v>0</v>
      </c>
      <c r="AQ32" s="230">
        <v>27613</v>
      </c>
      <c r="AR32" s="230">
        <v>9636</v>
      </c>
      <c r="AS32" s="230">
        <v>17977</v>
      </c>
      <c r="AT32" s="229">
        <v>1.8655999999999999</v>
      </c>
      <c r="AU32" s="230">
        <v>14616</v>
      </c>
      <c r="AV32" s="230">
        <v>7276</v>
      </c>
      <c r="AW32" s="230">
        <v>7340</v>
      </c>
      <c r="AX32" s="229">
        <v>1.0087999999999999</v>
      </c>
      <c r="AY32" s="230">
        <v>12939</v>
      </c>
      <c r="AZ32" s="230">
        <v>2275</v>
      </c>
      <c r="BA32" s="230">
        <v>10664</v>
      </c>
      <c r="BB32" s="229">
        <v>4.6875</v>
      </c>
      <c r="BC32" s="228">
        <v>58</v>
      </c>
      <c r="BD32" s="228">
        <v>85</v>
      </c>
      <c r="BE32" s="228">
        <v>-27</v>
      </c>
      <c r="BF32" s="229">
        <v>-0.31759999999999999</v>
      </c>
      <c r="BG32" s="230">
        <v>148088</v>
      </c>
      <c r="BH32" s="230">
        <v>111569</v>
      </c>
      <c r="BI32" s="230">
        <v>36519</v>
      </c>
      <c r="BJ32" s="229">
        <v>0.32729999999999998</v>
      </c>
      <c r="BK32" s="230">
        <v>63899</v>
      </c>
      <c r="BL32" s="230">
        <v>58465</v>
      </c>
      <c r="BM32" s="230">
        <v>5434</v>
      </c>
      <c r="BN32" s="229">
        <v>9.2899999999999996E-2</v>
      </c>
      <c r="BO32" s="230">
        <v>239600</v>
      </c>
      <c r="BP32" s="230">
        <v>179670</v>
      </c>
      <c r="BQ32" s="230">
        <v>59930</v>
      </c>
      <c r="BR32" s="229">
        <v>0.33360000000000001</v>
      </c>
      <c r="BS32" s="230">
        <v>259846</v>
      </c>
      <c r="BT32" s="230">
        <v>290875</v>
      </c>
      <c r="BU32" s="230">
        <v>-31029</v>
      </c>
      <c r="BV32" s="229">
        <v>-0.1067</v>
      </c>
      <c r="BW32" s="230">
        <v>2600250</v>
      </c>
      <c r="BX32" s="230">
        <v>2597000</v>
      </c>
      <c r="BY32" s="230">
        <v>3250</v>
      </c>
      <c r="BZ32" s="229">
        <v>1.2999999999999999E-3</v>
      </c>
      <c r="CA32" s="230">
        <v>1762550</v>
      </c>
      <c r="CB32" s="230">
        <v>2281050</v>
      </c>
      <c r="CC32" s="230">
        <v>-518500</v>
      </c>
      <c r="CD32" s="229">
        <v>-0.2273</v>
      </c>
      <c r="CE32" s="230">
        <v>820450</v>
      </c>
      <c r="CF32" s="230">
        <v>299400</v>
      </c>
      <c r="CG32" s="230">
        <v>521050</v>
      </c>
      <c r="CH32" s="229">
        <v>1.7403</v>
      </c>
      <c r="CI32" s="230">
        <v>17250</v>
      </c>
      <c r="CJ32" s="230">
        <v>16550</v>
      </c>
      <c r="CK32" s="228">
        <v>700</v>
      </c>
      <c r="CL32" s="229">
        <v>4.2299999999999997E-2</v>
      </c>
      <c r="CM32" s="230">
        <v>2852050</v>
      </c>
      <c r="CN32" s="230">
        <v>3190500</v>
      </c>
      <c r="CO32" s="230">
        <v>-338450</v>
      </c>
      <c r="CP32" s="229">
        <v>-0.1061</v>
      </c>
      <c r="CQ32" s="230">
        <v>1312300</v>
      </c>
      <c r="CR32" s="230">
        <v>1371450</v>
      </c>
      <c r="CS32" s="230">
        <v>-59150</v>
      </c>
      <c r="CT32" s="229">
        <v>-4.3099999999999999E-2</v>
      </c>
      <c r="CU32" s="230">
        <v>6764600</v>
      </c>
      <c r="CV32" s="230">
        <v>7158950</v>
      </c>
      <c r="CW32" s="230">
        <v>-394350</v>
      </c>
      <c r="CX32" s="229">
        <v>-5.5100000000000003E-2</v>
      </c>
      <c r="CY32" s="228">
        <v>17.72</v>
      </c>
      <c r="CZ32" s="228">
        <v>19.36</v>
      </c>
      <c r="DA32" s="228">
        <v>-1.64</v>
      </c>
      <c r="DB32" s="228">
        <v>-1.64</v>
      </c>
      <c r="DC32" s="228">
        <v>25.04</v>
      </c>
      <c r="DD32" s="228">
        <v>25.1</v>
      </c>
      <c r="DE32" s="228">
        <v>-7.32</v>
      </c>
      <c r="DF32" s="228">
        <v>-0.06</v>
      </c>
      <c r="DG32" s="228">
        <v>17.38</v>
      </c>
      <c r="DH32" s="228">
        <v>19.649999999999999</v>
      </c>
      <c r="DI32" s="228">
        <v>-2.27</v>
      </c>
      <c r="DJ32" s="228">
        <v>-2.27</v>
      </c>
      <c r="DK32" s="228">
        <v>18.34</v>
      </c>
      <c r="DL32" s="228">
        <v>18.809999999999999</v>
      </c>
      <c r="DM32" s="228">
        <v>-0.47</v>
      </c>
      <c r="DN32" s="228">
        <v>-0.47</v>
      </c>
      <c r="DO32" s="228">
        <v>0.46</v>
      </c>
      <c r="DP32" s="228">
        <v>0.43</v>
      </c>
      <c r="DQ32" s="228">
        <v>0.03</v>
      </c>
      <c r="DR32" s="229">
        <v>6.9800000000000001E-2</v>
      </c>
      <c r="DS32" s="231">
        <v>16000</v>
      </c>
      <c r="DT32" s="231">
        <v>15500</v>
      </c>
      <c r="DU32" s="228">
        <v>0.43</v>
      </c>
      <c r="DV32" s="228">
        <v>0.52</v>
      </c>
      <c r="DW32" s="228">
        <v>-0.09</v>
      </c>
      <c r="DX32" s="229">
        <v>-0.1731</v>
      </c>
      <c r="DY32" s="229">
        <v>0.32219999999999999</v>
      </c>
      <c r="DZ32" s="230">
        <v>315950</v>
      </c>
      <c r="EA32" s="229">
        <v>6.7999999999999996E-3</v>
      </c>
      <c r="EB32" s="229">
        <v>0.32219999999999999</v>
      </c>
      <c r="EC32" s="228">
        <v>107.35</v>
      </c>
      <c r="ED32" s="229">
        <v>6.7999999999999996E-3</v>
      </c>
      <c r="EE32" s="230">
        <v>151290</v>
      </c>
      <c r="EF32" s="230">
        <v>181479</v>
      </c>
      <c r="EG32" s="229">
        <v>-0.1663</v>
      </c>
      <c r="EH32" s="229">
        <v>0.58220000000000005</v>
      </c>
      <c r="EI32" s="231">
        <v>1201985.8400000001</v>
      </c>
      <c r="EJ32" s="231">
        <v>494920.94</v>
      </c>
      <c r="EK32" s="231">
        <v>217897.21</v>
      </c>
      <c r="EL32" s="231">
        <v>7839</v>
      </c>
      <c r="EM32" s="231">
        <v>1914803.99</v>
      </c>
      <c r="EN32" s="231">
        <v>1439295.7</v>
      </c>
      <c r="EO32" s="231">
        <v>475508.29</v>
      </c>
      <c r="EP32" s="229">
        <v>0.33040000000000003</v>
      </c>
      <c r="EQ32" s="231">
        <v>470660</v>
      </c>
      <c r="ER32" s="231">
        <v>200926</v>
      </c>
      <c r="ES32" s="231">
        <v>412098</v>
      </c>
      <c r="ET32" s="231">
        <v>16752897</v>
      </c>
      <c r="EU32" s="231">
        <v>1083684</v>
      </c>
      <c r="EV32" s="231">
        <v>1146123</v>
      </c>
      <c r="EW32" s="231">
        <v>-62439</v>
      </c>
      <c r="EX32" s="229">
        <v>-5.45E-2</v>
      </c>
      <c r="EY32" s="229">
        <v>0.40379999999999999</v>
      </c>
    </row>
    <row r="33" spans="1:155" ht="17.25" thickBot="1" x14ac:dyDescent="0.3">
      <c r="A33" s="226">
        <v>45981</v>
      </c>
      <c r="B33" s="227" t="s">
        <v>170</v>
      </c>
      <c r="C33" s="227" t="s">
        <v>603</v>
      </c>
      <c r="D33" s="231">
        <v>1168.3</v>
      </c>
      <c r="E33" s="231">
        <v>1163.5999999999999</v>
      </c>
      <c r="F33" s="228">
        <v>4.7</v>
      </c>
      <c r="G33" s="229">
        <v>4.0000000000000001E-3</v>
      </c>
      <c r="H33" s="231">
        <v>1168.9000000000001</v>
      </c>
      <c r="I33" s="231">
        <v>1164.4000000000001</v>
      </c>
      <c r="J33" s="228">
        <v>4.5</v>
      </c>
      <c r="K33" s="229">
        <v>3.8999999999999998E-3</v>
      </c>
      <c r="L33" s="231">
        <v>1168.3</v>
      </c>
      <c r="M33" s="231">
        <v>1163.5999999999999</v>
      </c>
      <c r="N33" s="228">
        <v>4.7</v>
      </c>
      <c r="O33" s="229">
        <v>4.0000000000000001E-3</v>
      </c>
      <c r="P33" s="231">
        <v>1175.7</v>
      </c>
      <c r="Q33" s="231">
        <v>1171.2</v>
      </c>
      <c r="R33" s="228">
        <v>4.5</v>
      </c>
      <c r="S33" s="229">
        <v>3.8E-3</v>
      </c>
      <c r="T33" s="231">
        <v>1183</v>
      </c>
      <c r="U33" s="231">
        <v>1178.0999999999999</v>
      </c>
      <c r="V33" s="228">
        <v>4.9000000000000004</v>
      </c>
      <c r="W33" s="229">
        <v>4.1999999999999997E-3</v>
      </c>
      <c r="X33" s="228">
        <v>-0.6</v>
      </c>
      <c r="Y33" s="228">
        <v>-0.8</v>
      </c>
      <c r="Z33" s="228">
        <v>0.2</v>
      </c>
      <c r="AA33" s="229">
        <v>-5.0000000000000001E-4</v>
      </c>
      <c r="AB33" s="228">
        <v>-0.6</v>
      </c>
      <c r="AC33" s="228">
        <v>-0.8</v>
      </c>
      <c r="AD33" s="228">
        <v>0.2</v>
      </c>
      <c r="AE33" s="229">
        <v>-5.0000000000000001E-4</v>
      </c>
      <c r="AF33" s="228">
        <v>6.8</v>
      </c>
      <c r="AG33" s="228">
        <v>6.8</v>
      </c>
      <c r="AH33" s="228">
        <v>0</v>
      </c>
      <c r="AI33" s="229">
        <v>5.7999999999999996E-3</v>
      </c>
      <c r="AJ33" s="228">
        <v>14.1</v>
      </c>
      <c r="AK33" s="228">
        <v>13.7</v>
      </c>
      <c r="AL33" s="228">
        <v>0.4</v>
      </c>
      <c r="AM33" s="229">
        <v>1.21E-2</v>
      </c>
      <c r="AN33" s="231">
        <v>1158.47</v>
      </c>
      <c r="AO33" s="231">
        <v>1165.8699999999999</v>
      </c>
      <c r="AP33" s="228">
        <v>0</v>
      </c>
      <c r="AQ33" s="230">
        <v>19465</v>
      </c>
      <c r="AR33" s="230">
        <v>10916</v>
      </c>
      <c r="AS33" s="230">
        <v>8549</v>
      </c>
      <c r="AT33" s="229">
        <v>0.78320000000000001</v>
      </c>
      <c r="AU33" s="230">
        <v>10328</v>
      </c>
      <c r="AV33" s="230">
        <v>8467</v>
      </c>
      <c r="AW33" s="230">
        <v>1861</v>
      </c>
      <c r="AX33" s="229">
        <v>0.2198</v>
      </c>
      <c r="AY33" s="230">
        <v>9065</v>
      </c>
      <c r="AZ33" s="230">
        <v>2348</v>
      </c>
      <c r="BA33" s="230">
        <v>6717</v>
      </c>
      <c r="BB33" s="229">
        <v>2.8607</v>
      </c>
      <c r="BC33" s="228">
        <v>72</v>
      </c>
      <c r="BD33" s="228">
        <v>101</v>
      </c>
      <c r="BE33" s="228">
        <v>-29</v>
      </c>
      <c r="BF33" s="229">
        <v>-0.28710000000000002</v>
      </c>
      <c r="BG33" s="230">
        <v>28076</v>
      </c>
      <c r="BH33" s="230">
        <v>93951</v>
      </c>
      <c r="BI33" s="230">
        <v>-65875</v>
      </c>
      <c r="BJ33" s="229">
        <v>-0.70120000000000005</v>
      </c>
      <c r="BK33" s="230">
        <v>14096</v>
      </c>
      <c r="BL33" s="230">
        <v>40645</v>
      </c>
      <c r="BM33" s="230">
        <v>-26549</v>
      </c>
      <c r="BN33" s="229">
        <v>-0.6532</v>
      </c>
      <c r="BO33" s="230">
        <v>61637</v>
      </c>
      <c r="BP33" s="230">
        <v>145512</v>
      </c>
      <c r="BQ33" s="230">
        <v>-83875</v>
      </c>
      <c r="BR33" s="229">
        <v>-0.57640000000000002</v>
      </c>
      <c r="BS33" s="230">
        <v>2882764</v>
      </c>
      <c r="BT33" s="230">
        <v>6180507</v>
      </c>
      <c r="BU33" s="230">
        <v>-3297743</v>
      </c>
      <c r="BV33" s="229">
        <v>-0.53359999999999996</v>
      </c>
      <c r="BW33" s="230">
        <v>17123925</v>
      </c>
      <c r="BX33" s="230">
        <v>17333400</v>
      </c>
      <c r="BY33" s="230">
        <v>-209475</v>
      </c>
      <c r="BZ33" s="229">
        <v>-1.21E-2</v>
      </c>
      <c r="CA33" s="230">
        <v>11231850</v>
      </c>
      <c r="CB33" s="230">
        <v>15568350</v>
      </c>
      <c r="CC33" s="230">
        <v>-4336500</v>
      </c>
      <c r="CD33" s="229">
        <v>-0.27850000000000003</v>
      </c>
      <c r="CE33" s="230">
        <v>5803875</v>
      </c>
      <c r="CF33" s="230">
        <v>1678950</v>
      </c>
      <c r="CG33" s="230">
        <v>4124925</v>
      </c>
      <c r="CH33" s="229">
        <v>2.4567999999999999</v>
      </c>
      <c r="CI33" s="230">
        <v>88200</v>
      </c>
      <c r="CJ33" s="230">
        <v>86100</v>
      </c>
      <c r="CK33" s="230">
        <v>2100</v>
      </c>
      <c r="CL33" s="229">
        <v>2.4400000000000002E-2</v>
      </c>
      <c r="CM33" s="230">
        <v>4645725</v>
      </c>
      <c r="CN33" s="230">
        <v>5293050</v>
      </c>
      <c r="CO33" s="230">
        <v>-647325</v>
      </c>
      <c r="CP33" s="229">
        <v>-0.12230000000000001</v>
      </c>
      <c r="CQ33" s="230">
        <v>3261300</v>
      </c>
      <c r="CR33" s="230">
        <v>3735900</v>
      </c>
      <c r="CS33" s="230">
        <v>-474600</v>
      </c>
      <c r="CT33" s="229">
        <v>-0.127</v>
      </c>
      <c r="CU33" s="230">
        <v>25030950</v>
      </c>
      <c r="CV33" s="230">
        <v>26362350</v>
      </c>
      <c r="CW33" s="230">
        <v>-1331400</v>
      </c>
      <c r="CX33" s="229">
        <v>-5.0500000000000003E-2</v>
      </c>
      <c r="CY33" s="228">
        <v>27.7</v>
      </c>
      <c r="CZ33" s="228">
        <v>30.38</v>
      </c>
      <c r="DA33" s="228">
        <v>-2.68</v>
      </c>
      <c r="DB33" s="228">
        <v>-2.68</v>
      </c>
      <c r="DC33" s="228">
        <v>40.08</v>
      </c>
      <c r="DD33" s="228">
        <v>40.18</v>
      </c>
      <c r="DE33" s="228">
        <v>-12.38</v>
      </c>
      <c r="DF33" s="228">
        <v>-0.1</v>
      </c>
      <c r="DG33" s="228">
        <v>27.58</v>
      </c>
      <c r="DH33" s="228">
        <v>29.39</v>
      </c>
      <c r="DI33" s="228">
        <v>-1.81</v>
      </c>
      <c r="DJ33" s="228">
        <v>-1.81</v>
      </c>
      <c r="DK33" s="228">
        <v>27.97</v>
      </c>
      <c r="DL33" s="228">
        <v>32.659999999999997</v>
      </c>
      <c r="DM33" s="228">
        <v>-4.6900000000000004</v>
      </c>
      <c r="DN33" s="228">
        <v>-4.6900000000000004</v>
      </c>
      <c r="DO33" s="228">
        <v>0.7</v>
      </c>
      <c r="DP33" s="228">
        <v>0.71</v>
      </c>
      <c r="DQ33" s="228">
        <v>-0.01</v>
      </c>
      <c r="DR33" s="229">
        <v>-1.41E-2</v>
      </c>
      <c r="DS33" s="231">
        <v>1200</v>
      </c>
      <c r="DT33" s="231">
        <v>1100</v>
      </c>
      <c r="DU33" s="228">
        <v>0.5</v>
      </c>
      <c r="DV33" s="228">
        <v>0.43</v>
      </c>
      <c r="DW33" s="228">
        <v>7.0000000000000007E-2</v>
      </c>
      <c r="DX33" s="229">
        <v>0.1628</v>
      </c>
      <c r="DY33" s="229">
        <v>0.34410000000000002</v>
      </c>
      <c r="DZ33" s="230">
        <v>1765050</v>
      </c>
      <c r="EA33" s="229">
        <v>6.3E-3</v>
      </c>
      <c r="EB33" s="229">
        <v>0.34410000000000002</v>
      </c>
      <c r="EC33" s="228">
        <v>7.4</v>
      </c>
      <c r="ED33" s="229">
        <v>6.4000000000000003E-3</v>
      </c>
      <c r="EE33" s="230">
        <v>1853902</v>
      </c>
      <c r="EF33" s="230">
        <v>3728785</v>
      </c>
      <c r="EG33" s="229">
        <v>-0.50280000000000002</v>
      </c>
      <c r="EH33" s="229">
        <v>0.6431</v>
      </c>
      <c r="EI33" s="231">
        <v>176599.85</v>
      </c>
      <c r="EJ33" s="231">
        <v>84339.02</v>
      </c>
      <c r="EK33" s="231">
        <v>118743.03999999999</v>
      </c>
      <c r="EL33" s="231">
        <v>6960</v>
      </c>
      <c r="EM33" s="231">
        <v>379681.91</v>
      </c>
      <c r="EN33" s="231">
        <v>892582.25</v>
      </c>
      <c r="EO33" s="231">
        <v>-512900.34</v>
      </c>
      <c r="EP33" s="229">
        <v>-0.5746</v>
      </c>
      <c r="EQ33" s="231">
        <v>56101</v>
      </c>
      <c r="ER33" s="231">
        <v>36480</v>
      </c>
      <c r="ES33" s="231">
        <v>200501</v>
      </c>
      <c r="ET33" s="231">
        <v>97211768</v>
      </c>
      <c r="EU33" s="231">
        <v>293082</v>
      </c>
      <c r="EV33" s="231">
        <v>307415</v>
      </c>
      <c r="EW33" s="231">
        <v>-14333</v>
      </c>
      <c r="EX33" s="229">
        <v>-4.6600000000000003E-2</v>
      </c>
      <c r="EY33" s="229">
        <v>0.25750000000000001</v>
      </c>
    </row>
    <row r="34" spans="1:155" ht="17.25" thickBot="1" x14ac:dyDescent="0.3">
      <c r="A34" s="226">
        <v>45981</v>
      </c>
      <c r="B34" s="227" t="s">
        <v>168</v>
      </c>
      <c r="C34" s="227" t="s">
        <v>265</v>
      </c>
      <c r="D34" s="231">
        <v>1280.7</v>
      </c>
      <c r="E34" s="231">
        <v>1281.0999999999999</v>
      </c>
      <c r="F34" s="228">
        <v>-0.4</v>
      </c>
      <c r="G34" s="229">
        <v>-2.9999999999999997E-4</v>
      </c>
      <c r="H34" s="231">
        <v>1279.2</v>
      </c>
      <c r="I34" s="231">
        <v>1279</v>
      </c>
      <c r="J34" s="228">
        <v>0.2</v>
      </c>
      <c r="K34" s="229">
        <v>2.0000000000000001E-4</v>
      </c>
      <c r="L34" s="231">
        <v>1280.7</v>
      </c>
      <c r="M34" s="231">
        <v>1281.0999999999999</v>
      </c>
      <c r="N34" s="228">
        <v>-0.4</v>
      </c>
      <c r="O34" s="229">
        <v>-2.9999999999999997E-4</v>
      </c>
      <c r="P34" s="231">
        <v>1289.2</v>
      </c>
      <c r="Q34" s="231">
        <v>1289.5999999999999</v>
      </c>
      <c r="R34" s="228">
        <v>-0.4</v>
      </c>
      <c r="S34" s="229">
        <v>-2.9999999999999997E-4</v>
      </c>
      <c r="T34" s="231">
        <v>1296.8</v>
      </c>
      <c r="U34" s="231">
        <v>1297.3</v>
      </c>
      <c r="V34" s="228">
        <v>-0.5</v>
      </c>
      <c r="W34" s="229">
        <v>-4.0000000000000002E-4</v>
      </c>
      <c r="X34" s="228">
        <v>1.5</v>
      </c>
      <c r="Y34" s="228">
        <v>2.1</v>
      </c>
      <c r="Z34" s="228">
        <v>-0.6</v>
      </c>
      <c r="AA34" s="229">
        <v>1.1999999999999999E-3</v>
      </c>
      <c r="AB34" s="228">
        <v>1.5</v>
      </c>
      <c r="AC34" s="228">
        <v>2.1</v>
      </c>
      <c r="AD34" s="228">
        <v>-0.6</v>
      </c>
      <c r="AE34" s="229">
        <v>1.1999999999999999E-3</v>
      </c>
      <c r="AF34" s="228">
        <v>10</v>
      </c>
      <c r="AG34" s="228">
        <v>10.6</v>
      </c>
      <c r="AH34" s="228">
        <v>-0.6</v>
      </c>
      <c r="AI34" s="229">
        <v>7.7999999999999996E-3</v>
      </c>
      <c r="AJ34" s="228">
        <v>17.600000000000001</v>
      </c>
      <c r="AK34" s="228">
        <v>18.3</v>
      </c>
      <c r="AL34" s="228">
        <v>-0.7</v>
      </c>
      <c r="AM34" s="229">
        <v>1.38E-2</v>
      </c>
      <c r="AN34" s="231">
        <v>1280.7</v>
      </c>
      <c r="AO34" s="231">
        <v>1289.0899999999999</v>
      </c>
      <c r="AP34" s="228">
        <v>0</v>
      </c>
      <c r="AQ34" s="230">
        <v>18847</v>
      </c>
      <c r="AR34" s="230">
        <v>4023</v>
      </c>
      <c r="AS34" s="230">
        <v>14824</v>
      </c>
      <c r="AT34" s="229">
        <v>3.6848000000000001</v>
      </c>
      <c r="AU34" s="230">
        <v>9510</v>
      </c>
      <c r="AV34" s="230">
        <v>2822</v>
      </c>
      <c r="AW34" s="230">
        <v>6688</v>
      </c>
      <c r="AX34" s="229">
        <v>2.37</v>
      </c>
      <c r="AY34" s="230">
        <v>9307</v>
      </c>
      <c r="AZ34" s="230">
        <v>1174</v>
      </c>
      <c r="BA34" s="230">
        <v>8133</v>
      </c>
      <c r="BB34" s="229">
        <v>6.9276</v>
      </c>
      <c r="BC34" s="228">
        <v>30</v>
      </c>
      <c r="BD34" s="228">
        <v>27</v>
      </c>
      <c r="BE34" s="228">
        <v>3</v>
      </c>
      <c r="BF34" s="229">
        <v>0.1111</v>
      </c>
      <c r="BG34" s="230">
        <v>9508</v>
      </c>
      <c r="BH34" s="230">
        <v>15529</v>
      </c>
      <c r="BI34" s="230">
        <v>-6021</v>
      </c>
      <c r="BJ34" s="229">
        <v>-0.38769999999999999</v>
      </c>
      <c r="BK34" s="230">
        <v>2808</v>
      </c>
      <c r="BL34" s="230">
        <v>5240</v>
      </c>
      <c r="BM34" s="230">
        <v>-2432</v>
      </c>
      <c r="BN34" s="229">
        <v>-0.46410000000000001</v>
      </c>
      <c r="BO34" s="230">
        <v>31163</v>
      </c>
      <c r="BP34" s="230">
        <v>24792</v>
      </c>
      <c r="BQ34" s="230">
        <v>6371</v>
      </c>
      <c r="BR34" s="229">
        <v>0.25700000000000001</v>
      </c>
      <c r="BS34" s="230">
        <v>1009610</v>
      </c>
      <c r="BT34" s="230">
        <v>762768</v>
      </c>
      <c r="BU34" s="230">
        <v>246842</v>
      </c>
      <c r="BV34" s="229">
        <v>0.3236</v>
      </c>
      <c r="BW34" s="230">
        <v>16596500</v>
      </c>
      <c r="BX34" s="230">
        <v>16622000</v>
      </c>
      <c r="BY34" s="230">
        <v>-25500</v>
      </c>
      <c r="BZ34" s="229">
        <v>-1.5E-3</v>
      </c>
      <c r="CA34" s="230">
        <v>11153500</v>
      </c>
      <c r="CB34" s="230">
        <v>15231500</v>
      </c>
      <c r="CC34" s="230">
        <v>-4078000</v>
      </c>
      <c r="CD34" s="229">
        <v>-0.26769999999999999</v>
      </c>
      <c r="CE34" s="230">
        <v>5389500</v>
      </c>
      <c r="CF34" s="230">
        <v>1340500</v>
      </c>
      <c r="CG34" s="230">
        <v>4049000</v>
      </c>
      <c r="CH34" s="229">
        <v>3.0205000000000002</v>
      </c>
      <c r="CI34" s="230">
        <v>53500</v>
      </c>
      <c r="CJ34" s="230">
        <v>50000</v>
      </c>
      <c r="CK34" s="230">
        <v>3500</v>
      </c>
      <c r="CL34" s="229">
        <v>7.0000000000000007E-2</v>
      </c>
      <c r="CM34" s="230">
        <v>5230500</v>
      </c>
      <c r="CN34" s="230">
        <v>5434000</v>
      </c>
      <c r="CO34" s="230">
        <v>-203500</v>
      </c>
      <c r="CP34" s="229">
        <v>-3.7400000000000003E-2</v>
      </c>
      <c r="CQ34" s="230">
        <v>1958500</v>
      </c>
      <c r="CR34" s="230">
        <v>2045000</v>
      </c>
      <c r="CS34" s="230">
        <v>-86500</v>
      </c>
      <c r="CT34" s="229">
        <v>-4.2299999999999997E-2</v>
      </c>
      <c r="CU34" s="230">
        <v>23785500</v>
      </c>
      <c r="CV34" s="230">
        <v>24101000</v>
      </c>
      <c r="CW34" s="230">
        <v>-315500</v>
      </c>
      <c r="CX34" s="229">
        <v>-1.3100000000000001E-2</v>
      </c>
      <c r="CY34" s="228">
        <v>17.34</v>
      </c>
      <c r="CZ34" s="228">
        <v>16.82</v>
      </c>
      <c r="DA34" s="228">
        <v>0.52</v>
      </c>
      <c r="DB34" s="228">
        <v>0.52</v>
      </c>
      <c r="DC34" s="228">
        <v>23.44</v>
      </c>
      <c r="DD34" s="228">
        <v>23.5</v>
      </c>
      <c r="DE34" s="228">
        <v>-6.1</v>
      </c>
      <c r="DF34" s="228">
        <v>-0.06</v>
      </c>
      <c r="DG34" s="228">
        <v>17.309999999999999</v>
      </c>
      <c r="DH34" s="228">
        <v>16.420000000000002</v>
      </c>
      <c r="DI34" s="228">
        <v>0.89</v>
      </c>
      <c r="DJ34" s="228">
        <v>0.89</v>
      </c>
      <c r="DK34" s="228">
        <v>17.43</v>
      </c>
      <c r="DL34" s="228">
        <v>17.989999999999998</v>
      </c>
      <c r="DM34" s="228">
        <v>-0.56000000000000005</v>
      </c>
      <c r="DN34" s="228">
        <v>-0.56000000000000005</v>
      </c>
      <c r="DO34" s="228">
        <v>0.37</v>
      </c>
      <c r="DP34" s="228">
        <v>0.38</v>
      </c>
      <c r="DQ34" s="228">
        <v>-0.01</v>
      </c>
      <c r="DR34" s="229">
        <v>-2.63E-2</v>
      </c>
      <c r="DS34" s="231">
        <v>1300</v>
      </c>
      <c r="DT34" s="231">
        <v>1300</v>
      </c>
      <c r="DU34" s="228">
        <v>0.3</v>
      </c>
      <c r="DV34" s="228">
        <v>0.34</v>
      </c>
      <c r="DW34" s="228">
        <v>-0.04</v>
      </c>
      <c r="DX34" s="229">
        <v>-0.1176</v>
      </c>
      <c r="DY34" s="229">
        <v>0.32800000000000001</v>
      </c>
      <c r="DZ34" s="230">
        <v>1390500</v>
      </c>
      <c r="EA34" s="229">
        <v>6.6E-3</v>
      </c>
      <c r="EB34" s="229">
        <v>0.32800000000000001</v>
      </c>
      <c r="EC34" s="228">
        <v>8.39</v>
      </c>
      <c r="ED34" s="229">
        <v>6.6E-3</v>
      </c>
      <c r="EE34" s="230">
        <v>676249</v>
      </c>
      <c r="EF34" s="230">
        <v>432549</v>
      </c>
      <c r="EG34" s="229">
        <v>0.56340000000000001</v>
      </c>
      <c r="EH34" s="229">
        <v>0.66979999999999995</v>
      </c>
      <c r="EI34" s="231">
        <v>61964.46</v>
      </c>
      <c r="EJ34" s="231">
        <v>17822.8</v>
      </c>
      <c r="EK34" s="231">
        <v>121079.87</v>
      </c>
      <c r="EL34" s="231">
        <v>2991</v>
      </c>
      <c r="EM34" s="231">
        <v>200867.13</v>
      </c>
      <c r="EN34" s="231">
        <v>159571.63</v>
      </c>
      <c r="EO34" s="231">
        <v>41295.5</v>
      </c>
      <c r="EP34" s="229">
        <v>0.25879999999999997</v>
      </c>
      <c r="EQ34" s="231">
        <v>68444</v>
      </c>
      <c r="ER34" s="231">
        <v>24214</v>
      </c>
      <c r="ES34" s="231">
        <v>213018</v>
      </c>
      <c r="ET34" s="231">
        <v>71801274</v>
      </c>
      <c r="EU34" s="231">
        <v>305676</v>
      </c>
      <c r="EV34" s="231">
        <v>309424</v>
      </c>
      <c r="EW34" s="231">
        <v>-3748</v>
      </c>
      <c r="EX34" s="229">
        <v>-1.21E-2</v>
      </c>
      <c r="EY34" s="229">
        <v>0.33129999999999998</v>
      </c>
    </row>
    <row r="35" spans="1:155" ht="17.25" thickBot="1" x14ac:dyDescent="0.3">
      <c r="A35" s="226">
        <v>45981</v>
      </c>
      <c r="B35" s="227" t="s">
        <v>161</v>
      </c>
      <c r="C35" s="227" t="s">
        <v>268</v>
      </c>
      <c r="D35" s="228">
        <v>327</v>
      </c>
      <c r="E35" s="228">
        <v>326.3</v>
      </c>
      <c r="F35" s="228">
        <v>0.7</v>
      </c>
      <c r="G35" s="229">
        <v>2.0999999999999999E-3</v>
      </c>
      <c r="H35" s="228">
        <v>326.60000000000002</v>
      </c>
      <c r="I35" s="228">
        <v>326.60000000000002</v>
      </c>
      <c r="J35" s="228">
        <v>0</v>
      </c>
      <c r="K35" s="229">
        <v>0</v>
      </c>
      <c r="L35" s="228">
        <v>327</v>
      </c>
      <c r="M35" s="228">
        <v>326.3</v>
      </c>
      <c r="N35" s="228">
        <v>0.7</v>
      </c>
      <c r="O35" s="229">
        <v>2.0999999999999999E-3</v>
      </c>
      <c r="P35" s="228">
        <v>329.2</v>
      </c>
      <c r="Q35" s="228">
        <v>328.4</v>
      </c>
      <c r="R35" s="228">
        <v>0.8</v>
      </c>
      <c r="S35" s="229">
        <v>2.3999999999999998E-3</v>
      </c>
      <c r="T35" s="228">
        <v>331.35</v>
      </c>
      <c r="U35" s="228">
        <v>330.6</v>
      </c>
      <c r="V35" s="228">
        <v>0.75</v>
      </c>
      <c r="W35" s="229">
        <v>2.3E-3</v>
      </c>
      <c r="X35" s="228">
        <v>0.4</v>
      </c>
      <c r="Y35" s="228">
        <v>-0.3</v>
      </c>
      <c r="Z35" s="228">
        <v>0.7</v>
      </c>
      <c r="AA35" s="229">
        <v>1.1999999999999999E-3</v>
      </c>
      <c r="AB35" s="228">
        <v>0.4</v>
      </c>
      <c r="AC35" s="228">
        <v>-0.3</v>
      </c>
      <c r="AD35" s="228">
        <v>0.7</v>
      </c>
      <c r="AE35" s="229">
        <v>1.1999999999999999E-3</v>
      </c>
      <c r="AF35" s="228">
        <v>2.6</v>
      </c>
      <c r="AG35" s="228">
        <v>1.8</v>
      </c>
      <c r="AH35" s="228">
        <v>0.8</v>
      </c>
      <c r="AI35" s="229">
        <v>8.0000000000000002E-3</v>
      </c>
      <c r="AJ35" s="228">
        <v>4.75</v>
      </c>
      <c r="AK35" s="228">
        <v>4</v>
      </c>
      <c r="AL35" s="228">
        <v>0.75</v>
      </c>
      <c r="AM35" s="229">
        <v>1.4500000000000001E-2</v>
      </c>
      <c r="AN35" s="228">
        <v>327.58</v>
      </c>
      <c r="AO35" s="228">
        <v>329.77</v>
      </c>
      <c r="AP35" s="228">
        <v>0</v>
      </c>
      <c r="AQ35" s="230">
        <v>24928</v>
      </c>
      <c r="AR35" s="230">
        <v>7921</v>
      </c>
      <c r="AS35" s="230">
        <v>17007</v>
      </c>
      <c r="AT35" s="229">
        <v>2.1471</v>
      </c>
      <c r="AU35" s="230">
        <v>13049</v>
      </c>
      <c r="AV35" s="230">
        <v>4804</v>
      </c>
      <c r="AW35" s="230">
        <v>8245</v>
      </c>
      <c r="AX35" s="229">
        <v>1.7162999999999999</v>
      </c>
      <c r="AY35" s="230">
        <v>11764</v>
      </c>
      <c r="AZ35" s="230">
        <v>3009</v>
      </c>
      <c r="BA35" s="230">
        <v>8755</v>
      </c>
      <c r="BB35" s="229">
        <v>2.9096000000000002</v>
      </c>
      <c r="BC35" s="228">
        <v>115</v>
      </c>
      <c r="BD35" s="228">
        <v>108</v>
      </c>
      <c r="BE35" s="228">
        <v>7</v>
      </c>
      <c r="BF35" s="229">
        <v>6.4799999999999996E-2</v>
      </c>
      <c r="BG35" s="230">
        <v>20396</v>
      </c>
      <c r="BH35" s="230">
        <v>35592</v>
      </c>
      <c r="BI35" s="230">
        <v>-15196</v>
      </c>
      <c r="BJ35" s="229">
        <v>-0.4269</v>
      </c>
      <c r="BK35" s="230">
        <v>9035</v>
      </c>
      <c r="BL35" s="230">
        <v>11358</v>
      </c>
      <c r="BM35" s="230">
        <v>-2323</v>
      </c>
      <c r="BN35" s="229">
        <v>-0.20449999999999999</v>
      </c>
      <c r="BO35" s="230">
        <v>54359</v>
      </c>
      <c r="BP35" s="230">
        <v>54871</v>
      </c>
      <c r="BQ35" s="228">
        <v>-512</v>
      </c>
      <c r="BR35" s="229">
        <v>-9.2999999999999992E-3</v>
      </c>
      <c r="BS35" s="230">
        <v>5751453</v>
      </c>
      <c r="BT35" s="230">
        <v>7618991</v>
      </c>
      <c r="BU35" s="230">
        <v>-1867538</v>
      </c>
      <c r="BV35" s="229">
        <v>-0.24510000000000001</v>
      </c>
      <c r="BW35" s="230">
        <v>93954000</v>
      </c>
      <c r="BX35" s="230">
        <v>95223000</v>
      </c>
      <c r="BY35" s="230">
        <v>-1269000</v>
      </c>
      <c r="BZ35" s="229">
        <v>-1.3299999999999999E-2</v>
      </c>
      <c r="CA35" s="230">
        <v>66204000</v>
      </c>
      <c r="CB35" s="230">
        <v>82365000</v>
      </c>
      <c r="CC35" s="230">
        <v>-16161000</v>
      </c>
      <c r="CD35" s="229">
        <v>-0.19620000000000001</v>
      </c>
      <c r="CE35" s="230">
        <v>26611500</v>
      </c>
      <c r="CF35" s="230">
        <v>11761500</v>
      </c>
      <c r="CG35" s="230">
        <v>14850000</v>
      </c>
      <c r="CH35" s="229">
        <v>1.2625999999999999</v>
      </c>
      <c r="CI35" s="230">
        <v>1138500</v>
      </c>
      <c r="CJ35" s="230">
        <v>1096500</v>
      </c>
      <c r="CK35" s="230">
        <v>42000</v>
      </c>
      <c r="CL35" s="229">
        <v>3.8300000000000001E-2</v>
      </c>
      <c r="CM35" s="230">
        <v>59157000</v>
      </c>
      <c r="CN35" s="230">
        <v>61269000</v>
      </c>
      <c r="CO35" s="230">
        <v>-2112000</v>
      </c>
      <c r="CP35" s="229">
        <v>-3.4500000000000003E-2</v>
      </c>
      <c r="CQ35" s="230">
        <v>23527500</v>
      </c>
      <c r="CR35" s="230">
        <v>24762000</v>
      </c>
      <c r="CS35" s="230">
        <v>-1234500</v>
      </c>
      <c r="CT35" s="229">
        <v>-4.99E-2</v>
      </c>
      <c r="CU35" s="230">
        <v>176638500</v>
      </c>
      <c r="CV35" s="230">
        <v>181254000</v>
      </c>
      <c r="CW35" s="230">
        <v>-4615500</v>
      </c>
      <c r="CX35" s="229">
        <v>-2.5499999999999998E-2</v>
      </c>
      <c r="CY35" s="228">
        <v>17.93</v>
      </c>
      <c r="CZ35" s="228">
        <v>17.39</v>
      </c>
      <c r="DA35" s="228">
        <v>0.54</v>
      </c>
      <c r="DB35" s="228">
        <v>0.54</v>
      </c>
      <c r="DC35" s="228">
        <v>27.71</v>
      </c>
      <c r="DD35" s="228">
        <v>27.78</v>
      </c>
      <c r="DE35" s="228">
        <v>-9.7799999999999994</v>
      </c>
      <c r="DF35" s="228">
        <v>-7.0000000000000007E-2</v>
      </c>
      <c r="DG35" s="228">
        <v>18.04</v>
      </c>
      <c r="DH35" s="228">
        <v>17.68</v>
      </c>
      <c r="DI35" s="228">
        <v>0.36</v>
      </c>
      <c r="DJ35" s="228">
        <v>0.36</v>
      </c>
      <c r="DK35" s="228">
        <v>17.690000000000001</v>
      </c>
      <c r="DL35" s="228">
        <v>16.48</v>
      </c>
      <c r="DM35" s="228">
        <v>1.21</v>
      </c>
      <c r="DN35" s="228">
        <v>1.21</v>
      </c>
      <c r="DO35" s="228">
        <v>0.4</v>
      </c>
      <c r="DP35" s="228">
        <v>0.4</v>
      </c>
      <c r="DQ35" s="228">
        <v>0</v>
      </c>
      <c r="DR35" s="229">
        <v>0</v>
      </c>
      <c r="DS35" s="228">
        <v>335</v>
      </c>
      <c r="DT35" s="228">
        <v>300</v>
      </c>
      <c r="DU35" s="228">
        <v>0.44</v>
      </c>
      <c r="DV35" s="228">
        <v>0.32</v>
      </c>
      <c r="DW35" s="228">
        <v>0.12</v>
      </c>
      <c r="DX35" s="229">
        <v>0.375</v>
      </c>
      <c r="DY35" s="229">
        <v>0.2954</v>
      </c>
      <c r="DZ35" s="230">
        <v>12858000</v>
      </c>
      <c r="EA35" s="229">
        <v>6.7000000000000002E-3</v>
      </c>
      <c r="EB35" s="229">
        <v>0.2954</v>
      </c>
      <c r="EC35" s="228">
        <v>2.19</v>
      </c>
      <c r="ED35" s="229">
        <v>6.7000000000000002E-3</v>
      </c>
      <c r="EE35" s="230">
        <v>3563994</v>
      </c>
      <c r="EF35" s="230">
        <v>4693137</v>
      </c>
      <c r="EG35" s="229">
        <v>-0.24060000000000001</v>
      </c>
      <c r="EH35" s="229">
        <v>0.61970000000000003</v>
      </c>
      <c r="EI35" s="231">
        <v>103006.93</v>
      </c>
      <c r="EJ35" s="231">
        <v>44356.41</v>
      </c>
      <c r="EK35" s="231">
        <v>122881.94</v>
      </c>
      <c r="EL35" s="231">
        <v>6010</v>
      </c>
      <c r="EM35" s="231">
        <v>270245.28000000003</v>
      </c>
      <c r="EN35" s="231">
        <v>274551.46999999997</v>
      </c>
      <c r="EO35" s="231">
        <v>-4306.1899999999996</v>
      </c>
      <c r="EP35" s="229">
        <v>-1.5699999999999999E-2</v>
      </c>
      <c r="EQ35" s="231">
        <v>205430</v>
      </c>
      <c r="ER35" s="231">
        <v>77943</v>
      </c>
      <c r="ES35" s="231">
        <v>307865</v>
      </c>
      <c r="ET35" s="231">
        <v>572782298</v>
      </c>
      <c r="EU35" s="231">
        <v>591238</v>
      </c>
      <c r="EV35" s="231">
        <v>605641</v>
      </c>
      <c r="EW35" s="231">
        <v>-14403</v>
      </c>
      <c r="EX35" s="229">
        <v>-2.3800000000000002E-2</v>
      </c>
      <c r="EY35" s="229">
        <v>0.30840000000000001</v>
      </c>
    </row>
    <row r="36" spans="1:155" ht="17.25" thickBot="1" x14ac:dyDescent="0.3">
      <c r="A36" s="226">
        <v>45981</v>
      </c>
      <c r="B36" s="227" t="s">
        <v>193</v>
      </c>
      <c r="C36" s="227" t="s">
        <v>269</v>
      </c>
      <c r="D36" s="228">
        <v>248.1</v>
      </c>
      <c r="E36" s="228">
        <v>249.05</v>
      </c>
      <c r="F36" s="228">
        <v>-0.95</v>
      </c>
      <c r="G36" s="229">
        <v>-3.8E-3</v>
      </c>
      <c r="H36" s="228">
        <v>248.05</v>
      </c>
      <c r="I36" s="228">
        <v>249</v>
      </c>
      <c r="J36" s="228">
        <v>-0.95</v>
      </c>
      <c r="K36" s="229">
        <v>-3.8E-3</v>
      </c>
      <c r="L36" s="228">
        <v>248.1</v>
      </c>
      <c r="M36" s="228">
        <v>249.05</v>
      </c>
      <c r="N36" s="228">
        <v>-0.95</v>
      </c>
      <c r="O36" s="229">
        <v>-3.8E-3</v>
      </c>
      <c r="P36" s="228">
        <v>249.85</v>
      </c>
      <c r="Q36" s="228">
        <v>250.8</v>
      </c>
      <c r="R36" s="228">
        <v>-0.95</v>
      </c>
      <c r="S36" s="229">
        <v>-3.8E-3</v>
      </c>
      <c r="T36" s="228">
        <v>251.25</v>
      </c>
      <c r="U36" s="228">
        <v>252.3</v>
      </c>
      <c r="V36" s="228">
        <v>-1.05</v>
      </c>
      <c r="W36" s="229">
        <v>-4.1999999999999997E-3</v>
      </c>
      <c r="X36" s="228">
        <v>0.05</v>
      </c>
      <c r="Y36" s="228">
        <v>0.05</v>
      </c>
      <c r="Z36" s="228">
        <v>0</v>
      </c>
      <c r="AA36" s="229">
        <v>2.0000000000000001E-4</v>
      </c>
      <c r="AB36" s="228">
        <v>0.05</v>
      </c>
      <c r="AC36" s="228">
        <v>0.05</v>
      </c>
      <c r="AD36" s="228">
        <v>0</v>
      </c>
      <c r="AE36" s="229">
        <v>2.0000000000000001E-4</v>
      </c>
      <c r="AF36" s="228">
        <v>1.8</v>
      </c>
      <c r="AG36" s="228">
        <v>1.8</v>
      </c>
      <c r="AH36" s="228">
        <v>0</v>
      </c>
      <c r="AI36" s="229">
        <v>7.3000000000000001E-3</v>
      </c>
      <c r="AJ36" s="228">
        <v>3.2</v>
      </c>
      <c r="AK36" s="228">
        <v>3.3</v>
      </c>
      <c r="AL36" s="228">
        <v>-0.1</v>
      </c>
      <c r="AM36" s="229">
        <v>1.29E-2</v>
      </c>
      <c r="AN36" s="228">
        <v>249.11</v>
      </c>
      <c r="AO36" s="228">
        <v>250.84</v>
      </c>
      <c r="AP36" s="228">
        <v>0</v>
      </c>
      <c r="AQ36" s="230">
        <v>21935</v>
      </c>
      <c r="AR36" s="230">
        <v>7177</v>
      </c>
      <c r="AS36" s="230">
        <v>14758</v>
      </c>
      <c r="AT36" s="229">
        <v>2.0562999999999998</v>
      </c>
      <c r="AU36" s="230">
        <v>11770</v>
      </c>
      <c r="AV36" s="230">
        <v>4657</v>
      </c>
      <c r="AW36" s="230">
        <v>7113</v>
      </c>
      <c r="AX36" s="229">
        <v>1.5274000000000001</v>
      </c>
      <c r="AY36" s="230">
        <v>10050</v>
      </c>
      <c r="AZ36" s="230">
        <v>2391</v>
      </c>
      <c r="BA36" s="230">
        <v>7659</v>
      </c>
      <c r="BB36" s="229">
        <v>3.2033</v>
      </c>
      <c r="BC36" s="228">
        <v>115</v>
      </c>
      <c r="BD36" s="228">
        <v>129</v>
      </c>
      <c r="BE36" s="228">
        <v>-14</v>
      </c>
      <c r="BF36" s="229">
        <v>-0.1085</v>
      </c>
      <c r="BG36" s="230">
        <v>16873</v>
      </c>
      <c r="BH36" s="230">
        <v>19836</v>
      </c>
      <c r="BI36" s="230">
        <v>-2963</v>
      </c>
      <c r="BJ36" s="229">
        <v>-0.14940000000000001</v>
      </c>
      <c r="BK36" s="230">
        <v>8118</v>
      </c>
      <c r="BL36" s="230">
        <v>9357</v>
      </c>
      <c r="BM36" s="230">
        <v>-1239</v>
      </c>
      <c r="BN36" s="229">
        <v>-0.13239999999999999</v>
      </c>
      <c r="BO36" s="230">
        <v>46926</v>
      </c>
      <c r="BP36" s="230">
        <v>36370</v>
      </c>
      <c r="BQ36" s="230">
        <v>10556</v>
      </c>
      <c r="BR36" s="229">
        <v>0.29020000000000001</v>
      </c>
      <c r="BS36" s="230">
        <v>7243517</v>
      </c>
      <c r="BT36" s="230">
        <v>7512870</v>
      </c>
      <c r="BU36" s="230">
        <v>-269353</v>
      </c>
      <c r="BV36" s="229">
        <v>-3.5900000000000001E-2</v>
      </c>
      <c r="BW36" s="230">
        <v>92697750</v>
      </c>
      <c r="BX36" s="230">
        <v>93708000</v>
      </c>
      <c r="BY36" s="230">
        <v>-1010250</v>
      </c>
      <c r="BZ36" s="229">
        <v>-1.0800000000000001E-2</v>
      </c>
      <c r="CA36" s="230">
        <v>63382500</v>
      </c>
      <c r="CB36" s="230">
        <v>82368000</v>
      </c>
      <c r="CC36" s="230">
        <v>-18985500</v>
      </c>
      <c r="CD36" s="229">
        <v>-0.23050000000000001</v>
      </c>
      <c r="CE36" s="230">
        <v>28766250</v>
      </c>
      <c r="CF36" s="230">
        <v>10867500</v>
      </c>
      <c r="CG36" s="230">
        <v>17898750</v>
      </c>
      <c r="CH36" s="229">
        <v>1.647</v>
      </c>
      <c r="CI36" s="230">
        <v>549000</v>
      </c>
      <c r="CJ36" s="230">
        <v>472500</v>
      </c>
      <c r="CK36" s="230">
        <v>76500</v>
      </c>
      <c r="CL36" s="229">
        <v>0.16189999999999999</v>
      </c>
      <c r="CM36" s="230">
        <v>58284000</v>
      </c>
      <c r="CN36" s="230">
        <v>56846250</v>
      </c>
      <c r="CO36" s="230">
        <v>1437750</v>
      </c>
      <c r="CP36" s="229">
        <v>2.53E-2</v>
      </c>
      <c r="CQ36" s="230">
        <v>22263750</v>
      </c>
      <c r="CR36" s="230">
        <v>21375000</v>
      </c>
      <c r="CS36" s="230">
        <v>888750</v>
      </c>
      <c r="CT36" s="229">
        <v>4.1599999999999998E-2</v>
      </c>
      <c r="CU36" s="230">
        <v>173245500</v>
      </c>
      <c r="CV36" s="230">
        <v>171929250</v>
      </c>
      <c r="CW36" s="230">
        <v>1316250</v>
      </c>
      <c r="CX36" s="229">
        <v>7.7000000000000002E-3</v>
      </c>
      <c r="CY36" s="228">
        <v>18.399999999999999</v>
      </c>
      <c r="CZ36" s="228">
        <v>17.89</v>
      </c>
      <c r="DA36" s="228">
        <v>0.51</v>
      </c>
      <c r="DB36" s="228">
        <v>0.51</v>
      </c>
      <c r="DC36" s="228">
        <v>31.07</v>
      </c>
      <c r="DD36" s="228">
        <v>31.15</v>
      </c>
      <c r="DE36" s="228">
        <v>-12.67</v>
      </c>
      <c r="DF36" s="228">
        <v>-0.08</v>
      </c>
      <c r="DG36" s="228">
        <v>18.77</v>
      </c>
      <c r="DH36" s="228">
        <v>17.329999999999998</v>
      </c>
      <c r="DI36" s="228">
        <v>1.44</v>
      </c>
      <c r="DJ36" s="228">
        <v>1.44</v>
      </c>
      <c r="DK36" s="228">
        <v>17.88</v>
      </c>
      <c r="DL36" s="228">
        <v>19.09</v>
      </c>
      <c r="DM36" s="228">
        <v>-1.21</v>
      </c>
      <c r="DN36" s="228">
        <v>-1.21</v>
      </c>
      <c r="DO36" s="228">
        <v>0.38</v>
      </c>
      <c r="DP36" s="228">
        <v>0.38</v>
      </c>
      <c r="DQ36" s="228">
        <v>0</v>
      </c>
      <c r="DR36" s="229">
        <v>0</v>
      </c>
      <c r="DS36" s="228">
        <v>254</v>
      </c>
      <c r="DT36" s="228">
        <v>234</v>
      </c>
      <c r="DU36" s="228">
        <v>0.48</v>
      </c>
      <c r="DV36" s="228">
        <v>0.47</v>
      </c>
      <c r="DW36" s="228">
        <v>0.01</v>
      </c>
      <c r="DX36" s="229">
        <v>2.1299999999999999E-2</v>
      </c>
      <c r="DY36" s="229">
        <v>0.31619999999999998</v>
      </c>
      <c r="DZ36" s="230">
        <v>11340000</v>
      </c>
      <c r="EA36" s="229">
        <v>7.1000000000000004E-3</v>
      </c>
      <c r="EB36" s="229">
        <v>0.31619999999999998</v>
      </c>
      <c r="EC36" s="228">
        <v>1.73</v>
      </c>
      <c r="ED36" s="229">
        <v>6.8999999999999999E-3</v>
      </c>
      <c r="EE36" s="230">
        <v>4703741</v>
      </c>
      <c r="EF36" s="230">
        <v>4786662</v>
      </c>
      <c r="EG36" s="229">
        <v>-1.7299999999999999E-2</v>
      </c>
      <c r="EH36" s="229">
        <v>0.64939999999999998</v>
      </c>
      <c r="EI36" s="231">
        <v>96605.94</v>
      </c>
      <c r="EJ36" s="231">
        <v>46328.41</v>
      </c>
      <c r="EK36" s="231">
        <v>123342.01</v>
      </c>
      <c r="EL36" s="231">
        <v>6309</v>
      </c>
      <c r="EM36" s="231">
        <v>266276.36</v>
      </c>
      <c r="EN36" s="231">
        <v>205321.27</v>
      </c>
      <c r="EO36" s="231">
        <v>60955.09</v>
      </c>
      <c r="EP36" s="229">
        <v>0.2969</v>
      </c>
      <c r="EQ36" s="231">
        <v>148455</v>
      </c>
      <c r="ER36" s="231">
        <v>53985</v>
      </c>
      <c r="ES36" s="231">
        <v>230504</v>
      </c>
      <c r="ET36" s="231">
        <v>517141211</v>
      </c>
      <c r="EU36" s="231">
        <v>432943</v>
      </c>
      <c r="EV36" s="231">
        <v>429923</v>
      </c>
      <c r="EW36" s="231">
        <v>3020</v>
      </c>
      <c r="EX36" s="229">
        <v>7.0000000000000001E-3</v>
      </c>
      <c r="EY36" s="229">
        <v>0.33500000000000002</v>
      </c>
    </row>
    <row r="37" spans="1:155" ht="17.25" thickBot="1" x14ac:dyDescent="0.3">
      <c r="A37" s="226">
        <v>45981</v>
      </c>
      <c r="B37" s="227" t="s">
        <v>161</v>
      </c>
      <c r="C37" s="227" t="s">
        <v>276</v>
      </c>
      <c r="D37" s="228">
        <v>276.95</v>
      </c>
      <c r="E37" s="228">
        <v>275</v>
      </c>
      <c r="F37" s="228">
        <v>1.95</v>
      </c>
      <c r="G37" s="229">
        <v>7.1000000000000004E-3</v>
      </c>
      <c r="H37" s="228">
        <v>277.2</v>
      </c>
      <c r="I37" s="228">
        <v>275.14999999999998</v>
      </c>
      <c r="J37" s="228">
        <v>2.0499999999999998</v>
      </c>
      <c r="K37" s="229">
        <v>7.4999999999999997E-3</v>
      </c>
      <c r="L37" s="228">
        <v>276.95</v>
      </c>
      <c r="M37" s="228">
        <v>275</v>
      </c>
      <c r="N37" s="228">
        <v>1.95</v>
      </c>
      <c r="O37" s="229">
        <v>7.1000000000000004E-3</v>
      </c>
      <c r="P37" s="228">
        <v>278.8</v>
      </c>
      <c r="Q37" s="228">
        <v>276.89999999999998</v>
      </c>
      <c r="R37" s="228">
        <v>1.9</v>
      </c>
      <c r="S37" s="229">
        <v>6.8999999999999999E-3</v>
      </c>
      <c r="T37" s="228">
        <v>280.60000000000002</v>
      </c>
      <c r="U37" s="228">
        <v>278.35000000000002</v>
      </c>
      <c r="V37" s="228">
        <v>2.25</v>
      </c>
      <c r="W37" s="229">
        <v>8.0999999999999996E-3</v>
      </c>
      <c r="X37" s="228">
        <v>-0.25</v>
      </c>
      <c r="Y37" s="228">
        <v>-0.15</v>
      </c>
      <c r="Z37" s="228">
        <v>-0.1</v>
      </c>
      <c r="AA37" s="229">
        <v>-8.9999999999999998E-4</v>
      </c>
      <c r="AB37" s="228">
        <v>-0.25</v>
      </c>
      <c r="AC37" s="228">
        <v>-0.15</v>
      </c>
      <c r="AD37" s="228">
        <v>-0.1</v>
      </c>
      <c r="AE37" s="229">
        <v>-8.9999999999999998E-4</v>
      </c>
      <c r="AF37" s="228">
        <v>1.6</v>
      </c>
      <c r="AG37" s="228">
        <v>1.75</v>
      </c>
      <c r="AH37" s="228">
        <v>-0.15</v>
      </c>
      <c r="AI37" s="229">
        <v>5.7999999999999996E-3</v>
      </c>
      <c r="AJ37" s="228">
        <v>3.4</v>
      </c>
      <c r="AK37" s="228">
        <v>3.2</v>
      </c>
      <c r="AL37" s="228">
        <v>0.2</v>
      </c>
      <c r="AM37" s="229">
        <v>1.23E-2</v>
      </c>
      <c r="AN37" s="228">
        <v>277.51</v>
      </c>
      <c r="AO37" s="228">
        <v>279.33999999999997</v>
      </c>
      <c r="AP37" s="228">
        <v>0</v>
      </c>
      <c r="AQ37" s="230">
        <v>25854</v>
      </c>
      <c r="AR37" s="230">
        <v>6287</v>
      </c>
      <c r="AS37" s="230">
        <v>19567</v>
      </c>
      <c r="AT37" s="229">
        <v>3.1122999999999998</v>
      </c>
      <c r="AU37" s="230">
        <v>14610</v>
      </c>
      <c r="AV37" s="230">
        <v>4763</v>
      </c>
      <c r="AW37" s="230">
        <v>9847</v>
      </c>
      <c r="AX37" s="229">
        <v>2.0674000000000001</v>
      </c>
      <c r="AY37" s="230">
        <v>11166</v>
      </c>
      <c r="AZ37" s="230">
        <v>1473</v>
      </c>
      <c r="BA37" s="230">
        <v>9693</v>
      </c>
      <c r="BB37" s="229">
        <v>6.5804</v>
      </c>
      <c r="BC37" s="228">
        <v>78</v>
      </c>
      <c r="BD37" s="228">
        <v>51</v>
      </c>
      <c r="BE37" s="228">
        <v>27</v>
      </c>
      <c r="BF37" s="229">
        <v>0.52939999999999998</v>
      </c>
      <c r="BG37" s="230">
        <v>20216</v>
      </c>
      <c r="BH37" s="230">
        <v>18187</v>
      </c>
      <c r="BI37" s="230">
        <v>2029</v>
      </c>
      <c r="BJ37" s="229">
        <v>0.1116</v>
      </c>
      <c r="BK37" s="230">
        <v>8342</v>
      </c>
      <c r="BL37" s="230">
        <v>5448</v>
      </c>
      <c r="BM37" s="230">
        <v>2894</v>
      </c>
      <c r="BN37" s="229">
        <v>0.53120000000000001</v>
      </c>
      <c r="BO37" s="230">
        <v>54412</v>
      </c>
      <c r="BP37" s="230">
        <v>29922</v>
      </c>
      <c r="BQ37" s="230">
        <v>24490</v>
      </c>
      <c r="BR37" s="229">
        <v>0.81850000000000001</v>
      </c>
      <c r="BS37" s="230">
        <v>16428419</v>
      </c>
      <c r="BT37" s="230">
        <v>16507447</v>
      </c>
      <c r="BU37" s="230">
        <v>-79028</v>
      </c>
      <c r="BV37" s="229">
        <v>-4.7999999999999996E-3</v>
      </c>
      <c r="BW37" s="230">
        <v>77320500</v>
      </c>
      <c r="BX37" s="230">
        <v>80816500</v>
      </c>
      <c r="BY37" s="230">
        <v>-3496000</v>
      </c>
      <c r="BZ37" s="229">
        <v>-4.3299999999999998E-2</v>
      </c>
      <c r="CA37" s="230">
        <v>49329700</v>
      </c>
      <c r="CB37" s="230">
        <v>69363300</v>
      </c>
      <c r="CC37" s="230">
        <v>-20033600</v>
      </c>
      <c r="CD37" s="229">
        <v>-0.2888</v>
      </c>
      <c r="CE37" s="230">
        <v>26938200</v>
      </c>
      <c r="CF37" s="230">
        <v>10410100</v>
      </c>
      <c r="CG37" s="230">
        <v>16528100</v>
      </c>
      <c r="CH37" s="229">
        <v>1.5876999999999999</v>
      </c>
      <c r="CI37" s="230">
        <v>1052600</v>
      </c>
      <c r="CJ37" s="230">
        <v>1043100</v>
      </c>
      <c r="CK37" s="230">
        <v>9500</v>
      </c>
      <c r="CL37" s="229">
        <v>9.1000000000000004E-3</v>
      </c>
      <c r="CM37" s="230">
        <v>36920800</v>
      </c>
      <c r="CN37" s="230">
        <v>40528900</v>
      </c>
      <c r="CO37" s="230">
        <v>-3608100</v>
      </c>
      <c r="CP37" s="229">
        <v>-8.8999999999999996E-2</v>
      </c>
      <c r="CQ37" s="230">
        <v>20816400</v>
      </c>
      <c r="CR37" s="230">
        <v>21652400</v>
      </c>
      <c r="CS37" s="230">
        <v>-836000</v>
      </c>
      <c r="CT37" s="229">
        <v>-3.8600000000000002E-2</v>
      </c>
      <c r="CU37" s="230">
        <v>135057700</v>
      </c>
      <c r="CV37" s="230">
        <v>142997800</v>
      </c>
      <c r="CW37" s="230">
        <v>-7940100</v>
      </c>
      <c r="CX37" s="229">
        <v>-5.5500000000000001E-2</v>
      </c>
      <c r="CY37" s="228">
        <v>18.34</v>
      </c>
      <c r="CZ37" s="228">
        <v>19.940000000000001</v>
      </c>
      <c r="DA37" s="228">
        <v>-1.6</v>
      </c>
      <c r="DB37" s="228">
        <v>-1.6</v>
      </c>
      <c r="DC37" s="228">
        <v>28.83</v>
      </c>
      <c r="DD37" s="228">
        <v>28.88</v>
      </c>
      <c r="DE37" s="228">
        <v>-10.49</v>
      </c>
      <c r="DF37" s="228">
        <v>-0.05</v>
      </c>
      <c r="DG37" s="228">
        <v>18.72</v>
      </c>
      <c r="DH37" s="228">
        <v>20.02</v>
      </c>
      <c r="DI37" s="228">
        <v>-1.3</v>
      </c>
      <c r="DJ37" s="228">
        <v>-1.3</v>
      </c>
      <c r="DK37" s="228">
        <v>17.84</v>
      </c>
      <c r="DL37" s="228">
        <v>19.690000000000001</v>
      </c>
      <c r="DM37" s="228">
        <v>-1.85</v>
      </c>
      <c r="DN37" s="228">
        <v>-1.85</v>
      </c>
      <c r="DO37" s="228">
        <v>0.56000000000000005</v>
      </c>
      <c r="DP37" s="228">
        <v>0.53</v>
      </c>
      <c r="DQ37" s="228">
        <v>0.03</v>
      </c>
      <c r="DR37" s="229">
        <v>5.6599999999999998E-2</v>
      </c>
      <c r="DS37" s="228">
        <v>290</v>
      </c>
      <c r="DT37" s="228">
        <v>270</v>
      </c>
      <c r="DU37" s="228">
        <v>0.41</v>
      </c>
      <c r="DV37" s="228">
        <v>0.3</v>
      </c>
      <c r="DW37" s="228">
        <v>0.11</v>
      </c>
      <c r="DX37" s="229">
        <v>0.36670000000000003</v>
      </c>
      <c r="DY37" s="229">
        <v>0.36199999999999999</v>
      </c>
      <c r="DZ37" s="230">
        <v>11453200</v>
      </c>
      <c r="EA37" s="229">
        <v>6.7000000000000002E-3</v>
      </c>
      <c r="EB37" s="229">
        <v>0.36199999999999999</v>
      </c>
      <c r="EC37" s="228">
        <v>1.83</v>
      </c>
      <c r="ED37" s="229">
        <v>6.6E-3</v>
      </c>
      <c r="EE37" s="230">
        <v>12189053</v>
      </c>
      <c r="EF37" s="230">
        <v>12535538</v>
      </c>
      <c r="EG37" s="229">
        <v>-2.76E-2</v>
      </c>
      <c r="EH37" s="229">
        <v>0.7419</v>
      </c>
      <c r="EI37" s="231">
        <v>109191.92</v>
      </c>
      <c r="EJ37" s="231">
        <v>44334.55</v>
      </c>
      <c r="EK37" s="231">
        <v>136711.62</v>
      </c>
      <c r="EL37" s="231">
        <v>5829</v>
      </c>
      <c r="EM37" s="231">
        <v>290238.09000000003</v>
      </c>
      <c r="EN37" s="231">
        <v>159183.76999999999</v>
      </c>
      <c r="EO37" s="231">
        <v>131054.32</v>
      </c>
      <c r="EP37" s="229">
        <v>0.82330000000000003</v>
      </c>
      <c r="EQ37" s="231">
        <v>108152</v>
      </c>
      <c r="ER37" s="231">
        <v>57787</v>
      </c>
      <c r="ES37" s="231">
        <v>214676</v>
      </c>
      <c r="ET37" s="231">
        <v>488832949</v>
      </c>
      <c r="EU37" s="231">
        <v>380615</v>
      </c>
      <c r="EV37" s="231">
        <v>400939</v>
      </c>
      <c r="EW37" s="231">
        <v>-20324</v>
      </c>
      <c r="EX37" s="229">
        <v>-5.0700000000000002E-2</v>
      </c>
      <c r="EY37" s="229">
        <v>0.27629999999999999</v>
      </c>
    </row>
    <row r="38" spans="1:155" ht="17.25" thickBot="1" x14ac:dyDescent="0.3">
      <c r="A38" s="226">
        <v>45981</v>
      </c>
      <c r="B38" s="227" t="s">
        <v>193</v>
      </c>
      <c r="C38" s="227" t="s">
        <v>281</v>
      </c>
      <c r="D38" s="231">
        <v>1548</v>
      </c>
      <c r="E38" s="231">
        <v>1518.1</v>
      </c>
      <c r="F38" s="228">
        <v>29.9</v>
      </c>
      <c r="G38" s="229">
        <v>1.9699999999999999E-2</v>
      </c>
      <c r="H38" s="231">
        <v>1549.1</v>
      </c>
      <c r="I38" s="231">
        <v>1518.9</v>
      </c>
      <c r="J38" s="228">
        <v>30.2</v>
      </c>
      <c r="K38" s="229">
        <v>1.9900000000000001E-2</v>
      </c>
      <c r="L38" s="231">
        <v>1548</v>
      </c>
      <c r="M38" s="231">
        <v>1518.1</v>
      </c>
      <c r="N38" s="228">
        <v>29.9</v>
      </c>
      <c r="O38" s="229">
        <v>1.9699999999999999E-2</v>
      </c>
      <c r="P38" s="231">
        <v>1558.6</v>
      </c>
      <c r="Q38" s="231">
        <v>1528.4</v>
      </c>
      <c r="R38" s="228">
        <v>30.2</v>
      </c>
      <c r="S38" s="229">
        <v>1.9800000000000002E-2</v>
      </c>
      <c r="T38" s="231">
        <v>1567.4</v>
      </c>
      <c r="U38" s="231">
        <v>1537.5</v>
      </c>
      <c r="V38" s="228">
        <v>29.9</v>
      </c>
      <c r="W38" s="229">
        <v>1.9400000000000001E-2</v>
      </c>
      <c r="X38" s="228">
        <v>-1.1000000000000001</v>
      </c>
      <c r="Y38" s="228">
        <v>-0.8</v>
      </c>
      <c r="Z38" s="228">
        <v>-0.3</v>
      </c>
      <c r="AA38" s="229">
        <v>-6.9999999999999999E-4</v>
      </c>
      <c r="AB38" s="228">
        <v>-1.1000000000000001</v>
      </c>
      <c r="AC38" s="228">
        <v>-0.8</v>
      </c>
      <c r="AD38" s="228">
        <v>-0.3</v>
      </c>
      <c r="AE38" s="229">
        <v>-6.9999999999999999E-4</v>
      </c>
      <c r="AF38" s="228">
        <v>9.5</v>
      </c>
      <c r="AG38" s="228">
        <v>9.5</v>
      </c>
      <c r="AH38" s="228">
        <v>0</v>
      </c>
      <c r="AI38" s="229">
        <v>6.1000000000000004E-3</v>
      </c>
      <c r="AJ38" s="228">
        <v>18.3</v>
      </c>
      <c r="AK38" s="228">
        <v>18.600000000000001</v>
      </c>
      <c r="AL38" s="228">
        <v>-0.3</v>
      </c>
      <c r="AM38" s="229">
        <v>1.18E-2</v>
      </c>
      <c r="AN38" s="231">
        <v>1541.92</v>
      </c>
      <c r="AO38" s="231">
        <v>1552.45</v>
      </c>
      <c r="AP38" s="228">
        <v>0</v>
      </c>
      <c r="AQ38" s="230">
        <v>119226</v>
      </c>
      <c r="AR38" s="230">
        <v>33986</v>
      </c>
      <c r="AS38" s="230">
        <v>85240</v>
      </c>
      <c r="AT38" s="229">
        <v>2.5081000000000002</v>
      </c>
      <c r="AU38" s="230">
        <v>67872</v>
      </c>
      <c r="AV38" s="230">
        <v>20384</v>
      </c>
      <c r="AW38" s="230">
        <v>47488</v>
      </c>
      <c r="AX38" s="229">
        <v>2.3296999999999999</v>
      </c>
      <c r="AY38" s="230">
        <v>50426</v>
      </c>
      <c r="AZ38" s="230">
        <v>13009</v>
      </c>
      <c r="BA38" s="230">
        <v>37417</v>
      </c>
      <c r="BB38" s="229">
        <v>2.8761999999999999</v>
      </c>
      <c r="BC38" s="228">
        <v>928</v>
      </c>
      <c r="BD38" s="228">
        <v>593</v>
      </c>
      <c r="BE38" s="228">
        <v>335</v>
      </c>
      <c r="BF38" s="229">
        <v>0.56489999999999996</v>
      </c>
      <c r="BG38" s="230">
        <v>408911</v>
      </c>
      <c r="BH38" s="230">
        <v>129378</v>
      </c>
      <c r="BI38" s="230">
        <v>279533</v>
      </c>
      <c r="BJ38" s="229">
        <v>2.1606000000000001</v>
      </c>
      <c r="BK38" s="230">
        <v>187776</v>
      </c>
      <c r="BL38" s="230">
        <v>77387</v>
      </c>
      <c r="BM38" s="230">
        <v>110389</v>
      </c>
      <c r="BN38" s="229">
        <v>1.4265000000000001</v>
      </c>
      <c r="BO38" s="230">
        <v>715913</v>
      </c>
      <c r="BP38" s="230">
        <v>240751</v>
      </c>
      <c r="BQ38" s="230">
        <v>475162</v>
      </c>
      <c r="BR38" s="229">
        <v>1.9737</v>
      </c>
      <c r="BS38" s="230">
        <v>20045267</v>
      </c>
      <c r="BT38" s="230">
        <v>5982320</v>
      </c>
      <c r="BU38" s="230">
        <v>14062947</v>
      </c>
      <c r="BV38" s="229">
        <v>2.3508</v>
      </c>
      <c r="BW38" s="230">
        <v>107776500</v>
      </c>
      <c r="BX38" s="230">
        <v>107717500</v>
      </c>
      <c r="BY38" s="230">
        <v>59000</v>
      </c>
      <c r="BZ38" s="229">
        <v>5.0000000000000001E-4</v>
      </c>
      <c r="CA38" s="230">
        <v>68346500</v>
      </c>
      <c r="CB38" s="230">
        <v>88726500</v>
      </c>
      <c r="CC38" s="230">
        <v>-20380000</v>
      </c>
      <c r="CD38" s="229">
        <v>-0.22969999999999999</v>
      </c>
      <c r="CE38" s="230">
        <v>38439000</v>
      </c>
      <c r="CF38" s="230">
        <v>18119500</v>
      </c>
      <c r="CG38" s="230">
        <v>20319500</v>
      </c>
      <c r="CH38" s="229">
        <v>1.1214</v>
      </c>
      <c r="CI38" s="230">
        <v>991000</v>
      </c>
      <c r="CJ38" s="230">
        <v>871500</v>
      </c>
      <c r="CK38" s="230">
        <v>119500</v>
      </c>
      <c r="CL38" s="229">
        <v>0.1371</v>
      </c>
      <c r="CM38" s="230">
        <v>48184500</v>
      </c>
      <c r="CN38" s="230">
        <v>46298500</v>
      </c>
      <c r="CO38" s="230">
        <v>1886000</v>
      </c>
      <c r="CP38" s="229">
        <v>4.07E-2</v>
      </c>
      <c r="CQ38" s="230">
        <v>35374000</v>
      </c>
      <c r="CR38" s="230">
        <v>30002000</v>
      </c>
      <c r="CS38" s="230">
        <v>5372000</v>
      </c>
      <c r="CT38" s="229">
        <v>0.17910000000000001</v>
      </c>
      <c r="CU38" s="230">
        <v>191335000</v>
      </c>
      <c r="CV38" s="230">
        <v>184018000</v>
      </c>
      <c r="CW38" s="230">
        <v>7317000</v>
      </c>
      <c r="CX38" s="229">
        <v>3.9800000000000002E-2</v>
      </c>
      <c r="CY38" s="228">
        <v>16.97</v>
      </c>
      <c r="CZ38" s="228">
        <v>17.47</v>
      </c>
      <c r="DA38" s="228">
        <v>-0.5</v>
      </c>
      <c r="DB38" s="228">
        <v>-0.5</v>
      </c>
      <c r="DC38" s="228">
        <v>24.11</v>
      </c>
      <c r="DD38" s="228">
        <v>24.03</v>
      </c>
      <c r="DE38" s="228">
        <v>-7.14</v>
      </c>
      <c r="DF38" s="228">
        <v>0.08</v>
      </c>
      <c r="DG38" s="228">
        <v>16.78</v>
      </c>
      <c r="DH38" s="228">
        <v>16.989999999999998</v>
      </c>
      <c r="DI38" s="228">
        <v>-0.21</v>
      </c>
      <c r="DJ38" s="228">
        <v>-0.21</v>
      </c>
      <c r="DK38" s="228">
        <v>17.38</v>
      </c>
      <c r="DL38" s="228">
        <v>18.27</v>
      </c>
      <c r="DM38" s="228">
        <v>-0.89</v>
      </c>
      <c r="DN38" s="228">
        <v>-0.89</v>
      </c>
      <c r="DO38" s="228">
        <v>0.73</v>
      </c>
      <c r="DP38" s="228">
        <v>0.65</v>
      </c>
      <c r="DQ38" s="228">
        <v>0.08</v>
      </c>
      <c r="DR38" s="229">
        <v>0.1231</v>
      </c>
      <c r="DS38" s="231">
        <v>1520</v>
      </c>
      <c r="DT38" s="231">
        <v>1500</v>
      </c>
      <c r="DU38" s="228">
        <v>0.46</v>
      </c>
      <c r="DV38" s="228">
        <v>0.6</v>
      </c>
      <c r="DW38" s="228">
        <v>-0.14000000000000001</v>
      </c>
      <c r="DX38" s="229">
        <v>-0.23330000000000001</v>
      </c>
      <c r="DY38" s="229">
        <v>0.36580000000000001</v>
      </c>
      <c r="DZ38" s="230">
        <v>18991000</v>
      </c>
      <c r="EA38" s="229">
        <v>6.7999999999999996E-3</v>
      </c>
      <c r="EB38" s="229">
        <v>0.36580000000000001</v>
      </c>
      <c r="EC38" s="228">
        <v>10.53</v>
      </c>
      <c r="ED38" s="229">
        <v>6.7999999999999996E-3</v>
      </c>
      <c r="EE38" s="230">
        <v>13349682</v>
      </c>
      <c r="EF38" s="230">
        <v>3601275</v>
      </c>
      <c r="EG38" s="229">
        <v>2.7069000000000001</v>
      </c>
      <c r="EH38" s="229">
        <v>0.66600000000000004</v>
      </c>
      <c r="EI38" s="231">
        <v>3200823.38</v>
      </c>
      <c r="EJ38" s="231">
        <v>1427683.94</v>
      </c>
      <c r="EK38" s="231">
        <v>921915.83</v>
      </c>
      <c r="EL38" s="231">
        <v>25367</v>
      </c>
      <c r="EM38" s="231">
        <v>5550423.1500000004</v>
      </c>
      <c r="EN38" s="231">
        <v>1843511.22</v>
      </c>
      <c r="EO38" s="231">
        <v>3706911.93</v>
      </c>
      <c r="EP38" s="229">
        <v>2.0108000000000001</v>
      </c>
      <c r="EQ38" s="231">
        <v>743517</v>
      </c>
      <c r="ER38" s="231">
        <v>523780</v>
      </c>
      <c r="ES38" s="231">
        <v>1672647</v>
      </c>
      <c r="ET38" s="231">
        <v>662701060</v>
      </c>
      <c r="EU38" s="231">
        <v>2939944</v>
      </c>
      <c r="EV38" s="231">
        <v>2786830</v>
      </c>
      <c r="EW38" s="231">
        <v>153114</v>
      </c>
      <c r="EX38" s="229">
        <v>5.4899999999999997E-2</v>
      </c>
      <c r="EY38" s="229">
        <v>0.28870000000000001</v>
      </c>
    </row>
    <row r="39" spans="1:155" ht="17.25" thickBot="1" x14ac:dyDescent="0.3">
      <c r="A39" s="226">
        <v>45981</v>
      </c>
      <c r="B39" s="227" t="s">
        <v>175</v>
      </c>
      <c r="C39" s="227" t="s">
        <v>462</v>
      </c>
      <c r="D39" s="231">
        <v>2021.1</v>
      </c>
      <c r="E39" s="231">
        <v>2002.4</v>
      </c>
      <c r="F39" s="228">
        <v>18.7</v>
      </c>
      <c r="G39" s="229">
        <v>9.2999999999999992E-3</v>
      </c>
      <c r="H39" s="231">
        <v>2027.1</v>
      </c>
      <c r="I39" s="231">
        <v>2004.8</v>
      </c>
      <c r="J39" s="228">
        <v>22.3</v>
      </c>
      <c r="K39" s="229">
        <v>1.11E-2</v>
      </c>
      <c r="L39" s="231">
        <v>2021.1</v>
      </c>
      <c r="M39" s="231">
        <v>2002.4</v>
      </c>
      <c r="N39" s="228">
        <v>18.7</v>
      </c>
      <c r="O39" s="229">
        <v>9.2999999999999992E-3</v>
      </c>
      <c r="P39" s="231">
        <v>2035</v>
      </c>
      <c r="Q39" s="231">
        <v>2015.5</v>
      </c>
      <c r="R39" s="228">
        <v>19.5</v>
      </c>
      <c r="S39" s="229">
        <v>9.7000000000000003E-3</v>
      </c>
      <c r="T39" s="231">
        <v>2047.1</v>
      </c>
      <c r="U39" s="231">
        <v>2028</v>
      </c>
      <c r="V39" s="228">
        <v>19.100000000000001</v>
      </c>
      <c r="W39" s="229">
        <v>9.4000000000000004E-3</v>
      </c>
      <c r="X39" s="228">
        <v>-6</v>
      </c>
      <c r="Y39" s="228">
        <v>-2.4</v>
      </c>
      <c r="Z39" s="228">
        <v>-3.6</v>
      </c>
      <c r="AA39" s="229">
        <v>-3.0000000000000001E-3</v>
      </c>
      <c r="AB39" s="228">
        <v>-6</v>
      </c>
      <c r="AC39" s="228">
        <v>-2.4</v>
      </c>
      <c r="AD39" s="228">
        <v>-3.6</v>
      </c>
      <c r="AE39" s="229">
        <v>-3.0000000000000001E-3</v>
      </c>
      <c r="AF39" s="228">
        <v>7.9</v>
      </c>
      <c r="AG39" s="228">
        <v>10.7</v>
      </c>
      <c r="AH39" s="228">
        <v>-2.8</v>
      </c>
      <c r="AI39" s="229">
        <v>3.8999999999999998E-3</v>
      </c>
      <c r="AJ39" s="228">
        <v>20</v>
      </c>
      <c r="AK39" s="228">
        <v>23.2</v>
      </c>
      <c r="AL39" s="228">
        <v>-3.2</v>
      </c>
      <c r="AM39" s="229">
        <v>9.9000000000000008E-3</v>
      </c>
      <c r="AN39" s="231">
        <v>2012.34</v>
      </c>
      <c r="AO39" s="231">
        <v>2025.88</v>
      </c>
      <c r="AP39" s="228">
        <v>0</v>
      </c>
      <c r="AQ39" s="230">
        <v>13888</v>
      </c>
      <c r="AR39" s="230">
        <v>2832</v>
      </c>
      <c r="AS39" s="230">
        <v>11056</v>
      </c>
      <c r="AT39" s="229">
        <v>3.9039999999999999</v>
      </c>
      <c r="AU39" s="230">
        <v>7713</v>
      </c>
      <c r="AV39" s="230">
        <v>2152</v>
      </c>
      <c r="AW39" s="230">
        <v>5561</v>
      </c>
      <c r="AX39" s="229">
        <v>2.5840999999999998</v>
      </c>
      <c r="AY39" s="230">
        <v>6122</v>
      </c>
      <c r="AZ39" s="228">
        <v>671</v>
      </c>
      <c r="BA39" s="230">
        <v>5451</v>
      </c>
      <c r="BB39" s="229">
        <v>8.1236999999999995</v>
      </c>
      <c r="BC39" s="228">
        <v>53</v>
      </c>
      <c r="BD39" s="228">
        <v>9</v>
      </c>
      <c r="BE39" s="228">
        <v>44</v>
      </c>
      <c r="BF39" s="229">
        <v>4.8888999999999996</v>
      </c>
      <c r="BG39" s="230">
        <v>22225</v>
      </c>
      <c r="BH39" s="230">
        <v>9037</v>
      </c>
      <c r="BI39" s="230">
        <v>13188</v>
      </c>
      <c r="BJ39" s="229">
        <v>1.4593</v>
      </c>
      <c r="BK39" s="230">
        <v>9049</v>
      </c>
      <c r="BL39" s="230">
        <v>6693</v>
      </c>
      <c r="BM39" s="230">
        <v>2356</v>
      </c>
      <c r="BN39" s="229">
        <v>0.35199999999999998</v>
      </c>
      <c r="BO39" s="230">
        <v>45162</v>
      </c>
      <c r="BP39" s="230">
        <v>18562</v>
      </c>
      <c r="BQ39" s="230">
        <v>26600</v>
      </c>
      <c r="BR39" s="229">
        <v>1.4330000000000001</v>
      </c>
      <c r="BS39" s="230">
        <v>817218</v>
      </c>
      <c r="BT39" s="230">
        <v>902870</v>
      </c>
      <c r="BU39" s="230">
        <v>-85652</v>
      </c>
      <c r="BV39" s="229">
        <v>-9.4899999999999998E-2</v>
      </c>
      <c r="BW39" s="230">
        <v>8203125</v>
      </c>
      <c r="BX39" s="230">
        <v>7881000</v>
      </c>
      <c r="BY39" s="230">
        <v>322125</v>
      </c>
      <c r="BZ39" s="229">
        <v>4.0899999999999999E-2</v>
      </c>
      <c r="CA39" s="230">
        <v>5598375</v>
      </c>
      <c r="CB39" s="230">
        <v>7210125</v>
      </c>
      <c r="CC39" s="230">
        <v>-1611750</v>
      </c>
      <c r="CD39" s="229">
        <v>-0.2235</v>
      </c>
      <c r="CE39" s="230">
        <v>2570625</v>
      </c>
      <c r="CF39" s="230">
        <v>643125</v>
      </c>
      <c r="CG39" s="230">
        <v>1927500</v>
      </c>
      <c r="CH39" s="229">
        <v>2.9971000000000001</v>
      </c>
      <c r="CI39" s="230">
        <v>34125</v>
      </c>
      <c r="CJ39" s="230">
        <v>27750</v>
      </c>
      <c r="CK39" s="230">
        <v>6375</v>
      </c>
      <c r="CL39" s="229">
        <v>0.22969999999999999</v>
      </c>
      <c r="CM39" s="230">
        <v>5697750</v>
      </c>
      <c r="CN39" s="230">
        <v>5248125</v>
      </c>
      <c r="CO39" s="230">
        <v>449625</v>
      </c>
      <c r="CP39" s="229">
        <v>8.5699999999999998E-2</v>
      </c>
      <c r="CQ39" s="230">
        <v>3728625</v>
      </c>
      <c r="CR39" s="230">
        <v>3350625</v>
      </c>
      <c r="CS39" s="230">
        <v>378000</v>
      </c>
      <c r="CT39" s="229">
        <v>0.1128</v>
      </c>
      <c r="CU39" s="230">
        <v>17629500</v>
      </c>
      <c r="CV39" s="230">
        <v>16479750</v>
      </c>
      <c r="CW39" s="230">
        <v>1149750</v>
      </c>
      <c r="CX39" s="229">
        <v>6.9800000000000001E-2</v>
      </c>
      <c r="CY39" s="228">
        <v>19.489999999999998</v>
      </c>
      <c r="CZ39" s="228">
        <v>16.11</v>
      </c>
      <c r="DA39" s="228">
        <v>3.38</v>
      </c>
      <c r="DB39" s="228">
        <v>3.38</v>
      </c>
      <c r="DC39" s="228">
        <v>25.06</v>
      </c>
      <c r="DD39" s="228">
        <v>25.08</v>
      </c>
      <c r="DE39" s="228">
        <v>-5.57</v>
      </c>
      <c r="DF39" s="228">
        <v>-0.02</v>
      </c>
      <c r="DG39" s="228">
        <v>19.350000000000001</v>
      </c>
      <c r="DH39" s="228">
        <v>13.83</v>
      </c>
      <c r="DI39" s="228">
        <v>5.52</v>
      </c>
      <c r="DJ39" s="228">
        <v>5.52</v>
      </c>
      <c r="DK39" s="228">
        <v>19.93</v>
      </c>
      <c r="DL39" s="228">
        <v>19.2</v>
      </c>
      <c r="DM39" s="228">
        <v>0.73</v>
      </c>
      <c r="DN39" s="228">
        <v>0.73</v>
      </c>
      <c r="DO39" s="228">
        <v>0.65</v>
      </c>
      <c r="DP39" s="228">
        <v>0.64</v>
      </c>
      <c r="DQ39" s="228">
        <v>0.01</v>
      </c>
      <c r="DR39" s="229">
        <v>1.5599999999999999E-2</v>
      </c>
      <c r="DS39" s="231">
        <v>2020</v>
      </c>
      <c r="DT39" s="231">
        <v>2000</v>
      </c>
      <c r="DU39" s="228">
        <v>0.41</v>
      </c>
      <c r="DV39" s="228">
        <v>0.74</v>
      </c>
      <c r="DW39" s="228">
        <v>-0.33</v>
      </c>
      <c r="DX39" s="229">
        <v>-0.44590000000000002</v>
      </c>
      <c r="DY39" s="229">
        <v>0.3175</v>
      </c>
      <c r="DZ39" s="230">
        <v>670875</v>
      </c>
      <c r="EA39" s="229">
        <v>6.8999999999999999E-3</v>
      </c>
      <c r="EB39" s="229">
        <v>0.3175</v>
      </c>
      <c r="EC39" s="228">
        <v>13.54</v>
      </c>
      <c r="ED39" s="229">
        <v>6.7000000000000002E-3</v>
      </c>
      <c r="EE39" s="230">
        <v>559028</v>
      </c>
      <c r="EF39" s="230">
        <v>691084</v>
      </c>
      <c r="EG39" s="229">
        <v>-0.19109999999999999</v>
      </c>
      <c r="EH39" s="229">
        <v>0.68410000000000004</v>
      </c>
      <c r="EI39" s="231">
        <v>170412.48</v>
      </c>
      <c r="EJ39" s="231">
        <v>67266.490000000005</v>
      </c>
      <c r="EK39" s="231">
        <v>105118.86</v>
      </c>
      <c r="EL39" s="231">
        <v>2798</v>
      </c>
      <c r="EM39" s="231">
        <v>342797.83</v>
      </c>
      <c r="EN39" s="231">
        <v>139294.34</v>
      </c>
      <c r="EO39" s="231">
        <v>203503.49</v>
      </c>
      <c r="EP39" s="229">
        <v>1.4610000000000001</v>
      </c>
      <c r="EQ39" s="231">
        <v>115308</v>
      </c>
      <c r="ER39" s="231">
        <v>72170</v>
      </c>
      <c r="ES39" s="231">
        <v>166160</v>
      </c>
      <c r="ET39" s="231">
        <v>44735132</v>
      </c>
      <c r="EU39" s="231">
        <v>353637</v>
      </c>
      <c r="EV39" s="231">
        <v>328308</v>
      </c>
      <c r="EW39" s="231">
        <v>25329</v>
      </c>
      <c r="EX39" s="229">
        <v>7.7200000000000005E-2</v>
      </c>
      <c r="EY39" s="229">
        <v>0.39410000000000001</v>
      </c>
    </row>
    <row r="40" spans="1:155" ht="17.25" thickBot="1" x14ac:dyDescent="0.3">
      <c r="A40" s="226">
        <v>45981</v>
      </c>
      <c r="B40" s="227" t="s">
        <v>172</v>
      </c>
      <c r="C40" s="227" t="s">
        <v>283</v>
      </c>
      <c r="D40" s="228">
        <v>980.5</v>
      </c>
      <c r="E40" s="228">
        <v>982.15</v>
      </c>
      <c r="F40" s="228">
        <v>-1.65</v>
      </c>
      <c r="G40" s="229">
        <v>-1.6999999999999999E-3</v>
      </c>
      <c r="H40" s="228">
        <v>981.55</v>
      </c>
      <c r="I40" s="228">
        <v>982.75</v>
      </c>
      <c r="J40" s="228">
        <v>-1.2</v>
      </c>
      <c r="K40" s="229">
        <v>-1.1999999999999999E-3</v>
      </c>
      <c r="L40" s="228">
        <v>980.5</v>
      </c>
      <c r="M40" s="228">
        <v>982.15</v>
      </c>
      <c r="N40" s="228">
        <v>-1.65</v>
      </c>
      <c r="O40" s="229">
        <v>-1.6999999999999999E-3</v>
      </c>
      <c r="P40" s="228">
        <v>987.55</v>
      </c>
      <c r="Q40" s="228">
        <v>988.65</v>
      </c>
      <c r="R40" s="228">
        <v>-1.1000000000000001</v>
      </c>
      <c r="S40" s="229">
        <v>-1.1000000000000001E-3</v>
      </c>
      <c r="T40" s="228">
        <v>993.6</v>
      </c>
      <c r="U40" s="228">
        <v>994.6</v>
      </c>
      <c r="V40" s="228">
        <v>-1</v>
      </c>
      <c r="W40" s="229">
        <v>-1E-3</v>
      </c>
      <c r="X40" s="228">
        <v>-1.05</v>
      </c>
      <c r="Y40" s="228">
        <v>-0.6</v>
      </c>
      <c r="Z40" s="228">
        <v>-0.45</v>
      </c>
      <c r="AA40" s="229">
        <v>-1.1000000000000001E-3</v>
      </c>
      <c r="AB40" s="228">
        <v>-1.05</v>
      </c>
      <c r="AC40" s="228">
        <v>-0.6</v>
      </c>
      <c r="AD40" s="228">
        <v>-0.45</v>
      </c>
      <c r="AE40" s="229">
        <v>-1.1000000000000001E-3</v>
      </c>
      <c r="AF40" s="228">
        <v>6</v>
      </c>
      <c r="AG40" s="228">
        <v>5.9</v>
      </c>
      <c r="AH40" s="228">
        <v>0.1</v>
      </c>
      <c r="AI40" s="229">
        <v>6.1000000000000004E-3</v>
      </c>
      <c r="AJ40" s="228">
        <v>12.05</v>
      </c>
      <c r="AK40" s="228">
        <v>11.85</v>
      </c>
      <c r="AL40" s="228">
        <v>0.2</v>
      </c>
      <c r="AM40" s="229">
        <v>1.23E-2</v>
      </c>
      <c r="AN40" s="228">
        <v>981.26</v>
      </c>
      <c r="AO40" s="228">
        <v>987.98</v>
      </c>
      <c r="AP40" s="228">
        <v>0</v>
      </c>
      <c r="AQ40" s="230">
        <v>56707</v>
      </c>
      <c r="AR40" s="230">
        <v>27310</v>
      </c>
      <c r="AS40" s="230">
        <v>29397</v>
      </c>
      <c r="AT40" s="229">
        <v>1.0764</v>
      </c>
      <c r="AU40" s="230">
        <v>30442</v>
      </c>
      <c r="AV40" s="230">
        <v>18730</v>
      </c>
      <c r="AW40" s="230">
        <v>11712</v>
      </c>
      <c r="AX40" s="229">
        <v>0.62529999999999997</v>
      </c>
      <c r="AY40" s="230">
        <v>26047</v>
      </c>
      <c r="AZ40" s="230">
        <v>8069</v>
      </c>
      <c r="BA40" s="230">
        <v>17978</v>
      </c>
      <c r="BB40" s="229">
        <v>2.2280000000000002</v>
      </c>
      <c r="BC40" s="228">
        <v>218</v>
      </c>
      <c r="BD40" s="228">
        <v>511</v>
      </c>
      <c r="BE40" s="228">
        <v>-293</v>
      </c>
      <c r="BF40" s="229">
        <v>-0.57340000000000002</v>
      </c>
      <c r="BG40" s="230">
        <v>95846</v>
      </c>
      <c r="BH40" s="230">
        <v>141282</v>
      </c>
      <c r="BI40" s="230">
        <v>-45436</v>
      </c>
      <c r="BJ40" s="229">
        <v>-0.3216</v>
      </c>
      <c r="BK40" s="230">
        <v>65818</v>
      </c>
      <c r="BL40" s="230">
        <v>100230</v>
      </c>
      <c r="BM40" s="230">
        <v>-34412</v>
      </c>
      <c r="BN40" s="229">
        <v>-0.34329999999999999</v>
      </c>
      <c r="BO40" s="230">
        <v>218371</v>
      </c>
      <c r="BP40" s="230">
        <v>268822</v>
      </c>
      <c r="BQ40" s="230">
        <v>-50451</v>
      </c>
      <c r="BR40" s="229">
        <v>-0.18770000000000001</v>
      </c>
      <c r="BS40" s="230">
        <v>7450855</v>
      </c>
      <c r="BT40" s="230">
        <v>8532004</v>
      </c>
      <c r="BU40" s="230">
        <v>-1081149</v>
      </c>
      <c r="BV40" s="229">
        <v>-0.12670000000000001</v>
      </c>
      <c r="BW40" s="230">
        <v>74055750</v>
      </c>
      <c r="BX40" s="230">
        <v>75156000</v>
      </c>
      <c r="BY40" s="230">
        <v>-1100250</v>
      </c>
      <c r="BZ40" s="229">
        <v>-1.46E-2</v>
      </c>
      <c r="CA40" s="230">
        <v>45949500</v>
      </c>
      <c r="CB40" s="230">
        <v>62091000</v>
      </c>
      <c r="CC40" s="230">
        <v>-16141500</v>
      </c>
      <c r="CD40" s="229">
        <v>-0.26</v>
      </c>
      <c r="CE40" s="230">
        <v>27114750</v>
      </c>
      <c r="CF40" s="230">
        <v>12152250</v>
      </c>
      <c r="CG40" s="230">
        <v>14962500</v>
      </c>
      <c r="CH40" s="229">
        <v>1.2313000000000001</v>
      </c>
      <c r="CI40" s="230">
        <v>991500</v>
      </c>
      <c r="CJ40" s="230">
        <v>912750</v>
      </c>
      <c r="CK40" s="230">
        <v>78750</v>
      </c>
      <c r="CL40" s="229">
        <v>8.6300000000000002E-2</v>
      </c>
      <c r="CM40" s="230">
        <v>48297000</v>
      </c>
      <c r="CN40" s="230">
        <v>47626500</v>
      </c>
      <c r="CO40" s="230">
        <v>670500</v>
      </c>
      <c r="CP40" s="229">
        <v>1.41E-2</v>
      </c>
      <c r="CQ40" s="230">
        <v>44024250</v>
      </c>
      <c r="CR40" s="230">
        <v>47034000</v>
      </c>
      <c r="CS40" s="230">
        <v>-3009750</v>
      </c>
      <c r="CT40" s="229">
        <v>-6.4000000000000001E-2</v>
      </c>
      <c r="CU40" s="230">
        <v>166377000</v>
      </c>
      <c r="CV40" s="230">
        <v>169816500</v>
      </c>
      <c r="CW40" s="230">
        <v>-3439500</v>
      </c>
      <c r="CX40" s="229">
        <v>-2.0299999999999999E-2</v>
      </c>
      <c r="CY40" s="228">
        <v>16.98</v>
      </c>
      <c r="CZ40" s="228">
        <v>17.059999999999999</v>
      </c>
      <c r="DA40" s="228">
        <v>-0.08</v>
      </c>
      <c r="DB40" s="228">
        <v>-0.08</v>
      </c>
      <c r="DC40" s="228">
        <v>25.3</v>
      </c>
      <c r="DD40" s="228">
        <v>25.36</v>
      </c>
      <c r="DE40" s="228">
        <v>-8.32</v>
      </c>
      <c r="DF40" s="228">
        <v>-0.06</v>
      </c>
      <c r="DG40" s="228">
        <v>16.63</v>
      </c>
      <c r="DH40" s="228">
        <v>15.74</v>
      </c>
      <c r="DI40" s="228">
        <v>0.89</v>
      </c>
      <c r="DJ40" s="228">
        <v>0.89</v>
      </c>
      <c r="DK40" s="228">
        <v>17.600000000000001</v>
      </c>
      <c r="DL40" s="228">
        <v>18.920000000000002</v>
      </c>
      <c r="DM40" s="228">
        <v>-1.32</v>
      </c>
      <c r="DN40" s="228">
        <v>-1.32</v>
      </c>
      <c r="DO40" s="228">
        <v>0.91</v>
      </c>
      <c r="DP40" s="228">
        <v>0.99</v>
      </c>
      <c r="DQ40" s="228">
        <v>-0.08</v>
      </c>
      <c r="DR40" s="229">
        <v>-8.0799999999999997E-2</v>
      </c>
      <c r="DS40" s="228">
        <v>970</v>
      </c>
      <c r="DT40" s="228">
        <v>960</v>
      </c>
      <c r="DU40" s="228">
        <v>0.69</v>
      </c>
      <c r="DV40" s="228">
        <v>0.71</v>
      </c>
      <c r="DW40" s="228">
        <v>-0.02</v>
      </c>
      <c r="DX40" s="229">
        <v>-2.8199999999999999E-2</v>
      </c>
      <c r="DY40" s="229">
        <v>0.3795</v>
      </c>
      <c r="DZ40" s="230">
        <v>13065000</v>
      </c>
      <c r="EA40" s="229">
        <v>7.1999999999999998E-3</v>
      </c>
      <c r="EB40" s="229">
        <v>0.3795</v>
      </c>
      <c r="EC40" s="228">
        <v>6.72</v>
      </c>
      <c r="ED40" s="229">
        <v>6.7999999999999996E-3</v>
      </c>
      <c r="EE40" s="230">
        <v>4119040</v>
      </c>
      <c r="EF40" s="230">
        <v>5026102</v>
      </c>
      <c r="EG40" s="229">
        <v>-0.18049999999999999</v>
      </c>
      <c r="EH40" s="229">
        <v>0.55279999999999996</v>
      </c>
      <c r="EI40" s="231">
        <v>717246.92</v>
      </c>
      <c r="EJ40" s="231">
        <v>476473.9</v>
      </c>
      <c r="EK40" s="231">
        <v>418664.39</v>
      </c>
      <c r="EL40" s="231">
        <v>19001</v>
      </c>
      <c r="EM40" s="231">
        <v>1612385.21</v>
      </c>
      <c r="EN40" s="231">
        <v>1976264.08</v>
      </c>
      <c r="EO40" s="231">
        <v>-363878.87</v>
      </c>
      <c r="EP40" s="229">
        <v>-0.18410000000000001</v>
      </c>
      <c r="EQ40" s="231">
        <v>471961</v>
      </c>
      <c r="ER40" s="231">
        <v>409830</v>
      </c>
      <c r="ES40" s="231">
        <v>728158</v>
      </c>
      <c r="ET40" s="231">
        <v>407307212</v>
      </c>
      <c r="EU40" s="231">
        <v>1609949</v>
      </c>
      <c r="EV40" s="231">
        <v>1640951</v>
      </c>
      <c r="EW40" s="231">
        <v>-31002</v>
      </c>
      <c r="EX40" s="229">
        <v>-1.89E-2</v>
      </c>
      <c r="EY40" s="229">
        <v>0.40849999999999997</v>
      </c>
    </row>
    <row r="41" spans="1:155" ht="17.25" thickBot="1" x14ac:dyDescent="0.3">
      <c r="A41" s="226">
        <v>45981</v>
      </c>
      <c r="B41" s="227" t="s">
        <v>175</v>
      </c>
      <c r="C41" s="227" t="s">
        <v>562</v>
      </c>
      <c r="D41" s="228">
        <v>826.6</v>
      </c>
      <c r="E41" s="228">
        <v>819.3</v>
      </c>
      <c r="F41" s="228">
        <v>7.3</v>
      </c>
      <c r="G41" s="229">
        <v>8.8999999999999999E-3</v>
      </c>
      <c r="H41" s="228">
        <v>826.6</v>
      </c>
      <c r="I41" s="228">
        <v>818.05</v>
      </c>
      <c r="J41" s="228">
        <v>8.5500000000000007</v>
      </c>
      <c r="K41" s="229">
        <v>1.0500000000000001E-2</v>
      </c>
      <c r="L41" s="228">
        <v>826.6</v>
      </c>
      <c r="M41" s="228">
        <v>819.3</v>
      </c>
      <c r="N41" s="228">
        <v>7.3</v>
      </c>
      <c r="O41" s="229">
        <v>8.8999999999999999E-3</v>
      </c>
      <c r="P41" s="228">
        <v>832.2</v>
      </c>
      <c r="Q41" s="228">
        <v>824.7</v>
      </c>
      <c r="R41" s="228">
        <v>7.5</v>
      </c>
      <c r="S41" s="229">
        <v>9.1000000000000004E-3</v>
      </c>
      <c r="T41" s="228">
        <v>836.65</v>
      </c>
      <c r="U41" s="228">
        <v>829.9</v>
      </c>
      <c r="V41" s="228">
        <v>6.75</v>
      </c>
      <c r="W41" s="229">
        <v>8.0999999999999996E-3</v>
      </c>
      <c r="X41" s="228">
        <v>0</v>
      </c>
      <c r="Y41" s="228">
        <v>1.25</v>
      </c>
      <c r="Z41" s="228">
        <v>-1.25</v>
      </c>
      <c r="AA41" s="229">
        <v>0</v>
      </c>
      <c r="AB41" s="228">
        <v>0</v>
      </c>
      <c r="AC41" s="228">
        <v>1.25</v>
      </c>
      <c r="AD41" s="228">
        <v>-1.25</v>
      </c>
      <c r="AE41" s="229">
        <v>0</v>
      </c>
      <c r="AF41" s="228">
        <v>5.6</v>
      </c>
      <c r="AG41" s="228">
        <v>6.65</v>
      </c>
      <c r="AH41" s="228">
        <v>-1.05</v>
      </c>
      <c r="AI41" s="229">
        <v>6.7999999999999996E-3</v>
      </c>
      <c r="AJ41" s="228">
        <v>10.050000000000001</v>
      </c>
      <c r="AK41" s="228">
        <v>11.85</v>
      </c>
      <c r="AL41" s="228">
        <v>-1.8</v>
      </c>
      <c r="AM41" s="229">
        <v>1.2200000000000001E-2</v>
      </c>
      <c r="AN41" s="228">
        <v>822.73</v>
      </c>
      <c r="AO41" s="228">
        <v>828.31</v>
      </c>
      <c r="AP41" s="228">
        <v>0</v>
      </c>
      <c r="AQ41" s="230">
        <v>34680</v>
      </c>
      <c r="AR41" s="230">
        <v>9685</v>
      </c>
      <c r="AS41" s="230">
        <v>24995</v>
      </c>
      <c r="AT41" s="229">
        <v>2.5808</v>
      </c>
      <c r="AU41" s="230">
        <v>18361</v>
      </c>
      <c r="AV41" s="230">
        <v>5934</v>
      </c>
      <c r="AW41" s="230">
        <v>12427</v>
      </c>
      <c r="AX41" s="229">
        <v>2.0941999999999998</v>
      </c>
      <c r="AY41" s="230">
        <v>16269</v>
      </c>
      <c r="AZ41" s="230">
        <v>3696</v>
      </c>
      <c r="BA41" s="230">
        <v>12573</v>
      </c>
      <c r="BB41" s="229">
        <v>3.4018000000000002</v>
      </c>
      <c r="BC41" s="228">
        <v>50</v>
      </c>
      <c r="BD41" s="228">
        <v>55</v>
      </c>
      <c r="BE41" s="228">
        <v>-5</v>
      </c>
      <c r="BF41" s="229">
        <v>-9.0899999999999995E-2</v>
      </c>
      <c r="BG41" s="230">
        <v>20248</v>
      </c>
      <c r="BH41" s="230">
        <v>19478</v>
      </c>
      <c r="BI41" s="228">
        <v>770</v>
      </c>
      <c r="BJ41" s="229">
        <v>3.95E-2</v>
      </c>
      <c r="BK41" s="230">
        <v>11476</v>
      </c>
      <c r="BL41" s="230">
        <v>12869</v>
      </c>
      <c r="BM41" s="230">
        <v>-1393</v>
      </c>
      <c r="BN41" s="229">
        <v>-0.1082</v>
      </c>
      <c r="BO41" s="230">
        <v>66404</v>
      </c>
      <c r="BP41" s="230">
        <v>42032</v>
      </c>
      <c r="BQ41" s="230">
        <v>24372</v>
      </c>
      <c r="BR41" s="229">
        <v>0.57979999999999998</v>
      </c>
      <c r="BS41" s="230">
        <v>3266810</v>
      </c>
      <c r="BT41" s="230">
        <v>3805005</v>
      </c>
      <c r="BU41" s="230">
        <v>-538195</v>
      </c>
      <c r="BV41" s="229">
        <v>-0.1414</v>
      </c>
      <c r="BW41" s="230">
        <v>56429175</v>
      </c>
      <c r="BX41" s="230">
        <v>56970375</v>
      </c>
      <c r="BY41" s="230">
        <v>-541200</v>
      </c>
      <c r="BZ41" s="229">
        <v>-9.4999999999999998E-3</v>
      </c>
      <c r="CA41" s="230">
        <v>36209250</v>
      </c>
      <c r="CB41" s="230">
        <v>48283125</v>
      </c>
      <c r="CC41" s="230">
        <v>-12073875</v>
      </c>
      <c r="CD41" s="229">
        <v>-0.25009999999999999</v>
      </c>
      <c r="CE41" s="230">
        <v>19799175</v>
      </c>
      <c r="CF41" s="230">
        <v>8273925</v>
      </c>
      <c r="CG41" s="230">
        <v>11525250</v>
      </c>
      <c r="CH41" s="229">
        <v>1.393</v>
      </c>
      <c r="CI41" s="230">
        <v>420750</v>
      </c>
      <c r="CJ41" s="230">
        <v>413325</v>
      </c>
      <c r="CK41" s="230">
        <v>7425</v>
      </c>
      <c r="CL41" s="229">
        <v>1.7999999999999999E-2</v>
      </c>
      <c r="CM41" s="230">
        <v>16382850</v>
      </c>
      <c r="CN41" s="230">
        <v>17776275</v>
      </c>
      <c r="CO41" s="230">
        <v>-1393425</v>
      </c>
      <c r="CP41" s="229">
        <v>-7.8399999999999997E-2</v>
      </c>
      <c r="CQ41" s="230">
        <v>14878050</v>
      </c>
      <c r="CR41" s="230">
        <v>15579300</v>
      </c>
      <c r="CS41" s="230">
        <v>-701250</v>
      </c>
      <c r="CT41" s="229">
        <v>-4.4999999999999998E-2</v>
      </c>
      <c r="CU41" s="230">
        <v>87690075</v>
      </c>
      <c r="CV41" s="230">
        <v>90325950</v>
      </c>
      <c r="CW41" s="230">
        <v>-2635875</v>
      </c>
      <c r="CX41" s="229">
        <v>-2.92E-2</v>
      </c>
      <c r="CY41" s="228">
        <v>29.51</v>
      </c>
      <c r="CZ41" s="228">
        <v>30.75</v>
      </c>
      <c r="DA41" s="228">
        <v>-1.24</v>
      </c>
      <c r="DB41" s="228">
        <v>-1.24</v>
      </c>
      <c r="DC41" s="228">
        <v>40.049999999999997</v>
      </c>
      <c r="DD41" s="228">
        <v>40.119999999999997</v>
      </c>
      <c r="DE41" s="228">
        <v>-10.54</v>
      </c>
      <c r="DF41" s="228">
        <v>-7.0000000000000007E-2</v>
      </c>
      <c r="DG41" s="228">
        <v>29.27</v>
      </c>
      <c r="DH41" s="228">
        <v>29.96</v>
      </c>
      <c r="DI41" s="228">
        <v>-0.69</v>
      </c>
      <c r="DJ41" s="228">
        <v>-0.69</v>
      </c>
      <c r="DK41" s="228">
        <v>29.89</v>
      </c>
      <c r="DL41" s="228">
        <v>31.94</v>
      </c>
      <c r="DM41" s="228">
        <v>-2.0499999999999998</v>
      </c>
      <c r="DN41" s="228">
        <v>-2.0499999999999998</v>
      </c>
      <c r="DO41" s="228">
        <v>0.91</v>
      </c>
      <c r="DP41" s="228">
        <v>0.88</v>
      </c>
      <c r="DQ41" s="228">
        <v>0.03</v>
      </c>
      <c r="DR41" s="229">
        <v>3.4099999999999998E-2</v>
      </c>
      <c r="DS41" s="228">
        <v>820</v>
      </c>
      <c r="DT41" s="228">
        <v>800</v>
      </c>
      <c r="DU41" s="228">
        <v>0.56999999999999995</v>
      </c>
      <c r="DV41" s="228">
        <v>0.66</v>
      </c>
      <c r="DW41" s="228">
        <v>-0.09</v>
      </c>
      <c r="DX41" s="229">
        <v>-0.13639999999999999</v>
      </c>
      <c r="DY41" s="229">
        <v>0.35830000000000001</v>
      </c>
      <c r="DZ41" s="230">
        <v>8687250</v>
      </c>
      <c r="EA41" s="229">
        <v>6.7999999999999996E-3</v>
      </c>
      <c r="EB41" s="229">
        <v>0.35830000000000001</v>
      </c>
      <c r="EC41" s="228">
        <v>5.58</v>
      </c>
      <c r="ED41" s="229">
        <v>6.7999999999999996E-3</v>
      </c>
      <c r="EE41" s="230">
        <v>1639400</v>
      </c>
      <c r="EF41" s="230">
        <v>2184574</v>
      </c>
      <c r="EG41" s="229">
        <v>-0.24959999999999999</v>
      </c>
      <c r="EH41" s="229">
        <v>0.50180000000000002</v>
      </c>
      <c r="EI41" s="231">
        <v>141656.38</v>
      </c>
      <c r="EJ41" s="231">
        <v>75402.5</v>
      </c>
      <c r="EK41" s="231">
        <v>236144.79</v>
      </c>
      <c r="EL41" s="231">
        <v>11118</v>
      </c>
      <c r="EM41" s="231">
        <v>453203.67</v>
      </c>
      <c r="EN41" s="231">
        <v>286997.3</v>
      </c>
      <c r="EO41" s="231">
        <v>166206.37</v>
      </c>
      <c r="EP41" s="229">
        <v>0.57909999999999995</v>
      </c>
      <c r="EQ41" s="231">
        <v>135369</v>
      </c>
      <c r="ER41" s="231">
        <v>112518</v>
      </c>
      <c r="ES41" s="231">
        <v>467595</v>
      </c>
      <c r="ET41" s="231">
        <v>210459276</v>
      </c>
      <c r="EU41" s="231">
        <v>715482</v>
      </c>
      <c r="EV41" s="231">
        <v>732119</v>
      </c>
      <c r="EW41" s="231">
        <v>-16637</v>
      </c>
      <c r="EX41" s="229">
        <v>-2.2700000000000001E-2</v>
      </c>
      <c r="EY41" s="229">
        <v>0.41670000000000001</v>
      </c>
    </row>
    <row r="42" spans="1:155" ht="17.25" thickBot="1" x14ac:dyDescent="0.3">
      <c r="A42" s="226">
        <v>45981</v>
      </c>
      <c r="B42" s="227" t="s">
        <v>170</v>
      </c>
      <c r="C42" s="227" t="s">
        <v>288</v>
      </c>
      <c r="D42" s="231">
        <v>1779.1</v>
      </c>
      <c r="E42" s="231">
        <v>1782.8</v>
      </c>
      <c r="F42" s="228">
        <v>-3.7</v>
      </c>
      <c r="G42" s="229">
        <v>-2.0999999999999999E-3</v>
      </c>
      <c r="H42" s="231">
        <v>1777.4</v>
      </c>
      <c r="I42" s="231">
        <v>1784.1</v>
      </c>
      <c r="J42" s="228">
        <v>-6.7</v>
      </c>
      <c r="K42" s="229">
        <v>-3.8E-3</v>
      </c>
      <c r="L42" s="231">
        <v>1779.1</v>
      </c>
      <c r="M42" s="231">
        <v>1782.8</v>
      </c>
      <c r="N42" s="228">
        <v>-3.7</v>
      </c>
      <c r="O42" s="229">
        <v>-2.0999999999999999E-3</v>
      </c>
      <c r="P42" s="231">
        <v>1791.1</v>
      </c>
      <c r="Q42" s="231">
        <v>1794.9</v>
      </c>
      <c r="R42" s="228">
        <v>-3.8</v>
      </c>
      <c r="S42" s="229">
        <v>-2.0999999999999999E-3</v>
      </c>
      <c r="T42" s="231">
        <v>1801.4</v>
      </c>
      <c r="U42" s="231">
        <v>1809.2</v>
      </c>
      <c r="V42" s="228">
        <v>-7.8</v>
      </c>
      <c r="W42" s="229">
        <v>-4.3E-3</v>
      </c>
      <c r="X42" s="228">
        <v>1.7</v>
      </c>
      <c r="Y42" s="228">
        <v>-1.3</v>
      </c>
      <c r="Z42" s="228">
        <v>3</v>
      </c>
      <c r="AA42" s="229">
        <v>1E-3</v>
      </c>
      <c r="AB42" s="228">
        <v>1.7</v>
      </c>
      <c r="AC42" s="228">
        <v>-1.3</v>
      </c>
      <c r="AD42" s="228">
        <v>3</v>
      </c>
      <c r="AE42" s="229">
        <v>1E-3</v>
      </c>
      <c r="AF42" s="228">
        <v>13.7</v>
      </c>
      <c r="AG42" s="228">
        <v>10.8</v>
      </c>
      <c r="AH42" s="228">
        <v>2.9</v>
      </c>
      <c r="AI42" s="229">
        <v>7.7000000000000002E-3</v>
      </c>
      <c r="AJ42" s="228">
        <v>24</v>
      </c>
      <c r="AK42" s="228">
        <v>25.1</v>
      </c>
      <c r="AL42" s="228">
        <v>-1.1000000000000001</v>
      </c>
      <c r="AM42" s="229">
        <v>1.35E-2</v>
      </c>
      <c r="AN42" s="231">
        <v>1780.82</v>
      </c>
      <c r="AO42" s="231">
        <v>1792.79</v>
      </c>
      <c r="AP42" s="228">
        <v>0</v>
      </c>
      <c r="AQ42" s="230">
        <v>21154</v>
      </c>
      <c r="AR42" s="230">
        <v>8600</v>
      </c>
      <c r="AS42" s="230">
        <v>12554</v>
      </c>
      <c r="AT42" s="229">
        <v>1.4598</v>
      </c>
      <c r="AU42" s="230">
        <v>10748</v>
      </c>
      <c r="AV42" s="230">
        <v>6062</v>
      </c>
      <c r="AW42" s="230">
        <v>4686</v>
      </c>
      <c r="AX42" s="229">
        <v>0.77300000000000002</v>
      </c>
      <c r="AY42" s="230">
        <v>10366</v>
      </c>
      <c r="AZ42" s="230">
        <v>2492</v>
      </c>
      <c r="BA42" s="230">
        <v>7874</v>
      </c>
      <c r="BB42" s="229">
        <v>3.1597</v>
      </c>
      <c r="BC42" s="228">
        <v>40</v>
      </c>
      <c r="BD42" s="228">
        <v>46</v>
      </c>
      <c r="BE42" s="228">
        <v>-6</v>
      </c>
      <c r="BF42" s="229">
        <v>-0.13039999999999999</v>
      </c>
      <c r="BG42" s="230">
        <v>19131</v>
      </c>
      <c r="BH42" s="230">
        <v>41400</v>
      </c>
      <c r="BI42" s="230">
        <v>-22269</v>
      </c>
      <c r="BJ42" s="229">
        <v>-0.53790000000000004</v>
      </c>
      <c r="BK42" s="230">
        <v>12716</v>
      </c>
      <c r="BL42" s="230">
        <v>23215</v>
      </c>
      <c r="BM42" s="230">
        <v>-10499</v>
      </c>
      <c r="BN42" s="229">
        <v>-0.45229999999999998</v>
      </c>
      <c r="BO42" s="230">
        <v>53001</v>
      </c>
      <c r="BP42" s="230">
        <v>73215</v>
      </c>
      <c r="BQ42" s="230">
        <v>-20214</v>
      </c>
      <c r="BR42" s="229">
        <v>-0.27610000000000001</v>
      </c>
      <c r="BS42" s="230">
        <v>1593462</v>
      </c>
      <c r="BT42" s="230">
        <v>2154519</v>
      </c>
      <c r="BU42" s="230">
        <v>-561057</v>
      </c>
      <c r="BV42" s="229">
        <v>-0.26040000000000002</v>
      </c>
      <c r="BW42" s="230">
        <v>15747550</v>
      </c>
      <c r="BX42" s="230">
        <v>15588300</v>
      </c>
      <c r="BY42" s="230">
        <v>159250</v>
      </c>
      <c r="BZ42" s="229">
        <v>1.0200000000000001E-2</v>
      </c>
      <c r="CA42" s="230">
        <v>10892350</v>
      </c>
      <c r="CB42" s="230">
        <v>13858950</v>
      </c>
      <c r="CC42" s="230">
        <v>-2966600</v>
      </c>
      <c r="CD42" s="229">
        <v>-0.21410000000000001</v>
      </c>
      <c r="CE42" s="230">
        <v>4796400</v>
      </c>
      <c r="CF42" s="230">
        <v>1676850</v>
      </c>
      <c r="CG42" s="230">
        <v>3119550</v>
      </c>
      <c r="CH42" s="229">
        <v>1.8604000000000001</v>
      </c>
      <c r="CI42" s="230">
        <v>58800</v>
      </c>
      <c r="CJ42" s="230">
        <v>52500</v>
      </c>
      <c r="CK42" s="230">
        <v>6300</v>
      </c>
      <c r="CL42" s="229">
        <v>0.12</v>
      </c>
      <c r="CM42" s="230">
        <v>5287100</v>
      </c>
      <c r="CN42" s="230">
        <v>5279050</v>
      </c>
      <c r="CO42" s="230">
        <v>8050</v>
      </c>
      <c r="CP42" s="229">
        <v>1.5E-3</v>
      </c>
      <c r="CQ42" s="230">
        <v>3068800</v>
      </c>
      <c r="CR42" s="230">
        <v>3182900</v>
      </c>
      <c r="CS42" s="230">
        <v>-114100</v>
      </c>
      <c r="CT42" s="229">
        <v>-3.5799999999999998E-2</v>
      </c>
      <c r="CU42" s="230">
        <v>24103450</v>
      </c>
      <c r="CV42" s="230">
        <v>24050250</v>
      </c>
      <c r="CW42" s="230">
        <v>53200</v>
      </c>
      <c r="CX42" s="229">
        <v>2.2000000000000001E-3</v>
      </c>
      <c r="CY42" s="228">
        <v>18.05</v>
      </c>
      <c r="CZ42" s="228">
        <v>18.29</v>
      </c>
      <c r="DA42" s="228">
        <v>-0.24</v>
      </c>
      <c r="DB42" s="228">
        <v>-0.24</v>
      </c>
      <c r="DC42" s="228">
        <v>23.13</v>
      </c>
      <c r="DD42" s="228">
        <v>23.18</v>
      </c>
      <c r="DE42" s="228">
        <v>-5.08</v>
      </c>
      <c r="DF42" s="228">
        <v>-0.05</v>
      </c>
      <c r="DG42" s="228">
        <v>17.91</v>
      </c>
      <c r="DH42" s="228">
        <v>16.809999999999999</v>
      </c>
      <c r="DI42" s="228">
        <v>1.1000000000000001</v>
      </c>
      <c r="DJ42" s="228">
        <v>1.1000000000000001</v>
      </c>
      <c r="DK42" s="228">
        <v>18.28</v>
      </c>
      <c r="DL42" s="228">
        <v>20.93</v>
      </c>
      <c r="DM42" s="228">
        <v>-2.65</v>
      </c>
      <c r="DN42" s="228">
        <v>-2.65</v>
      </c>
      <c r="DO42" s="228">
        <v>0.57999999999999996</v>
      </c>
      <c r="DP42" s="228">
        <v>0.6</v>
      </c>
      <c r="DQ42" s="228">
        <v>-0.02</v>
      </c>
      <c r="DR42" s="229">
        <v>-3.3300000000000003E-2</v>
      </c>
      <c r="DS42" s="231">
        <v>1740</v>
      </c>
      <c r="DT42" s="231">
        <v>1740</v>
      </c>
      <c r="DU42" s="228">
        <v>0.66</v>
      </c>
      <c r="DV42" s="228">
        <v>0.56000000000000005</v>
      </c>
      <c r="DW42" s="228">
        <v>0.1</v>
      </c>
      <c r="DX42" s="229">
        <v>0.17860000000000001</v>
      </c>
      <c r="DY42" s="229">
        <v>0.30830000000000002</v>
      </c>
      <c r="DZ42" s="230">
        <v>1729350</v>
      </c>
      <c r="EA42" s="229">
        <v>6.7000000000000002E-3</v>
      </c>
      <c r="EB42" s="229">
        <v>0.30830000000000002</v>
      </c>
      <c r="EC42" s="228">
        <v>11.97</v>
      </c>
      <c r="ED42" s="229">
        <v>6.7000000000000002E-3</v>
      </c>
      <c r="EE42" s="230">
        <v>1001909</v>
      </c>
      <c r="EF42" s="230">
        <v>1430953</v>
      </c>
      <c r="EG42" s="229">
        <v>-0.29980000000000001</v>
      </c>
      <c r="EH42" s="229">
        <v>0.62880000000000003</v>
      </c>
      <c r="EI42" s="231">
        <v>121268.19</v>
      </c>
      <c r="EJ42" s="231">
        <v>77759.33</v>
      </c>
      <c r="EK42" s="231">
        <v>132287.89000000001</v>
      </c>
      <c r="EL42" s="231">
        <v>5805</v>
      </c>
      <c r="EM42" s="231">
        <v>331315.40999999997</v>
      </c>
      <c r="EN42" s="231">
        <v>457135.94</v>
      </c>
      <c r="EO42" s="231">
        <v>-125820.53</v>
      </c>
      <c r="EP42" s="229">
        <v>-0.2752</v>
      </c>
      <c r="EQ42" s="231">
        <v>94088</v>
      </c>
      <c r="ER42" s="231">
        <v>52464</v>
      </c>
      <c r="ES42" s="231">
        <v>280753</v>
      </c>
      <c r="ET42" s="231">
        <v>109220043</v>
      </c>
      <c r="EU42" s="231">
        <v>427306</v>
      </c>
      <c r="EV42" s="231">
        <v>426115</v>
      </c>
      <c r="EW42" s="231">
        <v>1191</v>
      </c>
      <c r="EX42" s="229">
        <v>2.8E-3</v>
      </c>
      <c r="EY42" s="229">
        <v>0.22070000000000001</v>
      </c>
    </row>
    <row r="43" spans="1:155" ht="17.25" thickBot="1" x14ac:dyDescent="0.3">
      <c r="A43" s="226">
        <v>45981</v>
      </c>
      <c r="B43" s="227" t="s">
        <v>168</v>
      </c>
      <c r="C43" s="227" t="s">
        <v>291</v>
      </c>
      <c r="D43" s="231">
        <v>1172.0999999999999</v>
      </c>
      <c r="E43" s="231">
        <v>1164.2</v>
      </c>
      <c r="F43" s="228">
        <v>7.9</v>
      </c>
      <c r="G43" s="229">
        <v>6.7999999999999996E-3</v>
      </c>
      <c r="H43" s="231">
        <v>1173.9000000000001</v>
      </c>
      <c r="I43" s="231">
        <v>1162.0999999999999</v>
      </c>
      <c r="J43" s="228">
        <v>11.8</v>
      </c>
      <c r="K43" s="229">
        <v>1.0200000000000001E-2</v>
      </c>
      <c r="L43" s="231">
        <v>1172.0999999999999</v>
      </c>
      <c r="M43" s="231">
        <v>1164.2</v>
      </c>
      <c r="N43" s="228">
        <v>7.9</v>
      </c>
      <c r="O43" s="229">
        <v>6.7999999999999996E-3</v>
      </c>
      <c r="P43" s="231">
        <v>1179.4000000000001</v>
      </c>
      <c r="Q43" s="231">
        <v>1172.3</v>
      </c>
      <c r="R43" s="228">
        <v>7.1</v>
      </c>
      <c r="S43" s="229">
        <v>6.1000000000000004E-3</v>
      </c>
      <c r="T43" s="231">
        <v>1186.7</v>
      </c>
      <c r="U43" s="231">
        <v>1179</v>
      </c>
      <c r="V43" s="228">
        <v>7.7</v>
      </c>
      <c r="W43" s="229">
        <v>6.4999999999999997E-3</v>
      </c>
      <c r="X43" s="228">
        <v>-1.8</v>
      </c>
      <c r="Y43" s="228">
        <v>2.1</v>
      </c>
      <c r="Z43" s="228">
        <v>-3.9</v>
      </c>
      <c r="AA43" s="229">
        <v>-1.5E-3</v>
      </c>
      <c r="AB43" s="228">
        <v>-1.8</v>
      </c>
      <c r="AC43" s="228">
        <v>2.1</v>
      </c>
      <c r="AD43" s="228">
        <v>-3.9</v>
      </c>
      <c r="AE43" s="229">
        <v>-1.5E-3</v>
      </c>
      <c r="AF43" s="228">
        <v>5.5</v>
      </c>
      <c r="AG43" s="228">
        <v>10.199999999999999</v>
      </c>
      <c r="AH43" s="228">
        <v>-4.7</v>
      </c>
      <c r="AI43" s="229">
        <v>4.7000000000000002E-3</v>
      </c>
      <c r="AJ43" s="228">
        <v>12.8</v>
      </c>
      <c r="AK43" s="228">
        <v>16.899999999999999</v>
      </c>
      <c r="AL43" s="228">
        <v>-4.0999999999999996</v>
      </c>
      <c r="AM43" s="229">
        <v>1.09E-2</v>
      </c>
      <c r="AN43" s="231">
        <v>1171.83</v>
      </c>
      <c r="AO43" s="231">
        <v>1179.43</v>
      </c>
      <c r="AP43" s="228">
        <v>0</v>
      </c>
      <c r="AQ43" s="230">
        <v>16833</v>
      </c>
      <c r="AR43" s="230">
        <v>3367</v>
      </c>
      <c r="AS43" s="230">
        <v>13466</v>
      </c>
      <c r="AT43" s="229">
        <v>3.9994000000000001</v>
      </c>
      <c r="AU43" s="230">
        <v>8895</v>
      </c>
      <c r="AV43" s="230">
        <v>2436</v>
      </c>
      <c r="AW43" s="230">
        <v>6459</v>
      </c>
      <c r="AX43" s="229">
        <v>2.6515</v>
      </c>
      <c r="AY43" s="230">
        <v>7881</v>
      </c>
      <c r="AZ43" s="228">
        <v>916</v>
      </c>
      <c r="BA43" s="230">
        <v>6965</v>
      </c>
      <c r="BB43" s="229">
        <v>7.6036999999999999</v>
      </c>
      <c r="BC43" s="228">
        <v>57</v>
      </c>
      <c r="BD43" s="228">
        <v>15</v>
      </c>
      <c r="BE43" s="228">
        <v>42</v>
      </c>
      <c r="BF43" s="229">
        <v>2.8</v>
      </c>
      <c r="BG43" s="230">
        <v>17352</v>
      </c>
      <c r="BH43" s="230">
        <v>10387</v>
      </c>
      <c r="BI43" s="230">
        <v>6965</v>
      </c>
      <c r="BJ43" s="229">
        <v>0.67049999999999998</v>
      </c>
      <c r="BK43" s="230">
        <v>6183</v>
      </c>
      <c r="BL43" s="230">
        <v>4030</v>
      </c>
      <c r="BM43" s="230">
        <v>2153</v>
      </c>
      <c r="BN43" s="229">
        <v>0.53420000000000001</v>
      </c>
      <c r="BO43" s="230">
        <v>40368</v>
      </c>
      <c r="BP43" s="230">
        <v>17784</v>
      </c>
      <c r="BQ43" s="230">
        <v>22584</v>
      </c>
      <c r="BR43" s="229">
        <v>1.2699</v>
      </c>
      <c r="BS43" s="230">
        <v>2275695</v>
      </c>
      <c r="BT43" s="230">
        <v>2014308</v>
      </c>
      <c r="BU43" s="230">
        <v>261387</v>
      </c>
      <c r="BV43" s="229">
        <v>0.1298</v>
      </c>
      <c r="BW43" s="230">
        <v>13137850</v>
      </c>
      <c r="BX43" s="230">
        <v>13631200</v>
      </c>
      <c r="BY43" s="230">
        <v>-493350</v>
      </c>
      <c r="BZ43" s="229">
        <v>-3.6200000000000003E-2</v>
      </c>
      <c r="CA43" s="230">
        <v>8851700</v>
      </c>
      <c r="CB43" s="230">
        <v>12267750</v>
      </c>
      <c r="CC43" s="230">
        <v>-3416050</v>
      </c>
      <c r="CD43" s="229">
        <v>-0.27850000000000003</v>
      </c>
      <c r="CE43" s="230">
        <v>4235000</v>
      </c>
      <c r="CF43" s="230">
        <v>1322750</v>
      </c>
      <c r="CG43" s="230">
        <v>2912250</v>
      </c>
      <c r="CH43" s="229">
        <v>2.2017000000000002</v>
      </c>
      <c r="CI43" s="230">
        <v>51150</v>
      </c>
      <c r="CJ43" s="230">
        <v>40700</v>
      </c>
      <c r="CK43" s="230">
        <v>10450</v>
      </c>
      <c r="CL43" s="229">
        <v>0.25679999999999997</v>
      </c>
      <c r="CM43" s="230">
        <v>5419150</v>
      </c>
      <c r="CN43" s="230">
        <v>5505500</v>
      </c>
      <c r="CO43" s="230">
        <v>-86350</v>
      </c>
      <c r="CP43" s="229">
        <v>-1.5699999999999999E-2</v>
      </c>
      <c r="CQ43" s="230">
        <v>2646050</v>
      </c>
      <c r="CR43" s="230">
        <v>2761000</v>
      </c>
      <c r="CS43" s="230">
        <v>-114950</v>
      </c>
      <c r="CT43" s="229">
        <v>-4.1599999999999998E-2</v>
      </c>
      <c r="CU43" s="230">
        <v>21203050</v>
      </c>
      <c r="CV43" s="230">
        <v>21897700</v>
      </c>
      <c r="CW43" s="230">
        <v>-694650</v>
      </c>
      <c r="CX43" s="229">
        <v>-3.1699999999999999E-2</v>
      </c>
      <c r="CY43" s="228">
        <v>20.05</v>
      </c>
      <c r="CZ43" s="228">
        <v>21.74</v>
      </c>
      <c r="DA43" s="228">
        <v>-1.69</v>
      </c>
      <c r="DB43" s="228">
        <v>-1.69</v>
      </c>
      <c r="DC43" s="228">
        <v>26.74</v>
      </c>
      <c r="DD43" s="228">
        <v>26.78</v>
      </c>
      <c r="DE43" s="228">
        <v>-6.69</v>
      </c>
      <c r="DF43" s="228">
        <v>-0.04</v>
      </c>
      <c r="DG43" s="228">
        <v>19.95</v>
      </c>
      <c r="DH43" s="228">
        <v>21.86</v>
      </c>
      <c r="DI43" s="228">
        <v>-1.91</v>
      </c>
      <c r="DJ43" s="228">
        <v>-1.91</v>
      </c>
      <c r="DK43" s="228">
        <v>20.350000000000001</v>
      </c>
      <c r="DL43" s="228">
        <v>21.43</v>
      </c>
      <c r="DM43" s="228">
        <v>-1.08</v>
      </c>
      <c r="DN43" s="228">
        <v>-1.08</v>
      </c>
      <c r="DO43" s="228">
        <v>0.49</v>
      </c>
      <c r="DP43" s="228">
        <v>0.5</v>
      </c>
      <c r="DQ43" s="228">
        <v>-0.01</v>
      </c>
      <c r="DR43" s="229">
        <v>-0.02</v>
      </c>
      <c r="DS43" s="231">
        <v>1200</v>
      </c>
      <c r="DT43" s="231">
        <v>1050</v>
      </c>
      <c r="DU43" s="228">
        <v>0.36</v>
      </c>
      <c r="DV43" s="228">
        <v>0.39</v>
      </c>
      <c r="DW43" s="228">
        <v>-0.03</v>
      </c>
      <c r="DX43" s="229">
        <v>-7.6899999999999996E-2</v>
      </c>
      <c r="DY43" s="229">
        <v>0.32619999999999999</v>
      </c>
      <c r="DZ43" s="230">
        <v>1363450</v>
      </c>
      <c r="EA43" s="229">
        <v>6.1999999999999998E-3</v>
      </c>
      <c r="EB43" s="229">
        <v>0.32619999999999999</v>
      </c>
      <c r="EC43" s="228">
        <v>7.6</v>
      </c>
      <c r="ED43" s="229">
        <v>6.4999999999999997E-3</v>
      </c>
      <c r="EE43" s="230">
        <v>1648746</v>
      </c>
      <c r="EF43" s="230">
        <v>1428116</v>
      </c>
      <c r="EG43" s="229">
        <v>0.1545</v>
      </c>
      <c r="EH43" s="229">
        <v>0.72450000000000003</v>
      </c>
      <c r="EI43" s="231">
        <v>114557</v>
      </c>
      <c r="EJ43" s="231">
        <v>39622.910000000003</v>
      </c>
      <c r="EK43" s="231">
        <v>108824.49</v>
      </c>
      <c r="EL43" s="231">
        <v>3445</v>
      </c>
      <c r="EM43" s="231">
        <v>263004.40000000002</v>
      </c>
      <c r="EN43" s="231">
        <v>115293.1</v>
      </c>
      <c r="EO43" s="231">
        <v>147711.29999999999</v>
      </c>
      <c r="EP43" s="229">
        <v>1.2811999999999999</v>
      </c>
      <c r="EQ43" s="231">
        <v>66551</v>
      </c>
      <c r="ER43" s="231">
        <v>29767</v>
      </c>
      <c r="ES43" s="231">
        <v>154305</v>
      </c>
      <c r="ET43" s="231">
        <v>65471528</v>
      </c>
      <c r="EU43" s="231">
        <v>250624</v>
      </c>
      <c r="EV43" s="231">
        <v>257488</v>
      </c>
      <c r="EW43" s="231">
        <v>-6864</v>
      </c>
      <c r="EX43" s="229">
        <v>-2.6700000000000002E-2</v>
      </c>
      <c r="EY43" s="229">
        <v>0.32390000000000002</v>
      </c>
    </row>
    <row r="44" spans="1:155" ht="17.25" thickBot="1" x14ac:dyDescent="0.3">
      <c r="A44" s="226">
        <v>45981</v>
      </c>
      <c r="B44" s="227" t="s">
        <v>227</v>
      </c>
      <c r="C44" s="227" t="s">
        <v>294</v>
      </c>
      <c r="D44" s="228">
        <v>172.53</v>
      </c>
      <c r="E44" s="228">
        <v>173.31</v>
      </c>
      <c r="F44" s="228">
        <v>-0.78</v>
      </c>
      <c r="G44" s="229">
        <v>-4.4999999999999997E-3</v>
      </c>
      <c r="H44" s="228">
        <v>172.46</v>
      </c>
      <c r="I44" s="228">
        <v>173.21</v>
      </c>
      <c r="J44" s="228">
        <v>-0.75</v>
      </c>
      <c r="K44" s="229">
        <v>-4.3E-3</v>
      </c>
      <c r="L44" s="228">
        <v>172.53</v>
      </c>
      <c r="M44" s="228">
        <v>173.31</v>
      </c>
      <c r="N44" s="228">
        <v>-0.78</v>
      </c>
      <c r="O44" s="229">
        <v>-4.4999999999999997E-3</v>
      </c>
      <c r="P44" s="228">
        <v>173.69</v>
      </c>
      <c r="Q44" s="228">
        <v>174.41</v>
      </c>
      <c r="R44" s="228">
        <v>-0.72</v>
      </c>
      <c r="S44" s="229">
        <v>-4.1000000000000003E-3</v>
      </c>
      <c r="T44" s="228">
        <v>174.73</v>
      </c>
      <c r="U44" s="228">
        <v>175.53</v>
      </c>
      <c r="V44" s="228">
        <v>-0.8</v>
      </c>
      <c r="W44" s="229">
        <v>-4.5999999999999999E-3</v>
      </c>
      <c r="X44" s="228">
        <v>7.0000000000000007E-2</v>
      </c>
      <c r="Y44" s="228">
        <v>0.1</v>
      </c>
      <c r="Z44" s="228">
        <v>-0.03</v>
      </c>
      <c r="AA44" s="229">
        <v>4.0000000000000002E-4</v>
      </c>
      <c r="AB44" s="228">
        <v>7.0000000000000007E-2</v>
      </c>
      <c r="AC44" s="228">
        <v>0.1</v>
      </c>
      <c r="AD44" s="228">
        <v>-0.03</v>
      </c>
      <c r="AE44" s="229">
        <v>4.0000000000000002E-4</v>
      </c>
      <c r="AF44" s="228">
        <v>1.23</v>
      </c>
      <c r="AG44" s="228">
        <v>1.2</v>
      </c>
      <c r="AH44" s="228">
        <v>0.03</v>
      </c>
      <c r="AI44" s="229">
        <v>7.1000000000000004E-3</v>
      </c>
      <c r="AJ44" s="228">
        <v>2.27</v>
      </c>
      <c r="AK44" s="228">
        <v>2.3199999999999998</v>
      </c>
      <c r="AL44" s="228">
        <v>-0.05</v>
      </c>
      <c r="AM44" s="229">
        <v>1.32E-2</v>
      </c>
      <c r="AN44" s="228">
        <v>173.05</v>
      </c>
      <c r="AO44" s="228">
        <v>174.19</v>
      </c>
      <c r="AP44" s="228">
        <v>0</v>
      </c>
      <c r="AQ44" s="230">
        <v>17091</v>
      </c>
      <c r="AR44" s="230">
        <v>8974</v>
      </c>
      <c r="AS44" s="230">
        <v>8117</v>
      </c>
      <c r="AT44" s="229">
        <v>0.90449999999999997</v>
      </c>
      <c r="AU44" s="230">
        <v>9086</v>
      </c>
      <c r="AV44" s="230">
        <v>5506</v>
      </c>
      <c r="AW44" s="230">
        <v>3580</v>
      </c>
      <c r="AX44" s="229">
        <v>0.6502</v>
      </c>
      <c r="AY44" s="230">
        <v>7878</v>
      </c>
      <c r="AZ44" s="230">
        <v>3362</v>
      </c>
      <c r="BA44" s="230">
        <v>4516</v>
      </c>
      <c r="BB44" s="229">
        <v>1.3431999999999999</v>
      </c>
      <c r="BC44" s="228">
        <v>127</v>
      </c>
      <c r="BD44" s="228">
        <v>106</v>
      </c>
      <c r="BE44" s="228">
        <v>21</v>
      </c>
      <c r="BF44" s="229">
        <v>0.1981</v>
      </c>
      <c r="BG44" s="230">
        <v>57288</v>
      </c>
      <c r="BH44" s="230">
        <v>63379</v>
      </c>
      <c r="BI44" s="230">
        <v>-6091</v>
      </c>
      <c r="BJ44" s="229">
        <v>-9.6100000000000005E-2</v>
      </c>
      <c r="BK44" s="230">
        <v>15635</v>
      </c>
      <c r="BL44" s="230">
        <v>20055</v>
      </c>
      <c r="BM44" s="230">
        <v>-4420</v>
      </c>
      <c r="BN44" s="229">
        <v>-0.22040000000000001</v>
      </c>
      <c r="BO44" s="230">
        <v>90014</v>
      </c>
      <c r="BP44" s="230">
        <v>92408</v>
      </c>
      <c r="BQ44" s="230">
        <v>-2394</v>
      </c>
      <c r="BR44" s="229">
        <v>-2.5899999999999999E-2</v>
      </c>
      <c r="BS44" s="230">
        <v>18963607</v>
      </c>
      <c r="BT44" s="230">
        <v>21679122</v>
      </c>
      <c r="BU44" s="230">
        <v>-2715515</v>
      </c>
      <c r="BV44" s="229">
        <v>-0.12529999999999999</v>
      </c>
      <c r="BW44" s="230">
        <v>274224500</v>
      </c>
      <c r="BX44" s="230">
        <v>271716500</v>
      </c>
      <c r="BY44" s="230">
        <v>2508000</v>
      </c>
      <c r="BZ44" s="229">
        <v>9.1999999999999998E-3</v>
      </c>
      <c r="CA44" s="230">
        <v>178238500</v>
      </c>
      <c r="CB44" s="230">
        <v>212003000</v>
      </c>
      <c r="CC44" s="230">
        <v>-33764500</v>
      </c>
      <c r="CD44" s="229">
        <v>-0.1593</v>
      </c>
      <c r="CE44" s="230">
        <v>89688500</v>
      </c>
      <c r="CF44" s="230">
        <v>53663500</v>
      </c>
      <c r="CG44" s="230">
        <v>36025000</v>
      </c>
      <c r="CH44" s="229">
        <v>0.67130000000000001</v>
      </c>
      <c r="CI44" s="230">
        <v>6297500</v>
      </c>
      <c r="CJ44" s="230">
        <v>6050000</v>
      </c>
      <c r="CK44" s="230">
        <v>247500</v>
      </c>
      <c r="CL44" s="229">
        <v>4.0899999999999999E-2</v>
      </c>
      <c r="CM44" s="230">
        <v>330951500</v>
      </c>
      <c r="CN44" s="230">
        <v>349503000</v>
      </c>
      <c r="CO44" s="230">
        <v>-18551500</v>
      </c>
      <c r="CP44" s="229">
        <v>-5.3100000000000001E-2</v>
      </c>
      <c r="CQ44" s="230">
        <v>115109500</v>
      </c>
      <c r="CR44" s="230">
        <v>120527000</v>
      </c>
      <c r="CS44" s="230">
        <v>-5417500</v>
      </c>
      <c r="CT44" s="229">
        <v>-4.4900000000000002E-2</v>
      </c>
      <c r="CU44" s="230">
        <v>720285500</v>
      </c>
      <c r="CV44" s="230">
        <v>741746500</v>
      </c>
      <c r="CW44" s="230">
        <v>-21461000</v>
      </c>
      <c r="CX44" s="229">
        <v>-2.8899999999999999E-2</v>
      </c>
      <c r="CY44" s="228">
        <v>24.85</v>
      </c>
      <c r="CZ44" s="228">
        <v>28.35</v>
      </c>
      <c r="DA44" s="228">
        <v>-3.5</v>
      </c>
      <c r="DB44" s="228">
        <v>-3.5</v>
      </c>
      <c r="DC44" s="228">
        <v>33.200000000000003</v>
      </c>
      <c r="DD44" s="228">
        <v>33.270000000000003</v>
      </c>
      <c r="DE44" s="228">
        <v>-8.35</v>
      </c>
      <c r="DF44" s="228">
        <v>-7.0000000000000007E-2</v>
      </c>
      <c r="DG44" s="228">
        <v>25.12</v>
      </c>
      <c r="DH44" s="228">
        <v>29.54</v>
      </c>
      <c r="DI44" s="228">
        <v>-4.42</v>
      </c>
      <c r="DJ44" s="228">
        <v>-4.42</v>
      </c>
      <c r="DK44" s="228">
        <v>24.11</v>
      </c>
      <c r="DL44" s="228">
        <v>24.59</v>
      </c>
      <c r="DM44" s="228">
        <v>-0.48</v>
      </c>
      <c r="DN44" s="228">
        <v>-0.48</v>
      </c>
      <c r="DO44" s="228">
        <v>0.35</v>
      </c>
      <c r="DP44" s="228">
        <v>0.34</v>
      </c>
      <c r="DQ44" s="228">
        <v>0.01</v>
      </c>
      <c r="DR44" s="229">
        <v>2.9399999999999999E-2</v>
      </c>
      <c r="DS44" s="228">
        <v>185</v>
      </c>
      <c r="DT44" s="228">
        <v>180</v>
      </c>
      <c r="DU44" s="228">
        <v>0.27</v>
      </c>
      <c r="DV44" s="228">
        <v>0.32</v>
      </c>
      <c r="DW44" s="228">
        <v>-0.05</v>
      </c>
      <c r="DX44" s="229">
        <v>-0.15620000000000001</v>
      </c>
      <c r="DY44" s="229">
        <v>0.35</v>
      </c>
      <c r="DZ44" s="230">
        <v>59713500</v>
      </c>
      <c r="EA44" s="229">
        <v>6.7000000000000002E-3</v>
      </c>
      <c r="EB44" s="229">
        <v>0.35</v>
      </c>
      <c r="EC44" s="228">
        <v>1.1399999999999999</v>
      </c>
      <c r="ED44" s="229">
        <v>6.6E-3</v>
      </c>
      <c r="EE44" s="230">
        <v>9722353</v>
      </c>
      <c r="EF44" s="230">
        <v>10534344</v>
      </c>
      <c r="EG44" s="229">
        <v>-7.7100000000000002E-2</v>
      </c>
      <c r="EH44" s="229">
        <v>0.51270000000000004</v>
      </c>
      <c r="EI44" s="231">
        <v>575594.59</v>
      </c>
      <c r="EJ44" s="231">
        <v>148553.48000000001</v>
      </c>
      <c r="EK44" s="231">
        <v>163179.01</v>
      </c>
      <c r="EL44" s="231">
        <v>16415</v>
      </c>
      <c r="EM44" s="231">
        <v>887327.08</v>
      </c>
      <c r="EN44" s="231">
        <v>914310.4</v>
      </c>
      <c r="EO44" s="231">
        <v>-26983.32</v>
      </c>
      <c r="EP44" s="229">
        <v>-2.9499999999999998E-2</v>
      </c>
      <c r="EQ44" s="231">
        <v>612398</v>
      </c>
      <c r="ER44" s="231">
        <v>199447</v>
      </c>
      <c r="ES44" s="231">
        <v>474298</v>
      </c>
      <c r="ET44" s="231">
        <v>833987639</v>
      </c>
      <c r="EU44" s="231">
        <v>1286143</v>
      </c>
      <c r="EV44" s="231">
        <v>1328038</v>
      </c>
      <c r="EW44" s="231">
        <v>-41895</v>
      </c>
      <c r="EX44" s="229">
        <v>-3.15E-2</v>
      </c>
      <c r="EY44" s="229">
        <v>0.86370000000000002</v>
      </c>
    </row>
    <row r="45" spans="1:155" ht="17.25" thickBot="1" x14ac:dyDescent="0.3">
      <c r="A45" s="226">
        <v>45981</v>
      </c>
      <c r="B45" s="227" t="s">
        <v>221</v>
      </c>
      <c r="C45" s="227" t="s">
        <v>295</v>
      </c>
      <c r="D45" s="231">
        <v>3144</v>
      </c>
      <c r="E45" s="231">
        <v>3146.1</v>
      </c>
      <c r="F45" s="228">
        <v>-2.1</v>
      </c>
      <c r="G45" s="229">
        <v>-6.9999999999999999E-4</v>
      </c>
      <c r="H45" s="231">
        <v>3144.8</v>
      </c>
      <c r="I45" s="231">
        <v>3147.7</v>
      </c>
      <c r="J45" s="228">
        <v>-2.9</v>
      </c>
      <c r="K45" s="229">
        <v>-8.9999999999999998E-4</v>
      </c>
      <c r="L45" s="231">
        <v>3144</v>
      </c>
      <c r="M45" s="231">
        <v>3146.1</v>
      </c>
      <c r="N45" s="228">
        <v>-2.1</v>
      </c>
      <c r="O45" s="229">
        <v>-6.9999999999999999E-4</v>
      </c>
      <c r="P45" s="231">
        <v>3164.8</v>
      </c>
      <c r="Q45" s="231">
        <v>3166.8</v>
      </c>
      <c r="R45" s="228">
        <v>-2</v>
      </c>
      <c r="S45" s="229">
        <v>-5.9999999999999995E-4</v>
      </c>
      <c r="T45" s="231">
        <v>3175.8</v>
      </c>
      <c r="U45" s="231">
        <v>3176.8</v>
      </c>
      <c r="V45" s="228">
        <v>-1</v>
      </c>
      <c r="W45" s="229">
        <v>-2.9999999999999997E-4</v>
      </c>
      <c r="X45" s="228">
        <v>-0.8</v>
      </c>
      <c r="Y45" s="228">
        <v>-1.6</v>
      </c>
      <c r="Z45" s="228">
        <v>0.8</v>
      </c>
      <c r="AA45" s="229">
        <v>-2.9999999999999997E-4</v>
      </c>
      <c r="AB45" s="228">
        <v>-0.8</v>
      </c>
      <c r="AC45" s="228">
        <v>-1.6</v>
      </c>
      <c r="AD45" s="228">
        <v>0.8</v>
      </c>
      <c r="AE45" s="229">
        <v>-2.9999999999999997E-4</v>
      </c>
      <c r="AF45" s="228">
        <v>20</v>
      </c>
      <c r="AG45" s="228">
        <v>19.100000000000001</v>
      </c>
      <c r="AH45" s="228">
        <v>0.9</v>
      </c>
      <c r="AI45" s="229">
        <v>6.4000000000000003E-3</v>
      </c>
      <c r="AJ45" s="228">
        <v>31</v>
      </c>
      <c r="AK45" s="228">
        <v>29.1</v>
      </c>
      <c r="AL45" s="228">
        <v>1.9</v>
      </c>
      <c r="AM45" s="229">
        <v>9.9000000000000008E-3</v>
      </c>
      <c r="AN45" s="231">
        <v>3150.6</v>
      </c>
      <c r="AO45" s="231">
        <v>3171.1</v>
      </c>
      <c r="AP45" s="228">
        <v>0</v>
      </c>
      <c r="AQ45" s="230">
        <v>94339</v>
      </c>
      <c r="AR45" s="230">
        <v>34269</v>
      </c>
      <c r="AS45" s="230">
        <v>60070</v>
      </c>
      <c r="AT45" s="229">
        <v>1.7528999999999999</v>
      </c>
      <c r="AU45" s="230">
        <v>48152</v>
      </c>
      <c r="AV45" s="230">
        <v>24429</v>
      </c>
      <c r="AW45" s="230">
        <v>23723</v>
      </c>
      <c r="AX45" s="229">
        <v>0.97109999999999996</v>
      </c>
      <c r="AY45" s="230">
        <v>45461</v>
      </c>
      <c r="AZ45" s="230">
        <v>8707</v>
      </c>
      <c r="BA45" s="230">
        <v>36754</v>
      </c>
      <c r="BB45" s="229">
        <v>4.2211999999999996</v>
      </c>
      <c r="BC45" s="228">
        <v>726</v>
      </c>
      <c r="BD45" s="230">
        <v>1133</v>
      </c>
      <c r="BE45" s="228">
        <v>-407</v>
      </c>
      <c r="BF45" s="229">
        <v>-0.35920000000000002</v>
      </c>
      <c r="BG45" s="230">
        <v>128833</v>
      </c>
      <c r="BH45" s="230">
        <v>252866</v>
      </c>
      <c r="BI45" s="230">
        <v>-124033</v>
      </c>
      <c r="BJ45" s="229">
        <v>-0.49049999999999999</v>
      </c>
      <c r="BK45" s="230">
        <v>76767</v>
      </c>
      <c r="BL45" s="230">
        <v>101364</v>
      </c>
      <c r="BM45" s="230">
        <v>-24597</v>
      </c>
      <c r="BN45" s="229">
        <v>-0.2427</v>
      </c>
      <c r="BO45" s="230">
        <v>299939</v>
      </c>
      <c r="BP45" s="230">
        <v>388499</v>
      </c>
      <c r="BQ45" s="230">
        <v>-88560</v>
      </c>
      <c r="BR45" s="229">
        <v>-0.22800000000000001</v>
      </c>
      <c r="BS45" s="230">
        <v>3062658</v>
      </c>
      <c r="BT45" s="230">
        <v>3273149</v>
      </c>
      <c r="BU45" s="230">
        <v>-210491</v>
      </c>
      <c r="BV45" s="229">
        <v>-6.4299999999999996E-2</v>
      </c>
      <c r="BW45" s="230">
        <v>27396075</v>
      </c>
      <c r="BX45" s="230">
        <v>26870550</v>
      </c>
      <c r="BY45" s="230">
        <v>525525</v>
      </c>
      <c r="BZ45" s="229">
        <v>1.9599999999999999E-2</v>
      </c>
      <c r="CA45" s="230">
        <v>15791475</v>
      </c>
      <c r="CB45" s="230">
        <v>21885150</v>
      </c>
      <c r="CC45" s="230">
        <v>-6093675</v>
      </c>
      <c r="CD45" s="229">
        <v>-0.27839999999999998</v>
      </c>
      <c r="CE45" s="230">
        <v>11106900</v>
      </c>
      <c r="CF45" s="230">
        <v>4541075</v>
      </c>
      <c r="CG45" s="230">
        <v>6565825</v>
      </c>
      <c r="CH45" s="229">
        <v>1.4459</v>
      </c>
      <c r="CI45" s="230">
        <v>497700</v>
      </c>
      <c r="CJ45" s="230">
        <v>444325</v>
      </c>
      <c r="CK45" s="230">
        <v>53375</v>
      </c>
      <c r="CL45" s="229">
        <v>0.1201</v>
      </c>
      <c r="CM45" s="230">
        <v>11829300</v>
      </c>
      <c r="CN45" s="230">
        <v>12759425</v>
      </c>
      <c r="CO45" s="230">
        <v>-930125</v>
      </c>
      <c r="CP45" s="229">
        <v>-7.2900000000000006E-2</v>
      </c>
      <c r="CQ45" s="230">
        <v>8276975</v>
      </c>
      <c r="CR45" s="230">
        <v>8787275</v>
      </c>
      <c r="CS45" s="230">
        <v>-510300</v>
      </c>
      <c r="CT45" s="229">
        <v>-5.8099999999999999E-2</v>
      </c>
      <c r="CU45" s="230">
        <v>47502350</v>
      </c>
      <c r="CV45" s="230">
        <v>48417250</v>
      </c>
      <c r="CW45" s="230">
        <v>-914900</v>
      </c>
      <c r="CX45" s="229">
        <v>-1.89E-2</v>
      </c>
      <c r="CY45" s="228">
        <v>18.600000000000001</v>
      </c>
      <c r="CZ45" s="228">
        <v>20.27</v>
      </c>
      <c r="DA45" s="228">
        <v>-1.67</v>
      </c>
      <c r="DB45" s="228">
        <v>-1.67</v>
      </c>
      <c r="DC45" s="228">
        <v>24.19</v>
      </c>
      <c r="DD45" s="228">
        <v>24.25</v>
      </c>
      <c r="DE45" s="228">
        <v>-5.59</v>
      </c>
      <c r="DF45" s="228">
        <v>-0.06</v>
      </c>
      <c r="DG45" s="228">
        <v>18.66</v>
      </c>
      <c r="DH45" s="228">
        <v>20</v>
      </c>
      <c r="DI45" s="228">
        <v>-1.34</v>
      </c>
      <c r="DJ45" s="228">
        <v>-1.34</v>
      </c>
      <c r="DK45" s="228">
        <v>18.48</v>
      </c>
      <c r="DL45" s="228">
        <v>20.96</v>
      </c>
      <c r="DM45" s="228">
        <v>-2.48</v>
      </c>
      <c r="DN45" s="228">
        <v>-2.48</v>
      </c>
      <c r="DO45" s="228">
        <v>0.7</v>
      </c>
      <c r="DP45" s="228">
        <v>0.69</v>
      </c>
      <c r="DQ45" s="228">
        <v>0.01</v>
      </c>
      <c r="DR45" s="229">
        <v>1.4500000000000001E-2</v>
      </c>
      <c r="DS45" s="231">
        <v>3200</v>
      </c>
      <c r="DT45" s="231">
        <v>3000</v>
      </c>
      <c r="DU45" s="228">
        <v>0.6</v>
      </c>
      <c r="DV45" s="228">
        <v>0.4</v>
      </c>
      <c r="DW45" s="228">
        <v>0.2</v>
      </c>
      <c r="DX45" s="229">
        <v>0.5</v>
      </c>
      <c r="DY45" s="229">
        <v>0.42359999999999998</v>
      </c>
      <c r="DZ45" s="230">
        <v>4985400</v>
      </c>
      <c r="EA45" s="229">
        <v>6.6E-3</v>
      </c>
      <c r="EB45" s="229">
        <v>0.42359999999999998</v>
      </c>
      <c r="EC45" s="228">
        <v>20.5</v>
      </c>
      <c r="ED45" s="229">
        <v>6.4999999999999997E-3</v>
      </c>
      <c r="EE45" s="230">
        <v>1529570</v>
      </c>
      <c r="EF45" s="230">
        <v>1853017</v>
      </c>
      <c r="EG45" s="229">
        <v>-0.17460000000000001</v>
      </c>
      <c r="EH45" s="229">
        <v>0.49940000000000001</v>
      </c>
      <c r="EI45" s="231">
        <v>727481.36</v>
      </c>
      <c r="EJ45" s="231">
        <v>417039.73</v>
      </c>
      <c r="EK45" s="231">
        <v>521812.81</v>
      </c>
      <c r="EL45" s="231">
        <v>20723</v>
      </c>
      <c r="EM45" s="231">
        <v>1666333.9</v>
      </c>
      <c r="EN45" s="231">
        <v>2158691.08</v>
      </c>
      <c r="EO45" s="231">
        <v>-492357.18</v>
      </c>
      <c r="EP45" s="229">
        <v>-0.2281</v>
      </c>
      <c r="EQ45" s="231">
        <v>380366</v>
      </c>
      <c r="ER45" s="231">
        <v>253061</v>
      </c>
      <c r="ES45" s="231">
        <v>863801</v>
      </c>
      <c r="ET45" s="231">
        <v>123298271</v>
      </c>
      <c r="EU45" s="231">
        <v>1497228</v>
      </c>
      <c r="EV45" s="231">
        <v>1524616</v>
      </c>
      <c r="EW45" s="231">
        <v>-27388</v>
      </c>
      <c r="EX45" s="229">
        <v>-1.7999999999999999E-2</v>
      </c>
      <c r="EY45" s="229">
        <v>0.38529999999999998</v>
      </c>
    </row>
    <row r="46" spans="1:155" ht="17.25" thickBot="1" x14ac:dyDescent="0.3">
      <c r="A46" s="226">
        <v>45981</v>
      </c>
      <c r="B46" s="227" t="s">
        <v>221</v>
      </c>
      <c r="C46" s="227" t="s">
        <v>296</v>
      </c>
      <c r="D46" s="231">
        <v>1458.5</v>
      </c>
      <c r="E46" s="231">
        <v>1438.6</v>
      </c>
      <c r="F46" s="228">
        <v>19.899999999999999</v>
      </c>
      <c r="G46" s="229">
        <v>1.38E-2</v>
      </c>
      <c r="H46" s="231">
        <v>1456</v>
      </c>
      <c r="I46" s="231">
        <v>1433.9</v>
      </c>
      <c r="J46" s="228">
        <v>22.1</v>
      </c>
      <c r="K46" s="229">
        <v>1.54E-2</v>
      </c>
      <c r="L46" s="231">
        <v>1458.5</v>
      </c>
      <c r="M46" s="231">
        <v>1438.6</v>
      </c>
      <c r="N46" s="228">
        <v>19.899999999999999</v>
      </c>
      <c r="O46" s="229">
        <v>1.38E-2</v>
      </c>
      <c r="P46" s="231">
        <v>1468.1</v>
      </c>
      <c r="Q46" s="231">
        <v>1446.9</v>
      </c>
      <c r="R46" s="228">
        <v>21.2</v>
      </c>
      <c r="S46" s="229">
        <v>1.47E-2</v>
      </c>
      <c r="T46" s="231">
        <v>1480.8</v>
      </c>
      <c r="U46" s="231">
        <v>1455.3</v>
      </c>
      <c r="V46" s="228">
        <v>25.5</v>
      </c>
      <c r="W46" s="229">
        <v>1.7500000000000002E-2</v>
      </c>
      <c r="X46" s="228">
        <v>2.5</v>
      </c>
      <c r="Y46" s="228">
        <v>4.7</v>
      </c>
      <c r="Z46" s="228">
        <v>-2.2000000000000002</v>
      </c>
      <c r="AA46" s="229">
        <v>1.6999999999999999E-3</v>
      </c>
      <c r="AB46" s="228">
        <v>2.5</v>
      </c>
      <c r="AC46" s="228">
        <v>4.7</v>
      </c>
      <c r="AD46" s="228">
        <v>-2.2000000000000002</v>
      </c>
      <c r="AE46" s="229">
        <v>1.6999999999999999E-3</v>
      </c>
      <c r="AF46" s="228">
        <v>12.1</v>
      </c>
      <c r="AG46" s="228">
        <v>13</v>
      </c>
      <c r="AH46" s="228">
        <v>-0.9</v>
      </c>
      <c r="AI46" s="229">
        <v>8.3000000000000001E-3</v>
      </c>
      <c r="AJ46" s="228">
        <v>24.8</v>
      </c>
      <c r="AK46" s="228">
        <v>21.4</v>
      </c>
      <c r="AL46" s="228">
        <v>3.4</v>
      </c>
      <c r="AM46" s="229">
        <v>1.7000000000000001E-2</v>
      </c>
      <c r="AN46" s="231">
        <v>1454.55</v>
      </c>
      <c r="AO46" s="231">
        <v>1464.47</v>
      </c>
      <c r="AP46" s="228">
        <v>0</v>
      </c>
      <c r="AQ46" s="230">
        <v>27789</v>
      </c>
      <c r="AR46" s="230">
        <v>13556</v>
      </c>
      <c r="AS46" s="230">
        <v>14233</v>
      </c>
      <c r="AT46" s="229">
        <v>1.0499000000000001</v>
      </c>
      <c r="AU46" s="230">
        <v>14732</v>
      </c>
      <c r="AV46" s="230">
        <v>8746</v>
      </c>
      <c r="AW46" s="230">
        <v>5986</v>
      </c>
      <c r="AX46" s="229">
        <v>0.68440000000000001</v>
      </c>
      <c r="AY46" s="230">
        <v>12943</v>
      </c>
      <c r="AZ46" s="230">
        <v>4717</v>
      </c>
      <c r="BA46" s="230">
        <v>8226</v>
      </c>
      <c r="BB46" s="229">
        <v>1.7439</v>
      </c>
      <c r="BC46" s="228">
        <v>114</v>
      </c>
      <c r="BD46" s="228">
        <v>93</v>
      </c>
      <c r="BE46" s="228">
        <v>21</v>
      </c>
      <c r="BF46" s="229">
        <v>0.2258</v>
      </c>
      <c r="BG46" s="230">
        <v>62315</v>
      </c>
      <c r="BH46" s="230">
        <v>36967</v>
      </c>
      <c r="BI46" s="230">
        <v>25348</v>
      </c>
      <c r="BJ46" s="229">
        <v>0.68569999999999998</v>
      </c>
      <c r="BK46" s="230">
        <v>18586</v>
      </c>
      <c r="BL46" s="230">
        <v>13957</v>
      </c>
      <c r="BM46" s="230">
        <v>4629</v>
      </c>
      <c r="BN46" s="229">
        <v>0.33169999999999999</v>
      </c>
      <c r="BO46" s="230">
        <v>108690</v>
      </c>
      <c r="BP46" s="230">
        <v>64480</v>
      </c>
      <c r="BQ46" s="230">
        <v>44210</v>
      </c>
      <c r="BR46" s="229">
        <v>0.68559999999999999</v>
      </c>
      <c r="BS46" s="230">
        <v>4971558</v>
      </c>
      <c r="BT46" s="230">
        <v>6063505</v>
      </c>
      <c r="BU46" s="230">
        <v>-1091947</v>
      </c>
      <c r="BV46" s="229">
        <v>-0.18010000000000001</v>
      </c>
      <c r="BW46" s="230">
        <v>24189000</v>
      </c>
      <c r="BX46" s="230">
        <v>23308800</v>
      </c>
      <c r="BY46" s="230">
        <v>880200</v>
      </c>
      <c r="BZ46" s="229">
        <v>3.78E-2</v>
      </c>
      <c r="CA46" s="230">
        <v>15027600</v>
      </c>
      <c r="CB46" s="230">
        <v>19882200</v>
      </c>
      <c r="CC46" s="230">
        <v>-4854600</v>
      </c>
      <c r="CD46" s="229">
        <v>-0.2442</v>
      </c>
      <c r="CE46" s="230">
        <v>9031200</v>
      </c>
      <c r="CF46" s="230">
        <v>3303600</v>
      </c>
      <c r="CG46" s="230">
        <v>5727600</v>
      </c>
      <c r="CH46" s="229">
        <v>1.7337</v>
      </c>
      <c r="CI46" s="230">
        <v>130200</v>
      </c>
      <c r="CJ46" s="230">
        <v>123000</v>
      </c>
      <c r="CK46" s="230">
        <v>7200</v>
      </c>
      <c r="CL46" s="229">
        <v>5.8500000000000003E-2</v>
      </c>
      <c r="CM46" s="230">
        <v>7975800</v>
      </c>
      <c r="CN46" s="230">
        <v>7612200</v>
      </c>
      <c r="CO46" s="230">
        <v>363600</v>
      </c>
      <c r="CP46" s="229">
        <v>4.7800000000000002E-2</v>
      </c>
      <c r="CQ46" s="230">
        <v>5033400</v>
      </c>
      <c r="CR46" s="230">
        <v>5117400</v>
      </c>
      <c r="CS46" s="230">
        <v>-84000</v>
      </c>
      <c r="CT46" s="229">
        <v>-1.6400000000000001E-2</v>
      </c>
      <c r="CU46" s="230">
        <v>37198200</v>
      </c>
      <c r="CV46" s="230">
        <v>36038400</v>
      </c>
      <c r="CW46" s="230">
        <v>1159800</v>
      </c>
      <c r="CX46" s="229">
        <v>3.2199999999999999E-2</v>
      </c>
      <c r="CY46" s="228">
        <v>22.31</v>
      </c>
      <c r="CZ46" s="228">
        <v>24.92</v>
      </c>
      <c r="DA46" s="228">
        <v>-2.61</v>
      </c>
      <c r="DB46" s="228">
        <v>-2.61</v>
      </c>
      <c r="DC46" s="228">
        <v>29.3</v>
      </c>
      <c r="DD46" s="228">
        <v>29.3</v>
      </c>
      <c r="DE46" s="228">
        <v>-6.99</v>
      </c>
      <c r="DF46" s="228">
        <v>0</v>
      </c>
      <c r="DG46" s="228">
        <v>22.29</v>
      </c>
      <c r="DH46" s="228">
        <v>25.12</v>
      </c>
      <c r="DI46" s="228">
        <v>-2.83</v>
      </c>
      <c r="DJ46" s="228">
        <v>-2.83</v>
      </c>
      <c r="DK46" s="228">
        <v>22.37</v>
      </c>
      <c r="DL46" s="228">
        <v>24.39</v>
      </c>
      <c r="DM46" s="228">
        <v>-2.02</v>
      </c>
      <c r="DN46" s="228">
        <v>-2.02</v>
      </c>
      <c r="DO46" s="228">
        <v>0.63</v>
      </c>
      <c r="DP46" s="228">
        <v>0.67</v>
      </c>
      <c r="DQ46" s="228">
        <v>-0.04</v>
      </c>
      <c r="DR46" s="229">
        <v>-5.9700000000000003E-2</v>
      </c>
      <c r="DS46" s="231">
        <v>1480</v>
      </c>
      <c r="DT46" s="231">
        <v>1440</v>
      </c>
      <c r="DU46" s="228">
        <v>0.3</v>
      </c>
      <c r="DV46" s="228">
        <v>0.38</v>
      </c>
      <c r="DW46" s="228">
        <v>-0.08</v>
      </c>
      <c r="DX46" s="229">
        <v>-0.21049999999999999</v>
      </c>
      <c r="DY46" s="229">
        <v>0.37869999999999998</v>
      </c>
      <c r="DZ46" s="230">
        <v>3426600</v>
      </c>
      <c r="EA46" s="229">
        <v>6.6E-3</v>
      </c>
      <c r="EB46" s="229">
        <v>0.37869999999999998</v>
      </c>
      <c r="EC46" s="228">
        <v>9.92</v>
      </c>
      <c r="ED46" s="229">
        <v>6.7999999999999996E-3</v>
      </c>
      <c r="EE46" s="230">
        <v>3243545</v>
      </c>
      <c r="EF46" s="230">
        <v>4583540</v>
      </c>
      <c r="EG46" s="229">
        <v>-0.2923</v>
      </c>
      <c r="EH46" s="229">
        <v>0.65239999999999998</v>
      </c>
      <c r="EI46" s="231">
        <v>557773.76</v>
      </c>
      <c r="EJ46" s="231">
        <v>160089.5</v>
      </c>
      <c r="EK46" s="231">
        <v>243306.99</v>
      </c>
      <c r="EL46" s="231">
        <v>5684</v>
      </c>
      <c r="EM46" s="231">
        <v>961170.25</v>
      </c>
      <c r="EN46" s="231">
        <v>564887.56999999995</v>
      </c>
      <c r="EO46" s="231">
        <v>396282.68</v>
      </c>
      <c r="EP46" s="229">
        <v>0.70150000000000001</v>
      </c>
      <c r="EQ46" s="231">
        <v>120556</v>
      </c>
      <c r="ER46" s="231">
        <v>71194</v>
      </c>
      <c r="ES46" s="231">
        <v>353693</v>
      </c>
      <c r="ET46" s="231">
        <v>76137451</v>
      </c>
      <c r="EU46" s="231">
        <v>545442</v>
      </c>
      <c r="EV46" s="231">
        <v>522637</v>
      </c>
      <c r="EW46" s="231">
        <v>22805</v>
      </c>
      <c r="EX46" s="229">
        <v>4.36E-2</v>
      </c>
      <c r="EY46" s="229">
        <v>0.48859999999999998</v>
      </c>
    </row>
    <row r="47" spans="1:155" ht="17.25" thickBot="1" x14ac:dyDescent="0.3">
      <c r="A47" s="226">
        <v>45981</v>
      </c>
      <c r="B47" s="227" t="s">
        <v>168</v>
      </c>
      <c r="C47" s="227" t="s">
        <v>297</v>
      </c>
      <c r="D47" s="231">
        <v>3905.8</v>
      </c>
      <c r="E47" s="231">
        <v>3930.5</v>
      </c>
      <c r="F47" s="228">
        <v>-24.7</v>
      </c>
      <c r="G47" s="229">
        <v>-6.3E-3</v>
      </c>
      <c r="H47" s="231">
        <v>3902.4</v>
      </c>
      <c r="I47" s="231">
        <v>3933.1</v>
      </c>
      <c r="J47" s="228">
        <v>-30.7</v>
      </c>
      <c r="K47" s="229">
        <v>-7.7999999999999996E-3</v>
      </c>
      <c r="L47" s="231">
        <v>3905.8</v>
      </c>
      <c r="M47" s="231">
        <v>3930.5</v>
      </c>
      <c r="N47" s="228">
        <v>-24.7</v>
      </c>
      <c r="O47" s="229">
        <v>-6.3E-3</v>
      </c>
      <c r="P47" s="231">
        <v>3932.5</v>
      </c>
      <c r="Q47" s="231">
        <v>3957.2</v>
      </c>
      <c r="R47" s="228">
        <v>-24.7</v>
      </c>
      <c r="S47" s="229">
        <v>-6.1999999999999998E-3</v>
      </c>
      <c r="T47" s="231">
        <v>3955.4</v>
      </c>
      <c r="U47" s="231">
        <v>3981.3</v>
      </c>
      <c r="V47" s="228">
        <v>-25.9</v>
      </c>
      <c r="W47" s="229">
        <v>-6.4999999999999997E-3</v>
      </c>
      <c r="X47" s="228">
        <v>3.4</v>
      </c>
      <c r="Y47" s="228">
        <v>-2.6</v>
      </c>
      <c r="Z47" s="228">
        <v>6</v>
      </c>
      <c r="AA47" s="229">
        <v>8.9999999999999998E-4</v>
      </c>
      <c r="AB47" s="228">
        <v>3.4</v>
      </c>
      <c r="AC47" s="228">
        <v>-2.6</v>
      </c>
      <c r="AD47" s="228">
        <v>6</v>
      </c>
      <c r="AE47" s="229">
        <v>8.9999999999999998E-4</v>
      </c>
      <c r="AF47" s="228">
        <v>30.1</v>
      </c>
      <c r="AG47" s="228">
        <v>24.1</v>
      </c>
      <c r="AH47" s="228">
        <v>6</v>
      </c>
      <c r="AI47" s="229">
        <v>7.7000000000000002E-3</v>
      </c>
      <c r="AJ47" s="228">
        <v>53</v>
      </c>
      <c r="AK47" s="228">
        <v>48.2</v>
      </c>
      <c r="AL47" s="228">
        <v>4.8</v>
      </c>
      <c r="AM47" s="229">
        <v>1.3599999999999999E-2</v>
      </c>
      <c r="AN47" s="231">
        <v>3925.61</v>
      </c>
      <c r="AO47" s="231">
        <v>3951.77</v>
      </c>
      <c r="AP47" s="228">
        <v>0</v>
      </c>
      <c r="AQ47" s="230">
        <v>26647</v>
      </c>
      <c r="AR47" s="230">
        <v>12514</v>
      </c>
      <c r="AS47" s="230">
        <v>14133</v>
      </c>
      <c r="AT47" s="229">
        <v>1.1294</v>
      </c>
      <c r="AU47" s="230">
        <v>13642</v>
      </c>
      <c r="AV47" s="230">
        <v>9424</v>
      </c>
      <c r="AW47" s="230">
        <v>4218</v>
      </c>
      <c r="AX47" s="229">
        <v>0.4476</v>
      </c>
      <c r="AY47" s="230">
        <v>12875</v>
      </c>
      <c r="AZ47" s="230">
        <v>2961</v>
      </c>
      <c r="BA47" s="230">
        <v>9914</v>
      </c>
      <c r="BB47" s="229">
        <v>3.3481999999999998</v>
      </c>
      <c r="BC47" s="228">
        <v>130</v>
      </c>
      <c r="BD47" s="228">
        <v>129</v>
      </c>
      <c r="BE47" s="228">
        <v>1</v>
      </c>
      <c r="BF47" s="229">
        <v>7.7999999999999996E-3</v>
      </c>
      <c r="BG47" s="230">
        <v>45024</v>
      </c>
      <c r="BH47" s="230">
        <v>87898</v>
      </c>
      <c r="BI47" s="230">
        <v>-42874</v>
      </c>
      <c r="BJ47" s="229">
        <v>-0.48780000000000001</v>
      </c>
      <c r="BK47" s="230">
        <v>27566</v>
      </c>
      <c r="BL47" s="230">
        <v>45261</v>
      </c>
      <c r="BM47" s="230">
        <v>-17695</v>
      </c>
      <c r="BN47" s="229">
        <v>-0.39100000000000001</v>
      </c>
      <c r="BO47" s="230">
        <v>99237</v>
      </c>
      <c r="BP47" s="230">
        <v>145673</v>
      </c>
      <c r="BQ47" s="230">
        <v>-46436</v>
      </c>
      <c r="BR47" s="229">
        <v>-0.31879999999999997</v>
      </c>
      <c r="BS47" s="230">
        <v>810400</v>
      </c>
      <c r="BT47" s="230">
        <v>1616874</v>
      </c>
      <c r="BU47" s="230">
        <v>-806474</v>
      </c>
      <c r="BV47" s="229">
        <v>-0.49880000000000002</v>
      </c>
      <c r="BW47" s="230">
        <v>9801750</v>
      </c>
      <c r="BX47" s="230">
        <v>9864225</v>
      </c>
      <c r="BY47" s="230">
        <v>-62475</v>
      </c>
      <c r="BZ47" s="229">
        <v>-6.3E-3</v>
      </c>
      <c r="CA47" s="230">
        <v>6944350</v>
      </c>
      <c r="CB47" s="230">
        <v>8779575</v>
      </c>
      <c r="CC47" s="230">
        <v>-1835225</v>
      </c>
      <c r="CD47" s="229">
        <v>-0.20899999999999999</v>
      </c>
      <c r="CE47" s="230">
        <v>2790375</v>
      </c>
      <c r="CF47" s="230">
        <v>1021825</v>
      </c>
      <c r="CG47" s="230">
        <v>1768550</v>
      </c>
      <c r="CH47" s="229">
        <v>1.7307999999999999</v>
      </c>
      <c r="CI47" s="230">
        <v>67025</v>
      </c>
      <c r="CJ47" s="230">
        <v>62825</v>
      </c>
      <c r="CK47" s="230">
        <v>4200</v>
      </c>
      <c r="CL47" s="229">
        <v>6.6900000000000001E-2</v>
      </c>
      <c r="CM47" s="230">
        <v>4251625</v>
      </c>
      <c r="CN47" s="230">
        <v>4389175</v>
      </c>
      <c r="CO47" s="230">
        <v>-137550</v>
      </c>
      <c r="CP47" s="229">
        <v>-3.1300000000000001E-2</v>
      </c>
      <c r="CQ47" s="230">
        <v>3009825</v>
      </c>
      <c r="CR47" s="230">
        <v>3165750</v>
      </c>
      <c r="CS47" s="230">
        <v>-155925</v>
      </c>
      <c r="CT47" s="229">
        <v>-4.9299999999999997E-2</v>
      </c>
      <c r="CU47" s="230">
        <v>17063200</v>
      </c>
      <c r="CV47" s="230">
        <v>17419150</v>
      </c>
      <c r="CW47" s="230">
        <v>-355950</v>
      </c>
      <c r="CX47" s="229">
        <v>-2.0400000000000001E-2</v>
      </c>
      <c r="CY47" s="228">
        <v>18.809999999999999</v>
      </c>
      <c r="CZ47" s="228">
        <v>17.32</v>
      </c>
      <c r="DA47" s="228">
        <v>1.49</v>
      </c>
      <c r="DB47" s="228">
        <v>1.49</v>
      </c>
      <c r="DC47" s="228">
        <v>25.42</v>
      </c>
      <c r="DD47" s="228">
        <v>25.47</v>
      </c>
      <c r="DE47" s="228">
        <v>-6.61</v>
      </c>
      <c r="DF47" s="228">
        <v>-0.05</v>
      </c>
      <c r="DG47" s="228">
        <v>18.760000000000002</v>
      </c>
      <c r="DH47" s="228">
        <v>16.48</v>
      </c>
      <c r="DI47" s="228">
        <v>2.2799999999999998</v>
      </c>
      <c r="DJ47" s="228">
        <v>2.2799999999999998</v>
      </c>
      <c r="DK47" s="228">
        <v>18.920000000000002</v>
      </c>
      <c r="DL47" s="228">
        <v>18.96</v>
      </c>
      <c r="DM47" s="228">
        <v>-0.04</v>
      </c>
      <c r="DN47" s="228">
        <v>-0.04</v>
      </c>
      <c r="DO47" s="228">
        <v>0.71</v>
      </c>
      <c r="DP47" s="228">
        <v>0.72</v>
      </c>
      <c r="DQ47" s="228">
        <v>-0.01</v>
      </c>
      <c r="DR47" s="229">
        <v>-1.3899999999999999E-2</v>
      </c>
      <c r="DS47" s="231">
        <v>4000</v>
      </c>
      <c r="DT47" s="231">
        <v>3700</v>
      </c>
      <c r="DU47" s="228">
        <v>0.61</v>
      </c>
      <c r="DV47" s="228">
        <v>0.51</v>
      </c>
      <c r="DW47" s="228">
        <v>0.1</v>
      </c>
      <c r="DX47" s="229">
        <v>0.1961</v>
      </c>
      <c r="DY47" s="229">
        <v>0.29149999999999998</v>
      </c>
      <c r="DZ47" s="230">
        <v>1084650</v>
      </c>
      <c r="EA47" s="229">
        <v>6.7999999999999996E-3</v>
      </c>
      <c r="EB47" s="229">
        <v>0.29149999999999998</v>
      </c>
      <c r="EC47" s="228">
        <v>26.16</v>
      </c>
      <c r="ED47" s="229">
        <v>6.7000000000000002E-3</v>
      </c>
      <c r="EE47" s="230">
        <v>506226</v>
      </c>
      <c r="EF47" s="230">
        <v>1137984</v>
      </c>
      <c r="EG47" s="229">
        <v>-0.55520000000000003</v>
      </c>
      <c r="EH47" s="229">
        <v>0.62470000000000003</v>
      </c>
      <c r="EI47" s="231">
        <v>315934.73</v>
      </c>
      <c r="EJ47" s="231">
        <v>186186.37</v>
      </c>
      <c r="EK47" s="231">
        <v>183660.53</v>
      </c>
      <c r="EL47" s="231">
        <v>7372</v>
      </c>
      <c r="EM47" s="231">
        <v>685781.63</v>
      </c>
      <c r="EN47" s="231">
        <v>1002849.3</v>
      </c>
      <c r="EO47" s="231">
        <v>-317067.67</v>
      </c>
      <c r="EP47" s="229">
        <v>-0.31619999999999998</v>
      </c>
      <c r="EQ47" s="231">
        <v>167306</v>
      </c>
      <c r="ER47" s="231">
        <v>112547</v>
      </c>
      <c r="ES47" s="231">
        <v>383615</v>
      </c>
      <c r="ET47" s="231">
        <v>41744334</v>
      </c>
      <c r="EU47" s="231">
        <v>663469</v>
      </c>
      <c r="EV47" s="231">
        <v>678857</v>
      </c>
      <c r="EW47" s="231">
        <v>-15388</v>
      </c>
      <c r="EX47" s="229">
        <v>-2.2700000000000001E-2</v>
      </c>
      <c r="EY47" s="229">
        <v>0.4088</v>
      </c>
    </row>
    <row r="48" spans="1:155" ht="17.25" thickBot="1" x14ac:dyDescent="0.3">
      <c r="A48" s="226">
        <v>45981</v>
      </c>
      <c r="B48" s="227" t="s">
        <v>162</v>
      </c>
      <c r="C48" s="227" t="s">
        <v>690</v>
      </c>
      <c r="D48" s="228">
        <v>360.9</v>
      </c>
      <c r="E48" s="228">
        <v>361.7</v>
      </c>
      <c r="F48" s="228">
        <v>-0.8</v>
      </c>
      <c r="G48" s="229">
        <v>-2.2000000000000001E-3</v>
      </c>
      <c r="H48" s="228">
        <v>359.8</v>
      </c>
      <c r="I48" s="228">
        <v>360.85</v>
      </c>
      <c r="J48" s="228">
        <v>-1.05</v>
      </c>
      <c r="K48" s="229">
        <v>-2.8999999999999998E-3</v>
      </c>
      <c r="L48" s="228">
        <v>360.9</v>
      </c>
      <c r="M48" s="228">
        <v>361.7</v>
      </c>
      <c r="N48" s="228">
        <v>-0.8</v>
      </c>
      <c r="O48" s="229">
        <v>-2.2000000000000001E-3</v>
      </c>
      <c r="P48" s="228">
        <v>362.05</v>
      </c>
      <c r="Q48" s="228">
        <v>363.85</v>
      </c>
      <c r="R48" s="228">
        <v>-1.8</v>
      </c>
      <c r="S48" s="229">
        <v>-4.8999999999999998E-3</v>
      </c>
      <c r="T48" s="228">
        <v>364.4</v>
      </c>
      <c r="U48" s="228">
        <v>365.95</v>
      </c>
      <c r="V48" s="228">
        <v>-1.55</v>
      </c>
      <c r="W48" s="229">
        <v>-4.1999999999999997E-3</v>
      </c>
      <c r="X48" s="228">
        <v>1.1000000000000001</v>
      </c>
      <c r="Y48" s="228">
        <v>0.85</v>
      </c>
      <c r="Z48" s="228">
        <v>0.25</v>
      </c>
      <c r="AA48" s="229">
        <v>3.0999999999999999E-3</v>
      </c>
      <c r="AB48" s="228">
        <v>1.1000000000000001</v>
      </c>
      <c r="AC48" s="228">
        <v>0.85</v>
      </c>
      <c r="AD48" s="228">
        <v>0.25</v>
      </c>
      <c r="AE48" s="229">
        <v>3.0999999999999999E-3</v>
      </c>
      <c r="AF48" s="228">
        <v>2.25</v>
      </c>
      <c r="AG48" s="228">
        <v>3</v>
      </c>
      <c r="AH48" s="228">
        <v>-0.75</v>
      </c>
      <c r="AI48" s="229">
        <v>6.3E-3</v>
      </c>
      <c r="AJ48" s="228">
        <v>4.5999999999999996</v>
      </c>
      <c r="AK48" s="228">
        <v>5.0999999999999996</v>
      </c>
      <c r="AL48" s="228">
        <v>-0.5</v>
      </c>
      <c r="AM48" s="229">
        <v>1.2800000000000001E-2</v>
      </c>
      <c r="AN48" s="228">
        <v>362.11</v>
      </c>
      <c r="AO48" s="228">
        <v>363.41</v>
      </c>
      <c r="AP48" s="228">
        <v>0</v>
      </c>
      <c r="AQ48" s="230">
        <v>84521</v>
      </c>
      <c r="AR48" s="230">
        <v>28392</v>
      </c>
      <c r="AS48" s="230">
        <v>56129</v>
      </c>
      <c r="AT48" s="229">
        <v>1.9769000000000001</v>
      </c>
      <c r="AU48" s="230">
        <v>44434</v>
      </c>
      <c r="AV48" s="230">
        <v>16802</v>
      </c>
      <c r="AW48" s="230">
        <v>27632</v>
      </c>
      <c r="AX48" s="229">
        <v>1.6446000000000001</v>
      </c>
      <c r="AY48" s="230">
        <v>39449</v>
      </c>
      <c r="AZ48" s="230">
        <v>10499</v>
      </c>
      <c r="BA48" s="230">
        <v>28950</v>
      </c>
      <c r="BB48" s="229">
        <v>2.7574000000000001</v>
      </c>
      <c r="BC48" s="228">
        <v>638</v>
      </c>
      <c r="BD48" s="230">
        <v>1091</v>
      </c>
      <c r="BE48" s="228">
        <v>-453</v>
      </c>
      <c r="BF48" s="229">
        <v>-0.41520000000000001</v>
      </c>
      <c r="BG48" s="230">
        <v>153666</v>
      </c>
      <c r="BH48" s="230">
        <v>220306</v>
      </c>
      <c r="BI48" s="230">
        <v>-66640</v>
      </c>
      <c r="BJ48" s="229">
        <v>-0.30249999999999999</v>
      </c>
      <c r="BK48" s="230">
        <v>35874</v>
      </c>
      <c r="BL48" s="230">
        <v>67359</v>
      </c>
      <c r="BM48" s="230">
        <v>-31485</v>
      </c>
      <c r="BN48" s="229">
        <v>-0.46739999999999998</v>
      </c>
      <c r="BO48" s="230">
        <v>274061</v>
      </c>
      <c r="BP48" s="230">
        <v>316057</v>
      </c>
      <c r="BQ48" s="230">
        <v>-41996</v>
      </c>
      <c r="BR48" s="229">
        <v>-0.13289999999999999</v>
      </c>
      <c r="BS48" s="230">
        <v>15999034</v>
      </c>
      <c r="BT48" s="230">
        <v>17854517</v>
      </c>
      <c r="BU48" s="230">
        <v>-1855483</v>
      </c>
      <c r="BV48" s="229">
        <v>-0.10390000000000001</v>
      </c>
      <c r="BW48" s="230">
        <v>84747200</v>
      </c>
      <c r="BX48" s="230">
        <v>96137600</v>
      </c>
      <c r="BY48" s="230">
        <v>-11390400</v>
      </c>
      <c r="BZ48" s="229">
        <v>-0.11849999999999999</v>
      </c>
      <c r="CA48" s="230">
        <v>48121600</v>
      </c>
      <c r="CB48" s="230">
        <v>71529600</v>
      </c>
      <c r="CC48" s="230">
        <v>-23408000</v>
      </c>
      <c r="CD48" s="229">
        <v>-0.32719999999999999</v>
      </c>
      <c r="CE48" s="230">
        <v>33321600</v>
      </c>
      <c r="CF48" s="230">
        <v>21620000</v>
      </c>
      <c r="CG48" s="230">
        <v>11701600</v>
      </c>
      <c r="CH48" s="229">
        <v>0.54120000000000001</v>
      </c>
      <c r="CI48" s="230">
        <v>3304000</v>
      </c>
      <c r="CJ48" s="230">
        <v>2988000</v>
      </c>
      <c r="CK48" s="230">
        <v>316000</v>
      </c>
      <c r="CL48" s="229">
        <v>0.10580000000000001</v>
      </c>
      <c r="CM48" s="230">
        <v>82774400</v>
      </c>
      <c r="CN48" s="230">
        <v>86319200</v>
      </c>
      <c r="CO48" s="230">
        <v>-3544800</v>
      </c>
      <c r="CP48" s="229">
        <v>-4.1099999999999998E-2</v>
      </c>
      <c r="CQ48" s="230">
        <v>33147200</v>
      </c>
      <c r="CR48" s="230">
        <v>32820800</v>
      </c>
      <c r="CS48" s="230">
        <v>326400</v>
      </c>
      <c r="CT48" s="229">
        <v>9.9000000000000008E-3</v>
      </c>
      <c r="CU48" s="230">
        <v>200668800</v>
      </c>
      <c r="CV48" s="230">
        <v>215277600</v>
      </c>
      <c r="CW48" s="230">
        <v>-14608800</v>
      </c>
      <c r="CX48" s="229">
        <v>-6.7900000000000002E-2</v>
      </c>
      <c r="CY48" s="228">
        <v>29.1</v>
      </c>
      <c r="CZ48" s="228">
        <v>34.21</v>
      </c>
      <c r="DA48" s="228">
        <v>-5.1100000000000003</v>
      </c>
      <c r="DB48" s="228">
        <v>-5.1100000000000003</v>
      </c>
      <c r="DC48" s="228">
        <v>35.33</v>
      </c>
      <c r="DD48" s="228">
        <v>35.42</v>
      </c>
      <c r="DE48" s="228">
        <v>-6.23</v>
      </c>
      <c r="DF48" s="228">
        <v>-0.09</v>
      </c>
      <c r="DG48" s="228">
        <v>29.6</v>
      </c>
      <c r="DH48" s="228">
        <v>35.630000000000003</v>
      </c>
      <c r="DI48" s="228">
        <v>-6.03</v>
      </c>
      <c r="DJ48" s="228">
        <v>-6.03</v>
      </c>
      <c r="DK48" s="228">
        <v>27.87</v>
      </c>
      <c r="DL48" s="228">
        <v>29.58</v>
      </c>
      <c r="DM48" s="228">
        <v>-1.71</v>
      </c>
      <c r="DN48" s="228">
        <v>-1.71</v>
      </c>
      <c r="DO48" s="228">
        <v>0.4</v>
      </c>
      <c r="DP48" s="228">
        <v>0.38</v>
      </c>
      <c r="DQ48" s="228">
        <v>0.02</v>
      </c>
      <c r="DR48" s="229">
        <v>5.2600000000000001E-2</v>
      </c>
      <c r="DS48" s="228">
        <v>380</v>
      </c>
      <c r="DT48" s="228">
        <v>350</v>
      </c>
      <c r="DU48" s="228">
        <v>0.23</v>
      </c>
      <c r="DV48" s="228">
        <v>0.31</v>
      </c>
      <c r="DW48" s="228">
        <v>-0.08</v>
      </c>
      <c r="DX48" s="229">
        <v>-0.2581</v>
      </c>
      <c r="DY48" s="229">
        <v>0.43219999999999997</v>
      </c>
      <c r="DZ48" s="230">
        <v>24608000</v>
      </c>
      <c r="EA48" s="229">
        <v>3.2000000000000002E-3</v>
      </c>
      <c r="EB48" s="229">
        <v>0.43219999999999997</v>
      </c>
      <c r="EC48" s="228">
        <v>1.3</v>
      </c>
      <c r="ED48" s="229">
        <v>3.5999999999999999E-3</v>
      </c>
      <c r="EE48" s="230">
        <v>9955699</v>
      </c>
      <c r="EF48" s="230">
        <v>9887864</v>
      </c>
      <c r="EG48" s="229">
        <v>6.8999999999999999E-3</v>
      </c>
      <c r="EH48" s="229">
        <v>0.62229999999999996</v>
      </c>
      <c r="EI48" s="231">
        <v>476296.96000000002</v>
      </c>
      <c r="EJ48" s="231">
        <v>104448.76</v>
      </c>
      <c r="EK48" s="231">
        <v>245275.22</v>
      </c>
      <c r="EL48" s="231">
        <v>30687</v>
      </c>
      <c r="EM48" s="231">
        <v>826020.94</v>
      </c>
      <c r="EN48" s="231">
        <v>968424.15</v>
      </c>
      <c r="EO48" s="231">
        <v>-142403.21</v>
      </c>
      <c r="EP48" s="229">
        <v>-0.14699999999999999</v>
      </c>
      <c r="EQ48" s="231">
        <v>333937</v>
      </c>
      <c r="ER48" s="231">
        <v>123319</v>
      </c>
      <c r="ES48" s="231">
        <v>306351</v>
      </c>
      <c r="ET48" s="231">
        <v>284575867</v>
      </c>
      <c r="EU48" s="231">
        <v>763607</v>
      </c>
      <c r="EV48" s="231">
        <v>819876</v>
      </c>
      <c r="EW48" s="231">
        <v>-56269</v>
      </c>
      <c r="EX48" s="229">
        <v>-6.8599999999999994E-2</v>
      </c>
      <c r="EY48" s="229">
        <v>0.70520000000000005</v>
      </c>
    </row>
    <row r="49" spans="1:155" ht="17.25" thickBot="1" x14ac:dyDescent="0.3">
      <c r="A49" s="226">
        <v>45981</v>
      </c>
      <c r="B49" s="227" t="s">
        <v>197</v>
      </c>
      <c r="C49" s="227" t="s">
        <v>482</v>
      </c>
      <c r="D49" s="231">
        <v>4394.2</v>
      </c>
      <c r="E49" s="231">
        <v>4368.3</v>
      </c>
      <c r="F49" s="228">
        <v>25.9</v>
      </c>
      <c r="G49" s="229">
        <v>5.8999999999999999E-3</v>
      </c>
      <c r="H49" s="231">
        <v>4388.8999999999996</v>
      </c>
      <c r="I49" s="231">
        <v>4358.8999999999996</v>
      </c>
      <c r="J49" s="228">
        <v>30</v>
      </c>
      <c r="K49" s="229">
        <v>6.8999999999999999E-3</v>
      </c>
      <c r="L49" s="231">
        <v>4394.2</v>
      </c>
      <c r="M49" s="231">
        <v>4368.3</v>
      </c>
      <c r="N49" s="228">
        <v>25.9</v>
      </c>
      <c r="O49" s="229">
        <v>5.8999999999999999E-3</v>
      </c>
      <c r="P49" s="231">
        <v>4423.2</v>
      </c>
      <c r="Q49" s="231">
        <v>4397.3</v>
      </c>
      <c r="R49" s="228">
        <v>25.9</v>
      </c>
      <c r="S49" s="229">
        <v>5.8999999999999999E-3</v>
      </c>
      <c r="T49" s="231">
        <v>4455.8</v>
      </c>
      <c r="U49" s="231">
        <v>4423.2</v>
      </c>
      <c r="V49" s="228">
        <v>32.6</v>
      </c>
      <c r="W49" s="229">
        <v>7.4000000000000003E-3</v>
      </c>
      <c r="X49" s="228">
        <v>5.3</v>
      </c>
      <c r="Y49" s="228">
        <v>9.4</v>
      </c>
      <c r="Z49" s="228">
        <v>-4.0999999999999996</v>
      </c>
      <c r="AA49" s="229">
        <v>1.1999999999999999E-3</v>
      </c>
      <c r="AB49" s="228">
        <v>5.3</v>
      </c>
      <c r="AC49" s="228">
        <v>9.4</v>
      </c>
      <c r="AD49" s="228">
        <v>-4.0999999999999996</v>
      </c>
      <c r="AE49" s="229">
        <v>1.1999999999999999E-3</v>
      </c>
      <c r="AF49" s="228">
        <v>34.299999999999997</v>
      </c>
      <c r="AG49" s="228">
        <v>38.4</v>
      </c>
      <c r="AH49" s="228">
        <v>-4.0999999999999996</v>
      </c>
      <c r="AI49" s="229">
        <v>7.7999999999999996E-3</v>
      </c>
      <c r="AJ49" s="228">
        <v>66.900000000000006</v>
      </c>
      <c r="AK49" s="228">
        <v>64.3</v>
      </c>
      <c r="AL49" s="228">
        <v>2.6</v>
      </c>
      <c r="AM49" s="229">
        <v>1.52E-2</v>
      </c>
      <c r="AN49" s="231">
        <v>4386.55</v>
      </c>
      <c r="AO49" s="231">
        <v>4414.76</v>
      </c>
      <c r="AP49" s="228">
        <v>0</v>
      </c>
      <c r="AQ49" s="230">
        <v>30596</v>
      </c>
      <c r="AR49" s="230">
        <v>14254</v>
      </c>
      <c r="AS49" s="230">
        <v>16342</v>
      </c>
      <c r="AT49" s="229">
        <v>1.1465000000000001</v>
      </c>
      <c r="AU49" s="230">
        <v>15756</v>
      </c>
      <c r="AV49" s="230">
        <v>8454</v>
      </c>
      <c r="AW49" s="230">
        <v>7302</v>
      </c>
      <c r="AX49" s="229">
        <v>0.86370000000000002</v>
      </c>
      <c r="AY49" s="230">
        <v>14597</v>
      </c>
      <c r="AZ49" s="230">
        <v>5616</v>
      </c>
      <c r="BA49" s="230">
        <v>8981</v>
      </c>
      <c r="BB49" s="229">
        <v>1.5992</v>
      </c>
      <c r="BC49" s="228">
        <v>243</v>
      </c>
      <c r="BD49" s="228">
        <v>184</v>
      </c>
      <c r="BE49" s="228">
        <v>59</v>
      </c>
      <c r="BF49" s="229">
        <v>0.32069999999999999</v>
      </c>
      <c r="BG49" s="230">
        <v>69656</v>
      </c>
      <c r="BH49" s="230">
        <v>55858</v>
      </c>
      <c r="BI49" s="230">
        <v>13798</v>
      </c>
      <c r="BJ49" s="229">
        <v>0.247</v>
      </c>
      <c r="BK49" s="230">
        <v>22212</v>
      </c>
      <c r="BL49" s="230">
        <v>21470</v>
      </c>
      <c r="BM49" s="228">
        <v>742</v>
      </c>
      <c r="BN49" s="229">
        <v>3.4599999999999999E-2</v>
      </c>
      <c r="BO49" s="230">
        <v>122464</v>
      </c>
      <c r="BP49" s="230">
        <v>91582</v>
      </c>
      <c r="BQ49" s="230">
        <v>30882</v>
      </c>
      <c r="BR49" s="229">
        <v>0.3372</v>
      </c>
      <c r="BS49" s="230">
        <v>524076</v>
      </c>
      <c r="BT49" s="230">
        <v>618420</v>
      </c>
      <c r="BU49" s="230">
        <v>-94344</v>
      </c>
      <c r="BV49" s="229">
        <v>-0.15260000000000001</v>
      </c>
      <c r="BW49" s="230">
        <v>8495300</v>
      </c>
      <c r="BX49" s="230">
        <v>8574500</v>
      </c>
      <c r="BY49" s="230">
        <v>-79200</v>
      </c>
      <c r="BZ49" s="229">
        <v>-9.1999999999999998E-3</v>
      </c>
      <c r="CA49" s="230">
        <v>6024200</v>
      </c>
      <c r="CB49" s="230">
        <v>7249300</v>
      </c>
      <c r="CC49" s="230">
        <v>-1225100</v>
      </c>
      <c r="CD49" s="229">
        <v>-0.16900000000000001</v>
      </c>
      <c r="CE49" s="230">
        <v>2353800</v>
      </c>
      <c r="CF49" s="230">
        <v>1215600</v>
      </c>
      <c r="CG49" s="230">
        <v>1138200</v>
      </c>
      <c r="CH49" s="229">
        <v>0.93630000000000002</v>
      </c>
      <c r="CI49" s="230">
        <v>117300</v>
      </c>
      <c r="CJ49" s="230">
        <v>109600</v>
      </c>
      <c r="CK49" s="230">
        <v>7700</v>
      </c>
      <c r="CL49" s="229">
        <v>7.0300000000000001E-2</v>
      </c>
      <c r="CM49" s="230">
        <v>5315800</v>
      </c>
      <c r="CN49" s="230">
        <v>5747000</v>
      </c>
      <c r="CO49" s="230">
        <v>-431200</v>
      </c>
      <c r="CP49" s="229">
        <v>-7.4999999999999997E-2</v>
      </c>
      <c r="CQ49" s="230">
        <v>2953000</v>
      </c>
      <c r="CR49" s="230">
        <v>3159000</v>
      </c>
      <c r="CS49" s="230">
        <v>-206000</v>
      </c>
      <c r="CT49" s="229">
        <v>-6.5199999999999994E-2</v>
      </c>
      <c r="CU49" s="230">
        <v>16764100</v>
      </c>
      <c r="CV49" s="230">
        <v>17480500</v>
      </c>
      <c r="CW49" s="230">
        <v>-716400</v>
      </c>
      <c r="CX49" s="229">
        <v>-4.1000000000000002E-2</v>
      </c>
      <c r="CY49" s="228">
        <v>26.38</v>
      </c>
      <c r="CZ49" s="228">
        <v>30.08</v>
      </c>
      <c r="DA49" s="228">
        <v>-3.7</v>
      </c>
      <c r="DB49" s="228">
        <v>-3.7</v>
      </c>
      <c r="DC49" s="228">
        <v>44.04</v>
      </c>
      <c r="DD49" s="228">
        <v>44.14</v>
      </c>
      <c r="DE49" s="228">
        <v>-17.66</v>
      </c>
      <c r="DF49" s="228">
        <v>-0.1</v>
      </c>
      <c r="DG49" s="228">
        <v>26.35</v>
      </c>
      <c r="DH49" s="228">
        <v>30.72</v>
      </c>
      <c r="DI49" s="228">
        <v>-4.37</v>
      </c>
      <c r="DJ49" s="228">
        <v>-4.37</v>
      </c>
      <c r="DK49" s="228">
        <v>26.48</v>
      </c>
      <c r="DL49" s="228">
        <v>28.41</v>
      </c>
      <c r="DM49" s="228">
        <v>-1.93</v>
      </c>
      <c r="DN49" s="228">
        <v>-1.93</v>
      </c>
      <c r="DO49" s="228">
        <v>0.56000000000000005</v>
      </c>
      <c r="DP49" s="228">
        <v>0.55000000000000004</v>
      </c>
      <c r="DQ49" s="228">
        <v>0.01</v>
      </c>
      <c r="DR49" s="229">
        <v>1.8200000000000001E-2</v>
      </c>
      <c r="DS49" s="231">
        <v>4800</v>
      </c>
      <c r="DT49" s="231">
        <v>4400</v>
      </c>
      <c r="DU49" s="228">
        <v>0.32</v>
      </c>
      <c r="DV49" s="228">
        <v>0.38</v>
      </c>
      <c r="DW49" s="228">
        <v>-0.06</v>
      </c>
      <c r="DX49" s="229">
        <v>-0.15790000000000001</v>
      </c>
      <c r="DY49" s="229">
        <v>0.29089999999999999</v>
      </c>
      <c r="DZ49" s="230">
        <v>1325200</v>
      </c>
      <c r="EA49" s="229">
        <v>6.6E-3</v>
      </c>
      <c r="EB49" s="229">
        <v>0.29089999999999999</v>
      </c>
      <c r="EC49" s="228">
        <v>28.21</v>
      </c>
      <c r="ED49" s="229">
        <v>6.4000000000000003E-3</v>
      </c>
      <c r="EE49" s="230">
        <v>282865</v>
      </c>
      <c r="EF49" s="230">
        <v>374777</v>
      </c>
      <c r="EG49" s="229">
        <v>-0.2452</v>
      </c>
      <c r="EH49" s="229">
        <v>0.53969999999999996</v>
      </c>
      <c r="EI49" s="231">
        <v>321527.36</v>
      </c>
      <c r="EJ49" s="231">
        <v>96759.27</v>
      </c>
      <c r="EK49" s="231">
        <v>134637.12</v>
      </c>
      <c r="EL49" s="231">
        <v>9260</v>
      </c>
      <c r="EM49" s="231">
        <v>552923.75</v>
      </c>
      <c r="EN49" s="231">
        <v>413794.38</v>
      </c>
      <c r="EO49" s="231">
        <v>139129.37</v>
      </c>
      <c r="EP49" s="229">
        <v>0.3362</v>
      </c>
      <c r="EQ49" s="231">
        <v>252522</v>
      </c>
      <c r="ER49" s="231">
        <v>131389</v>
      </c>
      <c r="ES49" s="231">
        <v>374055</v>
      </c>
      <c r="ET49" s="231">
        <v>33590487</v>
      </c>
      <c r="EU49" s="231">
        <v>757966</v>
      </c>
      <c r="EV49" s="231">
        <v>787966</v>
      </c>
      <c r="EW49" s="231">
        <v>-30000</v>
      </c>
      <c r="EX49" s="229">
        <v>-3.8100000000000002E-2</v>
      </c>
      <c r="EY49" s="229">
        <v>0.49909999999999999</v>
      </c>
    </row>
    <row r="50" spans="1:155" ht="17.25" thickBot="1" x14ac:dyDescent="0.3">
      <c r="A50" s="226">
        <v>45981</v>
      </c>
      <c r="B50" s="227" t="s">
        <v>157</v>
      </c>
      <c r="C50" s="227" t="s">
        <v>302</v>
      </c>
      <c r="D50" s="231">
        <v>11753</v>
      </c>
      <c r="E50" s="231">
        <v>11690</v>
      </c>
      <c r="F50" s="228">
        <v>63</v>
      </c>
      <c r="G50" s="229">
        <v>5.4000000000000003E-3</v>
      </c>
      <c r="H50" s="231">
        <v>11753</v>
      </c>
      <c r="I50" s="231">
        <v>11666</v>
      </c>
      <c r="J50" s="228">
        <v>87</v>
      </c>
      <c r="K50" s="229">
        <v>7.4999999999999997E-3</v>
      </c>
      <c r="L50" s="231">
        <v>11753</v>
      </c>
      <c r="M50" s="231">
        <v>11690</v>
      </c>
      <c r="N50" s="228">
        <v>63</v>
      </c>
      <c r="O50" s="229">
        <v>5.4000000000000003E-3</v>
      </c>
      <c r="P50" s="231">
        <v>11831</v>
      </c>
      <c r="Q50" s="231">
        <v>11769</v>
      </c>
      <c r="R50" s="228">
        <v>62</v>
      </c>
      <c r="S50" s="229">
        <v>5.3E-3</v>
      </c>
      <c r="T50" s="231">
        <v>11884</v>
      </c>
      <c r="U50" s="231">
        <v>11840</v>
      </c>
      <c r="V50" s="228">
        <v>44</v>
      </c>
      <c r="W50" s="229">
        <v>3.7000000000000002E-3</v>
      </c>
      <c r="X50" s="228">
        <v>0</v>
      </c>
      <c r="Y50" s="228">
        <v>24</v>
      </c>
      <c r="Z50" s="228">
        <v>-24</v>
      </c>
      <c r="AA50" s="229">
        <v>0</v>
      </c>
      <c r="AB50" s="228">
        <v>0</v>
      </c>
      <c r="AC50" s="228">
        <v>24</v>
      </c>
      <c r="AD50" s="228">
        <v>-24</v>
      </c>
      <c r="AE50" s="229">
        <v>0</v>
      </c>
      <c r="AF50" s="228">
        <v>78</v>
      </c>
      <c r="AG50" s="228">
        <v>103</v>
      </c>
      <c r="AH50" s="228">
        <v>-25</v>
      </c>
      <c r="AI50" s="229">
        <v>6.6E-3</v>
      </c>
      <c r="AJ50" s="228">
        <v>131</v>
      </c>
      <c r="AK50" s="228">
        <v>174</v>
      </c>
      <c r="AL50" s="228">
        <v>-43</v>
      </c>
      <c r="AM50" s="229">
        <v>1.11E-2</v>
      </c>
      <c r="AN50" s="231">
        <v>11733.75</v>
      </c>
      <c r="AO50" s="231">
        <v>11813.85</v>
      </c>
      <c r="AP50" s="228">
        <v>0</v>
      </c>
      <c r="AQ50" s="230">
        <v>18561</v>
      </c>
      <c r="AR50" s="230">
        <v>9553</v>
      </c>
      <c r="AS50" s="230">
        <v>9008</v>
      </c>
      <c r="AT50" s="229">
        <v>0.94289999999999996</v>
      </c>
      <c r="AU50" s="230">
        <v>10168</v>
      </c>
      <c r="AV50" s="230">
        <v>6195</v>
      </c>
      <c r="AW50" s="230">
        <v>3973</v>
      </c>
      <c r="AX50" s="229">
        <v>0.64129999999999998</v>
      </c>
      <c r="AY50" s="230">
        <v>8325</v>
      </c>
      <c r="AZ50" s="230">
        <v>3292</v>
      </c>
      <c r="BA50" s="230">
        <v>5033</v>
      </c>
      <c r="BB50" s="229">
        <v>1.5288999999999999</v>
      </c>
      <c r="BC50" s="228">
        <v>68</v>
      </c>
      <c r="BD50" s="228">
        <v>66</v>
      </c>
      <c r="BE50" s="228">
        <v>2</v>
      </c>
      <c r="BF50" s="229">
        <v>3.0300000000000001E-2</v>
      </c>
      <c r="BG50" s="230">
        <v>34490</v>
      </c>
      <c r="BH50" s="230">
        <v>31685</v>
      </c>
      <c r="BI50" s="230">
        <v>2805</v>
      </c>
      <c r="BJ50" s="229">
        <v>8.8499999999999995E-2</v>
      </c>
      <c r="BK50" s="230">
        <v>10178</v>
      </c>
      <c r="BL50" s="230">
        <v>9729</v>
      </c>
      <c r="BM50" s="228">
        <v>449</v>
      </c>
      <c r="BN50" s="229">
        <v>4.6199999999999998E-2</v>
      </c>
      <c r="BO50" s="230">
        <v>63229</v>
      </c>
      <c r="BP50" s="230">
        <v>50967</v>
      </c>
      <c r="BQ50" s="230">
        <v>12262</v>
      </c>
      <c r="BR50" s="229">
        <v>0.24060000000000001</v>
      </c>
      <c r="BS50" s="230">
        <v>193984</v>
      </c>
      <c r="BT50" s="230">
        <v>273825</v>
      </c>
      <c r="BU50" s="230">
        <v>-79841</v>
      </c>
      <c r="BV50" s="229">
        <v>-0.29160000000000003</v>
      </c>
      <c r="BW50" s="230">
        <v>2535350</v>
      </c>
      <c r="BX50" s="230">
        <v>2529700</v>
      </c>
      <c r="BY50" s="230">
        <v>5650</v>
      </c>
      <c r="BZ50" s="229">
        <v>2.2000000000000001E-3</v>
      </c>
      <c r="CA50" s="230">
        <v>1811750</v>
      </c>
      <c r="CB50" s="230">
        <v>2185800</v>
      </c>
      <c r="CC50" s="230">
        <v>-374050</v>
      </c>
      <c r="CD50" s="229">
        <v>-0.1711</v>
      </c>
      <c r="CE50" s="230">
        <v>712900</v>
      </c>
      <c r="CF50" s="230">
        <v>334700</v>
      </c>
      <c r="CG50" s="230">
        <v>378200</v>
      </c>
      <c r="CH50" s="229">
        <v>1.1299999999999999</v>
      </c>
      <c r="CI50" s="230">
        <v>10700</v>
      </c>
      <c r="CJ50" s="230">
        <v>9200</v>
      </c>
      <c r="CK50" s="230">
        <v>1500</v>
      </c>
      <c r="CL50" s="229">
        <v>0.16300000000000001</v>
      </c>
      <c r="CM50" s="230">
        <v>1093600</v>
      </c>
      <c r="CN50" s="230">
        <v>1324300</v>
      </c>
      <c r="CO50" s="230">
        <v>-230700</v>
      </c>
      <c r="CP50" s="229">
        <v>-0.17419999999999999</v>
      </c>
      <c r="CQ50" s="230">
        <v>496550</v>
      </c>
      <c r="CR50" s="230">
        <v>542650</v>
      </c>
      <c r="CS50" s="230">
        <v>-46100</v>
      </c>
      <c r="CT50" s="229">
        <v>-8.5000000000000006E-2</v>
      </c>
      <c r="CU50" s="230">
        <v>4125500</v>
      </c>
      <c r="CV50" s="230">
        <v>4396650</v>
      </c>
      <c r="CW50" s="230">
        <v>-271150</v>
      </c>
      <c r="CX50" s="229">
        <v>-6.1699999999999998E-2</v>
      </c>
      <c r="CY50" s="228">
        <v>17.23</v>
      </c>
      <c r="CZ50" s="228">
        <v>19.75</v>
      </c>
      <c r="DA50" s="228">
        <v>-2.52</v>
      </c>
      <c r="DB50" s="228">
        <v>-2.52</v>
      </c>
      <c r="DC50" s="228">
        <v>24.54</v>
      </c>
      <c r="DD50" s="228">
        <v>24.58</v>
      </c>
      <c r="DE50" s="228">
        <v>-7.31</v>
      </c>
      <c r="DF50" s="228">
        <v>-0.04</v>
      </c>
      <c r="DG50" s="228">
        <v>17.329999999999998</v>
      </c>
      <c r="DH50" s="228">
        <v>20.3</v>
      </c>
      <c r="DI50" s="228">
        <v>-2.97</v>
      </c>
      <c r="DJ50" s="228">
        <v>-2.97</v>
      </c>
      <c r="DK50" s="228">
        <v>16.84</v>
      </c>
      <c r="DL50" s="228">
        <v>17.95</v>
      </c>
      <c r="DM50" s="228">
        <v>-1.1100000000000001</v>
      </c>
      <c r="DN50" s="228">
        <v>-1.1100000000000001</v>
      </c>
      <c r="DO50" s="228">
        <v>0.45</v>
      </c>
      <c r="DP50" s="228">
        <v>0.41</v>
      </c>
      <c r="DQ50" s="228">
        <v>0.04</v>
      </c>
      <c r="DR50" s="229">
        <v>9.7600000000000006E-2</v>
      </c>
      <c r="DS50" s="231">
        <v>12000</v>
      </c>
      <c r="DT50" s="231">
        <v>11000</v>
      </c>
      <c r="DU50" s="228">
        <v>0.3</v>
      </c>
      <c r="DV50" s="228">
        <v>0.31</v>
      </c>
      <c r="DW50" s="228">
        <v>-0.01</v>
      </c>
      <c r="DX50" s="229">
        <v>-3.2300000000000002E-2</v>
      </c>
      <c r="DY50" s="229">
        <v>0.28539999999999999</v>
      </c>
      <c r="DZ50" s="230">
        <v>343900</v>
      </c>
      <c r="EA50" s="229">
        <v>6.6E-3</v>
      </c>
      <c r="EB50" s="229">
        <v>0.28539999999999999</v>
      </c>
      <c r="EC50" s="228">
        <v>80.099999999999994</v>
      </c>
      <c r="ED50" s="229">
        <v>6.7999999999999996E-3</v>
      </c>
      <c r="EE50" s="230">
        <v>132402</v>
      </c>
      <c r="EF50" s="230">
        <v>207360</v>
      </c>
      <c r="EG50" s="229">
        <v>-0.36149999999999999</v>
      </c>
      <c r="EH50" s="229">
        <v>0.6825</v>
      </c>
      <c r="EI50" s="231">
        <v>208876.61</v>
      </c>
      <c r="EJ50" s="231">
        <v>59646.38</v>
      </c>
      <c r="EK50" s="231">
        <v>109233.64</v>
      </c>
      <c r="EL50" s="231">
        <v>6828</v>
      </c>
      <c r="EM50" s="231">
        <v>377756.63</v>
      </c>
      <c r="EN50" s="231">
        <v>305005.09000000003</v>
      </c>
      <c r="EO50" s="231">
        <v>72751.539999999994</v>
      </c>
      <c r="EP50" s="229">
        <v>0.23849999999999999</v>
      </c>
      <c r="EQ50" s="231">
        <v>134853</v>
      </c>
      <c r="ER50" s="231">
        <v>57873</v>
      </c>
      <c r="ES50" s="231">
        <v>298550</v>
      </c>
      <c r="ET50" s="231">
        <v>11962066</v>
      </c>
      <c r="EU50" s="231">
        <v>491276</v>
      </c>
      <c r="EV50" s="231">
        <v>522519</v>
      </c>
      <c r="EW50" s="231">
        <v>-31243</v>
      </c>
      <c r="EX50" s="229">
        <v>-5.9799999999999999E-2</v>
      </c>
      <c r="EY50" s="229">
        <v>0.34489999999999998</v>
      </c>
    </row>
    <row r="51" spans="1:155" ht="17.25" thickBot="1" x14ac:dyDescent="0.3">
      <c r="A51" s="226">
        <v>45981</v>
      </c>
      <c r="B51" s="227" t="s">
        <v>221</v>
      </c>
      <c r="C51" s="227" t="s">
        <v>306</v>
      </c>
      <c r="D51" s="228">
        <v>247.09</v>
      </c>
      <c r="E51" s="228">
        <v>246.92</v>
      </c>
      <c r="F51" s="228">
        <v>0.17</v>
      </c>
      <c r="G51" s="229">
        <v>6.9999999999999999E-4</v>
      </c>
      <c r="H51" s="228">
        <v>246.26</v>
      </c>
      <c r="I51" s="228">
        <v>246.07</v>
      </c>
      <c r="J51" s="228">
        <v>0.19</v>
      </c>
      <c r="K51" s="229">
        <v>8.0000000000000004E-4</v>
      </c>
      <c r="L51" s="228">
        <v>247.09</v>
      </c>
      <c r="M51" s="228">
        <v>246.92</v>
      </c>
      <c r="N51" s="228">
        <v>0.17</v>
      </c>
      <c r="O51" s="229">
        <v>6.9999999999999999E-4</v>
      </c>
      <c r="P51" s="228">
        <v>246.74</v>
      </c>
      <c r="Q51" s="228">
        <v>246.43</v>
      </c>
      <c r="R51" s="228">
        <v>0.31</v>
      </c>
      <c r="S51" s="229">
        <v>1.2999999999999999E-3</v>
      </c>
      <c r="T51" s="228">
        <v>246.21</v>
      </c>
      <c r="U51" s="228">
        <v>245.86</v>
      </c>
      <c r="V51" s="228">
        <v>0.35</v>
      </c>
      <c r="W51" s="229">
        <v>1.4E-3</v>
      </c>
      <c r="X51" s="228">
        <v>0.83</v>
      </c>
      <c r="Y51" s="228">
        <v>0.85</v>
      </c>
      <c r="Z51" s="228">
        <v>-0.02</v>
      </c>
      <c r="AA51" s="229">
        <v>3.3999999999999998E-3</v>
      </c>
      <c r="AB51" s="228">
        <v>0.83</v>
      </c>
      <c r="AC51" s="228">
        <v>0.85</v>
      </c>
      <c r="AD51" s="228">
        <v>-0.02</v>
      </c>
      <c r="AE51" s="229">
        <v>3.3999999999999998E-3</v>
      </c>
      <c r="AF51" s="228">
        <v>0.48</v>
      </c>
      <c r="AG51" s="228">
        <v>0.36</v>
      </c>
      <c r="AH51" s="228">
        <v>0.12</v>
      </c>
      <c r="AI51" s="229">
        <v>1.9E-3</v>
      </c>
      <c r="AJ51" s="228">
        <v>-0.05</v>
      </c>
      <c r="AK51" s="228">
        <v>-0.21</v>
      </c>
      <c r="AL51" s="228">
        <v>0.16</v>
      </c>
      <c r="AM51" s="229">
        <v>-2.0000000000000001E-4</v>
      </c>
      <c r="AN51" s="228">
        <v>247.02</v>
      </c>
      <c r="AO51" s="228">
        <v>246.54</v>
      </c>
      <c r="AP51" s="228">
        <v>0</v>
      </c>
      <c r="AQ51" s="230">
        <v>37126</v>
      </c>
      <c r="AR51" s="230">
        <v>13871</v>
      </c>
      <c r="AS51" s="230">
        <v>23255</v>
      </c>
      <c r="AT51" s="229">
        <v>1.6765000000000001</v>
      </c>
      <c r="AU51" s="230">
        <v>18809</v>
      </c>
      <c r="AV51" s="230">
        <v>8871</v>
      </c>
      <c r="AW51" s="230">
        <v>9938</v>
      </c>
      <c r="AX51" s="229">
        <v>1.1203000000000001</v>
      </c>
      <c r="AY51" s="230">
        <v>17970</v>
      </c>
      <c r="AZ51" s="230">
        <v>4625</v>
      </c>
      <c r="BA51" s="230">
        <v>13345</v>
      </c>
      <c r="BB51" s="229">
        <v>2.8854000000000002</v>
      </c>
      <c r="BC51" s="228">
        <v>347</v>
      </c>
      <c r="BD51" s="228">
        <v>375</v>
      </c>
      <c r="BE51" s="228">
        <v>-28</v>
      </c>
      <c r="BF51" s="229">
        <v>-7.4700000000000003E-2</v>
      </c>
      <c r="BG51" s="230">
        <v>20450</v>
      </c>
      <c r="BH51" s="230">
        <v>45848</v>
      </c>
      <c r="BI51" s="230">
        <v>-25398</v>
      </c>
      <c r="BJ51" s="229">
        <v>-0.55400000000000005</v>
      </c>
      <c r="BK51" s="230">
        <v>14531</v>
      </c>
      <c r="BL51" s="230">
        <v>22511</v>
      </c>
      <c r="BM51" s="230">
        <v>-7980</v>
      </c>
      <c r="BN51" s="229">
        <v>-0.35449999999999998</v>
      </c>
      <c r="BO51" s="230">
        <v>72107</v>
      </c>
      <c r="BP51" s="230">
        <v>82230</v>
      </c>
      <c r="BQ51" s="230">
        <v>-10123</v>
      </c>
      <c r="BR51" s="229">
        <v>-0.1231</v>
      </c>
      <c r="BS51" s="230">
        <v>6849771</v>
      </c>
      <c r="BT51" s="230">
        <v>13630484</v>
      </c>
      <c r="BU51" s="230">
        <v>-6780713</v>
      </c>
      <c r="BV51" s="229">
        <v>-0.4975</v>
      </c>
      <c r="BW51" s="230">
        <v>152571000</v>
      </c>
      <c r="BX51" s="230">
        <v>163176000</v>
      </c>
      <c r="BY51" s="230">
        <v>-10605000</v>
      </c>
      <c r="BZ51" s="229">
        <v>-6.5000000000000002E-2</v>
      </c>
      <c r="CA51" s="230">
        <v>86616000</v>
      </c>
      <c r="CB51" s="230">
        <v>128562000</v>
      </c>
      <c r="CC51" s="230">
        <v>-41946000</v>
      </c>
      <c r="CD51" s="229">
        <v>-0.32629999999999998</v>
      </c>
      <c r="CE51" s="230">
        <v>63513000</v>
      </c>
      <c r="CF51" s="230">
        <v>32625000</v>
      </c>
      <c r="CG51" s="230">
        <v>30888000</v>
      </c>
      <c r="CH51" s="229">
        <v>0.94679999999999997</v>
      </c>
      <c r="CI51" s="230">
        <v>2442000</v>
      </c>
      <c r="CJ51" s="230">
        <v>1989000</v>
      </c>
      <c r="CK51" s="230">
        <v>453000</v>
      </c>
      <c r="CL51" s="229">
        <v>0.2278</v>
      </c>
      <c r="CM51" s="230">
        <v>59487000</v>
      </c>
      <c r="CN51" s="230">
        <v>63108000</v>
      </c>
      <c r="CO51" s="230">
        <v>-3621000</v>
      </c>
      <c r="CP51" s="229">
        <v>-5.74E-2</v>
      </c>
      <c r="CQ51" s="230">
        <v>42957000</v>
      </c>
      <c r="CR51" s="230">
        <v>43956000</v>
      </c>
      <c r="CS51" s="230">
        <v>-999000</v>
      </c>
      <c r="CT51" s="229">
        <v>-2.2700000000000001E-2</v>
      </c>
      <c r="CU51" s="230">
        <v>255015000</v>
      </c>
      <c r="CV51" s="230">
        <v>270240000</v>
      </c>
      <c r="CW51" s="230">
        <v>-15225000</v>
      </c>
      <c r="CX51" s="229">
        <v>-5.6300000000000003E-2</v>
      </c>
      <c r="CY51" s="228">
        <v>21.59</v>
      </c>
      <c r="CZ51" s="228">
        <v>24.88</v>
      </c>
      <c r="DA51" s="228">
        <v>-3.29</v>
      </c>
      <c r="DB51" s="228">
        <v>-3.29</v>
      </c>
      <c r="DC51" s="228">
        <v>30.46</v>
      </c>
      <c r="DD51" s="228">
        <v>30.54</v>
      </c>
      <c r="DE51" s="228">
        <v>-8.8699999999999992</v>
      </c>
      <c r="DF51" s="228">
        <v>-0.08</v>
      </c>
      <c r="DG51" s="228">
        <v>21.71</v>
      </c>
      <c r="DH51" s="228">
        <v>24.35</v>
      </c>
      <c r="DI51" s="228">
        <v>-2.64</v>
      </c>
      <c r="DJ51" s="228">
        <v>-2.64</v>
      </c>
      <c r="DK51" s="228">
        <v>21.4</v>
      </c>
      <c r="DL51" s="228">
        <v>25.97</v>
      </c>
      <c r="DM51" s="228">
        <v>-4.57</v>
      </c>
      <c r="DN51" s="228">
        <v>-4.57</v>
      </c>
      <c r="DO51" s="228">
        <v>0.72</v>
      </c>
      <c r="DP51" s="228">
        <v>0.7</v>
      </c>
      <c r="DQ51" s="228">
        <v>0.02</v>
      </c>
      <c r="DR51" s="229">
        <v>2.86E-2</v>
      </c>
      <c r="DS51" s="228">
        <v>250</v>
      </c>
      <c r="DT51" s="228">
        <v>245</v>
      </c>
      <c r="DU51" s="228">
        <v>0.71</v>
      </c>
      <c r="DV51" s="228">
        <v>0.49</v>
      </c>
      <c r="DW51" s="228">
        <v>0.22</v>
      </c>
      <c r="DX51" s="229">
        <v>0.44900000000000001</v>
      </c>
      <c r="DY51" s="229">
        <v>0.43230000000000002</v>
      </c>
      <c r="DZ51" s="230">
        <v>34614000</v>
      </c>
      <c r="EA51" s="229">
        <v>-1.4E-3</v>
      </c>
      <c r="EB51" s="229">
        <v>0.43230000000000002</v>
      </c>
      <c r="EC51" s="228">
        <v>-0.48</v>
      </c>
      <c r="ED51" s="229">
        <v>-1.9E-3</v>
      </c>
      <c r="EE51" s="230">
        <v>4038699</v>
      </c>
      <c r="EF51" s="230">
        <v>6835739</v>
      </c>
      <c r="EG51" s="229">
        <v>-0.40920000000000001</v>
      </c>
      <c r="EH51" s="229">
        <v>0.58960000000000001</v>
      </c>
      <c r="EI51" s="231">
        <v>155978.49</v>
      </c>
      <c r="EJ51" s="231">
        <v>105869.37</v>
      </c>
      <c r="EK51" s="231">
        <v>274857.06</v>
      </c>
      <c r="EL51" s="231">
        <v>8404</v>
      </c>
      <c r="EM51" s="231">
        <v>536704.92000000004</v>
      </c>
      <c r="EN51" s="231">
        <v>612692.34</v>
      </c>
      <c r="EO51" s="231">
        <v>-75987.42</v>
      </c>
      <c r="EP51" s="229">
        <v>-0.124</v>
      </c>
      <c r="EQ51" s="231">
        <v>151662</v>
      </c>
      <c r="ER51" s="231">
        <v>102662</v>
      </c>
      <c r="ES51" s="231">
        <v>376744</v>
      </c>
      <c r="ET51" s="231">
        <v>292948819</v>
      </c>
      <c r="EU51" s="231">
        <v>631068</v>
      </c>
      <c r="EV51" s="231">
        <v>668469</v>
      </c>
      <c r="EW51" s="231">
        <v>-37401</v>
      </c>
      <c r="EX51" s="229">
        <v>-5.6000000000000001E-2</v>
      </c>
      <c r="EY51" s="229">
        <v>0.87050000000000005</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2"/>
  <sheetViews>
    <sheetView zoomScale="90" zoomScaleNormal="90" workbookViewId="0">
      <selection activeCell="G7" sqref="G7"/>
    </sheetView>
  </sheetViews>
  <sheetFormatPr defaultColWidth="13.7109375" defaultRowHeight="15" x14ac:dyDescent="0.25"/>
  <cols>
    <col min="1" max="1" width="23.85546875" customWidth="1"/>
    <col min="2" max="2" width="12.42578125" customWidth="1"/>
    <col min="3" max="3" width="12.7109375" customWidth="1"/>
    <col min="4" max="4" width="11.140625" customWidth="1"/>
    <col min="5" max="5" width="12.7109375" customWidth="1"/>
    <col min="6" max="6" width="11.140625" customWidth="1"/>
    <col min="7" max="7" width="10" customWidth="1"/>
    <col min="8" max="8" width="9.5703125" customWidth="1"/>
    <col min="9" max="9" width="12.7109375" customWidth="1"/>
    <col min="10" max="10" width="12.85546875" customWidth="1"/>
    <col min="11" max="11" width="11.140625" customWidth="1"/>
    <col min="12" max="12" width="11.85546875" customWidth="1"/>
    <col min="13" max="13" width="12.7109375" customWidth="1"/>
    <col min="14" max="14" width="11.140625" customWidth="1"/>
  </cols>
  <sheetData>
    <row r="1" spans="1:23" ht="35.25" thickBot="1" x14ac:dyDescent="0.3">
      <c r="A1" s="164" t="s">
        <v>438</v>
      </c>
      <c r="B1" s="164" t="s">
        <v>439</v>
      </c>
      <c r="C1" s="164" t="s">
        <v>440</v>
      </c>
      <c r="D1" s="164" t="s">
        <v>441</v>
      </c>
      <c r="E1" s="164" t="s">
        <v>442</v>
      </c>
      <c r="F1" s="164" t="s">
        <v>443</v>
      </c>
      <c r="G1" s="164" t="s">
        <v>444</v>
      </c>
      <c r="H1" s="164" t="s">
        <v>445</v>
      </c>
      <c r="I1" s="164" t="s">
        <v>446</v>
      </c>
      <c r="J1" s="164" t="s">
        <v>447</v>
      </c>
      <c r="K1" s="164" t="s">
        <v>448</v>
      </c>
      <c r="L1" s="164" t="s">
        <v>449</v>
      </c>
      <c r="M1" s="164" t="s">
        <v>450</v>
      </c>
      <c r="N1" s="164" t="s">
        <v>451</v>
      </c>
      <c r="O1" s="60"/>
      <c r="P1" s="60"/>
      <c r="Q1" s="60"/>
      <c r="R1" s="60"/>
      <c r="S1" s="60"/>
      <c r="V1" s="60" t="s">
        <v>452</v>
      </c>
    </row>
    <row r="2" spans="1:23" ht="17.25" thickBot="1" x14ac:dyDescent="0.3">
      <c r="A2" s="227" t="s">
        <v>616</v>
      </c>
      <c r="B2" s="226">
        <v>45981</v>
      </c>
      <c r="C2" s="230">
        <v>14069763</v>
      </c>
      <c r="D2" s="230">
        <v>2393579</v>
      </c>
      <c r="E2" s="230">
        <v>13917521</v>
      </c>
      <c r="F2" s="230">
        <v>2366776</v>
      </c>
      <c r="G2" s="230">
        <v>152242</v>
      </c>
      <c r="H2" s="230">
        <v>26803</v>
      </c>
      <c r="I2" s="230">
        <v>10835384</v>
      </c>
      <c r="J2" s="230">
        <v>1284504</v>
      </c>
      <c r="K2" s="230">
        <v>341870</v>
      </c>
      <c r="L2" s="230">
        <v>91144</v>
      </c>
      <c r="M2" s="230">
        <v>11177254</v>
      </c>
      <c r="N2" s="230">
        <v>1375649</v>
      </c>
      <c r="O2" s="61"/>
      <c r="P2" s="61"/>
      <c r="Q2" s="61"/>
      <c r="R2" s="61"/>
      <c r="S2" s="61"/>
      <c r="U2" t="s">
        <v>453</v>
      </c>
      <c r="V2">
        <f>SUM('Data Vlaue (Cr)'!CD:CD)</f>
        <v>506581</v>
      </c>
      <c r="W2" t="s">
        <v>454</v>
      </c>
    </row>
    <row r="3" spans="1:23" ht="17.25" thickBot="1" x14ac:dyDescent="0.3">
      <c r="A3" s="227" t="s">
        <v>617</v>
      </c>
      <c r="B3" s="226">
        <v>45981</v>
      </c>
      <c r="C3" s="230">
        <v>5192</v>
      </c>
      <c r="D3" s="230">
        <v>1075</v>
      </c>
      <c r="E3" s="230">
        <v>3746</v>
      </c>
      <c r="F3" s="228">
        <v>778</v>
      </c>
      <c r="G3" s="230">
        <v>1446</v>
      </c>
      <c r="H3" s="228">
        <v>297</v>
      </c>
      <c r="I3" s="230">
        <v>44313</v>
      </c>
      <c r="J3" s="230">
        <v>9162</v>
      </c>
      <c r="K3" s="230">
        <v>2350</v>
      </c>
      <c r="L3" s="228">
        <v>513</v>
      </c>
      <c r="M3" s="230">
        <v>46663</v>
      </c>
      <c r="N3" s="230">
        <v>9675</v>
      </c>
      <c r="O3" s="61"/>
      <c r="P3" s="61"/>
      <c r="Q3" s="61"/>
      <c r="R3" s="61"/>
      <c r="S3" s="61"/>
      <c r="U3" t="s">
        <v>453</v>
      </c>
      <c r="V3">
        <f>SUM('Data shares'!CC:CC)</f>
        <v>13269823031</v>
      </c>
      <c r="W3" t="s">
        <v>455</v>
      </c>
    </row>
    <row r="4" spans="1:23" ht="17.25" thickBot="1" x14ac:dyDescent="0.3">
      <c r="A4" s="227" t="s">
        <v>618</v>
      </c>
      <c r="B4" s="226">
        <v>45981</v>
      </c>
      <c r="C4" s="230">
        <v>376947</v>
      </c>
      <c r="D4" s="230">
        <v>77831</v>
      </c>
      <c r="E4" s="230">
        <v>381961</v>
      </c>
      <c r="F4" s="230">
        <v>78843</v>
      </c>
      <c r="G4" s="230">
        <v>-5014</v>
      </c>
      <c r="H4" s="230">
        <v>-1013</v>
      </c>
      <c r="I4" s="230">
        <v>304895</v>
      </c>
      <c r="J4" s="230">
        <v>63040</v>
      </c>
      <c r="K4" s="230">
        <v>16568</v>
      </c>
      <c r="L4" s="230">
        <v>3542</v>
      </c>
      <c r="M4" s="230">
        <v>321463</v>
      </c>
      <c r="N4" s="230">
        <v>66582</v>
      </c>
      <c r="O4" s="61"/>
      <c r="P4" s="61"/>
      <c r="Q4" s="61"/>
      <c r="R4" s="61"/>
      <c r="S4" s="61"/>
    </row>
    <row r="5" spans="1:23" ht="17.25" thickBot="1" x14ac:dyDescent="0.3">
      <c r="A5" s="227" t="s">
        <v>619</v>
      </c>
      <c r="B5" s="226">
        <v>45981</v>
      </c>
      <c r="C5" s="228">
        <v>99</v>
      </c>
      <c r="D5" s="228">
        <v>18</v>
      </c>
      <c r="E5" s="228">
        <v>95</v>
      </c>
      <c r="F5" s="228">
        <v>17</v>
      </c>
      <c r="G5" s="228">
        <v>4</v>
      </c>
      <c r="H5" s="228">
        <v>1</v>
      </c>
      <c r="I5" s="228">
        <v>380</v>
      </c>
      <c r="J5" s="228">
        <v>68</v>
      </c>
      <c r="K5" s="228">
        <v>20</v>
      </c>
      <c r="L5" s="228">
        <v>4</v>
      </c>
      <c r="M5" s="228">
        <v>400</v>
      </c>
      <c r="N5" s="228">
        <v>73</v>
      </c>
      <c r="O5" s="61"/>
      <c r="P5" s="61"/>
      <c r="Q5" s="61"/>
      <c r="R5" s="61"/>
      <c r="S5" s="61"/>
    </row>
    <row r="6" spans="1:23" ht="17.25" thickBot="1" x14ac:dyDescent="0.3">
      <c r="A6" s="227" t="s">
        <v>620</v>
      </c>
      <c r="B6" s="226">
        <v>45981</v>
      </c>
      <c r="C6" s="230">
        <v>36582</v>
      </c>
      <c r="D6" s="230">
        <v>6606</v>
      </c>
      <c r="E6" s="230">
        <v>36810</v>
      </c>
      <c r="F6" s="230">
        <v>6644</v>
      </c>
      <c r="G6" s="228">
        <v>-228</v>
      </c>
      <c r="H6" s="228">
        <v>-38</v>
      </c>
      <c r="I6" s="230">
        <v>18269</v>
      </c>
      <c r="J6" s="230">
        <v>3283</v>
      </c>
      <c r="K6" s="230">
        <v>-5096</v>
      </c>
      <c r="L6" s="228">
        <v>-897</v>
      </c>
      <c r="M6" s="230">
        <v>13173</v>
      </c>
      <c r="N6" s="230">
        <v>2386</v>
      </c>
      <c r="O6" s="61"/>
      <c r="P6" s="61"/>
      <c r="Q6" s="61"/>
      <c r="R6" s="61"/>
      <c r="S6" s="61"/>
    </row>
    <row r="7" spans="1:23" ht="17.25" thickBot="1" x14ac:dyDescent="0.3">
      <c r="A7" s="227" t="s">
        <v>621</v>
      </c>
      <c r="B7" s="226">
        <v>45981</v>
      </c>
      <c r="C7" s="230">
        <v>28922</v>
      </c>
      <c r="D7" s="230">
        <v>5735</v>
      </c>
      <c r="E7" s="230">
        <v>26916</v>
      </c>
      <c r="F7" s="230">
        <v>5331</v>
      </c>
      <c r="G7" s="230">
        <v>2006</v>
      </c>
      <c r="H7" s="228">
        <v>405</v>
      </c>
      <c r="I7" s="230">
        <v>221877</v>
      </c>
      <c r="J7" s="230">
        <v>43873</v>
      </c>
      <c r="K7" s="230">
        <v>-1954</v>
      </c>
      <c r="L7" s="228">
        <v>-158</v>
      </c>
      <c r="M7" s="230">
        <v>219923</v>
      </c>
      <c r="N7" s="230">
        <v>43714</v>
      </c>
    </row>
    <row r="8" spans="1:23" ht="17.25" thickBot="1" x14ac:dyDescent="0.3">
      <c r="A8" s="227" t="s">
        <v>622</v>
      </c>
      <c r="B8" s="226">
        <v>45981</v>
      </c>
      <c r="C8" s="230">
        <v>5604102</v>
      </c>
      <c r="D8" s="230">
        <v>1093923</v>
      </c>
      <c r="E8" s="230">
        <v>5539540</v>
      </c>
      <c r="F8" s="230">
        <v>1081682</v>
      </c>
      <c r="G8" s="230">
        <v>64562</v>
      </c>
      <c r="H8" s="230">
        <v>12241</v>
      </c>
      <c r="I8" s="230">
        <v>1911900</v>
      </c>
      <c r="J8" s="230">
        <v>376293</v>
      </c>
      <c r="K8" s="230">
        <v>239812</v>
      </c>
      <c r="L8" s="230">
        <v>49075</v>
      </c>
      <c r="M8" s="230">
        <v>2151712</v>
      </c>
      <c r="N8" s="230">
        <v>425368</v>
      </c>
    </row>
    <row r="9" spans="1:23" ht="17.25" thickBot="1" x14ac:dyDescent="0.3">
      <c r="A9" s="227" t="s">
        <v>623</v>
      </c>
      <c r="B9" s="226">
        <v>45981</v>
      </c>
      <c r="C9" s="230">
        <v>5139</v>
      </c>
      <c r="D9" s="230">
        <v>1012</v>
      </c>
      <c r="E9" s="230">
        <v>6572</v>
      </c>
      <c r="F9" s="230">
        <v>1298</v>
      </c>
      <c r="G9" s="230">
        <v>-1433</v>
      </c>
      <c r="H9" s="228">
        <v>-285</v>
      </c>
      <c r="I9" s="230">
        <v>18649</v>
      </c>
      <c r="J9" s="230">
        <v>3662</v>
      </c>
      <c r="K9" s="230">
        <v>-1371</v>
      </c>
      <c r="L9" s="228">
        <v>-270</v>
      </c>
      <c r="M9" s="230">
        <v>17278</v>
      </c>
      <c r="N9" s="230">
        <v>3392</v>
      </c>
    </row>
    <row r="10" spans="1:23" ht="17.25" thickBot="1" x14ac:dyDescent="0.3">
      <c r="A10" s="227" t="s">
        <v>624</v>
      </c>
      <c r="B10" s="226">
        <v>45981</v>
      </c>
      <c r="C10" s="230">
        <v>82073</v>
      </c>
      <c r="D10" s="230">
        <v>16090</v>
      </c>
      <c r="E10" s="230">
        <v>83255</v>
      </c>
      <c r="F10" s="230">
        <v>16341</v>
      </c>
      <c r="G10" s="230">
        <v>-1182</v>
      </c>
      <c r="H10" s="228">
        <v>-251</v>
      </c>
      <c r="I10" s="230">
        <v>63748</v>
      </c>
      <c r="J10" s="230">
        <v>12495</v>
      </c>
      <c r="K10" s="230">
        <v>-4884</v>
      </c>
      <c r="L10" s="228">
        <v>-964</v>
      </c>
      <c r="M10" s="230">
        <v>58864</v>
      </c>
      <c r="N10" s="230">
        <v>11531</v>
      </c>
    </row>
    <row r="11" spans="1:23" ht="17.25" thickBot="1" x14ac:dyDescent="0.3">
      <c r="A11" s="227" t="s">
        <v>625</v>
      </c>
      <c r="B11" s="226">
        <v>45981</v>
      </c>
      <c r="C11" s="230">
        <v>18462</v>
      </c>
      <c r="D11" s="230">
        <v>3625</v>
      </c>
      <c r="E11" s="230">
        <v>16469</v>
      </c>
      <c r="F11" s="230">
        <v>3232</v>
      </c>
      <c r="G11" s="230">
        <v>1993</v>
      </c>
      <c r="H11" s="228">
        <v>393</v>
      </c>
      <c r="I11" s="230">
        <v>157891</v>
      </c>
      <c r="J11" s="230">
        <v>30868</v>
      </c>
      <c r="K11" s="230">
        <v>-2951</v>
      </c>
      <c r="L11" s="228">
        <v>-405</v>
      </c>
      <c r="M11" s="230">
        <v>154940</v>
      </c>
      <c r="N11" s="230">
        <v>30463</v>
      </c>
    </row>
    <row r="12" spans="1:23" ht="17.25" thickBot="1" x14ac:dyDescent="0.3">
      <c r="A12" s="227" t="s">
        <v>626</v>
      </c>
      <c r="B12" s="226">
        <v>45981</v>
      </c>
      <c r="C12" s="230">
        <v>5107871</v>
      </c>
      <c r="D12" s="230">
        <v>993287</v>
      </c>
      <c r="E12" s="230">
        <v>5037148</v>
      </c>
      <c r="F12" s="230">
        <v>979789</v>
      </c>
      <c r="G12" s="230">
        <v>70723</v>
      </c>
      <c r="H12" s="230">
        <v>13498</v>
      </c>
      <c r="I12" s="230">
        <v>1524155</v>
      </c>
      <c r="J12" s="230">
        <v>297330</v>
      </c>
      <c r="K12" s="230">
        <v>233043</v>
      </c>
      <c r="L12" s="230">
        <v>47364</v>
      </c>
      <c r="M12" s="230">
        <v>1757198</v>
      </c>
      <c r="N12" s="230">
        <v>344694</v>
      </c>
    </row>
    <row r="13" spans="1:23" ht="17.25" thickBot="1" x14ac:dyDescent="0.3">
      <c r="A13" s="227" t="s">
        <v>627</v>
      </c>
      <c r="B13" s="226">
        <v>45981</v>
      </c>
      <c r="C13" s="228">
        <v>30</v>
      </c>
      <c r="D13" s="228">
        <v>5</v>
      </c>
      <c r="E13" s="228">
        <v>34</v>
      </c>
      <c r="F13" s="228">
        <v>6</v>
      </c>
      <c r="G13" s="228">
        <v>-4</v>
      </c>
      <c r="H13" s="228">
        <v>-1</v>
      </c>
      <c r="I13" s="228">
        <v>644</v>
      </c>
      <c r="J13" s="228">
        <v>112</v>
      </c>
      <c r="K13" s="228">
        <v>-2</v>
      </c>
      <c r="L13" s="228">
        <v>0</v>
      </c>
      <c r="M13" s="228">
        <v>642</v>
      </c>
      <c r="N13" s="228">
        <v>112</v>
      </c>
    </row>
    <row r="14" spans="1:23" ht="17.25" thickBot="1" x14ac:dyDescent="0.3">
      <c r="A14" s="227" t="s">
        <v>628</v>
      </c>
      <c r="B14" s="226">
        <v>45981</v>
      </c>
      <c r="C14" s="228">
        <v>629</v>
      </c>
      <c r="D14" s="228">
        <v>109</v>
      </c>
      <c r="E14" s="228">
        <v>366</v>
      </c>
      <c r="F14" s="228">
        <v>65</v>
      </c>
      <c r="G14" s="228">
        <v>263</v>
      </c>
      <c r="H14" s="228">
        <v>45</v>
      </c>
      <c r="I14" s="228">
        <v>833</v>
      </c>
      <c r="J14" s="228">
        <v>145</v>
      </c>
      <c r="K14" s="228">
        <v>181</v>
      </c>
      <c r="L14" s="228">
        <v>31</v>
      </c>
      <c r="M14" s="230">
        <v>1014</v>
      </c>
      <c r="N14" s="228">
        <v>176</v>
      </c>
    </row>
    <row r="15" spans="1:23" ht="17.25" thickBot="1" x14ac:dyDescent="0.3">
      <c r="A15" s="227" t="s">
        <v>629</v>
      </c>
      <c r="B15" s="226">
        <v>45981</v>
      </c>
      <c r="C15" s="230">
        <v>2073480</v>
      </c>
      <c r="D15" s="230">
        <v>140518</v>
      </c>
      <c r="E15" s="230">
        <v>2066154</v>
      </c>
      <c r="F15" s="230">
        <v>139853</v>
      </c>
      <c r="G15" s="230">
        <v>7326</v>
      </c>
      <c r="H15" s="228">
        <v>666</v>
      </c>
      <c r="I15" s="230">
        <v>6019400</v>
      </c>
      <c r="J15" s="230">
        <v>406312</v>
      </c>
      <c r="K15" s="230">
        <v>-100692</v>
      </c>
      <c r="L15" s="230">
        <v>-4346</v>
      </c>
      <c r="M15" s="230">
        <v>5918708</v>
      </c>
      <c r="N15" s="230">
        <v>401966</v>
      </c>
    </row>
    <row r="16" spans="1:23" ht="17.25" thickBot="1" x14ac:dyDescent="0.3">
      <c r="A16" s="227" t="s">
        <v>630</v>
      </c>
      <c r="B16" s="226">
        <v>45981</v>
      </c>
      <c r="C16" s="230">
        <v>730235</v>
      </c>
      <c r="D16" s="230">
        <v>53744</v>
      </c>
      <c r="E16" s="230">
        <v>718455</v>
      </c>
      <c r="F16" s="230">
        <v>52898</v>
      </c>
      <c r="G16" s="230">
        <v>11780</v>
      </c>
      <c r="H16" s="228">
        <v>847</v>
      </c>
      <c r="I16" s="230">
        <v>548430</v>
      </c>
      <c r="J16" s="230">
        <v>37861</v>
      </c>
      <c r="K16" s="230">
        <v>-33154</v>
      </c>
      <c r="L16" s="230">
        <v>-2345</v>
      </c>
      <c r="M16" s="230">
        <v>515276</v>
      </c>
      <c r="N16" s="230">
        <v>35517</v>
      </c>
    </row>
    <row r="22" spans="9:9" x14ac:dyDescent="0.25">
      <c r="I22" s="167"/>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2"/>
  <sheetViews>
    <sheetView zoomScale="85" zoomScaleNormal="85" workbookViewId="0">
      <pane ySplit="6" topLeftCell="A121" activePane="bottomLeft" state="frozen"/>
      <selection activeCell="A6" sqref="A6:S6"/>
      <selection pane="bottomLeft" activeCell="A148" sqref="A148"/>
    </sheetView>
  </sheetViews>
  <sheetFormatPr defaultRowHeight="15" x14ac:dyDescent="0.25"/>
  <cols>
    <col min="1" max="1" width="14.5703125" style="74" bestFit="1" customWidth="1"/>
    <col min="6" max="6" width="12.28515625" bestFit="1" customWidth="1"/>
    <col min="7" max="7" width="12.7109375" customWidth="1"/>
    <col min="9" max="10" width="12.140625" customWidth="1"/>
  </cols>
  <sheetData>
    <row r="1" spans="1:17" hidden="1" x14ac:dyDescent="0.25"/>
    <row r="2" spans="1:17" ht="15.75" thickBot="1" x14ac:dyDescent="0.3"/>
    <row r="3" spans="1:17" s="70" customFormat="1" ht="21" customHeight="1" thickBot="1" x14ac:dyDescent="0.3">
      <c r="A3" s="260" t="s">
        <v>325</v>
      </c>
      <c r="B3" s="261"/>
      <c r="C3" s="261"/>
      <c r="D3" s="261"/>
      <c r="E3" s="261"/>
      <c r="F3" s="261"/>
      <c r="G3" s="261"/>
      <c r="H3" s="261"/>
      <c r="I3" s="261"/>
      <c r="J3" s="261"/>
      <c r="K3" s="261"/>
      <c r="L3" s="261"/>
      <c r="M3" s="261"/>
      <c r="N3" s="261"/>
      <c r="O3" s="261"/>
      <c r="P3" s="261"/>
      <c r="Q3" s="262"/>
    </row>
    <row r="4" spans="1:17" s="64" customFormat="1" x14ac:dyDescent="0.25">
      <c r="A4" s="263"/>
      <c r="B4" s="263" t="s">
        <v>308</v>
      </c>
      <c r="C4" s="263"/>
      <c r="D4" s="264"/>
      <c r="E4" s="264"/>
      <c r="F4" s="263" t="s">
        <v>326</v>
      </c>
      <c r="G4" s="263"/>
      <c r="H4" s="263"/>
      <c r="I4" s="263" t="s">
        <v>327</v>
      </c>
      <c r="J4" s="263"/>
      <c r="K4" s="263"/>
      <c r="L4" s="263" t="s">
        <v>311</v>
      </c>
      <c r="M4" s="263"/>
      <c r="N4" s="263"/>
      <c r="O4" s="263"/>
      <c r="P4" s="263"/>
      <c r="Q4" s="263"/>
    </row>
    <row r="5" spans="1:17" s="64" customFormat="1" x14ac:dyDescent="0.25">
      <c r="A5" s="258"/>
      <c r="B5" s="73" t="s">
        <v>312</v>
      </c>
      <c r="C5" s="258" t="s">
        <v>313</v>
      </c>
      <c r="D5" s="259"/>
      <c r="E5" s="259"/>
      <c r="F5" s="258" t="s">
        <v>314</v>
      </c>
      <c r="G5" s="258"/>
      <c r="H5" s="258"/>
      <c r="I5" s="258" t="s">
        <v>315</v>
      </c>
      <c r="J5" s="258"/>
      <c r="K5" s="258"/>
      <c r="L5" s="258" t="s">
        <v>316</v>
      </c>
      <c r="M5" s="258"/>
      <c r="N5" s="258"/>
      <c r="O5" s="258" t="s">
        <v>317</v>
      </c>
      <c r="P5" s="258"/>
      <c r="Q5" s="258"/>
    </row>
    <row r="6" spans="1:17" s="72" customFormat="1" ht="33.75" x14ac:dyDescent="0.25">
      <c r="A6" s="71" t="s">
        <v>558</v>
      </c>
      <c r="B6" s="66">
        <f>'Snapshot (Value)'!C10</f>
        <v>45981</v>
      </c>
      <c r="C6" s="66">
        <f>'Snapshot (Value)'!D10</f>
        <v>45981</v>
      </c>
      <c r="D6" s="71" t="s">
        <v>322</v>
      </c>
      <c r="E6" s="71" t="s">
        <v>328</v>
      </c>
      <c r="F6" s="66">
        <f>C6</f>
        <v>45981</v>
      </c>
      <c r="G6" s="71" t="s">
        <v>322</v>
      </c>
      <c r="H6" s="71" t="s">
        <v>328</v>
      </c>
      <c r="I6" s="66">
        <f>C6</f>
        <v>45981</v>
      </c>
      <c r="J6" s="71" t="s">
        <v>322</v>
      </c>
      <c r="K6" s="71" t="s">
        <v>328</v>
      </c>
      <c r="L6" s="66">
        <f>C6</f>
        <v>45981</v>
      </c>
      <c r="M6" s="71" t="s">
        <v>322</v>
      </c>
      <c r="N6" s="71" t="s">
        <v>328</v>
      </c>
      <c r="O6" s="66">
        <f>C6</f>
        <v>45981</v>
      </c>
      <c r="P6" s="71" t="s">
        <v>322</v>
      </c>
      <c r="Q6" s="71" t="s">
        <v>328</v>
      </c>
    </row>
    <row r="7" spans="1:17" x14ac:dyDescent="0.25">
      <c r="A7" s="97" t="str">
        <f>'Data Vlaue (Cr)'!C2</f>
        <v>360ONE</v>
      </c>
      <c r="B7" s="140">
        <f>VLOOKUP($A7,'Data shares'!$C:$FB,7)</f>
        <v>1142.0999999999999</v>
      </c>
      <c r="C7" s="140">
        <f>VLOOKUP($A7,'Data shares'!$C:$FB,3)</f>
        <v>1141.5</v>
      </c>
      <c r="D7" s="140">
        <f>VLOOKUP($A7,'Data shares'!$C:$FB,4)</f>
        <v>1118.9000000000001</v>
      </c>
      <c r="E7" s="50">
        <f>(C7-D7)/D7*100</f>
        <v>2.019840915184548</v>
      </c>
      <c r="F7" s="49">
        <f>VLOOKUP($A7,'Data shares'!$C:$FB,98)</f>
        <v>5397500</v>
      </c>
      <c r="G7" s="49">
        <f>VLOOKUP($A7,'Data shares'!$C:$FB,99)</f>
        <v>5502500</v>
      </c>
      <c r="H7" s="50">
        <f>(F7-G7)/G7*100</f>
        <v>-1.9082235347569285</v>
      </c>
      <c r="I7" s="49">
        <f>VLOOKUP($A7,'Data shares'!$C:$FB,66)</f>
        <v>15743500</v>
      </c>
      <c r="J7" s="49">
        <f>VLOOKUP($A7,'Data shares'!$C:$FB,67)</f>
        <v>11379500</v>
      </c>
      <c r="K7" s="50">
        <f>(I7-J7)/I7*100</f>
        <v>27.719376250516088</v>
      </c>
      <c r="L7" s="50">
        <f>VLOOKUP($A7,'Data shares'!$C:$FB,118)</f>
        <v>0.66</v>
      </c>
      <c r="M7" s="50">
        <f>VLOOKUP($A7,'Data shares'!$C:$FB,119)</f>
        <v>0.46</v>
      </c>
      <c r="N7" s="50">
        <f>VLOOKUP($A7,'Data shares'!$C:$FB,121)*100</f>
        <v>43.480000000000004</v>
      </c>
      <c r="O7" s="50">
        <f>VLOOKUP($A7,'Data shares'!$C:$FB,124)</f>
        <v>0.31</v>
      </c>
      <c r="P7" s="50">
        <f>VLOOKUP($A7,'Data shares'!$C:$FB,125)</f>
        <v>0.31</v>
      </c>
      <c r="Q7" s="50">
        <f>VLOOKUP($A7,'Data shares'!$C:$FB,127)*100</f>
        <v>0</v>
      </c>
    </row>
    <row r="8" spans="1:17" x14ac:dyDescent="0.25">
      <c r="A8" s="97" t="str">
        <f>'Data Vlaue (Cr)'!C3</f>
        <v>ABB</v>
      </c>
      <c r="B8" s="140">
        <f>VLOOKUP($A8,'Data shares'!$C:$FB,7)</f>
        <v>5147</v>
      </c>
      <c r="C8" s="140">
        <f>VLOOKUP($A8,'Data shares'!$C:$FB,3)</f>
        <v>5130.5</v>
      </c>
      <c r="D8" s="140">
        <f>VLOOKUP($A8,'Data shares'!$C:$FB,4)</f>
        <v>5087.5</v>
      </c>
      <c r="E8" s="50">
        <f t="shared" ref="E8:E71" si="0">(C8-D8)/D8*100</f>
        <v>0.84520884520884521</v>
      </c>
      <c r="F8" s="49">
        <f>VLOOKUP($A8,'Data shares'!$C:$FB,98)</f>
        <v>5623625</v>
      </c>
      <c r="G8" s="49">
        <f>VLOOKUP($A8,'Data shares'!$C:$FB,99)</f>
        <v>6401750</v>
      </c>
      <c r="H8" s="50">
        <f t="shared" ref="H8:H71" si="1">(F8-G8)/G8*100</f>
        <v>-12.154879525129846</v>
      </c>
      <c r="I8" s="49">
        <f>VLOOKUP($A8,'Data shares'!$C:$FB,66)</f>
        <v>8096000</v>
      </c>
      <c r="J8" s="49">
        <f>VLOOKUP($A8,'Data shares'!$C:$FB,67)</f>
        <v>3951875</v>
      </c>
      <c r="K8" s="50">
        <f t="shared" ref="K8:K71" si="2">(I8-J8)/I8*100</f>
        <v>51.187314723320156</v>
      </c>
      <c r="L8" s="50">
        <f>VLOOKUP($A8,'Data shares'!$C:$FB,118)</f>
        <v>0.68</v>
      </c>
      <c r="M8" s="50">
        <f>VLOOKUP($A8,'Data shares'!$C:$FB,119)</f>
        <v>0.61</v>
      </c>
      <c r="N8" s="50">
        <f>VLOOKUP($A8,'Data shares'!$C:$FB,121)*100</f>
        <v>11.48</v>
      </c>
      <c r="O8" s="50">
        <f>VLOOKUP($A8,'Data shares'!$C:$FB,124)</f>
        <v>0.4</v>
      </c>
      <c r="P8" s="50">
        <f>VLOOKUP($A8,'Data shares'!$C:$FB,125)</f>
        <v>0.41</v>
      </c>
      <c r="Q8" s="50">
        <f>VLOOKUP($A8,'Data shares'!$C:$FB,127)*100</f>
        <v>-2.44</v>
      </c>
    </row>
    <row r="9" spans="1:17" x14ac:dyDescent="0.25">
      <c r="A9" s="97" t="str">
        <f>'Data Vlaue (Cr)'!C4</f>
        <v>ABCAPITAL</v>
      </c>
      <c r="B9" s="140">
        <f>VLOOKUP($A9,'Data shares'!$C:$FB,7)</f>
        <v>327.85</v>
      </c>
      <c r="C9" s="140">
        <f>VLOOKUP($A9,'Data shares'!$C:$FB,3)</f>
        <v>328</v>
      </c>
      <c r="D9" s="140">
        <f>VLOOKUP($A9,'Data shares'!$C:$FB,4)</f>
        <v>330.7</v>
      </c>
      <c r="E9" s="50">
        <f t="shared" si="0"/>
        <v>-0.8164499546416657</v>
      </c>
      <c r="F9" s="49">
        <f>VLOOKUP($A9,'Data shares'!$C:$FB,98)</f>
        <v>110862200</v>
      </c>
      <c r="G9" s="49">
        <f>VLOOKUP($A9,'Data shares'!$C:$FB,99)</f>
        <v>114501600</v>
      </c>
      <c r="H9" s="50">
        <f t="shared" si="1"/>
        <v>-3.1784708685293483</v>
      </c>
      <c r="I9" s="49">
        <f>VLOOKUP($A9,'Data shares'!$C:$FB,66)</f>
        <v>69901900</v>
      </c>
      <c r="J9" s="49">
        <f>VLOOKUP($A9,'Data shares'!$C:$FB,67)</f>
        <v>42718000</v>
      </c>
      <c r="K9" s="50">
        <f t="shared" si="2"/>
        <v>38.888642511863054</v>
      </c>
      <c r="L9" s="50">
        <f>VLOOKUP($A9,'Data shares'!$C:$FB,118)</f>
        <v>0.77</v>
      </c>
      <c r="M9" s="50">
        <f>VLOOKUP($A9,'Data shares'!$C:$FB,119)</f>
        <v>0.74</v>
      </c>
      <c r="N9" s="50">
        <f>VLOOKUP($A9,'Data shares'!$C:$FB,121)*100</f>
        <v>4.05</v>
      </c>
      <c r="O9" s="50">
        <f>VLOOKUP($A9,'Data shares'!$C:$FB,124)</f>
        <v>0.48</v>
      </c>
      <c r="P9" s="50">
        <f>VLOOKUP($A9,'Data shares'!$C:$FB,125)</f>
        <v>0.32</v>
      </c>
      <c r="Q9" s="50">
        <f>VLOOKUP($A9,'Data shares'!$C:$FB,127)*100</f>
        <v>50</v>
      </c>
    </row>
    <row r="10" spans="1:17" x14ac:dyDescent="0.25">
      <c r="A10" s="97" t="str">
        <f>'Data Vlaue (Cr)'!C5</f>
        <v>ADANIENSOL</v>
      </c>
      <c r="B10" s="140">
        <f>VLOOKUP($A10,'Data shares'!$C:$FB,7)</f>
        <v>993.6</v>
      </c>
      <c r="C10" s="140">
        <f>VLOOKUP($A10,'Data shares'!$C:$FB,3)</f>
        <v>991.9</v>
      </c>
      <c r="D10" s="140">
        <f>VLOOKUP($A10,'Data shares'!$C:$FB,4)</f>
        <v>1005.65</v>
      </c>
      <c r="E10" s="50">
        <f t="shared" si="0"/>
        <v>-1.367274896832894</v>
      </c>
      <c r="F10" s="49">
        <f>VLOOKUP($A10,'Data shares'!$C:$FB,98)</f>
        <v>30993975</v>
      </c>
      <c r="G10" s="49">
        <f>VLOOKUP($A10,'Data shares'!$C:$FB,99)</f>
        <v>31214700</v>
      </c>
      <c r="H10" s="50">
        <f t="shared" si="1"/>
        <v>-0.70711876135282414</v>
      </c>
      <c r="I10" s="49">
        <f>VLOOKUP($A10,'Data shares'!$C:$FB,66)</f>
        <v>39700125</v>
      </c>
      <c r="J10" s="49">
        <f>VLOOKUP($A10,'Data shares'!$C:$FB,67)</f>
        <v>46077525</v>
      </c>
      <c r="K10" s="50">
        <f t="shared" si="2"/>
        <v>-16.063929269744111</v>
      </c>
      <c r="L10" s="50">
        <f>VLOOKUP($A10,'Data shares'!$C:$FB,118)</f>
        <v>0.57999999999999996</v>
      </c>
      <c r="M10" s="50">
        <f>VLOOKUP($A10,'Data shares'!$C:$FB,119)</f>
        <v>0.63</v>
      </c>
      <c r="N10" s="50">
        <f>VLOOKUP($A10,'Data shares'!$C:$FB,121)*100</f>
        <v>-7.9399999999999995</v>
      </c>
      <c r="O10" s="50">
        <f>VLOOKUP($A10,'Data shares'!$C:$FB,124)</f>
        <v>0.23</v>
      </c>
      <c r="P10" s="50">
        <f>VLOOKUP($A10,'Data shares'!$C:$FB,125)</f>
        <v>0.28999999999999998</v>
      </c>
      <c r="Q10" s="50">
        <f>VLOOKUP($A10,'Data shares'!$C:$FB,127)*100</f>
        <v>-20.69</v>
      </c>
    </row>
    <row r="11" spans="1:17" x14ac:dyDescent="0.25">
      <c r="A11" s="97" t="str">
        <f>'Data Vlaue (Cr)'!C6</f>
        <v>ADANIENT</v>
      </c>
      <c r="B11" s="140">
        <f>VLOOKUP($A11,'Data shares'!$C:$FB,7)</f>
        <v>2446.1</v>
      </c>
      <c r="C11" s="140">
        <f>VLOOKUP($A11,'Data shares'!$C:$FB,3)</f>
        <v>2450.9</v>
      </c>
      <c r="D11" s="140">
        <f>VLOOKUP($A11,'Data shares'!$C:$FB,4)</f>
        <v>2438.1999999999998</v>
      </c>
      <c r="E11" s="50">
        <f t="shared" si="0"/>
        <v>0.5208760561069754</v>
      </c>
      <c r="F11" s="49">
        <f>VLOOKUP($A11,'Data shares'!$C:$FB,98)</f>
        <v>31783122</v>
      </c>
      <c r="G11" s="49">
        <f>VLOOKUP($A11,'Data shares'!$C:$FB,99)</f>
        <v>30969216</v>
      </c>
      <c r="H11" s="50">
        <f t="shared" si="1"/>
        <v>2.6281130268199235</v>
      </c>
      <c r="I11" s="49">
        <f>VLOOKUP($A11,'Data shares'!$C:$FB,66)</f>
        <v>50364528</v>
      </c>
      <c r="J11" s="49">
        <f>VLOOKUP($A11,'Data shares'!$C:$FB,67)</f>
        <v>22661751</v>
      </c>
      <c r="K11" s="50">
        <f t="shared" si="2"/>
        <v>55.00454010012762</v>
      </c>
      <c r="L11" s="50">
        <f>VLOOKUP($A11,'Data shares'!$C:$FB,118)</f>
        <v>0.67</v>
      </c>
      <c r="M11" s="50">
        <f>VLOOKUP($A11,'Data shares'!$C:$FB,119)</f>
        <v>0.71</v>
      </c>
      <c r="N11" s="50">
        <f>VLOOKUP($A11,'Data shares'!$C:$FB,121)*100</f>
        <v>-5.63</v>
      </c>
      <c r="O11" s="50">
        <f>VLOOKUP($A11,'Data shares'!$C:$FB,124)</f>
        <v>0.37</v>
      </c>
      <c r="P11" s="50">
        <f>VLOOKUP($A11,'Data shares'!$C:$FB,125)</f>
        <v>0.51</v>
      </c>
      <c r="Q11" s="50">
        <f>VLOOKUP($A11,'Data shares'!$C:$FB,127)*100</f>
        <v>-27.450000000000003</v>
      </c>
    </row>
    <row r="12" spans="1:17" x14ac:dyDescent="0.25">
      <c r="A12" s="97" t="str">
        <f>'Data Vlaue (Cr)'!C7</f>
        <v>ADANIGREEN</v>
      </c>
      <c r="B12" s="140">
        <f>VLOOKUP($A12,'Data shares'!$C:$FB,7)</f>
        <v>1060</v>
      </c>
      <c r="C12" s="140">
        <f>VLOOKUP($A12,'Data shares'!$C:$FB,3)</f>
        <v>1058.4000000000001</v>
      </c>
      <c r="D12" s="140">
        <f>VLOOKUP($A12,'Data shares'!$C:$FB,4)</f>
        <v>1069.2</v>
      </c>
      <c r="E12" s="50">
        <f t="shared" si="0"/>
        <v>-1.0101010101010059</v>
      </c>
      <c r="F12" s="49">
        <f>VLOOKUP($A12,'Data shares'!$C:$FB,98)</f>
        <v>52626000</v>
      </c>
      <c r="G12" s="49">
        <f>VLOOKUP($A12,'Data shares'!$C:$FB,99)</f>
        <v>52203000</v>
      </c>
      <c r="H12" s="50">
        <f t="shared" si="1"/>
        <v>0.81029825872076311</v>
      </c>
      <c r="I12" s="49">
        <f>VLOOKUP($A12,'Data shares'!$C:$FB,66)</f>
        <v>43024200</v>
      </c>
      <c r="J12" s="49">
        <f>VLOOKUP($A12,'Data shares'!$C:$FB,67)</f>
        <v>67338000</v>
      </c>
      <c r="K12" s="50">
        <f t="shared" si="2"/>
        <v>-56.511916549290866</v>
      </c>
      <c r="L12" s="50">
        <f>VLOOKUP($A12,'Data shares'!$C:$FB,118)</f>
        <v>0.45</v>
      </c>
      <c r="M12" s="50">
        <f>VLOOKUP($A12,'Data shares'!$C:$FB,119)</f>
        <v>0.46</v>
      </c>
      <c r="N12" s="50">
        <f>VLOOKUP($A12,'Data shares'!$C:$FB,121)*100</f>
        <v>-2.17</v>
      </c>
      <c r="O12" s="50">
        <f>VLOOKUP($A12,'Data shares'!$C:$FB,124)</f>
        <v>0.32</v>
      </c>
      <c r="P12" s="50">
        <f>VLOOKUP($A12,'Data shares'!$C:$FB,125)</f>
        <v>0.36</v>
      </c>
      <c r="Q12" s="50">
        <f>VLOOKUP($A12,'Data shares'!$C:$FB,127)*100</f>
        <v>-11.110000000000001</v>
      </c>
    </row>
    <row r="13" spans="1:17" x14ac:dyDescent="0.25">
      <c r="A13" s="97" t="str">
        <f>'Data Vlaue (Cr)'!C8</f>
        <v>ADANIPORTS</v>
      </c>
      <c r="B13" s="140">
        <f>VLOOKUP($A13,'Data shares'!$C:$FB,7)</f>
        <v>1491.1</v>
      </c>
      <c r="C13" s="140">
        <f>VLOOKUP($A13,'Data shares'!$C:$FB,3)</f>
        <v>1492.4</v>
      </c>
      <c r="D13" s="140">
        <f>VLOOKUP($A13,'Data shares'!$C:$FB,4)</f>
        <v>1486.9</v>
      </c>
      <c r="E13" s="50">
        <f t="shared" si="0"/>
        <v>0.36989710135180576</v>
      </c>
      <c r="F13" s="49">
        <f>VLOOKUP($A13,'Data shares'!$C:$FB,98)</f>
        <v>43076325</v>
      </c>
      <c r="G13" s="49">
        <f>VLOOKUP($A13,'Data shares'!$C:$FB,99)</f>
        <v>43498125</v>
      </c>
      <c r="H13" s="50">
        <f t="shared" si="1"/>
        <v>-0.96969696969696972</v>
      </c>
      <c r="I13" s="49">
        <f>VLOOKUP($A13,'Data shares'!$C:$FB,66)</f>
        <v>41272275</v>
      </c>
      <c r="J13" s="49">
        <f>VLOOKUP($A13,'Data shares'!$C:$FB,67)</f>
        <v>29765875</v>
      </c>
      <c r="K13" s="50">
        <f t="shared" si="2"/>
        <v>27.879248236255457</v>
      </c>
      <c r="L13" s="50">
        <f>VLOOKUP($A13,'Data shares'!$C:$FB,118)</f>
        <v>0.57999999999999996</v>
      </c>
      <c r="M13" s="50">
        <f>VLOOKUP($A13,'Data shares'!$C:$FB,119)</f>
        <v>0.56000000000000005</v>
      </c>
      <c r="N13" s="50">
        <f>VLOOKUP($A13,'Data shares'!$C:$FB,121)*100</f>
        <v>3.5700000000000003</v>
      </c>
      <c r="O13" s="50">
        <f>VLOOKUP($A13,'Data shares'!$C:$FB,124)</f>
        <v>0.36</v>
      </c>
      <c r="P13" s="50">
        <f>VLOOKUP($A13,'Data shares'!$C:$FB,125)</f>
        <v>0.47</v>
      </c>
      <c r="Q13" s="50">
        <f>VLOOKUP($A13,'Data shares'!$C:$FB,127)*100</f>
        <v>-23.400000000000002</v>
      </c>
    </row>
    <row r="14" spans="1:17" x14ac:dyDescent="0.25">
      <c r="A14" s="97" t="str">
        <f>'Data Vlaue (Cr)'!C9</f>
        <v>ALKEM</v>
      </c>
      <c r="B14" s="140">
        <f>VLOOKUP($A14,'Data shares'!$C:$FB,7)</f>
        <v>5700</v>
      </c>
      <c r="C14" s="140">
        <f>VLOOKUP($A14,'Data shares'!$C:$FB,3)</f>
        <v>5693.5</v>
      </c>
      <c r="D14" s="140">
        <f>VLOOKUP($A14,'Data shares'!$C:$FB,4)</f>
        <v>5722.5</v>
      </c>
      <c r="E14" s="50">
        <f>(C14-D14)/D14*100</f>
        <v>-0.50677151594582781</v>
      </c>
      <c r="F14" s="49">
        <f>VLOOKUP($A14,'Data shares'!$C:$FB,98)</f>
        <v>2756625</v>
      </c>
      <c r="G14" s="49">
        <f>VLOOKUP($A14,'Data shares'!$C:$FB,99)</f>
        <v>2697250</v>
      </c>
      <c r="H14" s="50">
        <f t="shared" si="1"/>
        <v>2.2013161553434051</v>
      </c>
      <c r="I14" s="49">
        <f>VLOOKUP($A14,'Data shares'!$C:$FB,66)</f>
        <v>1649000</v>
      </c>
      <c r="J14" s="49">
        <f>VLOOKUP($A14,'Data shares'!$C:$FB,67)</f>
        <v>1052500</v>
      </c>
      <c r="K14" s="50">
        <f t="shared" si="2"/>
        <v>36.173438447543965</v>
      </c>
      <c r="L14" s="50">
        <f>VLOOKUP($A14,'Data shares'!$C:$FB,118)</f>
        <v>0.56000000000000005</v>
      </c>
      <c r="M14" s="50">
        <f>VLOOKUP($A14,'Data shares'!$C:$FB,119)</f>
        <v>0.61</v>
      </c>
      <c r="N14" s="50">
        <f>VLOOKUP($A14,'Data shares'!$C:$FB,121)*100</f>
        <v>-8.2000000000000011</v>
      </c>
      <c r="O14" s="50">
        <f>VLOOKUP($A14,'Data shares'!$C:$FB,124)</f>
        <v>0.36</v>
      </c>
      <c r="P14" s="50">
        <f>VLOOKUP($A14,'Data shares'!$C:$FB,125)</f>
        <v>0.2</v>
      </c>
      <c r="Q14" s="50">
        <f>VLOOKUP($A14,'Data shares'!$C:$FB,127)*100</f>
        <v>80</v>
      </c>
    </row>
    <row r="15" spans="1:17" x14ac:dyDescent="0.25">
      <c r="A15" s="97" t="str">
        <f>'Data Vlaue (Cr)'!C10</f>
        <v>AMBER</v>
      </c>
      <c r="B15" s="140">
        <f>VLOOKUP($A15,'Data shares'!$C:$FB,7)</f>
        <v>7256.5</v>
      </c>
      <c r="C15" s="140">
        <f>VLOOKUP($A15,'Data shares'!$C:$FB,3)</f>
        <v>7271</v>
      </c>
      <c r="D15" s="140">
        <f>VLOOKUP($A15,'Data shares'!$C:$FB,4)</f>
        <v>7427.5</v>
      </c>
      <c r="E15" s="50">
        <f t="shared" si="0"/>
        <v>-2.1070346684617975</v>
      </c>
      <c r="F15" s="49">
        <f>VLOOKUP($A15,'Data shares'!$C:$FB,98)</f>
        <v>4085200</v>
      </c>
      <c r="G15" s="49">
        <f>VLOOKUP($A15,'Data shares'!$C:$FB,99)</f>
        <v>4458300</v>
      </c>
      <c r="H15" s="50">
        <f t="shared" si="1"/>
        <v>-8.3686607002669184</v>
      </c>
      <c r="I15" s="49">
        <f>VLOOKUP($A15,'Data shares'!$C:$FB,66)</f>
        <v>4636000</v>
      </c>
      <c r="J15" s="49">
        <f>VLOOKUP($A15,'Data shares'!$C:$FB,67)</f>
        <v>2621700</v>
      </c>
      <c r="K15" s="50">
        <f t="shared" si="2"/>
        <v>43.449094046591888</v>
      </c>
      <c r="L15" s="50">
        <f>VLOOKUP($A15,'Data shares'!$C:$FB,118)</f>
        <v>0.59</v>
      </c>
      <c r="M15" s="50">
        <f>VLOOKUP($A15,'Data shares'!$C:$FB,119)</f>
        <v>0.63</v>
      </c>
      <c r="N15" s="50">
        <f>VLOOKUP($A15,'Data shares'!$C:$FB,121)*100</f>
        <v>-6.35</v>
      </c>
      <c r="O15" s="50">
        <f>VLOOKUP($A15,'Data shares'!$C:$FB,124)</f>
        <v>0.53</v>
      </c>
      <c r="P15" s="50">
        <f>VLOOKUP($A15,'Data shares'!$C:$FB,125)</f>
        <v>0.34</v>
      </c>
      <c r="Q15" s="50">
        <f>VLOOKUP($A15,'Data shares'!$C:$FB,127)*100</f>
        <v>55.879999999999995</v>
      </c>
    </row>
    <row r="16" spans="1:17" x14ac:dyDescent="0.25">
      <c r="A16" s="97" t="str">
        <f>'Data Vlaue (Cr)'!C11</f>
        <v>AMBUJACEM</v>
      </c>
      <c r="B16" s="140">
        <f>VLOOKUP($A16,'Data shares'!$C:$FB,7)</f>
        <v>555.75</v>
      </c>
      <c r="C16" s="140">
        <f>VLOOKUP($A16,'Data shares'!$C:$FB,3)</f>
        <v>555.75</v>
      </c>
      <c r="D16" s="140">
        <f>VLOOKUP($A16,'Data shares'!$C:$FB,4)</f>
        <v>555.54999999999995</v>
      </c>
      <c r="E16" s="50">
        <f t="shared" si="0"/>
        <v>3.6000360003608227E-2</v>
      </c>
      <c r="F16" s="49">
        <f>VLOOKUP($A16,'Data shares'!$C:$FB,98)</f>
        <v>77680050</v>
      </c>
      <c r="G16" s="49">
        <f>VLOOKUP($A16,'Data shares'!$C:$FB,99)</f>
        <v>78087450</v>
      </c>
      <c r="H16" s="50">
        <f t="shared" si="1"/>
        <v>-0.52172276082776425</v>
      </c>
      <c r="I16" s="49">
        <f>VLOOKUP($A16,'Data shares'!$C:$FB,66)</f>
        <v>44668050</v>
      </c>
      <c r="J16" s="49">
        <f>VLOOKUP($A16,'Data shares'!$C:$FB,67)</f>
        <v>25763850</v>
      </c>
      <c r="K16" s="50">
        <f t="shared" si="2"/>
        <v>42.321525116946006</v>
      </c>
      <c r="L16" s="50">
        <f>VLOOKUP($A16,'Data shares'!$C:$FB,118)</f>
        <v>0.66</v>
      </c>
      <c r="M16" s="50">
        <f>VLOOKUP($A16,'Data shares'!$C:$FB,119)</f>
        <v>0.65</v>
      </c>
      <c r="N16" s="50">
        <f>VLOOKUP($A16,'Data shares'!$C:$FB,121)*100</f>
        <v>1.54</v>
      </c>
      <c r="O16" s="50">
        <f>VLOOKUP($A16,'Data shares'!$C:$FB,124)</f>
        <v>0.33</v>
      </c>
      <c r="P16" s="50">
        <f>VLOOKUP($A16,'Data shares'!$C:$FB,125)</f>
        <v>0.32</v>
      </c>
      <c r="Q16" s="50">
        <f>VLOOKUP($A16,'Data shares'!$C:$FB,127)*100</f>
        <v>3.1300000000000003</v>
      </c>
    </row>
    <row r="17" spans="1:17" x14ac:dyDescent="0.25">
      <c r="A17" s="97" t="str">
        <f>'Data Vlaue (Cr)'!C12</f>
        <v>ANGELONE</v>
      </c>
      <c r="B17" s="140">
        <f>VLOOKUP($A17,'Data shares'!$C:$FB,7)</f>
        <v>2814.3</v>
      </c>
      <c r="C17" s="140">
        <f>VLOOKUP($A17,'Data shares'!$C:$FB,3)</f>
        <v>2811.4</v>
      </c>
      <c r="D17" s="140">
        <f>VLOOKUP($A17,'Data shares'!$C:$FB,4)</f>
        <v>2817.1</v>
      </c>
      <c r="E17" s="50">
        <f t="shared" si="0"/>
        <v>-0.20233573533065272</v>
      </c>
      <c r="F17" s="49">
        <f>VLOOKUP($A17,'Data shares'!$C:$FB,98)</f>
        <v>9034250</v>
      </c>
      <c r="G17" s="49">
        <f>VLOOKUP($A17,'Data shares'!$C:$FB,99)</f>
        <v>9074750</v>
      </c>
      <c r="H17" s="50">
        <f t="shared" si="1"/>
        <v>-0.44629328631642745</v>
      </c>
      <c r="I17" s="49">
        <f>VLOOKUP($A17,'Data shares'!$C:$FB,66)</f>
        <v>17311000</v>
      </c>
      <c r="J17" s="49">
        <f>VLOOKUP($A17,'Data shares'!$C:$FB,67)</f>
        <v>12190000</v>
      </c>
      <c r="K17" s="50">
        <f t="shared" si="2"/>
        <v>29.582346484893996</v>
      </c>
      <c r="L17" s="50">
        <f>VLOOKUP($A17,'Data shares'!$C:$FB,118)</f>
        <v>1.1100000000000001</v>
      </c>
      <c r="M17" s="50">
        <f>VLOOKUP($A17,'Data shares'!$C:$FB,119)</f>
        <v>1.07</v>
      </c>
      <c r="N17" s="50">
        <f>VLOOKUP($A17,'Data shares'!$C:$FB,121)*100</f>
        <v>3.74</v>
      </c>
      <c r="O17" s="50">
        <f>VLOOKUP($A17,'Data shares'!$C:$FB,124)</f>
        <v>0.61</v>
      </c>
      <c r="P17" s="50">
        <f>VLOOKUP($A17,'Data shares'!$C:$FB,125)</f>
        <v>0.66</v>
      </c>
      <c r="Q17" s="50">
        <f>VLOOKUP($A17,'Data shares'!$C:$FB,127)*100</f>
        <v>-7.580000000000001</v>
      </c>
    </row>
    <row r="18" spans="1:17" x14ac:dyDescent="0.25">
      <c r="A18" s="97" t="str">
        <f>'Data Vlaue (Cr)'!C13</f>
        <v>APLAPOLLO</v>
      </c>
      <c r="B18" s="140">
        <f>VLOOKUP($A18,'Data shares'!$C:$FB,7)</f>
        <v>1721.2</v>
      </c>
      <c r="C18" s="140">
        <f>VLOOKUP($A18,'Data shares'!$C:$FB,3)</f>
        <v>1722.3</v>
      </c>
      <c r="D18" s="140">
        <f>VLOOKUP($A18,'Data shares'!$C:$FB,4)</f>
        <v>1724.6</v>
      </c>
      <c r="E18" s="50">
        <f t="shared" si="0"/>
        <v>-0.13336425837875188</v>
      </c>
      <c r="F18" s="49">
        <f>VLOOKUP($A18,'Data shares'!$C:$FB,98)</f>
        <v>11475100</v>
      </c>
      <c r="G18" s="49">
        <f>VLOOKUP($A18,'Data shares'!$C:$FB,99)</f>
        <v>11135950</v>
      </c>
      <c r="H18" s="50">
        <f t="shared" si="1"/>
        <v>3.0455416915485434</v>
      </c>
      <c r="I18" s="49">
        <f>VLOOKUP($A18,'Data shares'!$C:$FB,66)</f>
        <v>8299900</v>
      </c>
      <c r="J18" s="49">
        <f>VLOOKUP($A18,'Data shares'!$C:$FB,67)</f>
        <v>5110700</v>
      </c>
      <c r="K18" s="50">
        <f t="shared" si="2"/>
        <v>38.42455933204014</v>
      </c>
      <c r="L18" s="50">
        <f>VLOOKUP($A18,'Data shares'!$C:$FB,118)</f>
        <v>0.66</v>
      </c>
      <c r="M18" s="50">
        <f>VLOOKUP($A18,'Data shares'!$C:$FB,119)</f>
        <v>0.69</v>
      </c>
      <c r="N18" s="50">
        <f>VLOOKUP($A18,'Data shares'!$C:$FB,121)*100</f>
        <v>-4.3499999999999996</v>
      </c>
      <c r="O18" s="50">
        <f>VLOOKUP($A18,'Data shares'!$C:$FB,124)</f>
        <v>0.38</v>
      </c>
      <c r="P18" s="50">
        <f>VLOOKUP($A18,'Data shares'!$C:$FB,125)</f>
        <v>0.37</v>
      </c>
      <c r="Q18" s="50">
        <f>VLOOKUP($A18,'Data shares'!$C:$FB,127)*100</f>
        <v>2.7</v>
      </c>
    </row>
    <row r="19" spans="1:17" x14ac:dyDescent="0.25">
      <c r="A19" s="97" t="str">
        <f>'Data Vlaue (Cr)'!C14</f>
        <v>APOLLOHOSP</v>
      </c>
      <c r="B19" s="140">
        <f>VLOOKUP($A19,'Data shares'!$C:$FB,7)</f>
        <v>7423</v>
      </c>
      <c r="C19" s="140">
        <f>VLOOKUP($A19,'Data shares'!$C:$FB,3)</f>
        <v>7433.5</v>
      </c>
      <c r="D19" s="140">
        <f>VLOOKUP($A19,'Data shares'!$C:$FB,4)</f>
        <v>7456.5</v>
      </c>
      <c r="E19" s="50">
        <f t="shared" si="0"/>
        <v>-0.30845570978341047</v>
      </c>
      <c r="F19" s="49">
        <f>VLOOKUP($A19,'Data shares'!$C:$FB,98)</f>
        <v>6108000</v>
      </c>
      <c r="G19" s="49">
        <f>VLOOKUP($A19,'Data shares'!$C:$FB,99)</f>
        <v>6263625</v>
      </c>
      <c r="H19" s="50">
        <f t="shared" si="1"/>
        <v>-2.4845836077351375</v>
      </c>
      <c r="I19" s="49">
        <f>VLOOKUP($A19,'Data shares'!$C:$FB,66)</f>
        <v>4865625</v>
      </c>
      <c r="J19" s="49">
        <f>VLOOKUP($A19,'Data shares'!$C:$FB,67)</f>
        <v>7328625</v>
      </c>
      <c r="K19" s="50">
        <f t="shared" si="2"/>
        <v>-50.620423892100199</v>
      </c>
      <c r="L19" s="50">
        <f>VLOOKUP($A19,'Data shares'!$C:$FB,118)</f>
        <v>0.41</v>
      </c>
      <c r="M19" s="50">
        <f>VLOOKUP($A19,'Data shares'!$C:$FB,119)</f>
        <v>0.41</v>
      </c>
      <c r="N19" s="50">
        <f>VLOOKUP($A19,'Data shares'!$C:$FB,121)*100</f>
        <v>0</v>
      </c>
      <c r="O19" s="50">
        <f>VLOOKUP($A19,'Data shares'!$C:$FB,124)</f>
        <v>0.32</v>
      </c>
      <c r="P19" s="50">
        <f>VLOOKUP($A19,'Data shares'!$C:$FB,125)</f>
        <v>0.3</v>
      </c>
      <c r="Q19" s="50">
        <f>VLOOKUP($A19,'Data shares'!$C:$FB,127)*100</f>
        <v>6.67</v>
      </c>
    </row>
    <row r="20" spans="1:17" x14ac:dyDescent="0.25">
      <c r="A20" s="97" t="str">
        <f>'Data Vlaue (Cr)'!C15</f>
        <v>ASHOKLEY</v>
      </c>
      <c r="B20" s="140">
        <f>VLOOKUP($A20,'Data shares'!$C:$FB,7)</f>
        <v>146.24</v>
      </c>
      <c r="C20" s="140">
        <f>VLOOKUP($A20,'Data shares'!$C:$FB,3)</f>
        <v>146.66</v>
      </c>
      <c r="D20" s="140">
        <f>VLOOKUP($A20,'Data shares'!$C:$FB,4)</f>
        <v>145.59</v>
      </c>
      <c r="E20" s="50">
        <f t="shared" si="0"/>
        <v>0.73494058657874384</v>
      </c>
      <c r="F20" s="49">
        <f>VLOOKUP($A20,'Data shares'!$C:$FB,98)</f>
        <v>251490000</v>
      </c>
      <c r="G20" s="49">
        <f>VLOOKUP($A20,'Data shares'!$C:$FB,99)</f>
        <v>282980000</v>
      </c>
      <c r="H20" s="50">
        <f t="shared" si="1"/>
        <v>-11.127994911301151</v>
      </c>
      <c r="I20" s="49">
        <f>VLOOKUP($A20,'Data shares'!$C:$FB,66)</f>
        <v>250760000</v>
      </c>
      <c r="J20" s="49">
        <f>VLOOKUP($A20,'Data shares'!$C:$FB,67)</f>
        <v>147800000</v>
      </c>
      <c r="K20" s="50">
        <f t="shared" si="2"/>
        <v>41.059180092518744</v>
      </c>
      <c r="L20" s="50">
        <f>VLOOKUP($A20,'Data shares'!$C:$FB,118)</f>
        <v>0.71</v>
      </c>
      <c r="M20" s="50">
        <f>VLOOKUP($A20,'Data shares'!$C:$FB,119)</f>
        <v>0.71</v>
      </c>
      <c r="N20" s="50">
        <f>VLOOKUP($A20,'Data shares'!$C:$FB,121)*100</f>
        <v>0</v>
      </c>
      <c r="O20" s="50">
        <f>VLOOKUP($A20,'Data shares'!$C:$FB,124)</f>
        <v>0.44</v>
      </c>
      <c r="P20" s="50">
        <f>VLOOKUP($A20,'Data shares'!$C:$FB,125)</f>
        <v>0.51</v>
      </c>
      <c r="Q20" s="50">
        <f>VLOOKUP($A20,'Data shares'!$C:$FB,127)*100</f>
        <v>-13.73</v>
      </c>
    </row>
    <row r="21" spans="1:17" x14ac:dyDescent="0.25">
      <c r="A21" s="97" t="str">
        <f>'Data Vlaue (Cr)'!C16</f>
        <v>ASIANPAINT</v>
      </c>
      <c r="B21" s="140">
        <f>VLOOKUP($A21,'Data shares'!$C:$FB,7)</f>
        <v>2859.8</v>
      </c>
      <c r="C21" s="140">
        <f>VLOOKUP($A21,'Data shares'!$C:$FB,3)</f>
        <v>2860</v>
      </c>
      <c r="D21" s="140">
        <f>VLOOKUP($A21,'Data shares'!$C:$FB,4)</f>
        <v>2889</v>
      </c>
      <c r="E21" s="50">
        <f t="shared" si="0"/>
        <v>-1.0038075458636206</v>
      </c>
      <c r="F21" s="49">
        <f>VLOOKUP($A21,'Data shares'!$C:$FB,98)</f>
        <v>33533000</v>
      </c>
      <c r="G21" s="49">
        <f>VLOOKUP($A21,'Data shares'!$C:$FB,99)</f>
        <v>36836000</v>
      </c>
      <c r="H21" s="50">
        <f t="shared" si="1"/>
        <v>-8.9667716364426102</v>
      </c>
      <c r="I21" s="49">
        <f>VLOOKUP($A21,'Data shares'!$C:$FB,66)</f>
        <v>39493000</v>
      </c>
      <c r="J21" s="49">
        <f>VLOOKUP($A21,'Data shares'!$C:$FB,67)</f>
        <v>25545000</v>
      </c>
      <c r="K21" s="50">
        <f t="shared" si="2"/>
        <v>35.31765122933178</v>
      </c>
      <c r="L21" s="50">
        <f>VLOOKUP($A21,'Data shares'!$C:$FB,118)</f>
        <v>0.79</v>
      </c>
      <c r="M21" s="50">
        <f>VLOOKUP($A21,'Data shares'!$C:$FB,119)</f>
        <v>0.88</v>
      </c>
      <c r="N21" s="50">
        <f>VLOOKUP($A21,'Data shares'!$C:$FB,121)*100</f>
        <v>-10.23</v>
      </c>
      <c r="O21" s="50">
        <f>VLOOKUP($A21,'Data shares'!$C:$FB,124)</f>
        <v>0.68</v>
      </c>
      <c r="P21" s="50">
        <f>VLOOKUP($A21,'Data shares'!$C:$FB,125)</f>
        <v>0.86</v>
      </c>
      <c r="Q21" s="50">
        <f>VLOOKUP($A21,'Data shares'!$C:$FB,127)*100</f>
        <v>-20.93</v>
      </c>
    </row>
    <row r="22" spans="1:17" x14ac:dyDescent="0.25">
      <c r="A22" s="97" t="str">
        <f>'Data Vlaue (Cr)'!C17</f>
        <v>ASTRAL</v>
      </c>
      <c r="B22" s="140">
        <f>VLOOKUP($A22,'Data shares'!$C:$FB,7)</f>
        <v>1462.4</v>
      </c>
      <c r="C22" s="140">
        <f>VLOOKUP($A22,'Data shares'!$C:$FB,3)</f>
        <v>1465.6</v>
      </c>
      <c r="D22" s="140">
        <f>VLOOKUP($A22,'Data shares'!$C:$FB,4)</f>
        <v>1454.2</v>
      </c>
      <c r="E22" s="50">
        <f t="shared" si="0"/>
        <v>0.78393618484389105</v>
      </c>
      <c r="F22" s="49">
        <f>VLOOKUP($A22,'Data shares'!$C:$FB,98)</f>
        <v>15899250</v>
      </c>
      <c r="G22" s="49">
        <f>VLOOKUP($A22,'Data shares'!$C:$FB,99)</f>
        <v>17546125</v>
      </c>
      <c r="H22" s="50">
        <f t="shared" si="1"/>
        <v>-9.3859755359089263</v>
      </c>
      <c r="I22" s="49">
        <f>VLOOKUP($A22,'Data shares'!$C:$FB,66)</f>
        <v>13968475</v>
      </c>
      <c r="J22" s="49">
        <f>VLOOKUP($A22,'Data shares'!$C:$FB,67)</f>
        <v>10616925</v>
      </c>
      <c r="K22" s="50">
        <f t="shared" si="2"/>
        <v>23.993671463778256</v>
      </c>
      <c r="L22" s="50">
        <f>VLOOKUP($A22,'Data shares'!$C:$FB,118)</f>
        <v>0.56999999999999995</v>
      </c>
      <c r="M22" s="50">
        <f>VLOOKUP($A22,'Data shares'!$C:$FB,119)</f>
        <v>0.54</v>
      </c>
      <c r="N22" s="50">
        <f>VLOOKUP($A22,'Data shares'!$C:$FB,121)*100</f>
        <v>5.56</v>
      </c>
      <c r="O22" s="50">
        <f>VLOOKUP($A22,'Data shares'!$C:$FB,124)</f>
        <v>0.36</v>
      </c>
      <c r="P22" s="50">
        <f>VLOOKUP($A22,'Data shares'!$C:$FB,125)</f>
        <v>0.36</v>
      </c>
      <c r="Q22" s="50">
        <f>VLOOKUP($A22,'Data shares'!$C:$FB,127)*100</f>
        <v>0</v>
      </c>
    </row>
    <row r="23" spans="1:17" x14ac:dyDescent="0.25">
      <c r="A23" s="97" t="str">
        <f>'Data Vlaue (Cr)'!C18</f>
        <v>AUBANK</v>
      </c>
      <c r="B23" s="140">
        <f>VLOOKUP($A23,'Data shares'!$C:$FB,7)</f>
        <v>919.3</v>
      </c>
      <c r="C23" s="140">
        <f>VLOOKUP($A23,'Data shares'!$C:$FB,3)</f>
        <v>920.35</v>
      </c>
      <c r="D23" s="140">
        <f>VLOOKUP($A23,'Data shares'!$C:$FB,4)</f>
        <v>924.75</v>
      </c>
      <c r="E23" s="50">
        <f t="shared" si="0"/>
        <v>-0.47580427142470694</v>
      </c>
      <c r="F23" s="49">
        <f>VLOOKUP($A23,'Data shares'!$C:$FB,98)</f>
        <v>30119000</v>
      </c>
      <c r="G23" s="49">
        <f>VLOOKUP($A23,'Data shares'!$C:$FB,99)</f>
        <v>30594000</v>
      </c>
      <c r="H23" s="50">
        <f t="shared" si="1"/>
        <v>-1.5525920115055241</v>
      </c>
      <c r="I23" s="49">
        <f>VLOOKUP($A23,'Data shares'!$C:$FB,66)</f>
        <v>23260000</v>
      </c>
      <c r="J23" s="49">
        <f>VLOOKUP($A23,'Data shares'!$C:$FB,67)</f>
        <v>29591000</v>
      </c>
      <c r="K23" s="50">
        <f t="shared" si="2"/>
        <v>-27.218400687876183</v>
      </c>
      <c r="L23" s="50">
        <f>VLOOKUP($A23,'Data shares'!$C:$FB,118)</f>
        <v>0.97</v>
      </c>
      <c r="M23" s="50">
        <f>VLOOKUP($A23,'Data shares'!$C:$FB,119)</f>
        <v>1.05</v>
      </c>
      <c r="N23" s="50">
        <f>VLOOKUP($A23,'Data shares'!$C:$FB,121)*100</f>
        <v>-7.62</v>
      </c>
      <c r="O23" s="50">
        <f>VLOOKUP($A23,'Data shares'!$C:$FB,124)</f>
        <v>0.77</v>
      </c>
      <c r="P23" s="50">
        <f>VLOOKUP($A23,'Data shares'!$C:$FB,125)</f>
        <v>0.57999999999999996</v>
      </c>
      <c r="Q23" s="50">
        <f>VLOOKUP($A23,'Data shares'!$C:$FB,127)*100</f>
        <v>32.76</v>
      </c>
    </row>
    <row r="24" spans="1:17" x14ac:dyDescent="0.25">
      <c r="A24" s="97" t="str">
        <f>'Data Vlaue (Cr)'!C19</f>
        <v>AUROPHARMA</v>
      </c>
      <c r="B24" s="140">
        <f>VLOOKUP($A24,'Data shares'!$C:$FB,7)</f>
        <v>1207.7</v>
      </c>
      <c r="C24" s="140">
        <f>VLOOKUP($A24,'Data shares'!$C:$FB,3)</f>
        <v>1208.7</v>
      </c>
      <c r="D24" s="140">
        <f>VLOOKUP($A24,'Data shares'!$C:$FB,4)</f>
        <v>1235.2</v>
      </c>
      <c r="E24" s="50">
        <f t="shared" si="0"/>
        <v>-2.1454015544041449</v>
      </c>
      <c r="F24" s="49">
        <f>VLOOKUP($A24,'Data shares'!$C:$FB,98)</f>
        <v>33058850</v>
      </c>
      <c r="G24" s="49">
        <f>VLOOKUP($A24,'Data shares'!$C:$FB,99)</f>
        <v>33519750</v>
      </c>
      <c r="H24" s="50">
        <f t="shared" si="1"/>
        <v>-1.3750102551480843</v>
      </c>
      <c r="I24" s="49">
        <f>VLOOKUP($A24,'Data shares'!$C:$FB,66)</f>
        <v>30149900</v>
      </c>
      <c r="J24" s="49">
        <f>VLOOKUP($A24,'Data shares'!$C:$FB,67)</f>
        <v>13697200</v>
      </c>
      <c r="K24" s="50">
        <f t="shared" si="2"/>
        <v>54.569666897734322</v>
      </c>
      <c r="L24" s="50">
        <f>VLOOKUP($A24,'Data shares'!$C:$FB,118)</f>
        <v>0.94</v>
      </c>
      <c r="M24" s="50">
        <f>VLOOKUP($A24,'Data shares'!$C:$FB,119)</f>
        <v>1.07</v>
      </c>
      <c r="N24" s="50">
        <f>VLOOKUP($A24,'Data shares'!$C:$FB,121)*100</f>
        <v>-12.15</v>
      </c>
      <c r="O24" s="50">
        <f>VLOOKUP($A24,'Data shares'!$C:$FB,124)</f>
        <v>0.9</v>
      </c>
      <c r="P24" s="50">
        <f>VLOOKUP($A24,'Data shares'!$C:$FB,125)</f>
        <v>0.74</v>
      </c>
      <c r="Q24" s="50">
        <f>VLOOKUP($A24,'Data shares'!$C:$FB,127)*100</f>
        <v>21.62</v>
      </c>
    </row>
    <row r="25" spans="1:17" x14ac:dyDescent="0.25">
      <c r="A25" s="97" t="str">
        <f>'Data Vlaue (Cr)'!C20</f>
        <v>AXISBANK</v>
      </c>
      <c r="B25" s="140">
        <f>VLOOKUP($A25,'Data shares'!$C:$FB,7)</f>
        <v>1285.2</v>
      </c>
      <c r="C25" s="140">
        <f>VLOOKUP($A25,'Data shares'!$C:$FB,3)</f>
        <v>1283.7</v>
      </c>
      <c r="D25" s="140">
        <f>VLOOKUP($A25,'Data shares'!$C:$FB,4)</f>
        <v>1269.5999999999999</v>
      </c>
      <c r="E25" s="50">
        <f t="shared" si="0"/>
        <v>1.1105860113421657</v>
      </c>
      <c r="F25" s="49">
        <f>VLOOKUP($A25,'Data shares'!$C:$FB,98)</f>
        <v>107127500</v>
      </c>
      <c r="G25" s="49">
        <f>VLOOKUP($A25,'Data shares'!$C:$FB,99)</f>
        <v>108760000</v>
      </c>
      <c r="H25" s="50">
        <f t="shared" si="1"/>
        <v>-1.5010114012504598</v>
      </c>
      <c r="I25" s="49">
        <f>VLOOKUP($A25,'Data shares'!$C:$FB,66)</f>
        <v>186382500</v>
      </c>
      <c r="J25" s="49">
        <f>VLOOKUP($A25,'Data shares'!$C:$FB,67)</f>
        <v>85191875</v>
      </c>
      <c r="K25" s="50">
        <f t="shared" si="2"/>
        <v>54.291913135621641</v>
      </c>
      <c r="L25" s="50">
        <f>VLOOKUP($A25,'Data shares'!$C:$FB,118)</f>
        <v>0.76</v>
      </c>
      <c r="M25" s="50">
        <f>VLOOKUP($A25,'Data shares'!$C:$FB,119)</f>
        <v>0.68</v>
      </c>
      <c r="N25" s="50">
        <f>VLOOKUP($A25,'Data shares'!$C:$FB,121)*100</f>
        <v>11.76</v>
      </c>
      <c r="O25" s="50">
        <f>VLOOKUP($A25,'Data shares'!$C:$FB,124)</f>
        <v>0.5</v>
      </c>
      <c r="P25" s="50">
        <f>VLOOKUP($A25,'Data shares'!$C:$FB,125)</f>
        <v>0.53</v>
      </c>
      <c r="Q25" s="50">
        <f>VLOOKUP($A25,'Data shares'!$C:$FB,127)*100</f>
        <v>-5.66</v>
      </c>
    </row>
    <row r="26" spans="1:17" x14ac:dyDescent="0.25">
      <c r="A26" s="97" t="str">
        <f>'Data Vlaue (Cr)'!C21</f>
        <v>BAJAJ-AUTO</v>
      </c>
      <c r="B26" s="140">
        <f>VLOOKUP($A26,'Data shares'!$C:$FB,7)</f>
        <v>8979.5</v>
      </c>
      <c r="C26" s="140">
        <f>VLOOKUP($A26,'Data shares'!$C:$FB,3)</f>
        <v>8982</v>
      </c>
      <c r="D26" s="140">
        <f>VLOOKUP($A26,'Data shares'!$C:$FB,4)</f>
        <v>8885</v>
      </c>
      <c r="E26" s="50">
        <f t="shared" si="0"/>
        <v>1.0917276308384918</v>
      </c>
      <c r="F26" s="49">
        <f>VLOOKUP($A26,'Data shares'!$C:$FB,98)</f>
        <v>6636075</v>
      </c>
      <c r="G26" s="49">
        <f>VLOOKUP($A26,'Data shares'!$C:$FB,99)</f>
        <v>7227675</v>
      </c>
      <c r="H26" s="50">
        <f t="shared" si="1"/>
        <v>-8.1852047857713579</v>
      </c>
      <c r="I26" s="49">
        <f>VLOOKUP($A26,'Data shares'!$C:$FB,66)</f>
        <v>10457250</v>
      </c>
      <c r="J26" s="49">
        <f>VLOOKUP($A26,'Data shares'!$C:$FB,67)</f>
        <v>4331475</v>
      </c>
      <c r="K26" s="50">
        <f t="shared" si="2"/>
        <v>58.579215376891639</v>
      </c>
      <c r="L26" s="50">
        <f>VLOOKUP($A26,'Data shares'!$C:$FB,118)</f>
        <v>0.6</v>
      </c>
      <c r="M26" s="50">
        <f>VLOOKUP($A26,'Data shares'!$C:$FB,119)</f>
        <v>0.59</v>
      </c>
      <c r="N26" s="50">
        <f>VLOOKUP($A26,'Data shares'!$C:$FB,121)*100</f>
        <v>1.69</v>
      </c>
      <c r="O26" s="50">
        <f>VLOOKUP($A26,'Data shares'!$C:$FB,124)</f>
        <v>0.44</v>
      </c>
      <c r="P26" s="50">
        <f>VLOOKUP($A26,'Data shares'!$C:$FB,125)</f>
        <v>0.38</v>
      </c>
      <c r="Q26" s="50">
        <f>VLOOKUP($A26,'Data shares'!$C:$FB,127)*100</f>
        <v>15.790000000000001</v>
      </c>
    </row>
    <row r="27" spans="1:17" x14ac:dyDescent="0.25">
      <c r="A27" s="97" t="str">
        <f>'Data Vlaue (Cr)'!C22</f>
        <v>BAJAJFINSV</v>
      </c>
      <c r="B27" s="140">
        <f>VLOOKUP($A27,'Data shares'!$C:$FB,7)</f>
        <v>2095.6</v>
      </c>
      <c r="C27" s="140">
        <f>VLOOKUP($A27,'Data shares'!$C:$FB,3)</f>
        <v>2099.3000000000002</v>
      </c>
      <c r="D27" s="140">
        <f>VLOOKUP($A27,'Data shares'!$C:$FB,4)</f>
        <v>2051</v>
      </c>
      <c r="E27" s="50">
        <f t="shared" si="0"/>
        <v>2.3549488054607597</v>
      </c>
      <c r="F27" s="49">
        <f>VLOOKUP($A27,'Data shares'!$C:$FB,98)</f>
        <v>30717500</v>
      </c>
      <c r="G27" s="49">
        <f>VLOOKUP($A27,'Data shares'!$C:$FB,99)</f>
        <v>30862750</v>
      </c>
      <c r="H27" s="50">
        <f t="shared" si="1"/>
        <v>-0.47063207264420703</v>
      </c>
      <c r="I27" s="49">
        <f>VLOOKUP($A27,'Data shares'!$C:$FB,66)</f>
        <v>46338250</v>
      </c>
      <c r="J27" s="49">
        <f>VLOOKUP($A27,'Data shares'!$C:$FB,67)</f>
        <v>16991250</v>
      </c>
      <c r="K27" s="50">
        <f t="shared" si="2"/>
        <v>63.332128425221072</v>
      </c>
      <c r="L27" s="50">
        <f>VLOOKUP($A27,'Data shares'!$C:$FB,118)</f>
        <v>0.72</v>
      </c>
      <c r="M27" s="50">
        <f>VLOOKUP($A27,'Data shares'!$C:$FB,119)</f>
        <v>0.61</v>
      </c>
      <c r="N27" s="50">
        <f>VLOOKUP($A27,'Data shares'!$C:$FB,121)*100</f>
        <v>18.029999999999998</v>
      </c>
      <c r="O27" s="50">
        <f>VLOOKUP($A27,'Data shares'!$C:$FB,124)</f>
        <v>0.38</v>
      </c>
      <c r="P27" s="50">
        <f>VLOOKUP($A27,'Data shares'!$C:$FB,125)</f>
        <v>0.43</v>
      </c>
      <c r="Q27" s="50">
        <f>VLOOKUP($A27,'Data shares'!$C:$FB,127)*100</f>
        <v>-11.63</v>
      </c>
    </row>
    <row r="28" spans="1:17" x14ac:dyDescent="0.25">
      <c r="A28" s="97" t="str">
        <f>'Data Vlaue (Cr)'!C23</f>
        <v>BAJFINANCE</v>
      </c>
      <c r="B28" s="140">
        <f>VLOOKUP($A28,'Data shares'!$C:$FB,7)</f>
        <v>1028.5999999999999</v>
      </c>
      <c r="C28" s="140">
        <f>VLOOKUP($A28,'Data shares'!$C:$FB,3)</f>
        <v>1030.0999999999999</v>
      </c>
      <c r="D28" s="140">
        <f>VLOOKUP($A28,'Data shares'!$C:$FB,4)</f>
        <v>1007.7</v>
      </c>
      <c r="E28" s="50">
        <f t="shared" si="0"/>
        <v>2.2228837947801789</v>
      </c>
      <c r="F28" s="49">
        <f>VLOOKUP($A28,'Data shares'!$C:$FB,98)</f>
        <v>137913750</v>
      </c>
      <c r="G28" s="49">
        <f>VLOOKUP($A28,'Data shares'!$C:$FB,99)</f>
        <v>146283750</v>
      </c>
      <c r="H28" s="50">
        <f t="shared" si="1"/>
        <v>-5.7217565177266785</v>
      </c>
      <c r="I28" s="49">
        <f>VLOOKUP($A28,'Data shares'!$C:$FB,66)</f>
        <v>141645750</v>
      </c>
      <c r="J28" s="49">
        <f>VLOOKUP($A28,'Data shares'!$C:$FB,67)</f>
        <v>64251750</v>
      </c>
      <c r="K28" s="50">
        <f t="shared" si="2"/>
        <v>54.639126129799166</v>
      </c>
      <c r="L28" s="50">
        <f>VLOOKUP($A28,'Data shares'!$C:$FB,118)</f>
        <v>0.63</v>
      </c>
      <c r="M28" s="50">
        <f>VLOOKUP($A28,'Data shares'!$C:$FB,119)</f>
        <v>0.56000000000000005</v>
      </c>
      <c r="N28" s="50">
        <f>VLOOKUP($A28,'Data shares'!$C:$FB,121)*100</f>
        <v>12.5</v>
      </c>
      <c r="O28" s="50">
        <f>VLOOKUP($A28,'Data shares'!$C:$FB,124)</f>
        <v>0.44</v>
      </c>
      <c r="P28" s="50">
        <f>VLOOKUP($A28,'Data shares'!$C:$FB,125)</f>
        <v>0.43</v>
      </c>
      <c r="Q28" s="50">
        <f>VLOOKUP($A28,'Data shares'!$C:$FB,127)*100</f>
        <v>2.33</v>
      </c>
    </row>
    <row r="29" spans="1:17" x14ac:dyDescent="0.25">
      <c r="A29" s="97" t="str">
        <f>'Data Vlaue (Cr)'!C24</f>
        <v>BANDHANBNK</v>
      </c>
      <c r="B29" s="140">
        <f>VLOOKUP($A29,'Data shares'!$C:$FB,7)</f>
        <v>151.22</v>
      </c>
      <c r="C29" s="140">
        <f>VLOOKUP($A29,'Data shares'!$C:$FB,3)</f>
        <v>151.4</v>
      </c>
      <c r="D29" s="140">
        <f>VLOOKUP($A29,'Data shares'!$C:$FB,4)</f>
        <v>153.16999999999999</v>
      </c>
      <c r="E29" s="50">
        <f t="shared" si="0"/>
        <v>-1.1555787686883736</v>
      </c>
      <c r="F29" s="49">
        <f>VLOOKUP($A29,'Data shares'!$C:$FB,98)</f>
        <v>259405200</v>
      </c>
      <c r="G29" s="49">
        <f>VLOOKUP($A29,'Data shares'!$C:$FB,99)</f>
        <v>265374000</v>
      </c>
      <c r="H29" s="50">
        <f t="shared" si="1"/>
        <v>-2.2492030115987247</v>
      </c>
      <c r="I29" s="49">
        <f>VLOOKUP($A29,'Data shares'!$C:$FB,66)</f>
        <v>104983200</v>
      </c>
      <c r="J29" s="49">
        <f>VLOOKUP($A29,'Data shares'!$C:$FB,67)</f>
        <v>86220000</v>
      </c>
      <c r="K29" s="50">
        <f t="shared" si="2"/>
        <v>17.87257389753789</v>
      </c>
      <c r="L29" s="50">
        <f>VLOOKUP($A29,'Data shares'!$C:$FB,118)</f>
        <v>0.54</v>
      </c>
      <c r="M29" s="50">
        <f>VLOOKUP($A29,'Data shares'!$C:$FB,119)</f>
        <v>0.52</v>
      </c>
      <c r="N29" s="50">
        <f>VLOOKUP($A29,'Data shares'!$C:$FB,121)*100</f>
        <v>3.85</v>
      </c>
      <c r="O29" s="50">
        <f>VLOOKUP($A29,'Data shares'!$C:$FB,124)</f>
        <v>0.34</v>
      </c>
      <c r="P29" s="50">
        <f>VLOOKUP($A29,'Data shares'!$C:$FB,125)</f>
        <v>0.37</v>
      </c>
      <c r="Q29" s="50">
        <f>VLOOKUP($A29,'Data shares'!$C:$FB,127)*100</f>
        <v>-8.1100000000000012</v>
      </c>
    </row>
    <row r="30" spans="1:17" x14ac:dyDescent="0.25">
      <c r="A30" s="97" t="str">
        <f>'Data Vlaue (Cr)'!C25</f>
        <v>BANKBARODA</v>
      </c>
      <c r="B30" s="176">
        <f>VLOOKUP($A30,'Data shares'!$C:$FB,7)</f>
        <v>288.25</v>
      </c>
      <c r="C30" s="176">
        <f>VLOOKUP($A30,'Data shares'!$C:$FB,3)</f>
        <v>288.60000000000002</v>
      </c>
      <c r="D30" s="176">
        <f>VLOOKUP($A30,'Data shares'!$C:$FB,4)</f>
        <v>293.35000000000002</v>
      </c>
      <c r="E30" s="50">
        <f t="shared" si="0"/>
        <v>-1.6192261803306629</v>
      </c>
      <c r="F30" s="49">
        <f>VLOOKUP($A30,'Data shares'!$C:$FB,98)</f>
        <v>192078900</v>
      </c>
      <c r="G30" s="49">
        <f>VLOOKUP($A30,'Data shares'!$C:$FB,99)</f>
        <v>191359350</v>
      </c>
      <c r="H30" s="50">
        <f t="shared" si="1"/>
        <v>0.37602029898199379</v>
      </c>
      <c r="I30" s="49">
        <f>VLOOKUP($A30,'Data shares'!$C:$FB,66)</f>
        <v>129586275</v>
      </c>
      <c r="J30" s="49">
        <f>VLOOKUP($A30,'Data shares'!$C:$FB,67)</f>
        <v>199739475</v>
      </c>
      <c r="K30" s="50">
        <f t="shared" si="2"/>
        <v>-54.136288738911588</v>
      </c>
      <c r="L30" s="50">
        <f>VLOOKUP($A30,'Data shares'!$C:$FB,118)</f>
        <v>0.73</v>
      </c>
      <c r="M30" s="50">
        <f>VLOOKUP($A30,'Data shares'!$C:$FB,119)</f>
        <v>0.78</v>
      </c>
      <c r="N30" s="50">
        <f>VLOOKUP($A30,'Data shares'!$C:$FB,121)*100</f>
        <v>-6.41</v>
      </c>
      <c r="O30" s="50">
        <f>VLOOKUP($A30,'Data shares'!$C:$FB,124)</f>
        <v>0.51</v>
      </c>
      <c r="P30" s="50">
        <f>VLOOKUP($A30,'Data shares'!$C:$FB,125)</f>
        <v>0.46</v>
      </c>
      <c r="Q30" s="50">
        <f>VLOOKUP($A30,'Data shares'!$C:$FB,127)*100</f>
        <v>10.870000000000001</v>
      </c>
    </row>
    <row r="31" spans="1:17" x14ac:dyDescent="0.25">
      <c r="A31" s="97" t="str">
        <f>'Data Vlaue (Cr)'!C26</f>
        <v>BANKINDIA</v>
      </c>
      <c r="B31" s="140">
        <f>VLOOKUP($A31,'Data shares'!$C:$FB,7)</f>
        <v>147.72</v>
      </c>
      <c r="C31" s="140">
        <f>VLOOKUP($A31,'Data shares'!$C:$FB,3)</f>
        <v>147.54</v>
      </c>
      <c r="D31" s="140">
        <f>VLOOKUP($A31,'Data shares'!$C:$FB,4)</f>
        <v>148.56</v>
      </c>
      <c r="E31" s="50">
        <f t="shared" si="0"/>
        <v>-0.68659127625202621</v>
      </c>
      <c r="F31" s="49">
        <f>VLOOKUP($A31,'Data shares'!$C:$FB,98)</f>
        <v>108253600</v>
      </c>
      <c r="G31" s="49">
        <f>VLOOKUP($A31,'Data shares'!$C:$FB,99)</f>
        <v>109293600</v>
      </c>
      <c r="H31" s="50">
        <f t="shared" si="1"/>
        <v>-0.95156532495955848</v>
      </c>
      <c r="I31" s="49">
        <f>VLOOKUP($A31,'Data shares'!$C:$FB,66)</f>
        <v>56836000</v>
      </c>
      <c r="J31" s="49">
        <f>VLOOKUP($A31,'Data shares'!$C:$FB,67)</f>
        <v>54641600</v>
      </c>
      <c r="K31" s="50">
        <f t="shared" si="2"/>
        <v>3.8609332113449226</v>
      </c>
      <c r="L31" s="50">
        <f>VLOOKUP($A31,'Data shares'!$C:$FB,118)</f>
        <v>0.89</v>
      </c>
      <c r="M31" s="50">
        <f>VLOOKUP($A31,'Data shares'!$C:$FB,119)</f>
        <v>0.8</v>
      </c>
      <c r="N31" s="50">
        <f>VLOOKUP($A31,'Data shares'!$C:$FB,121)*100</f>
        <v>11.25</v>
      </c>
      <c r="O31" s="50">
        <f>VLOOKUP($A31,'Data shares'!$C:$FB,124)</f>
        <v>0.57999999999999996</v>
      </c>
      <c r="P31" s="50">
        <f>VLOOKUP($A31,'Data shares'!$C:$FB,125)</f>
        <v>0.54</v>
      </c>
      <c r="Q31" s="50">
        <f>VLOOKUP($A31,'Data shares'!$C:$FB,127)*100</f>
        <v>7.41</v>
      </c>
    </row>
    <row r="32" spans="1:17" x14ac:dyDescent="0.25">
      <c r="A32" s="97" t="str">
        <f>'Data Vlaue (Cr)'!C27</f>
        <v>BANKNIFTY</v>
      </c>
      <c r="B32" s="140">
        <f>VLOOKUP($A32,'Data shares'!$C:$FB,7)</f>
        <v>59347.7</v>
      </c>
      <c r="C32" s="140">
        <f>VLOOKUP($A32,'Data shares'!$C:$FB,3)</f>
        <v>59399</v>
      </c>
      <c r="D32" s="140">
        <f>VLOOKUP($A32,'Data shares'!$C:$FB,4)</f>
        <v>59227.4</v>
      </c>
      <c r="E32" s="50">
        <f t="shared" si="0"/>
        <v>0.2897307665033389</v>
      </c>
      <c r="F32" s="49">
        <f>VLOOKUP($A32,'Data shares'!$C:$FB,98)</f>
        <v>46506090</v>
      </c>
      <c r="G32" s="49">
        <f>VLOOKUP($A32,'Data shares'!$C:$FB,99)</f>
        <v>45019450</v>
      </c>
      <c r="H32" s="50">
        <f t="shared" si="1"/>
        <v>3.3022171528083977</v>
      </c>
      <c r="I32" s="49">
        <f>VLOOKUP($A32,'Data shares'!$C:$FB,66)</f>
        <v>178418695</v>
      </c>
      <c r="J32" s="49">
        <f>VLOOKUP($A32,'Data shares'!$C:$FB,67)</f>
        <v>195246555</v>
      </c>
      <c r="K32" s="50">
        <f t="shared" si="2"/>
        <v>-9.4316685815911843</v>
      </c>
      <c r="L32" s="50">
        <f>VLOOKUP($A32,'Data shares'!$C:$FB,118)</f>
        <v>1.25</v>
      </c>
      <c r="M32" s="50">
        <f>VLOOKUP($A32,'Data shares'!$C:$FB,119)</f>
        <v>1.23</v>
      </c>
      <c r="N32" s="50">
        <f>VLOOKUP($A32,'Data shares'!$C:$FB,121)*100</f>
        <v>1.63</v>
      </c>
      <c r="O32" s="50">
        <f>VLOOKUP($A32,'Data shares'!$C:$FB,124)</f>
        <v>1</v>
      </c>
      <c r="P32" s="50">
        <f>VLOOKUP($A32,'Data shares'!$C:$FB,125)</f>
        <v>0.97</v>
      </c>
      <c r="Q32" s="50">
        <f>VLOOKUP($A32,'Data shares'!$C:$FB,127)*100</f>
        <v>3.09</v>
      </c>
    </row>
    <row r="33" spans="1:17" x14ac:dyDescent="0.25">
      <c r="A33" s="97" t="str">
        <f>'Data Vlaue (Cr)'!C28</f>
        <v>BDL</v>
      </c>
      <c r="B33" s="140">
        <f>VLOOKUP($A33,'Data shares'!$C:$FB,7)</f>
        <v>1557</v>
      </c>
      <c r="C33" s="140">
        <f>VLOOKUP($A33,'Data shares'!$C:$FB,3)</f>
        <v>1557.2</v>
      </c>
      <c r="D33" s="140">
        <f>VLOOKUP($A33,'Data shares'!$C:$FB,4)</f>
        <v>1540.8</v>
      </c>
      <c r="E33" s="50">
        <f t="shared" si="0"/>
        <v>1.0643821391485002</v>
      </c>
      <c r="F33" s="49">
        <f>VLOOKUP($A33,'Data shares'!$C:$FB,98)</f>
        <v>13693450</v>
      </c>
      <c r="G33" s="49">
        <f>VLOOKUP($A33,'Data shares'!$C:$FB,99)</f>
        <v>13939525</v>
      </c>
      <c r="H33" s="50">
        <f t="shared" si="1"/>
        <v>-1.7653040544781835</v>
      </c>
      <c r="I33" s="49">
        <f>VLOOKUP($A33,'Data shares'!$C:$FB,66)</f>
        <v>23894325</v>
      </c>
      <c r="J33" s="49">
        <f>VLOOKUP($A33,'Data shares'!$C:$FB,67)</f>
        <v>14909700</v>
      </c>
      <c r="K33" s="50">
        <f t="shared" si="2"/>
        <v>37.601501611784386</v>
      </c>
      <c r="L33" s="50">
        <f>VLOOKUP($A33,'Data shares'!$C:$FB,118)</f>
        <v>0.6</v>
      </c>
      <c r="M33" s="50">
        <f>VLOOKUP($A33,'Data shares'!$C:$FB,119)</f>
        <v>0.59</v>
      </c>
      <c r="N33" s="50">
        <f>VLOOKUP($A33,'Data shares'!$C:$FB,121)*100</f>
        <v>1.69</v>
      </c>
      <c r="O33" s="50">
        <f>VLOOKUP($A33,'Data shares'!$C:$FB,124)</f>
        <v>0.27</v>
      </c>
      <c r="P33" s="50">
        <f>VLOOKUP($A33,'Data shares'!$C:$FB,125)</f>
        <v>0.53</v>
      </c>
      <c r="Q33" s="50">
        <f>VLOOKUP($A33,'Data shares'!$C:$FB,127)*100</f>
        <v>-49.059999999999995</v>
      </c>
    </row>
    <row r="34" spans="1:17" x14ac:dyDescent="0.25">
      <c r="A34" s="97" t="str">
        <f>'Data Vlaue (Cr)'!C29</f>
        <v>BEL</v>
      </c>
      <c r="B34" s="140">
        <f>VLOOKUP($A34,'Data shares'!$C:$FB,7)</f>
        <v>423</v>
      </c>
      <c r="C34" s="140">
        <f>VLOOKUP($A34,'Data shares'!$C:$FB,3)</f>
        <v>423.6</v>
      </c>
      <c r="D34" s="140">
        <f>VLOOKUP($A34,'Data shares'!$C:$FB,4)</f>
        <v>423.1</v>
      </c>
      <c r="E34" s="50">
        <f t="shared" si="0"/>
        <v>0.11817537225242258</v>
      </c>
      <c r="F34" s="49">
        <f>VLOOKUP($A34,'Data shares'!$C:$FB,98)</f>
        <v>216743925</v>
      </c>
      <c r="G34" s="49">
        <f>VLOOKUP($A34,'Data shares'!$C:$FB,99)</f>
        <v>235043775</v>
      </c>
      <c r="H34" s="50">
        <f t="shared" si="1"/>
        <v>-7.7857199153647016</v>
      </c>
      <c r="I34" s="49">
        <f>VLOOKUP($A34,'Data shares'!$C:$FB,66)</f>
        <v>225004650</v>
      </c>
      <c r="J34" s="49">
        <f>VLOOKUP($A34,'Data shares'!$C:$FB,67)</f>
        <v>209432250</v>
      </c>
      <c r="K34" s="50">
        <f t="shared" si="2"/>
        <v>6.9209236342448923</v>
      </c>
      <c r="L34" s="50">
        <f>VLOOKUP($A34,'Data shares'!$C:$FB,118)</f>
        <v>0.56000000000000005</v>
      </c>
      <c r="M34" s="50">
        <f>VLOOKUP($A34,'Data shares'!$C:$FB,119)</f>
        <v>0.53</v>
      </c>
      <c r="N34" s="50">
        <f>VLOOKUP($A34,'Data shares'!$C:$FB,121)*100</f>
        <v>5.66</v>
      </c>
      <c r="O34" s="50">
        <f>VLOOKUP($A34,'Data shares'!$C:$FB,124)</f>
        <v>0.44</v>
      </c>
      <c r="P34" s="50">
        <f>VLOOKUP($A34,'Data shares'!$C:$FB,125)</f>
        <v>0.52</v>
      </c>
      <c r="Q34" s="50">
        <f>VLOOKUP($A34,'Data shares'!$C:$FB,127)*100</f>
        <v>-15.379999999999999</v>
      </c>
    </row>
    <row r="35" spans="1:17" x14ac:dyDescent="0.25">
      <c r="A35" s="97" t="str">
        <f>'Data Vlaue (Cr)'!C30</f>
        <v>BHARATFORG</v>
      </c>
      <c r="B35" s="140">
        <f>VLOOKUP($A35,'Data shares'!$C:$FB,7)</f>
        <v>1435.4</v>
      </c>
      <c r="C35" s="140">
        <f>VLOOKUP($A35,'Data shares'!$C:$FB,3)</f>
        <v>1436</v>
      </c>
      <c r="D35" s="140">
        <f>VLOOKUP($A35,'Data shares'!$C:$FB,4)</f>
        <v>1447.1</v>
      </c>
      <c r="E35" s="50">
        <f t="shared" si="0"/>
        <v>-0.76705134406743891</v>
      </c>
      <c r="F35" s="49">
        <f>VLOOKUP($A35,'Data shares'!$C:$FB,98)</f>
        <v>17314000</v>
      </c>
      <c r="G35" s="49">
        <f>VLOOKUP($A35,'Data shares'!$C:$FB,99)</f>
        <v>18390000</v>
      </c>
      <c r="H35" s="50">
        <f t="shared" si="1"/>
        <v>-5.8510059815116913</v>
      </c>
      <c r="I35" s="49">
        <f>VLOOKUP($A35,'Data shares'!$C:$FB,66)</f>
        <v>24961500</v>
      </c>
      <c r="J35" s="49">
        <f>VLOOKUP($A35,'Data shares'!$C:$FB,67)</f>
        <v>53616500</v>
      </c>
      <c r="K35" s="50">
        <f t="shared" si="2"/>
        <v>-114.79678705206018</v>
      </c>
      <c r="L35" s="50">
        <f>VLOOKUP($A35,'Data shares'!$C:$FB,118)</f>
        <v>0.8</v>
      </c>
      <c r="M35" s="50">
        <f>VLOOKUP($A35,'Data shares'!$C:$FB,119)</f>
        <v>0.87</v>
      </c>
      <c r="N35" s="50">
        <f>VLOOKUP($A35,'Data shares'!$C:$FB,121)*100</f>
        <v>-8.0500000000000007</v>
      </c>
      <c r="O35" s="50">
        <f>VLOOKUP($A35,'Data shares'!$C:$FB,124)</f>
        <v>0.42</v>
      </c>
      <c r="P35" s="50">
        <f>VLOOKUP($A35,'Data shares'!$C:$FB,125)</f>
        <v>0.33</v>
      </c>
      <c r="Q35" s="50">
        <f>VLOOKUP($A35,'Data shares'!$C:$FB,127)*100</f>
        <v>27.27</v>
      </c>
    </row>
    <row r="36" spans="1:17" x14ac:dyDescent="0.25">
      <c r="A36" s="97" t="str">
        <f>'Data Vlaue (Cr)'!C31</f>
        <v>BHARTIARTL</v>
      </c>
      <c r="B36" s="140">
        <f>VLOOKUP($A36,'Data shares'!$C:$FB,7)</f>
        <v>2158.3000000000002</v>
      </c>
      <c r="C36" s="140">
        <f>VLOOKUP($A36,'Data shares'!$C:$FB,3)</f>
        <v>2158.9</v>
      </c>
      <c r="D36" s="140">
        <f>VLOOKUP($A36,'Data shares'!$C:$FB,4)</f>
        <v>2158.8000000000002</v>
      </c>
      <c r="E36" s="50">
        <f t="shared" si="0"/>
        <v>4.6322030757786287E-3</v>
      </c>
      <c r="F36" s="49">
        <f>VLOOKUP($A36,'Data shares'!$C:$FB,98)</f>
        <v>76407075</v>
      </c>
      <c r="G36" s="49">
        <f>VLOOKUP($A36,'Data shares'!$C:$FB,99)</f>
        <v>77492925</v>
      </c>
      <c r="H36" s="50">
        <f t="shared" si="1"/>
        <v>-1.4012246924477298</v>
      </c>
      <c r="I36" s="49">
        <f>VLOOKUP($A36,'Data shares'!$C:$FB,66)</f>
        <v>88499625</v>
      </c>
      <c r="J36" s="49">
        <f>VLOOKUP($A36,'Data shares'!$C:$FB,67)</f>
        <v>61981325</v>
      </c>
      <c r="K36" s="50">
        <f t="shared" si="2"/>
        <v>29.964307758366211</v>
      </c>
      <c r="L36" s="50">
        <f>VLOOKUP($A36,'Data shares'!$C:$FB,118)</f>
        <v>0.67</v>
      </c>
      <c r="M36" s="50">
        <f>VLOOKUP($A36,'Data shares'!$C:$FB,119)</f>
        <v>0.67</v>
      </c>
      <c r="N36" s="50">
        <f>VLOOKUP($A36,'Data shares'!$C:$FB,121)*100</f>
        <v>0</v>
      </c>
      <c r="O36" s="50">
        <f>VLOOKUP($A36,'Data shares'!$C:$FB,124)</f>
        <v>0.77</v>
      </c>
      <c r="P36" s="50">
        <f>VLOOKUP($A36,'Data shares'!$C:$FB,125)</f>
        <v>0.78</v>
      </c>
      <c r="Q36" s="50">
        <f>VLOOKUP($A36,'Data shares'!$C:$FB,127)*100</f>
        <v>-1.28</v>
      </c>
    </row>
    <row r="37" spans="1:17" x14ac:dyDescent="0.25">
      <c r="A37" s="97" t="str">
        <f>'Data Vlaue (Cr)'!C32</f>
        <v>BHEL</v>
      </c>
      <c r="B37" s="140">
        <f>VLOOKUP($A37,'Data shares'!$C:$FB,7)</f>
        <v>285.25</v>
      </c>
      <c r="C37" s="140">
        <f>VLOOKUP($A37,'Data shares'!$C:$FB,3)</f>
        <v>285.75</v>
      </c>
      <c r="D37" s="140">
        <f>VLOOKUP($A37,'Data shares'!$C:$FB,4)</f>
        <v>289</v>
      </c>
      <c r="E37" s="50">
        <f t="shared" si="0"/>
        <v>-1.124567474048443</v>
      </c>
      <c r="F37" s="49">
        <f>VLOOKUP($A37,'Data shares'!$C:$FB,98)</f>
        <v>154410375</v>
      </c>
      <c r="G37" s="49">
        <f>VLOOKUP($A37,'Data shares'!$C:$FB,99)</f>
        <v>161025375</v>
      </c>
      <c r="H37" s="50">
        <f t="shared" si="1"/>
        <v>-4.1080481880573174</v>
      </c>
      <c r="I37" s="49">
        <f>VLOOKUP($A37,'Data shares'!$C:$FB,66)</f>
        <v>183295875</v>
      </c>
      <c r="J37" s="49">
        <f>VLOOKUP($A37,'Data shares'!$C:$FB,67)</f>
        <v>237935250</v>
      </c>
      <c r="K37" s="50">
        <f t="shared" si="2"/>
        <v>-29.809386054105147</v>
      </c>
      <c r="L37" s="50">
        <f>VLOOKUP($A37,'Data shares'!$C:$FB,118)</f>
        <v>0.8</v>
      </c>
      <c r="M37" s="50">
        <f>VLOOKUP($A37,'Data shares'!$C:$FB,119)</f>
        <v>0.85</v>
      </c>
      <c r="N37" s="50">
        <f>VLOOKUP($A37,'Data shares'!$C:$FB,121)*100</f>
        <v>-5.88</v>
      </c>
      <c r="O37" s="50">
        <f>VLOOKUP($A37,'Data shares'!$C:$FB,124)</f>
        <v>0.53</v>
      </c>
      <c r="P37" s="50">
        <f>VLOOKUP($A37,'Data shares'!$C:$FB,125)</f>
        <v>0.51</v>
      </c>
      <c r="Q37" s="50">
        <f>VLOOKUP($A37,'Data shares'!$C:$FB,127)*100</f>
        <v>3.92</v>
      </c>
    </row>
    <row r="38" spans="1:17" x14ac:dyDescent="0.25">
      <c r="A38" s="97" t="str">
        <f>'Data Vlaue (Cr)'!C33</f>
        <v>BIOCON</v>
      </c>
      <c r="B38" s="140">
        <f>VLOOKUP($A38,'Data shares'!$C:$FB,7)</f>
        <v>395.15</v>
      </c>
      <c r="C38" s="140">
        <f>VLOOKUP($A38,'Data shares'!$C:$FB,3)</f>
        <v>395.3</v>
      </c>
      <c r="D38" s="140">
        <f>VLOOKUP($A38,'Data shares'!$C:$FB,4)</f>
        <v>410.1</v>
      </c>
      <c r="E38" s="50">
        <f t="shared" si="0"/>
        <v>-3.6088758839307511</v>
      </c>
      <c r="F38" s="49">
        <f>VLOOKUP($A38,'Data shares'!$C:$FB,98)</f>
        <v>113605000</v>
      </c>
      <c r="G38" s="49">
        <f>VLOOKUP($A38,'Data shares'!$C:$FB,99)</f>
        <v>103852500</v>
      </c>
      <c r="H38" s="50">
        <f t="shared" si="1"/>
        <v>9.3907224188151464</v>
      </c>
      <c r="I38" s="49">
        <f>VLOOKUP($A38,'Data shares'!$C:$FB,66)</f>
        <v>269440000</v>
      </c>
      <c r="J38" s="49">
        <f>VLOOKUP($A38,'Data shares'!$C:$FB,67)</f>
        <v>149485000</v>
      </c>
      <c r="K38" s="50">
        <f t="shared" si="2"/>
        <v>44.520115795724465</v>
      </c>
      <c r="L38" s="50">
        <f>VLOOKUP($A38,'Data shares'!$C:$FB,118)</f>
        <v>0.7</v>
      </c>
      <c r="M38" s="50">
        <f>VLOOKUP($A38,'Data shares'!$C:$FB,119)</f>
        <v>0.81</v>
      </c>
      <c r="N38" s="50">
        <f>VLOOKUP($A38,'Data shares'!$C:$FB,121)*100</f>
        <v>-13.58</v>
      </c>
      <c r="O38" s="50">
        <f>VLOOKUP($A38,'Data shares'!$C:$FB,124)</f>
        <v>0.65</v>
      </c>
      <c r="P38" s="50">
        <f>VLOOKUP($A38,'Data shares'!$C:$FB,125)</f>
        <v>0.66</v>
      </c>
      <c r="Q38" s="50">
        <f>VLOOKUP($A38,'Data shares'!$C:$FB,127)*100</f>
        <v>-1.52</v>
      </c>
    </row>
    <row r="39" spans="1:17" x14ac:dyDescent="0.25">
      <c r="A39" s="97" t="str">
        <f>'Data Vlaue (Cr)'!C34</f>
        <v>BLUESTARCO</v>
      </c>
      <c r="B39" s="140">
        <f>VLOOKUP($A39,'Data shares'!$C:$FB,7)</f>
        <v>1794.6</v>
      </c>
      <c r="C39" s="140">
        <f>VLOOKUP($A39,'Data shares'!$C:$FB,3)</f>
        <v>1795.2</v>
      </c>
      <c r="D39" s="140">
        <f>VLOOKUP($A39,'Data shares'!$C:$FB,4)</f>
        <v>1793.6</v>
      </c>
      <c r="E39" s="50">
        <f t="shared" si="0"/>
        <v>8.9206066012496463E-2</v>
      </c>
      <c r="F39" s="49">
        <f>VLOOKUP($A39,'Data shares'!$C:$FB,98)</f>
        <v>4761900</v>
      </c>
      <c r="G39" s="49">
        <f>VLOOKUP($A39,'Data shares'!$C:$FB,99)</f>
        <v>5467150</v>
      </c>
      <c r="H39" s="50">
        <f t="shared" si="1"/>
        <v>-12.899774105338246</v>
      </c>
      <c r="I39" s="49">
        <f>VLOOKUP($A39,'Data shares'!$C:$FB,66)</f>
        <v>4813900</v>
      </c>
      <c r="J39" s="49">
        <f>VLOOKUP($A39,'Data shares'!$C:$FB,67)</f>
        <v>5066425</v>
      </c>
      <c r="K39" s="50">
        <f t="shared" si="2"/>
        <v>-5.2457466918714557</v>
      </c>
      <c r="L39" s="50">
        <f>VLOOKUP($A39,'Data shares'!$C:$FB,118)</f>
        <v>0.35</v>
      </c>
      <c r="M39" s="50">
        <f>VLOOKUP($A39,'Data shares'!$C:$FB,119)</f>
        <v>0.39</v>
      </c>
      <c r="N39" s="50">
        <f>VLOOKUP($A39,'Data shares'!$C:$FB,121)*100</f>
        <v>-10.26</v>
      </c>
      <c r="O39" s="50">
        <f>VLOOKUP($A39,'Data shares'!$C:$FB,124)</f>
        <v>0.66</v>
      </c>
      <c r="P39" s="50">
        <f>VLOOKUP($A39,'Data shares'!$C:$FB,125)</f>
        <v>0.76</v>
      </c>
      <c r="Q39" s="50">
        <f>VLOOKUP($A39,'Data shares'!$C:$FB,127)*100</f>
        <v>-13.16</v>
      </c>
    </row>
    <row r="40" spans="1:17" x14ac:dyDescent="0.25">
      <c r="A40" s="97" t="str">
        <f>'Data Vlaue (Cr)'!C35</f>
        <v>BOSCHLTD</v>
      </c>
      <c r="B40" s="140">
        <f>VLOOKUP($A40,'Data shares'!$C:$FB,7)</f>
        <v>37050</v>
      </c>
      <c r="C40" s="140">
        <f>VLOOKUP($A40,'Data shares'!$C:$FB,3)</f>
        <v>37025</v>
      </c>
      <c r="D40" s="140">
        <f>VLOOKUP($A40,'Data shares'!$C:$FB,4)</f>
        <v>36860</v>
      </c>
      <c r="E40" s="50">
        <f t="shared" si="0"/>
        <v>0.44763971785132933</v>
      </c>
      <c r="F40" s="49">
        <f>VLOOKUP($A40,'Data shares'!$C:$FB,98)</f>
        <v>485900</v>
      </c>
      <c r="G40" s="49">
        <f>VLOOKUP($A40,'Data shares'!$C:$FB,99)</f>
        <v>524600</v>
      </c>
      <c r="H40" s="50">
        <f t="shared" si="1"/>
        <v>-7.3770491803278686</v>
      </c>
      <c r="I40" s="49">
        <f>VLOOKUP($A40,'Data shares'!$C:$FB,66)</f>
        <v>480875</v>
      </c>
      <c r="J40" s="49">
        <f>VLOOKUP($A40,'Data shares'!$C:$FB,67)</f>
        <v>421275</v>
      </c>
      <c r="K40" s="50">
        <f t="shared" si="2"/>
        <v>12.394073303873148</v>
      </c>
      <c r="L40" s="50">
        <f>VLOOKUP($A40,'Data shares'!$C:$FB,118)</f>
        <v>0.41</v>
      </c>
      <c r="M40" s="50">
        <f>VLOOKUP($A40,'Data shares'!$C:$FB,119)</f>
        <v>0.37</v>
      </c>
      <c r="N40" s="50">
        <f>VLOOKUP($A40,'Data shares'!$C:$FB,121)*100</f>
        <v>10.81</v>
      </c>
      <c r="O40" s="50">
        <f>VLOOKUP($A40,'Data shares'!$C:$FB,124)</f>
        <v>0.24</v>
      </c>
      <c r="P40" s="50">
        <f>VLOOKUP($A40,'Data shares'!$C:$FB,125)</f>
        <v>0.22</v>
      </c>
      <c r="Q40" s="50">
        <f>VLOOKUP($A40,'Data shares'!$C:$FB,127)*100</f>
        <v>9.09</v>
      </c>
    </row>
    <row r="41" spans="1:17" x14ac:dyDescent="0.25">
      <c r="A41" s="97" t="str">
        <f>'Data Vlaue (Cr)'!C36</f>
        <v>BPCL</v>
      </c>
      <c r="B41" s="140">
        <f>VLOOKUP($A41,'Data shares'!$C:$FB,7)</f>
        <v>365.05</v>
      </c>
      <c r="C41" s="140">
        <f>VLOOKUP($A41,'Data shares'!$C:$FB,3)</f>
        <v>365.9</v>
      </c>
      <c r="D41" s="140">
        <f>VLOOKUP($A41,'Data shares'!$C:$FB,4)</f>
        <v>366.75</v>
      </c>
      <c r="E41" s="50">
        <f t="shared" si="0"/>
        <v>-0.23176550783913369</v>
      </c>
      <c r="F41" s="49">
        <f>VLOOKUP($A41,'Data shares'!$C:$FB,98)</f>
        <v>71605600</v>
      </c>
      <c r="G41" s="49">
        <f>VLOOKUP($A41,'Data shares'!$C:$FB,99)</f>
        <v>65943275</v>
      </c>
      <c r="H41" s="50">
        <f t="shared" si="1"/>
        <v>8.5866602773368488</v>
      </c>
      <c r="I41" s="49">
        <f>VLOOKUP($A41,'Data shares'!$C:$FB,66)</f>
        <v>62492950</v>
      </c>
      <c r="J41" s="49">
        <f>VLOOKUP($A41,'Data shares'!$C:$FB,67)</f>
        <v>46722575</v>
      </c>
      <c r="K41" s="50">
        <f t="shared" si="2"/>
        <v>25.235446558371784</v>
      </c>
      <c r="L41" s="50">
        <f>VLOOKUP($A41,'Data shares'!$C:$FB,118)</f>
        <v>0.83</v>
      </c>
      <c r="M41" s="50">
        <f>VLOOKUP($A41,'Data shares'!$C:$FB,119)</f>
        <v>0.91</v>
      </c>
      <c r="N41" s="50">
        <f>VLOOKUP($A41,'Data shares'!$C:$FB,121)*100</f>
        <v>-8.7900000000000009</v>
      </c>
      <c r="O41" s="50">
        <f>VLOOKUP($A41,'Data shares'!$C:$FB,124)</f>
        <v>0.53</v>
      </c>
      <c r="P41" s="50">
        <f>VLOOKUP($A41,'Data shares'!$C:$FB,125)</f>
        <v>0.69</v>
      </c>
      <c r="Q41" s="50">
        <f>VLOOKUP($A41,'Data shares'!$C:$FB,127)*100</f>
        <v>-23.189999999999998</v>
      </c>
    </row>
    <row r="42" spans="1:17" x14ac:dyDescent="0.25">
      <c r="A42" s="97" t="str">
        <f>'Data Vlaue (Cr)'!C37</f>
        <v>BRITANNIA</v>
      </c>
      <c r="B42" s="140">
        <f>VLOOKUP($A42,'Data shares'!$C:$FB,7)</f>
        <v>5819</v>
      </c>
      <c r="C42" s="140">
        <f>VLOOKUP($A42,'Data shares'!$C:$FB,3)</f>
        <v>5817</v>
      </c>
      <c r="D42" s="140">
        <f>VLOOKUP($A42,'Data shares'!$C:$FB,4)</f>
        <v>5871.5</v>
      </c>
      <c r="E42" s="50">
        <f t="shared" si="0"/>
        <v>-0.92821255215873288</v>
      </c>
      <c r="F42" s="49">
        <f>VLOOKUP($A42,'Data shares'!$C:$FB,98)</f>
        <v>6500750</v>
      </c>
      <c r="G42" s="49">
        <f>VLOOKUP($A42,'Data shares'!$C:$FB,99)</f>
        <v>6608250</v>
      </c>
      <c r="H42" s="50">
        <f t="shared" si="1"/>
        <v>-1.6267544357432</v>
      </c>
      <c r="I42" s="49">
        <f>VLOOKUP($A42,'Data shares'!$C:$FB,66)</f>
        <v>8740500</v>
      </c>
      <c r="J42" s="49">
        <f>VLOOKUP($A42,'Data shares'!$C:$FB,67)</f>
        <v>4046125</v>
      </c>
      <c r="K42" s="50">
        <f t="shared" si="2"/>
        <v>53.708311881471317</v>
      </c>
      <c r="L42" s="50">
        <f>VLOOKUP($A42,'Data shares'!$C:$FB,118)</f>
        <v>0.55000000000000004</v>
      </c>
      <c r="M42" s="50">
        <f>VLOOKUP($A42,'Data shares'!$C:$FB,119)</f>
        <v>0.53</v>
      </c>
      <c r="N42" s="50">
        <f>VLOOKUP($A42,'Data shares'!$C:$FB,121)*100</f>
        <v>3.7699999999999996</v>
      </c>
      <c r="O42" s="50">
        <f>VLOOKUP($A42,'Data shares'!$C:$FB,124)</f>
        <v>0.55000000000000004</v>
      </c>
      <c r="P42" s="50">
        <f>VLOOKUP($A42,'Data shares'!$C:$FB,125)</f>
        <v>0.3</v>
      </c>
      <c r="Q42" s="50">
        <f>VLOOKUP($A42,'Data shares'!$C:$FB,127)*100</f>
        <v>83.33</v>
      </c>
    </row>
    <row r="43" spans="1:17" x14ac:dyDescent="0.25">
      <c r="A43" s="97" t="str">
        <f>'Data Vlaue (Cr)'!C38</f>
        <v>BSE</v>
      </c>
      <c r="B43" s="140">
        <f>VLOOKUP($A43,'Data shares'!$C:$FB,7)</f>
        <v>2895.5</v>
      </c>
      <c r="C43" s="140">
        <f>VLOOKUP($A43,'Data shares'!$C:$FB,3)</f>
        <v>2894.1</v>
      </c>
      <c r="D43" s="140">
        <f>VLOOKUP($A43,'Data shares'!$C:$FB,4)</f>
        <v>2898.4</v>
      </c>
      <c r="E43" s="50">
        <f t="shared" si="0"/>
        <v>-0.14835771460116554</v>
      </c>
      <c r="F43" s="49">
        <f>VLOOKUP($A43,'Data shares'!$C:$FB,98)</f>
        <v>32949750</v>
      </c>
      <c r="G43" s="49">
        <f>VLOOKUP($A43,'Data shares'!$C:$FB,99)</f>
        <v>33203250</v>
      </c>
      <c r="H43" s="50">
        <f t="shared" si="1"/>
        <v>-0.76347947866549215</v>
      </c>
      <c r="I43" s="49">
        <f>VLOOKUP($A43,'Data shares'!$C:$FB,66)</f>
        <v>95888625</v>
      </c>
      <c r="J43" s="49">
        <f>VLOOKUP($A43,'Data shares'!$C:$FB,67)</f>
        <v>64296000</v>
      </c>
      <c r="K43" s="50">
        <f t="shared" si="2"/>
        <v>32.947208284611449</v>
      </c>
      <c r="L43" s="50">
        <f>VLOOKUP($A43,'Data shares'!$C:$FB,118)</f>
        <v>0.91</v>
      </c>
      <c r="M43" s="50">
        <f>VLOOKUP($A43,'Data shares'!$C:$FB,119)</f>
        <v>1.04</v>
      </c>
      <c r="N43" s="50">
        <f>VLOOKUP($A43,'Data shares'!$C:$FB,121)*100</f>
        <v>-12.5</v>
      </c>
      <c r="O43" s="50">
        <f>VLOOKUP($A43,'Data shares'!$C:$FB,124)</f>
        <v>0.71</v>
      </c>
      <c r="P43" s="50">
        <f>VLOOKUP($A43,'Data shares'!$C:$FB,125)</f>
        <v>0.6</v>
      </c>
      <c r="Q43" s="50">
        <f>VLOOKUP($A43,'Data shares'!$C:$FB,127)*100</f>
        <v>18.329999999999998</v>
      </c>
    </row>
    <row r="44" spans="1:17" x14ac:dyDescent="0.25">
      <c r="A44" s="97" t="str">
        <f>'Data Vlaue (Cr)'!C39</f>
        <v>CAMS</v>
      </c>
      <c r="B44" s="140">
        <f>VLOOKUP($A44,'Data shares'!$C:$FB,7)</f>
        <v>4014.5</v>
      </c>
      <c r="C44" s="140">
        <f>VLOOKUP($A44,'Data shares'!$C:$FB,3)</f>
        <v>4012.4</v>
      </c>
      <c r="D44" s="140">
        <f>VLOOKUP($A44,'Data shares'!$C:$FB,4)</f>
        <v>3926.9</v>
      </c>
      <c r="E44" s="50">
        <f t="shared" si="0"/>
        <v>2.1772899742799665</v>
      </c>
      <c r="F44" s="49">
        <f>VLOOKUP($A44,'Data shares'!$C:$FB,98)</f>
        <v>4670550</v>
      </c>
      <c r="G44" s="49">
        <f>VLOOKUP($A44,'Data shares'!$C:$FB,99)</f>
        <v>4858050</v>
      </c>
      <c r="H44" s="50">
        <f t="shared" si="1"/>
        <v>-3.8595732855775466</v>
      </c>
      <c r="I44" s="49">
        <f>VLOOKUP($A44,'Data shares'!$C:$FB,66)</f>
        <v>17621100</v>
      </c>
      <c r="J44" s="49">
        <f>VLOOKUP($A44,'Data shares'!$C:$FB,67)</f>
        <v>2942100</v>
      </c>
      <c r="K44" s="50">
        <f t="shared" si="2"/>
        <v>83.303539506614229</v>
      </c>
      <c r="L44" s="50">
        <f>VLOOKUP($A44,'Data shares'!$C:$FB,118)</f>
        <v>0.68</v>
      </c>
      <c r="M44" s="50">
        <f>VLOOKUP($A44,'Data shares'!$C:$FB,119)</f>
        <v>0.56000000000000005</v>
      </c>
      <c r="N44" s="50">
        <f>VLOOKUP($A44,'Data shares'!$C:$FB,121)*100</f>
        <v>21.43</v>
      </c>
      <c r="O44" s="50">
        <f>VLOOKUP($A44,'Data shares'!$C:$FB,124)</f>
        <v>0.32</v>
      </c>
      <c r="P44" s="50">
        <f>VLOOKUP($A44,'Data shares'!$C:$FB,125)</f>
        <v>0.25</v>
      </c>
      <c r="Q44" s="50">
        <f>VLOOKUP($A44,'Data shares'!$C:$FB,127)*100</f>
        <v>28.000000000000004</v>
      </c>
    </row>
    <row r="45" spans="1:17" x14ac:dyDescent="0.25">
      <c r="A45" s="97" t="str">
        <f>'Data Vlaue (Cr)'!C40</f>
        <v>CANBK</v>
      </c>
      <c r="B45" s="140">
        <f>VLOOKUP($A45,'Data shares'!$C:$FB,7)</f>
        <v>147.94</v>
      </c>
      <c r="C45" s="140">
        <f>VLOOKUP($A45,'Data shares'!$C:$FB,3)</f>
        <v>147.97999999999999</v>
      </c>
      <c r="D45" s="140">
        <f>VLOOKUP($A45,'Data shares'!$C:$FB,4)</f>
        <v>150.33000000000001</v>
      </c>
      <c r="E45" s="50">
        <f t="shared" si="0"/>
        <v>-1.5632275660214345</v>
      </c>
      <c r="F45" s="49">
        <f>VLOOKUP($A45,'Data shares'!$C:$FB,98)</f>
        <v>425493000</v>
      </c>
      <c r="G45" s="49">
        <f>VLOOKUP($A45,'Data shares'!$C:$FB,99)</f>
        <v>443110500</v>
      </c>
      <c r="H45" s="50">
        <f t="shared" si="1"/>
        <v>-3.9758705785577186</v>
      </c>
      <c r="I45" s="49">
        <f>VLOOKUP($A45,'Data shares'!$C:$FB,66)</f>
        <v>412033500</v>
      </c>
      <c r="J45" s="49">
        <f>VLOOKUP($A45,'Data shares'!$C:$FB,67)</f>
        <v>412391250</v>
      </c>
      <c r="K45" s="50">
        <f t="shared" si="2"/>
        <v>-8.6825464434323901E-2</v>
      </c>
      <c r="L45" s="50">
        <f>VLOOKUP($A45,'Data shares'!$C:$FB,118)</f>
        <v>1.1399999999999999</v>
      </c>
      <c r="M45" s="50">
        <f>VLOOKUP($A45,'Data shares'!$C:$FB,119)</f>
        <v>1.17</v>
      </c>
      <c r="N45" s="50">
        <f>VLOOKUP($A45,'Data shares'!$C:$FB,121)*100</f>
        <v>-2.56</v>
      </c>
      <c r="O45" s="50">
        <f>VLOOKUP($A45,'Data shares'!$C:$FB,124)</f>
        <v>0.62</v>
      </c>
      <c r="P45" s="50">
        <f>VLOOKUP($A45,'Data shares'!$C:$FB,125)</f>
        <v>0.66</v>
      </c>
      <c r="Q45" s="50">
        <f>VLOOKUP($A45,'Data shares'!$C:$FB,127)*100</f>
        <v>-6.0600000000000005</v>
      </c>
    </row>
    <row r="46" spans="1:17" x14ac:dyDescent="0.25">
      <c r="A46" s="97" t="str">
        <f>'Data Vlaue (Cr)'!C41</f>
        <v>CDSL</v>
      </c>
      <c r="B46" s="140">
        <f>VLOOKUP($A46,'Data shares'!$C:$FB,7)</f>
        <v>1640.1</v>
      </c>
      <c r="C46" s="140">
        <f>VLOOKUP($A46,'Data shares'!$C:$FB,3)</f>
        <v>1643.4</v>
      </c>
      <c r="D46" s="140">
        <f>VLOOKUP($A46,'Data shares'!$C:$FB,4)</f>
        <v>1627.1</v>
      </c>
      <c r="E46" s="50">
        <f t="shared" si="0"/>
        <v>1.0017823120890039</v>
      </c>
      <c r="F46" s="49">
        <f>VLOOKUP($A46,'Data shares'!$C:$FB,98)</f>
        <v>23677800</v>
      </c>
      <c r="G46" s="49">
        <f>VLOOKUP($A46,'Data shares'!$C:$FB,99)</f>
        <v>24381275</v>
      </c>
      <c r="H46" s="50">
        <f t="shared" si="1"/>
        <v>-2.8853085000681875</v>
      </c>
      <c r="I46" s="49">
        <f>VLOOKUP($A46,'Data shares'!$C:$FB,66)</f>
        <v>96555625</v>
      </c>
      <c r="J46" s="49">
        <f>VLOOKUP($A46,'Data shares'!$C:$FB,67)</f>
        <v>31067850</v>
      </c>
      <c r="K46" s="50">
        <f t="shared" si="2"/>
        <v>67.823883901119174</v>
      </c>
      <c r="L46" s="50">
        <f>VLOOKUP($A46,'Data shares'!$C:$FB,118)</f>
        <v>0.59</v>
      </c>
      <c r="M46" s="50">
        <f>VLOOKUP($A46,'Data shares'!$C:$FB,119)</f>
        <v>0.61</v>
      </c>
      <c r="N46" s="50">
        <f>VLOOKUP($A46,'Data shares'!$C:$FB,121)*100</f>
        <v>-3.2800000000000002</v>
      </c>
      <c r="O46" s="50">
        <f>VLOOKUP($A46,'Data shares'!$C:$FB,124)</f>
        <v>0.31</v>
      </c>
      <c r="P46" s="50">
        <f>VLOOKUP($A46,'Data shares'!$C:$FB,125)</f>
        <v>0.45</v>
      </c>
      <c r="Q46" s="50">
        <f>VLOOKUP($A46,'Data shares'!$C:$FB,127)*100</f>
        <v>-31.11</v>
      </c>
    </row>
    <row r="47" spans="1:17" x14ac:dyDescent="0.25">
      <c r="A47" s="97" t="str">
        <f>'Data Vlaue (Cr)'!C42</f>
        <v>CGPOWER</v>
      </c>
      <c r="B47" s="140">
        <f>VLOOKUP($A47,'Data shares'!$C:$FB,7)</f>
        <v>721.25</v>
      </c>
      <c r="C47" s="140">
        <f>VLOOKUP($A47,'Data shares'!$C:$FB,3)</f>
        <v>722.8</v>
      </c>
      <c r="D47" s="140">
        <f>VLOOKUP($A47,'Data shares'!$C:$FB,4)</f>
        <v>724.3</v>
      </c>
      <c r="E47" s="50">
        <f t="shared" si="0"/>
        <v>-0.2070965069722491</v>
      </c>
      <c r="F47" s="49">
        <f>VLOOKUP($A47,'Data shares'!$C:$FB,98)</f>
        <v>27897850</v>
      </c>
      <c r="G47" s="49">
        <f>VLOOKUP($A47,'Data shares'!$C:$FB,99)</f>
        <v>28177500</v>
      </c>
      <c r="H47" s="50">
        <f t="shared" si="1"/>
        <v>-0.9924585218702866</v>
      </c>
      <c r="I47" s="49">
        <f>VLOOKUP($A47,'Data shares'!$C:$FB,66)</f>
        <v>20781650</v>
      </c>
      <c r="J47" s="49">
        <f>VLOOKUP($A47,'Data shares'!$C:$FB,67)</f>
        <v>14102350</v>
      </c>
      <c r="K47" s="50">
        <f t="shared" si="2"/>
        <v>32.140373839420832</v>
      </c>
      <c r="L47" s="50">
        <f>VLOOKUP($A47,'Data shares'!$C:$FB,118)</f>
        <v>0.56000000000000005</v>
      </c>
      <c r="M47" s="50">
        <f>VLOOKUP($A47,'Data shares'!$C:$FB,119)</f>
        <v>0.56000000000000005</v>
      </c>
      <c r="N47" s="50">
        <f>VLOOKUP($A47,'Data shares'!$C:$FB,121)*100</f>
        <v>0</v>
      </c>
      <c r="O47" s="50">
        <f>VLOOKUP($A47,'Data shares'!$C:$FB,124)</f>
        <v>0.44</v>
      </c>
      <c r="P47" s="50">
        <f>VLOOKUP($A47,'Data shares'!$C:$FB,125)</f>
        <v>0.36</v>
      </c>
      <c r="Q47" s="50">
        <f>VLOOKUP($A47,'Data shares'!$C:$FB,127)*100</f>
        <v>22.220000000000002</v>
      </c>
    </row>
    <row r="48" spans="1:17" x14ac:dyDescent="0.25">
      <c r="A48" s="97" t="str">
        <f>'Data Vlaue (Cr)'!C43</f>
        <v>CHOLAFIN</v>
      </c>
      <c r="B48" s="140">
        <f>VLOOKUP($A48,'Data shares'!$C:$FB,7)</f>
        <v>1703.2</v>
      </c>
      <c r="C48" s="140">
        <f>VLOOKUP($A48,'Data shares'!$C:$FB,3)</f>
        <v>1707.2</v>
      </c>
      <c r="D48" s="140">
        <f>VLOOKUP($A48,'Data shares'!$C:$FB,4)</f>
        <v>1680.4</v>
      </c>
      <c r="E48" s="50">
        <f t="shared" si="0"/>
        <v>1.5948583670554601</v>
      </c>
      <c r="F48" s="49">
        <f>VLOOKUP($A48,'Data shares'!$C:$FB,98)</f>
        <v>21682500</v>
      </c>
      <c r="G48" s="49">
        <f>VLOOKUP($A48,'Data shares'!$C:$FB,99)</f>
        <v>24564375</v>
      </c>
      <c r="H48" s="50">
        <f t="shared" si="1"/>
        <v>-11.731928860392337</v>
      </c>
      <c r="I48" s="49">
        <f>VLOOKUP($A48,'Data shares'!$C:$FB,66)</f>
        <v>23281250</v>
      </c>
      <c r="J48" s="49">
        <f>VLOOKUP($A48,'Data shares'!$C:$FB,67)</f>
        <v>15461250</v>
      </c>
      <c r="K48" s="50">
        <f t="shared" si="2"/>
        <v>33.589261744966443</v>
      </c>
      <c r="L48" s="50">
        <f>VLOOKUP($A48,'Data shares'!$C:$FB,118)</f>
        <v>0.96</v>
      </c>
      <c r="M48" s="50">
        <f>VLOOKUP($A48,'Data shares'!$C:$FB,119)</f>
        <v>0.9</v>
      </c>
      <c r="N48" s="50">
        <f>VLOOKUP($A48,'Data shares'!$C:$FB,121)*100</f>
        <v>6.67</v>
      </c>
      <c r="O48" s="50">
        <f>VLOOKUP($A48,'Data shares'!$C:$FB,124)</f>
        <v>0.51</v>
      </c>
      <c r="P48" s="50">
        <f>VLOOKUP($A48,'Data shares'!$C:$FB,125)</f>
        <v>0.64</v>
      </c>
      <c r="Q48" s="50">
        <f>VLOOKUP($A48,'Data shares'!$C:$FB,127)*100</f>
        <v>-20.309999999999999</v>
      </c>
    </row>
    <row r="49" spans="1:17" x14ac:dyDescent="0.25">
      <c r="A49" s="97" t="str">
        <f>'Data Vlaue (Cr)'!C44</f>
        <v>CIPLA</v>
      </c>
      <c r="B49" s="140">
        <f>VLOOKUP($A49,'Data shares'!$C:$FB,7)</f>
        <v>1529.2</v>
      </c>
      <c r="C49" s="140">
        <f>VLOOKUP($A49,'Data shares'!$C:$FB,3)</f>
        <v>1530.1</v>
      </c>
      <c r="D49" s="140">
        <f>VLOOKUP($A49,'Data shares'!$C:$FB,4)</f>
        <v>1528.8</v>
      </c>
      <c r="E49" s="50">
        <f t="shared" si="0"/>
        <v>8.5034013605439204E-2</v>
      </c>
      <c r="F49" s="49">
        <f>VLOOKUP($A49,'Data shares'!$C:$FB,98)</f>
        <v>28321500</v>
      </c>
      <c r="G49" s="49">
        <f>VLOOKUP($A49,'Data shares'!$C:$FB,99)</f>
        <v>29697375</v>
      </c>
      <c r="H49" s="50">
        <f t="shared" si="1"/>
        <v>-4.63298523859432</v>
      </c>
      <c r="I49" s="49">
        <f>VLOOKUP($A49,'Data shares'!$C:$FB,66)</f>
        <v>17790000</v>
      </c>
      <c r="J49" s="49">
        <f>VLOOKUP($A49,'Data shares'!$C:$FB,67)</f>
        <v>15349875</v>
      </c>
      <c r="K49" s="50">
        <f t="shared" si="2"/>
        <v>13.716273187183811</v>
      </c>
      <c r="L49" s="50">
        <f>VLOOKUP($A49,'Data shares'!$C:$FB,118)</f>
        <v>0.51</v>
      </c>
      <c r="M49" s="50">
        <f>VLOOKUP($A49,'Data shares'!$C:$FB,119)</f>
        <v>0.5</v>
      </c>
      <c r="N49" s="50">
        <f>VLOOKUP($A49,'Data shares'!$C:$FB,121)*100</f>
        <v>2</v>
      </c>
      <c r="O49" s="50">
        <f>VLOOKUP($A49,'Data shares'!$C:$FB,124)</f>
        <v>0.4</v>
      </c>
      <c r="P49" s="50">
        <f>VLOOKUP($A49,'Data shares'!$C:$FB,125)</f>
        <v>0.39</v>
      </c>
      <c r="Q49" s="50">
        <f>VLOOKUP($A49,'Data shares'!$C:$FB,127)*100</f>
        <v>2.56</v>
      </c>
    </row>
    <row r="50" spans="1:17" x14ac:dyDescent="0.25">
      <c r="A50" s="97" t="str">
        <f>'Data Vlaue (Cr)'!C45</f>
        <v>COALINDIA</v>
      </c>
      <c r="B50" s="140">
        <f>VLOOKUP($A50,'Data shares'!$C:$FB,7)</f>
        <v>379.65</v>
      </c>
      <c r="C50" s="140">
        <f>VLOOKUP($A50,'Data shares'!$C:$FB,3)</f>
        <v>380.5</v>
      </c>
      <c r="D50" s="140">
        <f>VLOOKUP($A50,'Data shares'!$C:$FB,4)</f>
        <v>379.95</v>
      </c>
      <c r="E50" s="50">
        <f t="shared" si="0"/>
        <v>0.14475588893275729</v>
      </c>
      <c r="F50" s="49">
        <f>VLOOKUP($A50,'Data shares'!$C:$FB,98)</f>
        <v>110236950</v>
      </c>
      <c r="G50" s="49">
        <f>VLOOKUP($A50,'Data shares'!$C:$FB,99)</f>
        <v>110956500</v>
      </c>
      <c r="H50" s="50">
        <f t="shared" si="1"/>
        <v>-0.64849738410998914</v>
      </c>
      <c r="I50" s="49">
        <f>VLOOKUP($A50,'Data shares'!$C:$FB,66)</f>
        <v>53377650</v>
      </c>
      <c r="J50" s="49">
        <f>VLOOKUP($A50,'Data shares'!$C:$FB,67)</f>
        <v>41077800</v>
      </c>
      <c r="K50" s="50">
        <f t="shared" si="2"/>
        <v>23.043071397860341</v>
      </c>
      <c r="L50" s="50">
        <f>VLOOKUP($A50,'Data shares'!$C:$FB,118)</f>
        <v>0.8</v>
      </c>
      <c r="M50" s="50">
        <f>VLOOKUP($A50,'Data shares'!$C:$FB,119)</f>
        <v>0.78</v>
      </c>
      <c r="N50" s="50">
        <f>VLOOKUP($A50,'Data shares'!$C:$FB,121)*100</f>
        <v>2.56</v>
      </c>
      <c r="O50" s="50">
        <f>VLOOKUP($A50,'Data shares'!$C:$FB,124)</f>
        <v>0.57999999999999996</v>
      </c>
      <c r="P50" s="50">
        <f>VLOOKUP($A50,'Data shares'!$C:$FB,125)</f>
        <v>0.53</v>
      </c>
      <c r="Q50" s="50">
        <f>VLOOKUP($A50,'Data shares'!$C:$FB,127)*100</f>
        <v>9.43</v>
      </c>
    </row>
    <row r="51" spans="1:17" x14ac:dyDescent="0.25">
      <c r="A51" s="97" t="str">
        <f>'Data Vlaue (Cr)'!C46</f>
        <v>COFORGE</v>
      </c>
      <c r="B51" s="140">
        <f>VLOOKUP($A51,'Data shares'!$C:$FB,7)</f>
        <v>1846.1</v>
      </c>
      <c r="C51" s="140">
        <f>VLOOKUP($A51,'Data shares'!$C:$FB,3)</f>
        <v>1849.6</v>
      </c>
      <c r="D51" s="140">
        <f>VLOOKUP($A51,'Data shares'!$C:$FB,4)</f>
        <v>1861.1</v>
      </c>
      <c r="E51" s="50">
        <f t="shared" si="0"/>
        <v>-0.61791413680081675</v>
      </c>
      <c r="F51" s="49">
        <f>VLOOKUP($A51,'Data shares'!$C:$FB,98)</f>
        <v>21657000</v>
      </c>
      <c r="G51" s="49">
        <f>VLOOKUP($A51,'Data shares'!$C:$FB,99)</f>
        <v>22201500</v>
      </c>
      <c r="H51" s="50">
        <f t="shared" si="1"/>
        <v>-2.4525369907438686</v>
      </c>
      <c r="I51" s="49">
        <f>VLOOKUP($A51,'Data shares'!$C:$FB,66)</f>
        <v>38726625</v>
      </c>
      <c r="J51" s="49">
        <f>VLOOKUP($A51,'Data shares'!$C:$FB,67)</f>
        <v>44969625</v>
      </c>
      <c r="K51" s="50">
        <f t="shared" si="2"/>
        <v>-16.120692159463935</v>
      </c>
      <c r="L51" s="50">
        <f>VLOOKUP($A51,'Data shares'!$C:$FB,118)</f>
        <v>0.5</v>
      </c>
      <c r="M51" s="50">
        <f>VLOOKUP($A51,'Data shares'!$C:$FB,119)</f>
        <v>0.55000000000000004</v>
      </c>
      <c r="N51" s="50">
        <f>VLOOKUP($A51,'Data shares'!$C:$FB,121)*100</f>
        <v>-9.09</v>
      </c>
      <c r="O51" s="50">
        <f>VLOOKUP($A51,'Data shares'!$C:$FB,124)</f>
        <v>0.37</v>
      </c>
      <c r="P51" s="50">
        <f>VLOOKUP($A51,'Data shares'!$C:$FB,125)</f>
        <v>0.31</v>
      </c>
      <c r="Q51" s="50">
        <f>VLOOKUP($A51,'Data shares'!$C:$FB,127)*100</f>
        <v>19.350000000000001</v>
      </c>
    </row>
    <row r="52" spans="1:17" x14ac:dyDescent="0.25">
      <c r="A52" s="97" t="str">
        <f>'Data Vlaue (Cr)'!C47</f>
        <v>COLPAL</v>
      </c>
      <c r="B52" s="140">
        <f>VLOOKUP($A52,'Data shares'!$C:$FB,7)</f>
        <v>2179.6999999999998</v>
      </c>
      <c r="C52" s="140">
        <f>VLOOKUP($A52,'Data shares'!$C:$FB,3)</f>
        <v>2185.1</v>
      </c>
      <c r="D52" s="140">
        <f>VLOOKUP($A52,'Data shares'!$C:$FB,4)</f>
        <v>2182.6999999999998</v>
      </c>
      <c r="E52" s="50">
        <f t="shared" si="0"/>
        <v>0.10995555962798786</v>
      </c>
      <c r="F52" s="49">
        <f>VLOOKUP($A52,'Data shares'!$C:$FB,98)</f>
        <v>11130525</v>
      </c>
      <c r="G52" s="49">
        <f>VLOOKUP($A52,'Data shares'!$C:$FB,99)</f>
        <v>11662875</v>
      </c>
      <c r="H52" s="50">
        <f t="shared" si="1"/>
        <v>-4.5644834571235648</v>
      </c>
      <c r="I52" s="49">
        <f>VLOOKUP($A52,'Data shares'!$C:$FB,66)</f>
        <v>13662225</v>
      </c>
      <c r="J52" s="49">
        <f>VLOOKUP($A52,'Data shares'!$C:$FB,67)</f>
        <v>2890575</v>
      </c>
      <c r="K52" s="50">
        <f t="shared" si="2"/>
        <v>78.842575056405522</v>
      </c>
      <c r="L52" s="50">
        <f>VLOOKUP($A52,'Data shares'!$C:$FB,118)</f>
        <v>0.64</v>
      </c>
      <c r="M52" s="50">
        <f>VLOOKUP($A52,'Data shares'!$C:$FB,119)</f>
        <v>0.65</v>
      </c>
      <c r="N52" s="50">
        <f>VLOOKUP($A52,'Data shares'!$C:$FB,121)*100</f>
        <v>-1.54</v>
      </c>
      <c r="O52" s="50">
        <f>VLOOKUP($A52,'Data shares'!$C:$FB,124)</f>
        <v>0.27</v>
      </c>
      <c r="P52" s="50">
        <f>VLOOKUP($A52,'Data shares'!$C:$FB,125)</f>
        <v>0.36</v>
      </c>
      <c r="Q52" s="50">
        <f>VLOOKUP($A52,'Data shares'!$C:$FB,127)*100</f>
        <v>-25</v>
      </c>
    </row>
    <row r="53" spans="1:17" x14ac:dyDescent="0.25">
      <c r="A53" s="97" t="str">
        <f>'Data Vlaue (Cr)'!C48</f>
        <v>CONCOR</v>
      </c>
      <c r="B53" s="140">
        <f>VLOOKUP($A53,'Data shares'!$C:$FB,7)</f>
        <v>515.4</v>
      </c>
      <c r="C53" s="140">
        <f>VLOOKUP($A53,'Data shares'!$C:$FB,3)</f>
        <v>516</v>
      </c>
      <c r="D53" s="140">
        <f>VLOOKUP($A53,'Data shares'!$C:$FB,4)</f>
        <v>515.9</v>
      </c>
      <c r="E53" s="50">
        <f t="shared" si="0"/>
        <v>1.9383601473158121E-2</v>
      </c>
      <c r="F53" s="49">
        <f>VLOOKUP($A53,'Data shares'!$C:$FB,98)</f>
        <v>68085000</v>
      </c>
      <c r="G53" s="49">
        <f>VLOOKUP($A53,'Data shares'!$C:$FB,99)</f>
        <v>69292500</v>
      </c>
      <c r="H53" s="50">
        <f t="shared" si="1"/>
        <v>-1.742612836887109</v>
      </c>
      <c r="I53" s="49">
        <f>VLOOKUP($A53,'Data shares'!$C:$FB,66)</f>
        <v>45182500</v>
      </c>
      <c r="J53" s="49">
        <f>VLOOKUP($A53,'Data shares'!$C:$FB,67)</f>
        <v>38693750</v>
      </c>
      <c r="K53" s="50">
        <f t="shared" si="2"/>
        <v>14.361201792729487</v>
      </c>
      <c r="L53" s="50">
        <f>VLOOKUP($A53,'Data shares'!$C:$FB,118)</f>
        <v>0.67</v>
      </c>
      <c r="M53" s="50">
        <f>VLOOKUP($A53,'Data shares'!$C:$FB,119)</f>
        <v>0.6</v>
      </c>
      <c r="N53" s="50">
        <f>VLOOKUP($A53,'Data shares'!$C:$FB,121)*100</f>
        <v>11.67</v>
      </c>
      <c r="O53" s="50">
        <f>VLOOKUP($A53,'Data shares'!$C:$FB,124)</f>
        <v>0.38</v>
      </c>
      <c r="P53" s="50">
        <f>VLOOKUP($A53,'Data shares'!$C:$FB,125)</f>
        <v>0.32</v>
      </c>
      <c r="Q53" s="50">
        <f>VLOOKUP($A53,'Data shares'!$C:$FB,127)*100</f>
        <v>18.75</v>
      </c>
    </row>
    <row r="54" spans="1:17" x14ac:dyDescent="0.25">
      <c r="A54" s="97" t="str">
        <f>'Data Vlaue (Cr)'!C49</f>
        <v>CROMPTON</v>
      </c>
      <c r="B54" s="140">
        <f>VLOOKUP($A54,'Data shares'!$C:$FB,7)</f>
        <v>270</v>
      </c>
      <c r="C54" s="140">
        <f>VLOOKUP($A54,'Data shares'!$C:$FB,3)</f>
        <v>269.95</v>
      </c>
      <c r="D54" s="140">
        <f>VLOOKUP($A54,'Data shares'!$C:$FB,4)</f>
        <v>274.2</v>
      </c>
      <c r="E54" s="50">
        <f t="shared" si="0"/>
        <v>-1.5499635302698762</v>
      </c>
      <c r="F54" s="49">
        <f>VLOOKUP($A54,'Data shares'!$C:$FB,98)</f>
        <v>97356600</v>
      </c>
      <c r="G54" s="49">
        <f>VLOOKUP($A54,'Data shares'!$C:$FB,99)</f>
        <v>97574400</v>
      </c>
      <c r="H54" s="50">
        <f t="shared" si="1"/>
        <v>-0.2232142857142857</v>
      </c>
      <c r="I54" s="49">
        <f>VLOOKUP($A54,'Data shares'!$C:$FB,66)</f>
        <v>46134000</v>
      </c>
      <c r="J54" s="49">
        <f>VLOOKUP($A54,'Data shares'!$C:$FB,67)</f>
        <v>23490000</v>
      </c>
      <c r="K54" s="50">
        <f t="shared" si="2"/>
        <v>49.083105735466248</v>
      </c>
      <c r="L54" s="50">
        <f>VLOOKUP($A54,'Data shares'!$C:$FB,118)</f>
        <v>0.51</v>
      </c>
      <c r="M54" s="50">
        <f>VLOOKUP($A54,'Data shares'!$C:$FB,119)</f>
        <v>0.49</v>
      </c>
      <c r="N54" s="50">
        <f>VLOOKUP($A54,'Data shares'!$C:$FB,121)*100</f>
        <v>4.08</v>
      </c>
      <c r="O54" s="50">
        <f>VLOOKUP($A54,'Data shares'!$C:$FB,124)</f>
        <v>0.3</v>
      </c>
      <c r="P54" s="50">
        <f>VLOOKUP($A54,'Data shares'!$C:$FB,125)</f>
        <v>0.21</v>
      </c>
      <c r="Q54" s="50">
        <f>VLOOKUP($A54,'Data shares'!$C:$FB,127)*100</f>
        <v>42.86</v>
      </c>
    </row>
    <row r="55" spans="1:17" x14ac:dyDescent="0.25">
      <c r="A55" s="97" t="str">
        <f>'Data Vlaue (Cr)'!C50</f>
        <v>CUMMINSIND</v>
      </c>
      <c r="B55" s="140">
        <f>VLOOKUP($A55,'Data shares'!$C:$FB,7)</f>
        <v>4375.7</v>
      </c>
      <c r="C55" s="140">
        <f>VLOOKUP($A55,'Data shares'!$C:$FB,3)</f>
        <v>4380.6000000000004</v>
      </c>
      <c r="D55" s="140">
        <f>VLOOKUP($A55,'Data shares'!$C:$FB,4)</f>
        <v>4264.8</v>
      </c>
      <c r="E55" s="50">
        <f t="shared" si="0"/>
        <v>2.7152504220596554</v>
      </c>
      <c r="F55" s="49">
        <f>VLOOKUP($A55,'Data shares'!$C:$FB,98)</f>
        <v>5956000</v>
      </c>
      <c r="G55" s="49">
        <f>VLOOKUP($A55,'Data shares'!$C:$FB,99)</f>
        <v>5850600</v>
      </c>
      <c r="H55" s="50">
        <f t="shared" si="1"/>
        <v>1.8015246299524834</v>
      </c>
      <c r="I55" s="49">
        <f>VLOOKUP($A55,'Data shares'!$C:$FB,66)</f>
        <v>21533400</v>
      </c>
      <c r="J55" s="49">
        <f>VLOOKUP($A55,'Data shares'!$C:$FB,67)</f>
        <v>7650200</v>
      </c>
      <c r="K55" s="50">
        <f t="shared" si="2"/>
        <v>64.472865409085429</v>
      </c>
      <c r="L55" s="50">
        <f>VLOOKUP($A55,'Data shares'!$C:$FB,118)</f>
        <v>0.61</v>
      </c>
      <c r="M55" s="50">
        <f>VLOOKUP($A55,'Data shares'!$C:$FB,119)</f>
        <v>0.64</v>
      </c>
      <c r="N55" s="50">
        <f>VLOOKUP($A55,'Data shares'!$C:$FB,121)*100</f>
        <v>-4.6899999999999995</v>
      </c>
      <c r="O55" s="50">
        <f>VLOOKUP($A55,'Data shares'!$C:$FB,124)</f>
        <v>0.25</v>
      </c>
      <c r="P55" s="50">
        <f>VLOOKUP($A55,'Data shares'!$C:$FB,125)</f>
        <v>0.5</v>
      </c>
      <c r="Q55" s="50">
        <f>VLOOKUP($A55,'Data shares'!$C:$FB,127)*100</f>
        <v>-50</v>
      </c>
    </row>
    <row r="56" spans="1:17" x14ac:dyDescent="0.25">
      <c r="A56" s="97" t="str">
        <f>'Data Vlaue (Cr)'!C51</f>
        <v>CYIENT</v>
      </c>
      <c r="B56" s="140">
        <f>VLOOKUP($A56,'Data shares'!$C:$FB,7)</f>
        <v>1148.9000000000001</v>
      </c>
      <c r="C56" s="140">
        <f>VLOOKUP($A56,'Data shares'!$C:$FB,3)</f>
        <v>1148</v>
      </c>
      <c r="D56" s="140">
        <f>VLOOKUP($A56,'Data shares'!$C:$FB,4)</f>
        <v>1155</v>
      </c>
      <c r="E56" s="50">
        <f t="shared" si="0"/>
        <v>-0.60606060606060608</v>
      </c>
      <c r="F56" s="49">
        <f>VLOOKUP($A56,'Data shares'!$C:$FB,98)</f>
        <v>8384400</v>
      </c>
      <c r="G56" s="49">
        <f>VLOOKUP($A56,'Data shares'!$C:$FB,99)</f>
        <v>8643650</v>
      </c>
      <c r="H56" s="50">
        <f t="shared" si="1"/>
        <v>-2.9993116333956142</v>
      </c>
      <c r="I56" s="49">
        <f>VLOOKUP($A56,'Data shares'!$C:$FB,66)</f>
        <v>4470150</v>
      </c>
      <c r="J56" s="49">
        <f>VLOOKUP($A56,'Data shares'!$C:$FB,67)</f>
        <v>8834050</v>
      </c>
      <c r="K56" s="50">
        <f t="shared" si="2"/>
        <v>-97.623122266590613</v>
      </c>
      <c r="L56" s="50">
        <f>VLOOKUP($A56,'Data shares'!$C:$FB,118)</f>
        <v>0.57999999999999996</v>
      </c>
      <c r="M56" s="50">
        <f>VLOOKUP($A56,'Data shares'!$C:$FB,119)</f>
        <v>0.6</v>
      </c>
      <c r="N56" s="50">
        <f>VLOOKUP($A56,'Data shares'!$C:$FB,121)*100</f>
        <v>-3.3300000000000005</v>
      </c>
      <c r="O56" s="50">
        <f>VLOOKUP($A56,'Data shares'!$C:$FB,124)</f>
        <v>0.4</v>
      </c>
      <c r="P56" s="50">
        <f>VLOOKUP($A56,'Data shares'!$C:$FB,125)</f>
        <v>0.28000000000000003</v>
      </c>
      <c r="Q56" s="50">
        <f>VLOOKUP($A56,'Data shares'!$C:$FB,127)*100</f>
        <v>42.86</v>
      </c>
    </row>
    <row r="57" spans="1:17" x14ac:dyDescent="0.25">
      <c r="A57" s="97" t="str">
        <f>'Data Vlaue (Cr)'!C52</f>
        <v>DABUR</v>
      </c>
      <c r="B57" s="140">
        <f>VLOOKUP($A57,'Data shares'!$C:$FB,7)</f>
        <v>525.04999999999995</v>
      </c>
      <c r="C57" s="140">
        <f>VLOOKUP($A57,'Data shares'!$C:$FB,3)</f>
        <v>524.6</v>
      </c>
      <c r="D57" s="140">
        <f>VLOOKUP($A57,'Data shares'!$C:$FB,4)</f>
        <v>518.25</v>
      </c>
      <c r="E57" s="50">
        <f t="shared" si="0"/>
        <v>1.2252773757838926</v>
      </c>
      <c r="F57" s="49">
        <f>VLOOKUP($A57,'Data shares'!$C:$FB,98)</f>
        <v>51571250</v>
      </c>
      <c r="G57" s="49">
        <f>VLOOKUP($A57,'Data shares'!$C:$FB,99)</f>
        <v>54447500</v>
      </c>
      <c r="H57" s="50">
        <f t="shared" si="1"/>
        <v>-5.2826116901602456</v>
      </c>
      <c r="I57" s="49">
        <f>VLOOKUP($A57,'Data shares'!$C:$FB,66)</f>
        <v>44393750</v>
      </c>
      <c r="J57" s="49">
        <f>VLOOKUP($A57,'Data shares'!$C:$FB,67)</f>
        <v>28993750</v>
      </c>
      <c r="K57" s="50">
        <f t="shared" si="2"/>
        <v>34.689567788258479</v>
      </c>
      <c r="L57" s="50">
        <f>VLOOKUP($A57,'Data shares'!$C:$FB,118)</f>
        <v>0.59</v>
      </c>
      <c r="M57" s="50">
        <f>VLOOKUP($A57,'Data shares'!$C:$FB,119)</f>
        <v>0.55000000000000004</v>
      </c>
      <c r="N57" s="50">
        <f>VLOOKUP($A57,'Data shares'!$C:$FB,121)*100</f>
        <v>7.2700000000000005</v>
      </c>
      <c r="O57" s="50">
        <f>VLOOKUP($A57,'Data shares'!$C:$FB,124)</f>
        <v>0.53</v>
      </c>
      <c r="P57" s="50">
        <f>VLOOKUP($A57,'Data shares'!$C:$FB,125)</f>
        <v>0.48</v>
      </c>
      <c r="Q57" s="50">
        <f>VLOOKUP($A57,'Data shares'!$C:$FB,127)*100</f>
        <v>10.42</v>
      </c>
    </row>
    <row r="58" spans="1:17" x14ac:dyDescent="0.25">
      <c r="A58" s="97" t="str">
        <f>'Data Vlaue (Cr)'!C53</f>
        <v>DALBHARAT</v>
      </c>
      <c r="B58" s="140">
        <f>VLOOKUP($A58,'Data shares'!$C:$FB,7)</f>
        <v>2012.1</v>
      </c>
      <c r="C58" s="140">
        <f>VLOOKUP($A58,'Data shares'!$C:$FB,3)</f>
        <v>2016.3</v>
      </c>
      <c r="D58" s="140">
        <f>VLOOKUP($A58,'Data shares'!$C:$FB,4)</f>
        <v>2022.6</v>
      </c>
      <c r="E58" s="50">
        <f t="shared" si="0"/>
        <v>-0.31148027291604641</v>
      </c>
      <c r="F58" s="49">
        <f>VLOOKUP($A58,'Data shares'!$C:$FB,98)</f>
        <v>4920500</v>
      </c>
      <c r="G58" s="49">
        <f>VLOOKUP($A58,'Data shares'!$C:$FB,99)</f>
        <v>5093075</v>
      </c>
      <c r="H58" s="50">
        <f t="shared" si="1"/>
        <v>-3.3884244783357795</v>
      </c>
      <c r="I58" s="49">
        <f>VLOOKUP($A58,'Data shares'!$C:$FB,66)</f>
        <v>2062125</v>
      </c>
      <c r="J58" s="49">
        <f>VLOOKUP($A58,'Data shares'!$C:$FB,67)</f>
        <v>4466150</v>
      </c>
      <c r="K58" s="50">
        <f t="shared" si="2"/>
        <v>-116.57998423955871</v>
      </c>
      <c r="L58" s="50">
        <f>VLOOKUP($A58,'Data shares'!$C:$FB,118)</f>
        <v>0.67</v>
      </c>
      <c r="M58" s="50">
        <f>VLOOKUP($A58,'Data shares'!$C:$FB,119)</f>
        <v>0.65</v>
      </c>
      <c r="N58" s="50">
        <f>VLOOKUP($A58,'Data shares'!$C:$FB,121)*100</f>
        <v>3.08</v>
      </c>
      <c r="O58" s="50">
        <f>VLOOKUP($A58,'Data shares'!$C:$FB,124)</f>
        <v>0.37</v>
      </c>
      <c r="P58" s="50">
        <f>VLOOKUP($A58,'Data shares'!$C:$FB,125)</f>
        <v>0.46</v>
      </c>
      <c r="Q58" s="50">
        <f>VLOOKUP($A58,'Data shares'!$C:$FB,127)*100</f>
        <v>-19.57</v>
      </c>
    </row>
    <row r="59" spans="1:17" x14ac:dyDescent="0.25">
      <c r="A59" s="97" t="str">
        <f>'Data Vlaue (Cr)'!C54</f>
        <v>DELHIVERY</v>
      </c>
      <c r="B59" s="140">
        <f>VLOOKUP($A59,'Data shares'!$C:$FB,7)</f>
        <v>426</v>
      </c>
      <c r="C59" s="140">
        <f>VLOOKUP($A59,'Data shares'!$C:$FB,3)</f>
        <v>426.7</v>
      </c>
      <c r="D59" s="140">
        <f>VLOOKUP($A59,'Data shares'!$C:$FB,4)</f>
        <v>435.85</v>
      </c>
      <c r="E59" s="50">
        <f t="shared" si="0"/>
        <v>-2.0993461053114681</v>
      </c>
      <c r="F59" s="49">
        <f>VLOOKUP($A59,'Data shares'!$C:$FB,98)</f>
        <v>53867000</v>
      </c>
      <c r="G59" s="49">
        <f>VLOOKUP($A59,'Data shares'!$C:$FB,99)</f>
        <v>58587625</v>
      </c>
      <c r="H59" s="50">
        <f t="shared" si="1"/>
        <v>-8.0573755976624746</v>
      </c>
      <c r="I59" s="49">
        <f>VLOOKUP($A59,'Data shares'!$C:$FB,66)</f>
        <v>51491125</v>
      </c>
      <c r="J59" s="49">
        <f>VLOOKUP($A59,'Data shares'!$C:$FB,67)</f>
        <v>52553525</v>
      </c>
      <c r="K59" s="50">
        <f t="shared" si="2"/>
        <v>-2.0632681845657865</v>
      </c>
      <c r="L59" s="50">
        <f>VLOOKUP($A59,'Data shares'!$C:$FB,118)</f>
        <v>0.48</v>
      </c>
      <c r="M59" s="50">
        <f>VLOOKUP($A59,'Data shares'!$C:$FB,119)</f>
        <v>0.44</v>
      </c>
      <c r="N59" s="50">
        <f>VLOOKUP($A59,'Data shares'!$C:$FB,121)*100</f>
        <v>9.09</v>
      </c>
      <c r="O59" s="50">
        <f>VLOOKUP($A59,'Data shares'!$C:$FB,124)</f>
        <v>0.37</v>
      </c>
      <c r="P59" s="50">
        <f>VLOOKUP($A59,'Data shares'!$C:$FB,125)</f>
        <v>0.41</v>
      </c>
      <c r="Q59" s="50">
        <f>VLOOKUP($A59,'Data shares'!$C:$FB,127)*100</f>
        <v>-9.76</v>
      </c>
    </row>
    <row r="60" spans="1:17" x14ac:dyDescent="0.25">
      <c r="A60" s="97" t="str">
        <f>'Data Vlaue (Cr)'!C55</f>
        <v>DIVISLAB</v>
      </c>
      <c r="B60" s="140">
        <f>VLOOKUP($A60,'Data shares'!$C:$FB,7)</f>
        <v>6462.5</v>
      </c>
      <c r="C60" s="140">
        <f>VLOOKUP($A60,'Data shares'!$C:$FB,3)</f>
        <v>6458.5</v>
      </c>
      <c r="D60" s="140">
        <f>VLOOKUP($A60,'Data shares'!$C:$FB,4)</f>
        <v>6462</v>
      </c>
      <c r="E60" s="50">
        <f t="shared" si="0"/>
        <v>-5.4162797895388422E-2</v>
      </c>
      <c r="F60" s="49">
        <f>VLOOKUP($A60,'Data shares'!$C:$FB,98)</f>
        <v>7023000</v>
      </c>
      <c r="G60" s="49">
        <f>VLOOKUP($A60,'Data shares'!$C:$FB,99)</f>
        <v>7342800</v>
      </c>
      <c r="H60" s="50">
        <f t="shared" si="1"/>
        <v>-4.3552868115705179</v>
      </c>
      <c r="I60" s="49">
        <f>VLOOKUP($A60,'Data shares'!$C:$FB,66)</f>
        <v>3558900</v>
      </c>
      <c r="J60" s="49">
        <f>VLOOKUP($A60,'Data shares'!$C:$FB,67)</f>
        <v>3440200</v>
      </c>
      <c r="K60" s="50">
        <f t="shared" si="2"/>
        <v>3.335300233218129</v>
      </c>
      <c r="L60" s="50">
        <f>VLOOKUP($A60,'Data shares'!$C:$FB,118)</f>
        <v>0.7</v>
      </c>
      <c r="M60" s="50">
        <f>VLOOKUP($A60,'Data shares'!$C:$FB,119)</f>
        <v>0.67</v>
      </c>
      <c r="N60" s="50">
        <f>VLOOKUP($A60,'Data shares'!$C:$FB,121)*100</f>
        <v>4.4799999999999995</v>
      </c>
      <c r="O60" s="50">
        <f>VLOOKUP($A60,'Data shares'!$C:$FB,124)</f>
        <v>0.38</v>
      </c>
      <c r="P60" s="50">
        <f>VLOOKUP($A60,'Data shares'!$C:$FB,125)</f>
        <v>0.45</v>
      </c>
      <c r="Q60" s="50">
        <f>VLOOKUP($A60,'Data shares'!$C:$FB,127)*100</f>
        <v>-15.559999999999999</v>
      </c>
    </row>
    <row r="61" spans="1:17" x14ac:dyDescent="0.25">
      <c r="A61" s="97" t="str">
        <f>'Data Vlaue (Cr)'!C56</f>
        <v>DIXON</v>
      </c>
      <c r="B61" s="140">
        <f>VLOOKUP($A61,'Data shares'!$C:$FB,7)</f>
        <v>15313</v>
      </c>
      <c r="C61" s="140">
        <f>VLOOKUP($A61,'Data shares'!$C:$FB,3)</f>
        <v>15307</v>
      </c>
      <c r="D61" s="140">
        <f>VLOOKUP($A61,'Data shares'!$C:$FB,4)</f>
        <v>15495</v>
      </c>
      <c r="E61" s="50">
        <f t="shared" si="0"/>
        <v>-1.2132946111648919</v>
      </c>
      <c r="F61" s="49">
        <f>VLOOKUP($A61,'Data shares'!$C:$FB,98)</f>
        <v>4918250</v>
      </c>
      <c r="G61" s="49">
        <f>VLOOKUP($A61,'Data shares'!$C:$FB,99)</f>
        <v>5127800</v>
      </c>
      <c r="H61" s="50">
        <f t="shared" si="1"/>
        <v>-4.0865478372791451</v>
      </c>
      <c r="I61" s="49">
        <f>VLOOKUP($A61,'Data shares'!$C:$FB,66)</f>
        <v>6478000</v>
      </c>
      <c r="J61" s="49">
        <f>VLOOKUP($A61,'Data shares'!$C:$FB,67)</f>
        <v>4572100</v>
      </c>
      <c r="K61" s="50">
        <f t="shared" si="2"/>
        <v>29.421117628897807</v>
      </c>
      <c r="L61" s="50">
        <f>VLOOKUP($A61,'Data shares'!$C:$FB,118)</f>
        <v>0.5</v>
      </c>
      <c r="M61" s="50">
        <f>VLOOKUP($A61,'Data shares'!$C:$FB,119)</f>
        <v>0.47</v>
      </c>
      <c r="N61" s="50">
        <f>VLOOKUP($A61,'Data shares'!$C:$FB,121)*100</f>
        <v>6.38</v>
      </c>
      <c r="O61" s="50">
        <f>VLOOKUP($A61,'Data shares'!$C:$FB,124)</f>
        <v>0.46</v>
      </c>
      <c r="P61" s="50">
        <f>VLOOKUP($A61,'Data shares'!$C:$FB,125)</f>
        <v>0.46</v>
      </c>
      <c r="Q61" s="50">
        <f>VLOOKUP($A61,'Data shares'!$C:$FB,127)*100</f>
        <v>0</v>
      </c>
    </row>
    <row r="62" spans="1:17" x14ac:dyDescent="0.25">
      <c r="A62" s="97" t="str">
        <f>'Data Vlaue (Cr)'!C57</f>
        <v>DLF</v>
      </c>
      <c r="B62" s="140">
        <f>VLOOKUP($A62,'Data shares'!$C:$FB,7)</f>
        <v>741.1</v>
      </c>
      <c r="C62" s="140">
        <f>VLOOKUP($A62,'Data shares'!$C:$FB,3)</f>
        <v>742.65</v>
      </c>
      <c r="D62" s="140">
        <f>VLOOKUP($A62,'Data shares'!$C:$FB,4)</f>
        <v>745.25</v>
      </c>
      <c r="E62" s="50">
        <f t="shared" si="0"/>
        <v>-0.34887621603489066</v>
      </c>
      <c r="F62" s="49">
        <f>VLOOKUP($A62,'Data shares'!$C:$FB,98)</f>
        <v>68400750</v>
      </c>
      <c r="G62" s="49">
        <f>VLOOKUP($A62,'Data shares'!$C:$FB,99)</f>
        <v>68170575</v>
      </c>
      <c r="H62" s="50">
        <f t="shared" si="1"/>
        <v>0.33764567777226467</v>
      </c>
      <c r="I62" s="49">
        <f>VLOOKUP($A62,'Data shares'!$C:$FB,66)</f>
        <v>43717575</v>
      </c>
      <c r="J62" s="49">
        <f>VLOOKUP($A62,'Data shares'!$C:$FB,67)</f>
        <v>43233300</v>
      </c>
      <c r="K62" s="50">
        <f t="shared" si="2"/>
        <v>1.1077352758015513</v>
      </c>
      <c r="L62" s="50">
        <f>VLOOKUP($A62,'Data shares'!$C:$FB,118)</f>
        <v>0.72</v>
      </c>
      <c r="M62" s="50">
        <f>VLOOKUP($A62,'Data shares'!$C:$FB,119)</f>
        <v>0.7</v>
      </c>
      <c r="N62" s="50">
        <f>VLOOKUP($A62,'Data shares'!$C:$FB,121)*100</f>
        <v>2.86</v>
      </c>
      <c r="O62" s="50">
        <f>VLOOKUP($A62,'Data shares'!$C:$FB,124)</f>
        <v>0.38</v>
      </c>
      <c r="P62" s="50">
        <f>VLOOKUP($A62,'Data shares'!$C:$FB,125)</f>
        <v>0.59</v>
      </c>
      <c r="Q62" s="50">
        <f>VLOOKUP($A62,'Data shares'!$C:$FB,127)*100</f>
        <v>-35.589999999999996</v>
      </c>
    </row>
    <row r="63" spans="1:17" x14ac:dyDescent="0.25">
      <c r="A63" s="97" t="str">
        <f>'Data Vlaue (Cr)'!C58</f>
        <v>DMART</v>
      </c>
      <c r="B63" s="140">
        <f>VLOOKUP($A63,'Data shares'!$C:$FB,7)</f>
        <v>4085</v>
      </c>
      <c r="C63" s="140">
        <f>VLOOKUP($A63,'Data shares'!$C:$FB,3)</f>
        <v>4097.7</v>
      </c>
      <c r="D63" s="140">
        <f>VLOOKUP($A63,'Data shares'!$C:$FB,4)</f>
        <v>4042.2</v>
      </c>
      <c r="E63" s="50">
        <f t="shared" si="0"/>
        <v>1.3730146949680868</v>
      </c>
      <c r="F63" s="49">
        <f>VLOOKUP($A63,'Data shares'!$C:$FB,98)</f>
        <v>9387900</v>
      </c>
      <c r="G63" s="49">
        <f>VLOOKUP($A63,'Data shares'!$C:$FB,99)</f>
        <v>10389600</v>
      </c>
      <c r="H63" s="50">
        <f t="shared" si="1"/>
        <v>-9.6413721413721412</v>
      </c>
      <c r="I63" s="49">
        <f>VLOOKUP($A63,'Data shares'!$C:$FB,66)</f>
        <v>13114350</v>
      </c>
      <c r="J63" s="49">
        <f>VLOOKUP($A63,'Data shares'!$C:$FB,67)</f>
        <v>4847100</v>
      </c>
      <c r="K63" s="50">
        <f t="shared" si="2"/>
        <v>63.039723661485311</v>
      </c>
      <c r="L63" s="50">
        <f>VLOOKUP($A63,'Data shares'!$C:$FB,118)</f>
        <v>0.46</v>
      </c>
      <c r="M63" s="50">
        <f>VLOOKUP($A63,'Data shares'!$C:$FB,119)</f>
        <v>0.42</v>
      </c>
      <c r="N63" s="50">
        <f>VLOOKUP($A63,'Data shares'!$C:$FB,121)*100</f>
        <v>9.5200000000000014</v>
      </c>
      <c r="O63" s="50">
        <f>VLOOKUP($A63,'Data shares'!$C:$FB,124)</f>
        <v>0.25</v>
      </c>
      <c r="P63" s="50">
        <f>VLOOKUP($A63,'Data shares'!$C:$FB,125)</f>
        <v>0.26</v>
      </c>
      <c r="Q63" s="50">
        <f>VLOOKUP($A63,'Data shares'!$C:$FB,127)*100</f>
        <v>-3.85</v>
      </c>
    </row>
    <row r="64" spans="1:17" x14ac:dyDescent="0.25">
      <c r="A64" s="97" t="str">
        <f>'Data Vlaue (Cr)'!C59</f>
        <v>DRREDDY</v>
      </c>
      <c r="B64" s="140">
        <f>VLOOKUP($A64,'Data shares'!$C:$FB,7)</f>
        <v>1248.5999999999999</v>
      </c>
      <c r="C64" s="140">
        <f>VLOOKUP($A64,'Data shares'!$C:$FB,3)</f>
        <v>1247.5999999999999</v>
      </c>
      <c r="D64" s="140">
        <f>VLOOKUP($A64,'Data shares'!$C:$FB,4)</f>
        <v>1247</v>
      </c>
      <c r="E64" s="50">
        <f t="shared" si="0"/>
        <v>4.8115477145141063E-2</v>
      </c>
      <c r="F64" s="49">
        <f>VLOOKUP($A64,'Data shares'!$C:$FB,98)</f>
        <v>31025000</v>
      </c>
      <c r="G64" s="49">
        <f>VLOOKUP($A64,'Data shares'!$C:$FB,99)</f>
        <v>33071250</v>
      </c>
      <c r="H64" s="50">
        <f t="shared" si="1"/>
        <v>-6.1873984200778622</v>
      </c>
      <c r="I64" s="49">
        <f>VLOOKUP($A64,'Data shares'!$C:$FB,66)</f>
        <v>22773750</v>
      </c>
      <c r="J64" s="49">
        <f>VLOOKUP($A64,'Data shares'!$C:$FB,67)</f>
        <v>13061875</v>
      </c>
      <c r="K64" s="50">
        <f t="shared" si="2"/>
        <v>42.645040891377135</v>
      </c>
      <c r="L64" s="50">
        <f>VLOOKUP($A64,'Data shares'!$C:$FB,118)</f>
        <v>0.49</v>
      </c>
      <c r="M64" s="50">
        <f>VLOOKUP($A64,'Data shares'!$C:$FB,119)</f>
        <v>0.45</v>
      </c>
      <c r="N64" s="50">
        <f>VLOOKUP($A64,'Data shares'!$C:$FB,121)*100</f>
        <v>8.89</v>
      </c>
      <c r="O64" s="50">
        <f>VLOOKUP($A64,'Data shares'!$C:$FB,124)</f>
        <v>0.52</v>
      </c>
      <c r="P64" s="50">
        <f>VLOOKUP($A64,'Data shares'!$C:$FB,125)</f>
        <v>0.43</v>
      </c>
      <c r="Q64" s="50">
        <f>VLOOKUP($A64,'Data shares'!$C:$FB,127)*100</f>
        <v>20.93</v>
      </c>
    </row>
    <row r="65" spans="1:17" x14ac:dyDescent="0.25">
      <c r="A65" s="97" t="str">
        <f>'Data Vlaue (Cr)'!C60</f>
        <v>EICHERMOT</v>
      </c>
      <c r="B65" s="140">
        <f>VLOOKUP($A65,'Data shares'!$C:$FB,7)</f>
        <v>7125.5</v>
      </c>
      <c r="C65" s="140">
        <f>VLOOKUP($A65,'Data shares'!$C:$FB,3)</f>
        <v>7113.5</v>
      </c>
      <c r="D65" s="140">
        <f>VLOOKUP($A65,'Data shares'!$C:$FB,4)</f>
        <v>6889</v>
      </c>
      <c r="E65" s="50">
        <f t="shared" si="0"/>
        <v>3.2588184061547389</v>
      </c>
      <c r="F65" s="49">
        <f>VLOOKUP($A65,'Data shares'!$C:$FB,98)</f>
        <v>8298225</v>
      </c>
      <c r="G65" s="49">
        <f>VLOOKUP($A65,'Data shares'!$C:$FB,99)</f>
        <v>7269975</v>
      </c>
      <c r="H65" s="50">
        <f t="shared" si="1"/>
        <v>14.143790040543468</v>
      </c>
      <c r="I65" s="49">
        <f>VLOOKUP($A65,'Data shares'!$C:$FB,66)</f>
        <v>42444325</v>
      </c>
      <c r="J65" s="49">
        <f>VLOOKUP($A65,'Data shares'!$C:$FB,67)</f>
        <v>8484525</v>
      </c>
      <c r="K65" s="50">
        <f t="shared" si="2"/>
        <v>80.01022515966504</v>
      </c>
      <c r="L65" s="50">
        <f>VLOOKUP($A65,'Data shares'!$C:$FB,118)</f>
        <v>0.89</v>
      </c>
      <c r="M65" s="50">
        <f>VLOOKUP($A65,'Data shares'!$C:$FB,119)</f>
        <v>0.73</v>
      </c>
      <c r="N65" s="50">
        <f>VLOOKUP($A65,'Data shares'!$C:$FB,121)*100</f>
        <v>21.92</v>
      </c>
      <c r="O65" s="50">
        <f>VLOOKUP($A65,'Data shares'!$C:$FB,124)</f>
        <v>0.28999999999999998</v>
      </c>
      <c r="P65" s="50">
        <f>VLOOKUP($A65,'Data shares'!$C:$FB,125)</f>
        <v>0.41</v>
      </c>
      <c r="Q65" s="50">
        <f>VLOOKUP($A65,'Data shares'!$C:$FB,127)*100</f>
        <v>-29.270000000000003</v>
      </c>
    </row>
    <row r="66" spans="1:17" x14ac:dyDescent="0.25">
      <c r="A66" s="97" t="str">
        <f>'Data Vlaue (Cr)'!C61</f>
        <v>ETERNAL</v>
      </c>
      <c r="B66" s="140">
        <f>VLOOKUP($A66,'Data shares'!$C:$FB,7)</f>
        <v>306.89999999999998</v>
      </c>
      <c r="C66" s="140">
        <f>VLOOKUP($A66,'Data shares'!$C:$FB,3)</f>
        <v>306.75</v>
      </c>
      <c r="D66" s="140">
        <f>VLOOKUP($A66,'Data shares'!$C:$FB,4)</f>
        <v>306.8</v>
      </c>
      <c r="E66" s="50">
        <f t="shared" si="0"/>
        <v>-1.629726205997763E-2</v>
      </c>
      <c r="F66" s="49">
        <f>VLOOKUP($A66,'Data shares'!$C:$FB,98)</f>
        <v>464263825</v>
      </c>
      <c r="G66" s="49">
        <f>VLOOKUP($A66,'Data shares'!$C:$FB,99)</f>
        <v>472714950</v>
      </c>
      <c r="H66" s="50">
        <f t="shared" si="1"/>
        <v>-1.7877845835000565</v>
      </c>
      <c r="I66" s="49">
        <f>VLOOKUP($A66,'Data shares'!$C:$FB,66)</f>
        <v>299938550</v>
      </c>
      <c r="J66" s="49">
        <f>VLOOKUP($A66,'Data shares'!$C:$FB,67)</f>
        <v>148824675</v>
      </c>
      <c r="K66" s="50">
        <f t="shared" si="2"/>
        <v>50.38161150008893</v>
      </c>
      <c r="L66" s="50">
        <f>VLOOKUP($A66,'Data shares'!$C:$FB,118)</f>
        <v>0.5</v>
      </c>
      <c r="M66" s="50">
        <f>VLOOKUP($A66,'Data shares'!$C:$FB,119)</f>
        <v>0.47</v>
      </c>
      <c r="N66" s="50">
        <f>VLOOKUP($A66,'Data shares'!$C:$FB,121)*100</f>
        <v>6.38</v>
      </c>
      <c r="O66" s="50">
        <f>VLOOKUP($A66,'Data shares'!$C:$FB,124)</f>
        <v>0.32</v>
      </c>
      <c r="P66" s="50">
        <f>VLOOKUP($A66,'Data shares'!$C:$FB,125)</f>
        <v>0.37</v>
      </c>
      <c r="Q66" s="50">
        <f>VLOOKUP($A66,'Data shares'!$C:$FB,127)*100</f>
        <v>-13.51</v>
      </c>
    </row>
    <row r="67" spans="1:17" x14ac:dyDescent="0.25">
      <c r="A67" s="97" t="str">
        <f>'Data Vlaue (Cr)'!C62</f>
        <v>EXIDEIND</v>
      </c>
      <c r="B67" s="140">
        <f>VLOOKUP($A67,'Data shares'!$C:$FB,7)</f>
        <v>380.8</v>
      </c>
      <c r="C67" s="140">
        <f>VLOOKUP($A67,'Data shares'!$C:$FB,3)</f>
        <v>381.4</v>
      </c>
      <c r="D67" s="140">
        <f>VLOOKUP($A67,'Data shares'!$C:$FB,4)</f>
        <v>380.75</v>
      </c>
      <c r="E67" s="50">
        <f t="shared" si="0"/>
        <v>0.17071569271174714</v>
      </c>
      <c r="F67" s="49">
        <f>VLOOKUP($A67,'Data shares'!$C:$FB,98)</f>
        <v>65622600</v>
      </c>
      <c r="G67" s="49">
        <f>VLOOKUP($A67,'Data shares'!$C:$FB,99)</f>
        <v>66893400</v>
      </c>
      <c r="H67" s="50">
        <f t="shared" si="1"/>
        <v>-1.8997389877028228</v>
      </c>
      <c r="I67" s="49">
        <f>VLOOKUP($A67,'Data shares'!$C:$FB,66)</f>
        <v>31469400</v>
      </c>
      <c r="J67" s="49">
        <f>VLOOKUP($A67,'Data shares'!$C:$FB,67)</f>
        <v>39738600</v>
      </c>
      <c r="K67" s="50">
        <f t="shared" si="2"/>
        <v>-26.276954756048731</v>
      </c>
      <c r="L67" s="50">
        <f>VLOOKUP($A67,'Data shares'!$C:$FB,118)</f>
        <v>0.65</v>
      </c>
      <c r="M67" s="50">
        <f>VLOOKUP($A67,'Data shares'!$C:$FB,119)</f>
        <v>0.67</v>
      </c>
      <c r="N67" s="50">
        <f>VLOOKUP($A67,'Data shares'!$C:$FB,121)*100</f>
        <v>-2.9899999999999998</v>
      </c>
      <c r="O67" s="50">
        <f>VLOOKUP($A67,'Data shares'!$C:$FB,124)</f>
        <v>0.39</v>
      </c>
      <c r="P67" s="50">
        <f>VLOOKUP($A67,'Data shares'!$C:$FB,125)</f>
        <v>0.42</v>
      </c>
      <c r="Q67" s="50">
        <f>VLOOKUP($A67,'Data shares'!$C:$FB,127)*100</f>
        <v>-7.1400000000000006</v>
      </c>
    </row>
    <row r="68" spans="1:17" x14ac:dyDescent="0.25">
      <c r="A68" s="97" t="str">
        <f>'Data Vlaue (Cr)'!C63</f>
        <v>FEDERALBNK</v>
      </c>
      <c r="B68" s="140">
        <f>VLOOKUP($A68,'Data shares'!$C:$FB,7)</f>
        <v>244.93</v>
      </c>
      <c r="C68" s="140">
        <f>VLOOKUP($A68,'Data shares'!$C:$FB,3)</f>
        <v>244.79</v>
      </c>
      <c r="D68" s="140">
        <f>VLOOKUP($A68,'Data shares'!$C:$FB,4)</f>
        <v>245.39</v>
      </c>
      <c r="E68" s="50">
        <f t="shared" si="0"/>
        <v>-0.24450874118749516</v>
      </c>
      <c r="F68" s="49">
        <f>VLOOKUP($A68,'Data shares'!$C:$FB,98)</f>
        <v>147865000</v>
      </c>
      <c r="G68" s="49">
        <f>VLOOKUP($A68,'Data shares'!$C:$FB,99)</f>
        <v>161470000</v>
      </c>
      <c r="H68" s="50">
        <f t="shared" si="1"/>
        <v>-8.4257137548770658</v>
      </c>
      <c r="I68" s="49">
        <f>VLOOKUP($A68,'Data shares'!$C:$FB,66)</f>
        <v>129680000</v>
      </c>
      <c r="J68" s="49">
        <f>VLOOKUP($A68,'Data shares'!$C:$FB,67)</f>
        <v>221570000</v>
      </c>
      <c r="K68" s="50">
        <f t="shared" si="2"/>
        <v>-70.859037631091908</v>
      </c>
      <c r="L68" s="50">
        <f>VLOOKUP($A68,'Data shares'!$C:$FB,118)</f>
        <v>0.87</v>
      </c>
      <c r="M68" s="50">
        <f>VLOOKUP($A68,'Data shares'!$C:$FB,119)</f>
        <v>0.93</v>
      </c>
      <c r="N68" s="50">
        <f>VLOOKUP($A68,'Data shares'!$C:$FB,121)*100</f>
        <v>-6.45</v>
      </c>
      <c r="O68" s="50">
        <f>VLOOKUP($A68,'Data shares'!$C:$FB,124)</f>
        <v>0.67</v>
      </c>
      <c r="P68" s="50">
        <f>VLOOKUP($A68,'Data shares'!$C:$FB,125)</f>
        <v>0.48</v>
      </c>
      <c r="Q68" s="50">
        <f>VLOOKUP($A68,'Data shares'!$C:$FB,127)*100</f>
        <v>39.58</v>
      </c>
    </row>
    <row r="69" spans="1:17" x14ac:dyDescent="0.25">
      <c r="A69" s="97" t="str">
        <f>'Data Vlaue (Cr)'!C64</f>
        <v>FINNIFTY</v>
      </c>
      <c r="B69" s="140">
        <f>VLOOKUP($A69,'Data shares'!$C:$FB,7)</f>
        <v>27861.35</v>
      </c>
      <c r="C69" s="140">
        <f>VLOOKUP($A69,'Data shares'!$C:$FB,3)</f>
        <v>27885.599999999999</v>
      </c>
      <c r="D69" s="140">
        <f>VLOOKUP($A69,'Data shares'!$C:$FB,4)</f>
        <v>27662.400000000001</v>
      </c>
      <c r="E69" s="50">
        <f t="shared" si="0"/>
        <v>0.80687142113481503</v>
      </c>
      <c r="F69" s="49">
        <f>VLOOKUP($A69,'Data shares'!$C:$FB,98)</f>
        <v>2620010</v>
      </c>
      <c r="G69" s="49">
        <f>VLOOKUP($A69,'Data shares'!$C:$FB,99)</f>
        <v>2779390</v>
      </c>
      <c r="H69" s="50">
        <f t="shared" si="1"/>
        <v>-5.7343517822255965</v>
      </c>
      <c r="I69" s="49">
        <f>VLOOKUP($A69,'Data shares'!$C:$FB,66)</f>
        <v>15095080</v>
      </c>
      <c r="J69" s="49">
        <f>VLOOKUP($A69,'Data shares'!$C:$FB,67)</f>
        <v>12885860</v>
      </c>
      <c r="K69" s="50">
        <f t="shared" si="2"/>
        <v>14.635364635364636</v>
      </c>
      <c r="L69" s="50">
        <f>VLOOKUP($A69,'Data shares'!$C:$FB,118)</f>
        <v>1.33</v>
      </c>
      <c r="M69" s="50">
        <f>VLOOKUP($A69,'Data shares'!$C:$FB,119)</f>
        <v>1.07</v>
      </c>
      <c r="N69" s="50">
        <f>VLOOKUP($A69,'Data shares'!$C:$FB,121)*100</f>
        <v>24.3</v>
      </c>
      <c r="O69" s="50">
        <f>VLOOKUP($A69,'Data shares'!$C:$FB,124)</f>
        <v>0.82</v>
      </c>
      <c r="P69" s="50">
        <f>VLOOKUP($A69,'Data shares'!$C:$FB,125)</f>
        <v>0.94</v>
      </c>
      <c r="Q69" s="50">
        <f>VLOOKUP($A69,'Data shares'!$C:$FB,127)*100</f>
        <v>-12.770000000000001</v>
      </c>
    </row>
    <row r="70" spans="1:17" x14ac:dyDescent="0.25">
      <c r="A70" s="97" t="str">
        <f>'Data Vlaue (Cr)'!C65</f>
        <v>FORTIS</v>
      </c>
      <c r="B70" s="140">
        <f>VLOOKUP($A70,'Data shares'!$C:$FB,7)</f>
        <v>935.4</v>
      </c>
      <c r="C70" s="140">
        <f>VLOOKUP($A70,'Data shares'!$C:$FB,3)</f>
        <v>932.4</v>
      </c>
      <c r="D70" s="140">
        <f>VLOOKUP($A70,'Data shares'!$C:$FB,4)</f>
        <v>923.1</v>
      </c>
      <c r="E70" s="50">
        <f t="shared" si="0"/>
        <v>1.0074748131296667</v>
      </c>
      <c r="F70" s="49">
        <f>VLOOKUP($A70,'Data shares'!$C:$FB,98)</f>
        <v>26732850</v>
      </c>
      <c r="G70" s="49">
        <f>VLOOKUP($A70,'Data shares'!$C:$FB,99)</f>
        <v>28234025</v>
      </c>
      <c r="H70" s="50">
        <f t="shared" si="1"/>
        <v>-5.3169004419313222</v>
      </c>
      <c r="I70" s="49">
        <f>VLOOKUP($A70,'Data shares'!$C:$FB,66)</f>
        <v>26045425</v>
      </c>
      <c r="J70" s="49">
        <f>VLOOKUP($A70,'Data shares'!$C:$FB,67)</f>
        <v>24150550</v>
      </c>
      <c r="K70" s="50">
        <f t="shared" si="2"/>
        <v>7.2752700330288329</v>
      </c>
      <c r="L70" s="50">
        <f>VLOOKUP($A70,'Data shares'!$C:$FB,118)</f>
        <v>0.41</v>
      </c>
      <c r="M70" s="50">
        <f>VLOOKUP($A70,'Data shares'!$C:$FB,119)</f>
        <v>0.38</v>
      </c>
      <c r="N70" s="50">
        <f>VLOOKUP($A70,'Data shares'!$C:$FB,121)*100</f>
        <v>7.89</v>
      </c>
      <c r="O70" s="50">
        <f>VLOOKUP($A70,'Data shares'!$C:$FB,124)</f>
        <v>0.3</v>
      </c>
      <c r="P70" s="50">
        <f>VLOOKUP($A70,'Data shares'!$C:$FB,125)</f>
        <v>0.26</v>
      </c>
      <c r="Q70" s="50">
        <f>VLOOKUP($A70,'Data shares'!$C:$FB,127)*100</f>
        <v>15.379999999999999</v>
      </c>
    </row>
    <row r="71" spans="1:17" x14ac:dyDescent="0.25">
      <c r="A71" s="97" t="str">
        <f>'Data Vlaue (Cr)'!C66</f>
        <v>GAIL</v>
      </c>
      <c r="B71" s="140">
        <f>VLOOKUP($A71,'Data shares'!$C:$FB,7)</f>
        <v>184.31</v>
      </c>
      <c r="C71" s="140">
        <f>VLOOKUP($A71,'Data shares'!$C:$FB,3)</f>
        <v>184.19</v>
      </c>
      <c r="D71" s="140">
        <f>VLOOKUP($A71,'Data shares'!$C:$FB,4)</f>
        <v>183.96</v>
      </c>
      <c r="E71" s="50">
        <f t="shared" si="0"/>
        <v>0.12502717982169481</v>
      </c>
      <c r="F71" s="49">
        <f>VLOOKUP($A71,'Data shares'!$C:$FB,98)</f>
        <v>147190050</v>
      </c>
      <c r="G71" s="49">
        <f>VLOOKUP($A71,'Data shares'!$C:$FB,99)</f>
        <v>151877250</v>
      </c>
      <c r="H71" s="50">
        <f t="shared" si="1"/>
        <v>-3.0861765010888726</v>
      </c>
      <c r="I71" s="49">
        <f>VLOOKUP($A71,'Data shares'!$C:$FB,66)</f>
        <v>89261550</v>
      </c>
      <c r="J71" s="49">
        <f>VLOOKUP($A71,'Data shares'!$C:$FB,67)</f>
        <v>35910000</v>
      </c>
      <c r="K71" s="50">
        <f t="shared" si="2"/>
        <v>59.7699121290186</v>
      </c>
      <c r="L71" s="50">
        <f>VLOOKUP($A71,'Data shares'!$C:$FB,118)</f>
        <v>0.7</v>
      </c>
      <c r="M71" s="50">
        <f>VLOOKUP($A71,'Data shares'!$C:$FB,119)</f>
        <v>0.66</v>
      </c>
      <c r="N71" s="50">
        <f>VLOOKUP($A71,'Data shares'!$C:$FB,121)*100</f>
        <v>6.0600000000000005</v>
      </c>
      <c r="O71" s="50">
        <f>VLOOKUP($A71,'Data shares'!$C:$FB,124)</f>
        <v>0.56000000000000005</v>
      </c>
      <c r="P71" s="50">
        <f>VLOOKUP($A71,'Data shares'!$C:$FB,125)</f>
        <v>0.41</v>
      </c>
      <c r="Q71" s="50">
        <f>VLOOKUP($A71,'Data shares'!$C:$FB,127)*100</f>
        <v>36.590000000000003</v>
      </c>
    </row>
    <row r="72" spans="1:17" x14ac:dyDescent="0.25">
      <c r="A72" s="97" t="str">
        <f>'Data Vlaue (Cr)'!C67</f>
        <v>GLENMARK</v>
      </c>
      <c r="B72" s="140">
        <f>VLOOKUP($A72,'Data shares'!$C:$FB,7)</f>
        <v>1878</v>
      </c>
      <c r="C72" s="140">
        <f>VLOOKUP($A72,'Data shares'!$C:$FB,3)</f>
        <v>1883.9</v>
      </c>
      <c r="D72" s="140">
        <f>VLOOKUP($A72,'Data shares'!$C:$FB,4)</f>
        <v>1842.1</v>
      </c>
      <c r="E72" s="50">
        <f t="shared" ref="E72:E135" si="3">(C72-D72)/D72*100</f>
        <v>2.2691493404266971</v>
      </c>
      <c r="F72" s="49">
        <f>VLOOKUP($A72,'Data shares'!$C:$FB,98)</f>
        <v>26897625</v>
      </c>
      <c r="G72" s="49">
        <f>VLOOKUP($A72,'Data shares'!$C:$FB,99)</f>
        <v>29733750</v>
      </c>
      <c r="H72" s="50">
        <f t="shared" ref="H72:H135" si="4">(F72-G72)/G72*100</f>
        <v>-9.5384033295497535</v>
      </c>
      <c r="I72" s="49">
        <f>VLOOKUP($A72,'Data shares'!$C:$FB,66)</f>
        <v>45263625</v>
      </c>
      <c r="J72" s="49">
        <f>VLOOKUP($A72,'Data shares'!$C:$FB,67)</f>
        <v>31548000</v>
      </c>
      <c r="K72" s="50">
        <f t="shared" ref="K72:K135" si="5">(I72-J72)/I72*100</f>
        <v>30.301649503326345</v>
      </c>
      <c r="L72" s="50">
        <f>VLOOKUP($A72,'Data shares'!$C:$FB,118)</f>
        <v>0.55000000000000004</v>
      </c>
      <c r="M72" s="50">
        <f>VLOOKUP($A72,'Data shares'!$C:$FB,119)</f>
        <v>0.44</v>
      </c>
      <c r="N72" s="50">
        <f>VLOOKUP($A72,'Data shares'!$C:$FB,121)*100</f>
        <v>25</v>
      </c>
      <c r="O72" s="50">
        <f>VLOOKUP($A72,'Data shares'!$C:$FB,124)</f>
        <v>0.28999999999999998</v>
      </c>
      <c r="P72" s="50">
        <f>VLOOKUP($A72,'Data shares'!$C:$FB,125)</f>
        <v>0.28999999999999998</v>
      </c>
      <c r="Q72" s="50">
        <f>VLOOKUP($A72,'Data shares'!$C:$FB,127)*100</f>
        <v>0</v>
      </c>
    </row>
    <row r="73" spans="1:17" x14ac:dyDescent="0.25">
      <c r="A73" s="97" t="str">
        <f>'Data Vlaue (Cr)'!C68</f>
        <v>GMRAIRPORT</v>
      </c>
      <c r="B73" s="140">
        <f>VLOOKUP($A73,'Data shares'!$C:$FB,7)</f>
        <v>103.27</v>
      </c>
      <c r="C73" s="140">
        <f>VLOOKUP($A73,'Data shares'!$C:$FB,3)</f>
        <v>103.2</v>
      </c>
      <c r="D73" s="140">
        <f>VLOOKUP($A73,'Data shares'!$C:$FB,4)</f>
        <v>102.87</v>
      </c>
      <c r="E73" s="50">
        <f t="shared" si="3"/>
        <v>0.32079323417905931</v>
      </c>
      <c r="F73" s="49">
        <f>VLOOKUP($A73,'Data shares'!$C:$FB,98)</f>
        <v>475667100</v>
      </c>
      <c r="G73" s="49">
        <f>VLOOKUP($A73,'Data shares'!$C:$FB,99)</f>
        <v>489121875</v>
      </c>
      <c r="H73" s="50">
        <f t="shared" si="4"/>
        <v>-2.7508021390374329</v>
      </c>
      <c r="I73" s="49">
        <f>VLOOKUP($A73,'Data shares'!$C:$FB,66)</f>
        <v>334130400</v>
      </c>
      <c r="J73" s="49">
        <f>VLOOKUP($A73,'Data shares'!$C:$FB,67)</f>
        <v>472381875</v>
      </c>
      <c r="K73" s="50">
        <f t="shared" si="5"/>
        <v>-41.376503006012022</v>
      </c>
      <c r="L73" s="50">
        <f>VLOOKUP($A73,'Data shares'!$C:$FB,118)</f>
        <v>0.6</v>
      </c>
      <c r="M73" s="50">
        <f>VLOOKUP($A73,'Data shares'!$C:$FB,119)</f>
        <v>0.63</v>
      </c>
      <c r="N73" s="50">
        <f>VLOOKUP($A73,'Data shares'!$C:$FB,121)*100</f>
        <v>-4.7600000000000007</v>
      </c>
      <c r="O73" s="50">
        <f>VLOOKUP($A73,'Data shares'!$C:$FB,124)</f>
        <v>0.47</v>
      </c>
      <c r="P73" s="50">
        <f>VLOOKUP($A73,'Data shares'!$C:$FB,125)</f>
        <v>0.46</v>
      </c>
      <c r="Q73" s="50">
        <f>VLOOKUP($A73,'Data shares'!$C:$FB,127)*100</f>
        <v>2.17</v>
      </c>
    </row>
    <row r="74" spans="1:17" x14ac:dyDescent="0.25">
      <c r="A74" s="97" t="str">
        <f>'Data Vlaue (Cr)'!C69</f>
        <v>GODREJCP</v>
      </c>
      <c r="B74" s="140">
        <f>VLOOKUP($A74,'Data shares'!$C:$FB,7)</f>
        <v>1127.3</v>
      </c>
      <c r="C74" s="140">
        <f>VLOOKUP($A74,'Data shares'!$C:$FB,3)</f>
        <v>1129.2</v>
      </c>
      <c r="D74" s="140">
        <f>VLOOKUP($A74,'Data shares'!$C:$FB,4)</f>
        <v>1143.0999999999999</v>
      </c>
      <c r="E74" s="50">
        <f t="shared" si="3"/>
        <v>-1.2159916017846089</v>
      </c>
      <c r="F74" s="49">
        <f>VLOOKUP($A74,'Data shares'!$C:$FB,98)</f>
        <v>14639000</v>
      </c>
      <c r="G74" s="49">
        <f>VLOOKUP($A74,'Data shares'!$C:$FB,99)</f>
        <v>14276000</v>
      </c>
      <c r="H74" s="50">
        <f t="shared" si="4"/>
        <v>2.5427290557579156</v>
      </c>
      <c r="I74" s="49">
        <f>VLOOKUP($A74,'Data shares'!$C:$FB,66)</f>
        <v>10058000</v>
      </c>
      <c r="J74" s="49">
        <f>VLOOKUP($A74,'Data shares'!$C:$FB,67)</f>
        <v>6129500</v>
      </c>
      <c r="K74" s="50">
        <f t="shared" si="5"/>
        <v>39.058460926625571</v>
      </c>
      <c r="L74" s="50">
        <f>VLOOKUP($A74,'Data shares'!$C:$FB,118)</f>
        <v>0.76</v>
      </c>
      <c r="M74" s="50">
        <f>VLOOKUP($A74,'Data shares'!$C:$FB,119)</f>
        <v>0.72</v>
      </c>
      <c r="N74" s="50">
        <f>VLOOKUP($A74,'Data shares'!$C:$FB,121)*100</f>
        <v>5.56</v>
      </c>
      <c r="O74" s="50">
        <f>VLOOKUP($A74,'Data shares'!$C:$FB,124)</f>
        <v>0.52</v>
      </c>
      <c r="P74" s="50">
        <f>VLOOKUP($A74,'Data shares'!$C:$FB,125)</f>
        <v>0.57999999999999996</v>
      </c>
      <c r="Q74" s="50">
        <f>VLOOKUP($A74,'Data shares'!$C:$FB,127)*100</f>
        <v>-10.34</v>
      </c>
    </row>
    <row r="75" spans="1:17" x14ac:dyDescent="0.25">
      <c r="A75" s="97" t="str">
        <f>'Data Vlaue (Cr)'!C70</f>
        <v>GODREJPROP</v>
      </c>
      <c r="B75" s="140">
        <f>VLOOKUP($A75,'Data shares'!$C:$FB,7)</f>
        <v>2123.8000000000002</v>
      </c>
      <c r="C75" s="140">
        <f>VLOOKUP($A75,'Data shares'!$C:$FB,3)</f>
        <v>2125.6999999999998</v>
      </c>
      <c r="D75" s="140">
        <f>VLOOKUP($A75,'Data shares'!$C:$FB,4)</f>
        <v>2132.1999999999998</v>
      </c>
      <c r="E75" s="50">
        <f t="shared" si="3"/>
        <v>-0.30484945127098773</v>
      </c>
      <c r="F75" s="49">
        <f>VLOOKUP($A75,'Data shares'!$C:$FB,98)</f>
        <v>12924175</v>
      </c>
      <c r="G75" s="49">
        <f>VLOOKUP($A75,'Data shares'!$C:$FB,99)</f>
        <v>12915925</v>
      </c>
      <c r="H75" s="50">
        <f t="shared" si="4"/>
        <v>6.3874635382289685E-2</v>
      </c>
      <c r="I75" s="49">
        <f>VLOOKUP($A75,'Data shares'!$C:$FB,66)</f>
        <v>7585875</v>
      </c>
      <c r="J75" s="49">
        <f>VLOOKUP($A75,'Data shares'!$C:$FB,67)</f>
        <v>7515750</v>
      </c>
      <c r="K75" s="50">
        <f t="shared" si="5"/>
        <v>0.92441544317563884</v>
      </c>
      <c r="L75" s="50">
        <f>VLOOKUP($A75,'Data shares'!$C:$FB,118)</f>
        <v>0.57999999999999996</v>
      </c>
      <c r="M75" s="50">
        <f>VLOOKUP($A75,'Data shares'!$C:$FB,119)</f>
        <v>0.6</v>
      </c>
      <c r="N75" s="50">
        <f>VLOOKUP($A75,'Data shares'!$C:$FB,121)*100</f>
        <v>-3.3300000000000005</v>
      </c>
      <c r="O75" s="50">
        <f>VLOOKUP($A75,'Data shares'!$C:$FB,124)</f>
        <v>0.32</v>
      </c>
      <c r="P75" s="50">
        <f>VLOOKUP($A75,'Data shares'!$C:$FB,125)</f>
        <v>0.48</v>
      </c>
      <c r="Q75" s="50">
        <f>VLOOKUP($A75,'Data shares'!$C:$FB,127)*100</f>
        <v>-33.33</v>
      </c>
    </row>
    <row r="76" spans="1:17" x14ac:dyDescent="0.25">
      <c r="A76" s="97" t="str">
        <f>'Data Vlaue (Cr)'!C71</f>
        <v>GRASIM</v>
      </c>
      <c r="B76" s="140">
        <f>VLOOKUP($A76,'Data shares'!$C:$FB,7)</f>
        <v>2748.6</v>
      </c>
      <c r="C76" s="140">
        <f>VLOOKUP($A76,'Data shares'!$C:$FB,3)</f>
        <v>2751.9</v>
      </c>
      <c r="D76" s="140">
        <f>VLOOKUP($A76,'Data shares'!$C:$FB,4)</f>
        <v>2745.7</v>
      </c>
      <c r="E76" s="50">
        <f t="shared" si="3"/>
        <v>0.22580762647049107</v>
      </c>
      <c r="F76" s="49">
        <f>VLOOKUP($A76,'Data shares'!$C:$FB,98)</f>
        <v>23405000</v>
      </c>
      <c r="G76" s="49">
        <f>VLOOKUP($A76,'Data shares'!$C:$FB,99)</f>
        <v>23731500</v>
      </c>
      <c r="H76" s="50">
        <f t="shared" si="4"/>
        <v>-1.3758085245349008</v>
      </c>
      <c r="I76" s="49">
        <f>VLOOKUP($A76,'Data shares'!$C:$FB,66)</f>
        <v>12046750</v>
      </c>
      <c r="J76" s="49">
        <f>VLOOKUP($A76,'Data shares'!$C:$FB,67)</f>
        <v>12924500</v>
      </c>
      <c r="K76" s="50">
        <f t="shared" si="5"/>
        <v>-7.2861975221532775</v>
      </c>
      <c r="L76" s="50">
        <f>VLOOKUP($A76,'Data shares'!$C:$FB,118)</f>
        <v>0.54</v>
      </c>
      <c r="M76" s="50">
        <f>VLOOKUP($A76,'Data shares'!$C:$FB,119)</f>
        <v>0.52</v>
      </c>
      <c r="N76" s="50">
        <f>VLOOKUP($A76,'Data shares'!$C:$FB,121)*100</f>
        <v>3.85</v>
      </c>
      <c r="O76" s="50">
        <f>VLOOKUP($A76,'Data shares'!$C:$FB,124)</f>
        <v>0.4</v>
      </c>
      <c r="P76" s="50">
        <f>VLOOKUP($A76,'Data shares'!$C:$FB,125)</f>
        <v>0.36</v>
      </c>
      <c r="Q76" s="50">
        <f>VLOOKUP($A76,'Data shares'!$C:$FB,127)*100</f>
        <v>11.110000000000001</v>
      </c>
    </row>
    <row r="77" spans="1:17" x14ac:dyDescent="0.25">
      <c r="A77" s="97" t="str">
        <f>'Data Vlaue (Cr)'!C72</f>
        <v>HAL</v>
      </c>
      <c r="B77" s="140">
        <f>VLOOKUP($A77,'Data shares'!$C:$FB,7)</f>
        <v>4716.6000000000004</v>
      </c>
      <c r="C77" s="140">
        <f>VLOOKUP($A77,'Data shares'!$C:$FB,3)</f>
        <v>4716.8</v>
      </c>
      <c r="D77" s="140">
        <f>VLOOKUP($A77,'Data shares'!$C:$FB,4)</f>
        <v>4742.2</v>
      </c>
      <c r="E77" s="50">
        <f t="shared" si="3"/>
        <v>-0.53561638058284422</v>
      </c>
      <c r="F77" s="49">
        <f>VLOOKUP($A77,'Data shares'!$C:$FB,98)</f>
        <v>20617200</v>
      </c>
      <c r="G77" s="49">
        <f>VLOOKUP($A77,'Data shares'!$C:$FB,99)</f>
        <v>21042600</v>
      </c>
      <c r="H77" s="50">
        <f t="shared" si="4"/>
        <v>-2.021613298736848</v>
      </c>
      <c r="I77" s="49">
        <f>VLOOKUP($A77,'Data shares'!$C:$FB,66)</f>
        <v>24296400</v>
      </c>
      <c r="J77" s="49">
        <f>VLOOKUP($A77,'Data shares'!$C:$FB,67)</f>
        <v>19688550</v>
      </c>
      <c r="K77" s="50">
        <f t="shared" si="5"/>
        <v>18.965155331654071</v>
      </c>
      <c r="L77" s="50">
        <f>VLOOKUP($A77,'Data shares'!$C:$FB,118)</f>
        <v>0.46</v>
      </c>
      <c r="M77" s="50">
        <f>VLOOKUP($A77,'Data shares'!$C:$FB,119)</f>
        <v>0.45</v>
      </c>
      <c r="N77" s="50">
        <f>VLOOKUP($A77,'Data shares'!$C:$FB,121)*100</f>
        <v>2.2200000000000002</v>
      </c>
      <c r="O77" s="50">
        <f>VLOOKUP($A77,'Data shares'!$C:$FB,124)</f>
        <v>0.28999999999999998</v>
      </c>
      <c r="P77" s="50">
        <f>VLOOKUP($A77,'Data shares'!$C:$FB,125)</f>
        <v>0.35</v>
      </c>
      <c r="Q77" s="50">
        <f>VLOOKUP($A77,'Data shares'!$C:$FB,127)*100</f>
        <v>-17.14</v>
      </c>
    </row>
    <row r="78" spans="1:17" x14ac:dyDescent="0.25">
      <c r="A78" s="97" t="str">
        <f>'Data Vlaue (Cr)'!C73</f>
        <v>HAVELLS</v>
      </c>
      <c r="B78" s="140">
        <f>VLOOKUP($A78,'Data shares'!$C:$FB,7)</f>
        <v>1448.5</v>
      </c>
      <c r="C78" s="140">
        <f>VLOOKUP($A78,'Data shares'!$C:$FB,3)</f>
        <v>1447.9</v>
      </c>
      <c r="D78" s="140">
        <f>VLOOKUP($A78,'Data shares'!$C:$FB,4)</f>
        <v>1443</v>
      </c>
      <c r="E78" s="50">
        <f t="shared" si="3"/>
        <v>0.33957033957034588</v>
      </c>
      <c r="F78" s="49">
        <f>VLOOKUP($A78,'Data shares'!$C:$FB,98)</f>
        <v>13527000</v>
      </c>
      <c r="G78" s="49">
        <f>VLOOKUP($A78,'Data shares'!$C:$FB,99)</f>
        <v>13927500</v>
      </c>
      <c r="H78" s="50">
        <f t="shared" si="4"/>
        <v>-2.875605815831987</v>
      </c>
      <c r="I78" s="49">
        <f>VLOOKUP($A78,'Data shares'!$C:$FB,66)</f>
        <v>8811500</v>
      </c>
      <c r="J78" s="49">
        <f>VLOOKUP($A78,'Data shares'!$C:$FB,67)</f>
        <v>6448500</v>
      </c>
      <c r="K78" s="50">
        <f t="shared" si="5"/>
        <v>26.817227486807017</v>
      </c>
      <c r="L78" s="50">
        <f>VLOOKUP($A78,'Data shares'!$C:$FB,118)</f>
        <v>0.72</v>
      </c>
      <c r="M78" s="50">
        <f>VLOOKUP($A78,'Data shares'!$C:$FB,119)</f>
        <v>0.66</v>
      </c>
      <c r="N78" s="50">
        <f>VLOOKUP($A78,'Data shares'!$C:$FB,121)*100</f>
        <v>9.09</v>
      </c>
      <c r="O78" s="50">
        <f>VLOOKUP($A78,'Data shares'!$C:$FB,124)</f>
        <v>0.45</v>
      </c>
      <c r="P78" s="50">
        <f>VLOOKUP($A78,'Data shares'!$C:$FB,125)</f>
        <v>0.45</v>
      </c>
      <c r="Q78" s="50">
        <f>VLOOKUP($A78,'Data shares'!$C:$FB,127)*100</f>
        <v>0</v>
      </c>
    </row>
    <row r="79" spans="1:17" x14ac:dyDescent="0.25">
      <c r="A79" s="97" t="str">
        <f>'Data Vlaue (Cr)'!C74</f>
        <v>HCLTECH</v>
      </c>
      <c r="B79" s="140">
        <f>VLOOKUP($A79,'Data shares'!$C:$FB,7)</f>
        <v>1645.4</v>
      </c>
      <c r="C79" s="140">
        <f>VLOOKUP($A79,'Data shares'!$C:$FB,3)</f>
        <v>1647.6</v>
      </c>
      <c r="D79" s="140">
        <f>VLOOKUP($A79,'Data shares'!$C:$FB,4)</f>
        <v>1660</v>
      </c>
      <c r="E79" s="50">
        <f t="shared" si="3"/>
        <v>-0.74698795180723443</v>
      </c>
      <c r="F79" s="49">
        <f>VLOOKUP($A79,'Data shares'!$C:$FB,98)</f>
        <v>28318500</v>
      </c>
      <c r="G79" s="49">
        <f>VLOOKUP($A79,'Data shares'!$C:$FB,99)</f>
        <v>29006600</v>
      </c>
      <c r="H79" s="50">
        <f t="shared" si="4"/>
        <v>-2.372218736425503</v>
      </c>
      <c r="I79" s="49">
        <f>VLOOKUP($A79,'Data shares'!$C:$FB,66)</f>
        <v>40168800</v>
      </c>
      <c r="J79" s="49">
        <f>VLOOKUP($A79,'Data shares'!$C:$FB,67)</f>
        <v>102140500</v>
      </c>
      <c r="K79" s="50">
        <f t="shared" si="5"/>
        <v>-154.27819601282587</v>
      </c>
      <c r="L79" s="50">
        <f>VLOOKUP($A79,'Data shares'!$C:$FB,118)</f>
        <v>0.77</v>
      </c>
      <c r="M79" s="50">
        <f>VLOOKUP($A79,'Data shares'!$C:$FB,119)</f>
        <v>0.91</v>
      </c>
      <c r="N79" s="50">
        <f>VLOOKUP($A79,'Data shares'!$C:$FB,121)*100</f>
        <v>-15.379999999999999</v>
      </c>
      <c r="O79" s="50">
        <f>VLOOKUP($A79,'Data shares'!$C:$FB,124)</f>
        <v>0.68</v>
      </c>
      <c r="P79" s="50">
        <f>VLOOKUP($A79,'Data shares'!$C:$FB,125)</f>
        <v>0.4</v>
      </c>
      <c r="Q79" s="50">
        <f>VLOOKUP($A79,'Data shares'!$C:$FB,127)*100</f>
        <v>70</v>
      </c>
    </row>
    <row r="80" spans="1:17" x14ac:dyDescent="0.25">
      <c r="A80" s="97" t="str">
        <f>'Data Vlaue (Cr)'!C75</f>
        <v>HDFCAMC</v>
      </c>
      <c r="B80" s="140">
        <f>VLOOKUP($A80,'Data shares'!$C:$FB,7)</f>
        <v>5399</v>
      </c>
      <c r="C80" s="140">
        <f>VLOOKUP($A80,'Data shares'!$C:$FB,3)</f>
        <v>5406</v>
      </c>
      <c r="D80" s="140">
        <f>VLOOKUP($A80,'Data shares'!$C:$FB,4)</f>
        <v>5399.5</v>
      </c>
      <c r="E80" s="50">
        <f t="shared" si="3"/>
        <v>0.12038151680711177</v>
      </c>
      <c r="F80" s="49">
        <f>VLOOKUP($A80,'Data shares'!$C:$FB,98)</f>
        <v>5052450</v>
      </c>
      <c r="G80" s="49">
        <f>VLOOKUP($A80,'Data shares'!$C:$FB,99)</f>
        <v>5174250</v>
      </c>
      <c r="H80" s="50">
        <f t="shared" si="4"/>
        <v>-2.3539643426583563</v>
      </c>
      <c r="I80" s="49">
        <f>VLOOKUP($A80,'Data shares'!$C:$FB,66)</f>
        <v>3429300</v>
      </c>
      <c r="J80" s="49">
        <f>VLOOKUP($A80,'Data shares'!$C:$FB,67)</f>
        <v>2880750</v>
      </c>
      <c r="K80" s="50">
        <f t="shared" si="5"/>
        <v>15.995975855130784</v>
      </c>
      <c r="L80" s="50">
        <f>VLOOKUP($A80,'Data shares'!$C:$FB,118)</f>
        <v>0.61</v>
      </c>
      <c r="M80" s="50">
        <f>VLOOKUP($A80,'Data shares'!$C:$FB,119)</f>
        <v>0.57999999999999996</v>
      </c>
      <c r="N80" s="50">
        <f>VLOOKUP($A80,'Data shares'!$C:$FB,121)*100</f>
        <v>5.17</v>
      </c>
      <c r="O80" s="50">
        <f>VLOOKUP($A80,'Data shares'!$C:$FB,124)</f>
        <v>0.27</v>
      </c>
      <c r="P80" s="50">
        <f>VLOOKUP($A80,'Data shares'!$C:$FB,125)</f>
        <v>0.24</v>
      </c>
      <c r="Q80" s="50">
        <f>VLOOKUP($A80,'Data shares'!$C:$FB,127)*100</f>
        <v>12.5</v>
      </c>
    </row>
    <row r="81" spans="1:17" x14ac:dyDescent="0.25">
      <c r="A81" s="97" t="str">
        <f>'Data Vlaue (Cr)'!C76</f>
        <v>HDFCBANK</v>
      </c>
      <c r="B81" s="140">
        <f>VLOOKUP($A81,'Data shares'!$C:$FB,7)</f>
        <v>1008.85</v>
      </c>
      <c r="C81" s="140">
        <f>VLOOKUP($A81,'Data shares'!$C:$FB,3)</f>
        <v>1010.05</v>
      </c>
      <c r="D81" s="140">
        <f>VLOOKUP($A81,'Data shares'!$C:$FB,4)</f>
        <v>995.2</v>
      </c>
      <c r="E81" s="50">
        <f t="shared" si="3"/>
        <v>1.4921623794212127</v>
      </c>
      <c r="F81" s="49">
        <f>VLOOKUP($A81,'Data shares'!$C:$FB,98)</f>
        <v>274744800</v>
      </c>
      <c r="G81" s="49">
        <f>VLOOKUP($A81,'Data shares'!$C:$FB,99)</f>
        <v>279468750</v>
      </c>
      <c r="H81" s="50">
        <f t="shared" si="4"/>
        <v>-1.6903321033210332</v>
      </c>
      <c r="I81" s="49">
        <f>VLOOKUP($A81,'Data shares'!$C:$FB,66)</f>
        <v>286645700</v>
      </c>
      <c r="J81" s="49">
        <f>VLOOKUP($A81,'Data shares'!$C:$FB,67)</f>
        <v>126755750</v>
      </c>
      <c r="K81" s="50">
        <f t="shared" si="5"/>
        <v>55.779643650680967</v>
      </c>
      <c r="L81" s="50">
        <f>VLOOKUP($A81,'Data shares'!$C:$FB,118)</f>
        <v>0.74</v>
      </c>
      <c r="M81" s="50">
        <f>VLOOKUP($A81,'Data shares'!$C:$FB,119)</f>
        <v>0.62</v>
      </c>
      <c r="N81" s="50">
        <f>VLOOKUP($A81,'Data shares'!$C:$FB,121)*100</f>
        <v>19.350000000000001</v>
      </c>
      <c r="O81" s="50">
        <f>VLOOKUP($A81,'Data shares'!$C:$FB,124)</f>
        <v>0.51</v>
      </c>
      <c r="P81" s="50">
        <f>VLOOKUP($A81,'Data shares'!$C:$FB,125)</f>
        <v>0.47</v>
      </c>
      <c r="Q81" s="50">
        <f>VLOOKUP($A81,'Data shares'!$C:$FB,127)*100</f>
        <v>8.51</v>
      </c>
    </row>
    <row r="82" spans="1:17" x14ac:dyDescent="0.25">
      <c r="A82" s="97" t="str">
        <f>'Data Vlaue (Cr)'!C77</f>
        <v>HDFCLIFE</v>
      </c>
      <c r="B82" s="140">
        <f>VLOOKUP($A82,'Data shares'!$C:$FB,7)</f>
        <v>762.2</v>
      </c>
      <c r="C82" s="140">
        <f>VLOOKUP($A82,'Data shares'!$C:$FB,3)</f>
        <v>762.6</v>
      </c>
      <c r="D82" s="140">
        <f>VLOOKUP($A82,'Data shares'!$C:$FB,4)</f>
        <v>760.45</v>
      </c>
      <c r="E82" s="50">
        <f t="shared" si="3"/>
        <v>0.28272733250049015</v>
      </c>
      <c r="F82" s="49">
        <f>VLOOKUP($A82,'Data shares'!$C:$FB,98)</f>
        <v>47650900</v>
      </c>
      <c r="G82" s="49">
        <f>VLOOKUP($A82,'Data shares'!$C:$FB,99)</f>
        <v>47230700</v>
      </c>
      <c r="H82" s="50">
        <f t="shared" si="4"/>
        <v>0.88967557118569063</v>
      </c>
      <c r="I82" s="49">
        <f>VLOOKUP($A82,'Data shares'!$C:$FB,66)</f>
        <v>43008900</v>
      </c>
      <c r="J82" s="49">
        <f>VLOOKUP($A82,'Data shares'!$C:$FB,67)</f>
        <v>17185300</v>
      </c>
      <c r="K82" s="50">
        <f t="shared" si="5"/>
        <v>60.04245632880636</v>
      </c>
      <c r="L82" s="50">
        <f>VLOOKUP($A82,'Data shares'!$C:$FB,118)</f>
        <v>0.71</v>
      </c>
      <c r="M82" s="50">
        <f>VLOOKUP($A82,'Data shares'!$C:$FB,119)</f>
        <v>0.67</v>
      </c>
      <c r="N82" s="50">
        <f>VLOOKUP($A82,'Data shares'!$C:$FB,121)*100</f>
        <v>5.9700000000000006</v>
      </c>
      <c r="O82" s="50">
        <f>VLOOKUP($A82,'Data shares'!$C:$FB,124)</f>
        <v>0.56000000000000005</v>
      </c>
      <c r="P82" s="50">
        <f>VLOOKUP($A82,'Data shares'!$C:$FB,125)</f>
        <v>0.48</v>
      </c>
      <c r="Q82" s="50">
        <f>VLOOKUP($A82,'Data shares'!$C:$FB,127)*100</f>
        <v>16.669999999999998</v>
      </c>
    </row>
    <row r="83" spans="1:17" x14ac:dyDescent="0.25">
      <c r="A83" s="97" t="str">
        <f>'Data Vlaue (Cr)'!C78</f>
        <v>HEROMOTOCO</v>
      </c>
      <c r="B83" s="140">
        <f>VLOOKUP($A83,'Data shares'!$C:$FB,7)</f>
        <v>5999.5</v>
      </c>
      <c r="C83" s="140">
        <f>VLOOKUP($A83,'Data shares'!$C:$FB,3)</f>
        <v>6005</v>
      </c>
      <c r="D83" s="140">
        <f>VLOOKUP($A83,'Data shares'!$C:$FB,4)</f>
        <v>5891</v>
      </c>
      <c r="E83" s="50">
        <f t="shared" si="3"/>
        <v>1.9351553216771344</v>
      </c>
      <c r="F83" s="49">
        <f>VLOOKUP($A83,'Data shares'!$C:$FB,98)</f>
        <v>13916400</v>
      </c>
      <c r="G83" s="49">
        <f>VLOOKUP($A83,'Data shares'!$C:$FB,99)</f>
        <v>13183050</v>
      </c>
      <c r="H83" s="50">
        <f t="shared" si="4"/>
        <v>5.5628249911818584</v>
      </c>
      <c r="I83" s="49">
        <f>VLOOKUP($A83,'Data shares'!$C:$FB,66)</f>
        <v>48506250</v>
      </c>
      <c r="J83" s="49">
        <f>VLOOKUP($A83,'Data shares'!$C:$FB,67)</f>
        <v>24623250</v>
      </c>
      <c r="K83" s="50">
        <f t="shared" si="5"/>
        <v>49.236954000773096</v>
      </c>
      <c r="L83" s="50">
        <f>VLOOKUP($A83,'Data shares'!$C:$FB,118)</f>
        <v>1.05</v>
      </c>
      <c r="M83" s="50">
        <f>VLOOKUP($A83,'Data shares'!$C:$FB,119)</f>
        <v>1.01</v>
      </c>
      <c r="N83" s="50">
        <f>VLOOKUP($A83,'Data shares'!$C:$FB,121)*100</f>
        <v>3.9600000000000004</v>
      </c>
      <c r="O83" s="50">
        <f>VLOOKUP($A83,'Data shares'!$C:$FB,124)</f>
        <v>0.52</v>
      </c>
      <c r="P83" s="50">
        <f>VLOOKUP($A83,'Data shares'!$C:$FB,125)</f>
        <v>0.59</v>
      </c>
      <c r="Q83" s="50">
        <f>VLOOKUP($A83,'Data shares'!$C:$FB,127)*100</f>
        <v>-11.86</v>
      </c>
    </row>
    <row r="84" spans="1:17" x14ac:dyDescent="0.25">
      <c r="A84" s="97" t="str">
        <f>'Data Vlaue (Cr)'!C79</f>
        <v>HFCL</v>
      </c>
      <c r="B84" s="140">
        <f>VLOOKUP($A84,'Data shares'!$C:$FB,7)</f>
        <v>73.400000000000006</v>
      </c>
      <c r="C84" s="140">
        <f>VLOOKUP($A84,'Data shares'!$C:$FB,3)</f>
        <v>73.38</v>
      </c>
      <c r="D84" s="140">
        <f>VLOOKUP($A84,'Data shares'!$C:$FB,4)</f>
        <v>73.739999999999995</v>
      </c>
      <c r="E84" s="50">
        <f t="shared" si="3"/>
        <v>-0.4882017900732295</v>
      </c>
      <c r="F84" s="49">
        <f>VLOOKUP($A84,'Data shares'!$C:$FB,98)</f>
        <v>205239000</v>
      </c>
      <c r="G84" s="49">
        <f>VLOOKUP($A84,'Data shares'!$C:$FB,99)</f>
        <v>206064600</v>
      </c>
      <c r="H84" s="50">
        <f t="shared" si="4"/>
        <v>-0.40065105796919998</v>
      </c>
      <c r="I84" s="49">
        <f>VLOOKUP($A84,'Data shares'!$C:$FB,66)</f>
        <v>99252600</v>
      </c>
      <c r="J84" s="49">
        <f>VLOOKUP($A84,'Data shares'!$C:$FB,67)</f>
        <v>89990400</v>
      </c>
      <c r="K84" s="50">
        <f t="shared" si="5"/>
        <v>9.3319469716662322</v>
      </c>
      <c r="L84" s="50">
        <f>VLOOKUP($A84,'Data shares'!$C:$FB,118)</f>
        <v>0.56000000000000005</v>
      </c>
      <c r="M84" s="50">
        <f>VLOOKUP($A84,'Data shares'!$C:$FB,119)</f>
        <v>0.56000000000000005</v>
      </c>
      <c r="N84" s="50">
        <f>VLOOKUP($A84,'Data shares'!$C:$FB,121)*100</f>
        <v>0</v>
      </c>
      <c r="O84" s="50">
        <f>VLOOKUP($A84,'Data shares'!$C:$FB,124)</f>
        <v>0.64</v>
      </c>
      <c r="P84" s="50">
        <f>VLOOKUP($A84,'Data shares'!$C:$FB,125)</f>
        <v>0.45</v>
      </c>
      <c r="Q84" s="50">
        <f>VLOOKUP($A84,'Data shares'!$C:$FB,127)*100</f>
        <v>42.22</v>
      </c>
    </row>
    <row r="85" spans="1:17" x14ac:dyDescent="0.25">
      <c r="A85" s="97" t="str">
        <f>'Data Vlaue (Cr)'!C80</f>
        <v>HINDALCO</v>
      </c>
      <c r="B85" s="140">
        <f>VLOOKUP($A85,'Data shares'!$C:$FB,7)</f>
        <v>799.8</v>
      </c>
      <c r="C85" s="140">
        <f>VLOOKUP($A85,'Data shares'!$C:$FB,3)</f>
        <v>800.45</v>
      </c>
      <c r="D85" s="140">
        <f>VLOOKUP($A85,'Data shares'!$C:$FB,4)</f>
        <v>792.1</v>
      </c>
      <c r="E85" s="50">
        <f t="shared" si="3"/>
        <v>1.0541598283045099</v>
      </c>
      <c r="F85" s="49">
        <f>VLOOKUP($A85,'Data shares'!$C:$FB,98)</f>
        <v>122616900</v>
      </c>
      <c r="G85" s="49">
        <f>VLOOKUP($A85,'Data shares'!$C:$FB,99)</f>
        <v>123737600</v>
      </c>
      <c r="H85" s="50">
        <f t="shared" si="4"/>
        <v>-0.90570691527878355</v>
      </c>
      <c r="I85" s="49">
        <f>VLOOKUP($A85,'Data shares'!$C:$FB,66)</f>
        <v>107504600</v>
      </c>
      <c r="J85" s="49">
        <f>VLOOKUP($A85,'Data shares'!$C:$FB,67)</f>
        <v>84147700</v>
      </c>
      <c r="K85" s="50">
        <f t="shared" si="5"/>
        <v>21.726419148575967</v>
      </c>
      <c r="L85" s="50">
        <f>VLOOKUP($A85,'Data shares'!$C:$FB,118)</f>
        <v>0.69</v>
      </c>
      <c r="M85" s="50">
        <f>VLOOKUP($A85,'Data shares'!$C:$FB,119)</f>
        <v>0.68</v>
      </c>
      <c r="N85" s="50">
        <f>VLOOKUP($A85,'Data shares'!$C:$FB,121)*100</f>
        <v>1.47</v>
      </c>
      <c r="O85" s="50">
        <f>VLOOKUP($A85,'Data shares'!$C:$FB,124)</f>
        <v>0.41</v>
      </c>
      <c r="P85" s="50">
        <f>VLOOKUP($A85,'Data shares'!$C:$FB,125)</f>
        <v>0.6</v>
      </c>
      <c r="Q85" s="50">
        <f>VLOOKUP($A85,'Data shares'!$C:$FB,127)*100</f>
        <v>-31.669999999999998</v>
      </c>
    </row>
    <row r="86" spans="1:17" x14ac:dyDescent="0.25">
      <c r="A86" s="97" t="str">
        <f>'Data Vlaue (Cr)'!C81</f>
        <v>HINDPETRO</v>
      </c>
      <c r="B86" s="140">
        <f>VLOOKUP($A86,'Data shares'!$C:$FB,7)</f>
        <v>477.9</v>
      </c>
      <c r="C86" s="140">
        <f>VLOOKUP($A86,'Data shares'!$C:$FB,3)</f>
        <v>478.6</v>
      </c>
      <c r="D86" s="140">
        <f>VLOOKUP($A86,'Data shares'!$C:$FB,4)</f>
        <v>478.25</v>
      </c>
      <c r="E86" s="50">
        <f t="shared" si="3"/>
        <v>7.3183481442764819E-2</v>
      </c>
      <c r="F86" s="49">
        <f>VLOOKUP($A86,'Data shares'!$C:$FB,98)</f>
        <v>64563075</v>
      </c>
      <c r="G86" s="49">
        <f>VLOOKUP($A86,'Data shares'!$C:$FB,99)</f>
        <v>65174625</v>
      </c>
      <c r="H86" s="50">
        <f t="shared" si="4"/>
        <v>-0.93832530681994719</v>
      </c>
      <c r="I86" s="49">
        <f>VLOOKUP($A86,'Data shares'!$C:$FB,66)</f>
        <v>46107225</v>
      </c>
      <c r="J86" s="49">
        <f>VLOOKUP($A86,'Data shares'!$C:$FB,67)</f>
        <v>33957225</v>
      </c>
      <c r="K86" s="50">
        <f t="shared" si="5"/>
        <v>26.351618428565153</v>
      </c>
      <c r="L86" s="50">
        <f>VLOOKUP($A86,'Data shares'!$C:$FB,118)</f>
        <v>0.69</v>
      </c>
      <c r="M86" s="50">
        <f>VLOOKUP($A86,'Data shares'!$C:$FB,119)</f>
        <v>0.66</v>
      </c>
      <c r="N86" s="50">
        <f>VLOOKUP($A86,'Data shares'!$C:$FB,121)*100</f>
        <v>4.55</v>
      </c>
      <c r="O86" s="50">
        <f>VLOOKUP($A86,'Data shares'!$C:$FB,124)</f>
        <v>0.4</v>
      </c>
      <c r="P86" s="50">
        <f>VLOOKUP($A86,'Data shares'!$C:$FB,125)</f>
        <v>0.5</v>
      </c>
      <c r="Q86" s="50">
        <f>VLOOKUP($A86,'Data shares'!$C:$FB,127)*100</f>
        <v>-20</v>
      </c>
    </row>
    <row r="87" spans="1:17" x14ac:dyDescent="0.25">
      <c r="A87" s="97" t="str">
        <f>'Data Vlaue (Cr)'!C82</f>
        <v>HINDUNILVR</v>
      </c>
      <c r="B87" s="140">
        <f>VLOOKUP($A87,'Data shares'!$C:$FB,7)</f>
        <v>2428.4</v>
      </c>
      <c r="C87" s="140">
        <f>VLOOKUP($A87,'Data shares'!$C:$FB,3)</f>
        <v>2432.8000000000002</v>
      </c>
      <c r="D87" s="140">
        <f>VLOOKUP($A87,'Data shares'!$C:$FB,4)</f>
        <v>2442.1</v>
      </c>
      <c r="E87" s="50">
        <f t="shared" si="3"/>
        <v>-0.38081978624952817</v>
      </c>
      <c r="F87" s="49">
        <f>VLOOKUP($A87,'Data shares'!$C:$FB,98)</f>
        <v>34950600</v>
      </c>
      <c r="G87" s="49">
        <f>VLOOKUP($A87,'Data shares'!$C:$FB,99)</f>
        <v>37496100</v>
      </c>
      <c r="H87" s="50">
        <f t="shared" si="4"/>
        <v>-6.7887060254266443</v>
      </c>
      <c r="I87" s="49">
        <f>VLOOKUP($A87,'Data shares'!$C:$FB,66)</f>
        <v>34668900</v>
      </c>
      <c r="J87" s="49">
        <f>VLOOKUP($A87,'Data shares'!$C:$FB,67)</f>
        <v>45661500</v>
      </c>
      <c r="K87" s="50">
        <f t="shared" si="5"/>
        <v>-31.707380389917191</v>
      </c>
      <c r="L87" s="50">
        <f>VLOOKUP($A87,'Data shares'!$C:$FB,118)</f>
        <v>0.45</v>
      </c>
      <c r="M87" s="50">
        <f>VLOOKUP($A87,'Data shares'!$C:$FB,119)</f>
        <v>0.45</v>
      </c>
      <c r="N87" s="50">
        <f>VLOOKUP($A87,'Data shares'!$C:$FB,121)*100</f>
        <v>0</v>
      </c>
      <c r="O87" s="50">
        <f>VLOOKUP($A87,'Data shares'!$C:$FB,124)</f>
        <v>0.37</v>
      </c>
      <c r="P87" s="50">
        <f>VLOOKUP($A87,'Data shares'!$C:$FB,125)</f>
        <v>0.35</v>
      </c>
      <c r="Q87" s="50">
        <f>VLOOKUP($A87,'Data shares'!$C:$FB,127)*100</f>
        <v>5.71</v>
      </c>
    </row>
    <row r="88" spans="1:17" x14ac:dyDescent="0.25">
      <c r="A88" s="97" t="str">
        <f>'Data Vlaue (Cr)'!C83</f>
        <v>HINDZINC</v>
      </c>
      <c r="B88" s="140">
        <f>VLOOKUP($A88,'Data shares'!$C:$FB,7)</f>
        <v>472.15</v>
      </c>
      <c r="C88" s="140">
        <f>VLOOKUP($A88,'Data shares'!$C:$FB,3)</f>
        <v>472.05</v>
      </c>
      <c r="D88" s="140">
        <f>VLOOKUP($A88,'Data shares'!$C:$FB,4)</f>
        <v>477.45</v>
      </c>
      <c r="E88" s="50">
        <f t="shared" si="3"/>
        <v>-1.1310084825636144</v>
      </c>
      <c r="F88" s="140">
        <f>VLOOKUP($A88,'Data shares'!$C:$FB,98)</f>
        <v>80243625</v>
      </c>
      <c r="G88" s="140">
        <f>VLOOKUP($A88,'Data shares'!$C:$FB,99)</f>
        <v>81866750</v>
      </c>
      <c r="H88" s="50">
        <f t="shared" si="4"/>
        <v>-1.9826425258117613</v>
      </c>
      <c r="I88" s="49">
        <f>VLOOKUP($A88,'Data shares'!$C:$FB,66)</f>
        <v>38509100</v>
      </c>
      <c r="J88" s="49">
        <f>VLOOKUP($A88,'Data shares'!$C:$FB,67)</f>
        <v>35809200</v>
      </c>
      <c r="K88" s="50">
        <f t="shared" si="5"/>
        <v>7.0110701107011062</v>
      </c>
      <c r="L88" s="50">
        <f>VLOOKUP($A88,'Data shares'!$C:$FB,118)</f>
        <v>0.52</v>
      </c>
      <c r="M88" s="50">
        <f>VLOOKUP($A88,'Data shares'!$C:$FB,119)</f>
        <v>0.49</v>
      </c>
      <c r="N88" s="50">
        <f>VLOOKUP($A88,'Data shares'!$C:$FB,121)*100</f>
        <v>6.12</v>
      </c>
      <c r="O88" s="50">
        <f>VLOOKUP($A88,'Data shares'!$C:$FB,124)</f>
        <v>0.23</v>
      </c>
      <c r="P88" s="50">
        <f>VLOOKUP($A88,'Data shares'!$C:$FB,125)</f>
        <v>0.34</v>
      </c>
      <c r="Q88" s="50">
        <f>VLOOKUP($A88,'Data shares'!$C:$FB,127)*100</f>
        <v>-32.35</v>
      </c>
    </row>
    <row r="89" spans="1:17" x14ac:dyDescent="0.25">
      <c r="A89" s="97" t="str">
        <f>'Data Vlaue (Cr)'!C84</f>
        <v>HUDCO</v>
      </c>
      <c r="B89" s="140">
        <f>VLOOKUP($A89,'Data shares'!$C:$FB,7)</f>
        <v>237.1</v>
      </c>
      <c r="C89" s="140">
        <f>VLOOKUP($A89,'Data shares'!$C:$FB,3)</f>
        <v>237.78</v>
      </c>
      <c r="D89" s="140">
        <f>VLOOKUP($A89,'Data shares'!$C:$FB,4)</f>
        <v>237.29</v>
      </c>
      <c r="E89" s="50">
        <f t="shared" si="3"/>
        <v>0.20649837751275196</v>
      </c>
      <c r="F89" s="49">
        <f>VLOOKUP($A89,'Data shares'!$C:$FB,98)</f>
        <v>86116575</v>
      </c>
      <c r="G89" s="49">
        <f>VLOOKUP($A89,'Data shares'!$C:$FB,99)</f>
        <v>87959175</v>
      </c>
      <c r="H89" s="50">
        <f t="shared" si="4"/>
        <v>-2.0948354733886489</v>
      </c>
      <c r="I89" s="49">
        <f>VLOOKUP($A89,'Data shares'!$C:$FB,66)</f>
        <v>122840925</v>
      </c>
      <c r="J89" s="49">
        <f>VLOOKUP($A89,'Data shares'!$C:$FB,67)</f>
        <v>99547575</v>
      </c>
      <c r="K89" s="50">
        <f t="shared" si="5"/>
        <v>18.962206609889986</v>
      </c>
      <c r="L89" s="50">
        <f>VLOOKUP($A89,'Data shares'!$C:$FB,118)</f>
        <v>0.56999999999999995</v>
      </c>
      <c r="M89" s="50">
        <f>VLOOKUP($A89,'Data shares'!$C:$FB,119)</f>
        <v>0.55000000000000004</v>
      </c>
      <c r="N89" s="50">
        <f>VLOOKUP($A89,'Data shares'!$C:$FB,121)*100</f>
        <v>3.64</v>
      </c>
      <c r="O89" s="50">
        <f>VLOOKUP($A89,'Data shares'!$C:$FB,124)</f>
        <v>0.51</v>
      </c>
      <c r="P89" s="50">
        <f>VLOOKUP($A89,'Data shares'!$C:$FB,125)</f>
        <v>0.42</v>
      </c>
      <c r="Q89" s="50">
        <f>VLOOKUP($A89,'Data shares'!$C:$FB,127)*100</f>
        <v>21.43</v>
      </c>
    </row>
    <row r="90" spans="1:17" x14ac:dyDescent="0.25">
      <c r="A90" s="97" t="str">
        <f>'Data Vlaue (Cr)'!C85</f>
        <v>ICICIBANK</v>
      </c>
      <c r="B90" s="140">
        <f>VLOOKUP($A90,'Data shares'!$C:$FB,7)</f>
        <v>1383</v>
      </c>
      <c r="C90" s="140">
        <f>VLOOKUP($A90,'Data shares'!$C:$FB,3)</f>
        <v>1384.8</v>
      </c>
      <c r="D90" s="140">
        <f>VLOOKUP($A90,'Data shares'!$C:$FB,4)</f>
        <v>1382.7</v>
      </c>
      <c r="E90" s="50">
        <f t="shared" si="3"/>
        <v>0.15187676285527657</v>
      </c>
      <c r="F90" s="49">
        <f>VLOOKUP($A90,'Data shares'!$C:$FB,98)</f>
        <v>174922300</v>
      </c>
      <c r="G90" s="49">
        <f>VLOOKUP($A90,'Data shares'!$C:$FB,99)</f>
        <v>174505800</v>
      </c>
      <c r="H90" s="50">
        <f t="shared" si="4"/>
        <v>0.2386740154195448</v>
      </c>
      <c r="I90" s="49">
        <f>VLOOKUP($A90,'Data shares'!$C:$FB,66)</f>
        <v>130966500</v>
      </c>
      <c r="J90" s="49">
        <f>VLOOKUP($A90,'Data shares'!$C:$FB,67)</f>
        <v>77550200</v>
      </c>
      <c r="K90" s="50">
        <f t="shared" si="5"/>
        <v>40.786231593575458</v>
      </c>
      <c r="L90" s="50">
        <f>VLOOKUP($A90,'Data shares'!$C:$FB,118)</f>
        <v>0.62</v>
      </c>
      <c r="M90" s="50">
        <f>VLOOKUP($A90,'Data shares'!$C:$FB,119)</f>
        <v>0.62</v>
      </c>
      <c r="N90" s="50">
        <f>VLOOKUP($A90,'Data shares'!$C:$FB,121)*100</f>
        <v>0</v>
      </c>
      <c r="O90" s="50">
        <f>VLOOKUP($A90,'Data shares'!$C:$FB,124)</f>
        <v>0.46</v>
      </c>
      <c r="P90" s="50">
        <f>VLOOKUP($A90,'Data shares'!$C:$FB,125)</f>
        <v>0.6</v>
      </c>
      <c r="Q90" s="50">
        <f>VLOOKUP($A90,'Data shares'!$C:$FB,127)*100</f>
        <v>-23.330000000000002</v>
      </c>
    </row>
    <row r="91" spans="1:17" x14ac:dyDescent="0.25">
      <c r="A91" s="97" t="str">
        <f>'Data Vlaue (Cr)'!C86</f>
        <v>ICICIGI</v>
      </c>
      <c r="B91" s="140">
        <f>VLOOKUP($A91,'Data shares'!$C:$FB,7)</f>
        <v>2037.6</v>
      </c>
      <c r="C91" s="140">
        <f>VLOOKUP($A91,'Data shares'!$C:$FB,3)</f>
        <v>2035.8</v>
      </c>
      <c r="D91" s="140">
        <f>VLOOKUP($A91,'Data shares'!$C:$FB,4)</f>
        <v>2041.7</v>
      </c>
      <c r="E91" s="50">
        <f t="shared" si="3"/>
        <v>-0.28897487387961457</v>
      </c>
      <c r="F91" s="49">
        <f>VLOOKUP($A91,'Data shares'!$C:$FB,98)</f>
        <v>8385975</v>
      </c>
      <c r="G91" s="49">
        <f>VLOOKUP($A91,'Data shares'!$C:$FB,99)</f>
        <v>8587150</v>
      </c>
      <c r="H91" s="50">
        <f t="shared" si="4"/>
        <v>-2.3427446824615847</v>
      </c>
      <c r="I91" s="49">
        <f>VLOOKUP($A91,'Data shares'!$C:$FB,66)</f>
        <v>5300100</v>
      </c>
      <c r="J91" s="49">
        <f>VLOOKUP($A91,'Data shares'!$C:$FB,67)</f>
        <v>3297450</v>
      </c>
      <c r="K91" s="50">
        <f t="shared" si="5"/>
        <v>37.785136129506988</v>
      </c>
      <c r="L91" s="50">
        <f>VLOOKUP($A91,'Data shares'!$C:$FB,118)</f>
        <v>0.67</v>
      </c>
      <c r="M91" s="50">
        <f>VLOOKUP($A91,'Data shares'!$C:$FB,119)</f>
        <v>0.64</v>
      </c>
      <c r="N91" s="50">
        <f>VLOOKUP($A91,'Data shares'!$C:$FB,121)*100</f>
        <v>4.6899999999999995</v>
      </c>
      <c r="O91" s="50">
        <f>VLOOKUP($A91,'Data shares'!$C:$FB,124)</f>
        <v>0.36</v>
      </c>
      <c r="P91" s="50">
        <f>VLOOKUP($A91,'Data shares'!$C:$FB,125)</f>
        <v>0.38</v>
      </c>
      <c r="Q91" s="50">
        <f>VLOOKUP($A91,'Data shares'!$C:$FB,127)*100</f>
        <v>-5.26</v>
      </c>
    </row>
    <row r="92" spans="1:17" x14ac:dyDescent="0.25">
      <c r="A92" s="97" t="str">
        <f>'Data Vlaue (Cr)'!C87</f>
        <v>ICICIPRULI</v>
      </c>
      <c r="B92" s="140">
        <f>VLOOKUP($A92,'Data shares'!$C:$FB,7)</f>
        <v>618.4</v>
      </c>
      <c r="C92" s="140">
        <f>VLOOKUP($A92,'Data shares'!$C:$FB,3)</f>
        <v>619.1</v>
      </c>
      <c r="D92" s="140">
        <f>VLOOKUP($A92,'Data shares'!$C:$FB,4)</f>
        <v>615.25</v>
      </c>
      <c r="E92" s="50">
        <f t="shared" si="3"/>
        <v>0.62576188541243771</v>
      </c>
      <c r="F92" s="49">
        <f>VLOOKUP($A92,'Data shares'!$C:$FB,98)</f>
        <v>20358325</v>
      </c>
      <c r="G92" s="49">
        <f>VLOOKUP($A92,'Data shares'!$C:$FB,99)</f>
        <v>20210325</v>
      </c>
      <c r="H92" s="50">
        <f t="shared" si="4"/>
        <v>0.73229896105084902</v>
      </c>
      <c r="I92" s="49">
        <f>VLOOKUP($A92,'Data shares'!$C:$FB,66)</f>
        <v>18902375</v>
      </c>
      <c r="J92" s="49">
        <f>VLOOKUP($A92,'Data shares'!$C:$FB,67)</f>
        <v>10412725</v>
      </c>
      <c r="K92" s="50">
        <f t="shared" si="5"/>
        <v>44.913139221923174</v>
      </c>
      <c r="L92" s="50">
        <f>VLOOKUP($A92,'Data shares'!$C:$FB,118)</f>
        <v>0.76</v>
      </c>
      <c r="M92" s="50">
        <f>VLOOKUP($A92,'Data shares'!$C:$FB,119)</f>
        <v>0.76</v>
      </c>
      <c r="N92" s="50">
        <f>VLOOKUP($A92,'Data shares'!$C:$FB,121)*100</f>
        <v>0</v>
      </c>
      <c r="O92" s="50">
        <f>VLOOKUP($A92,'Data shares'!$C:$FB,124)</f>
        <v>0.48</v>
      </c>
      <c r="P92" s="50">
        <f>VLOOKUP($A92,'Data shares'!$C:$FB,125)</f>
        <v>0.6</v>
      </c>
      <c r="Q92" s="50">
        <f>VLOOKUP($A92,'Data shares'!$C:$FB,127)*100</f>
        <v>-20</v>
      </c>
    </row>
    <row r="93" spans="1:17" x14ac:dyDescent="0.25">
      <c r="A93" s="97" t="str">
        <f>'Data Vlaue (Cr)'!C88</f>
        <v>IDEA</v>
      </c>
      <c r="B93" s="140">
        <f>VLOOKUP($A93,'Data shares'!$C:$FB,7)</f>
        <v>10.17</v>
      </c>
      <c r="C93" s="140">
        <f>VLOOKUP($A93,'Data shares'!$C:$FB,3)</f>
        <v>10.17</v>
      </c>
      <c r="D93" s="140">
        <f>VLOOKUP($A93,'Data shares'!$C:$FB,4)</f>
        <v>10.71</v>
      </c>
      <c r="E93" s="50">
        <f t="shared" si="3"/>
        <v>-5.0420168067226978</v>
      </c>
      <c r="F93" s="49">
        <f>VLOOKUP($A93,'Data shares'!$C:$FB,98)</f>
        <v>10323491625</v>
      </c>
      <c r="G93" s="49">
        <f>VLOOKUP($A93,'Data shares'!$C:$FB,99)</f>
        <v>10478306475</v>
      </c>
      <c r="H93" s="50">
        <f t="shared" si="4"/>
        <v>-1.4774796897701927</v>
      </c>
      <c r="I93" s="49">
        <f>VLOOKUP($A93,'Data shares'!$C:$FB,66)</f>
        <v>6783835200</v>
      </c>
      <c r="J93" s="49">
        <f>VLOOKUP($A93,'Data shares'!$C:$FB,67)</f>
        <v>4679825625</v>
      </c>
      <c r="K93" s="50">
        <f t="shared" si="5"/>
        <v>31.015045515846257</v>
      </c>
      <c r="L93" s="50">
        <f>VLOOKUP($A93,'Data shares'!$C:$FB,118)</f>
        <v>0.56999999999999995</v>
      </c>
      <c r="M93" s="50">
        <f>VLOOKUP($A93,'Data shares'!$C:$FB,119)</f>
        <v>0.64</v>
      </c>
      <c r="N93" s="50">
        <f>VLOOKUP($A93,'Data shares'!$C:$FB,121)*100</f>
        <v>-10.94</v>
      </c>
      <c r="O93" s="50">
        <f>VLOOKUP($A93,'Data shares'!$C:$FB,124)</f>
        <v>0.54</v>
      </c>
      <c r="P93" s="50">
        <f>VLOOKUP($A93,'Data shares'!$C:$FB,125)</f>
        <v>0.32</v>
      </c>
      <c r="Q93" s="50">
        <f>VLOOKUP($A93,'Data shares'!$C:$FB,127)*100</f>
        <v>68.75</v>
      </c>
    </row>
    <row r="94" spans="1:17" x14ac:dyDescent="0.25">
      <c r="A94" s="97" t="str">
        <f>'Data Vlaue (Cr)'!C89</f>
        <v>IDFCFIRSTB</v>
      </c>
      <c r="B94" s="140">
        <f>VLOOKUP($A94,'Data shares'!$C:$FB,7)</f>
        <v>78.930000000000007</v>
      </c>
      <c r="C94" s="140">
        <f>VLOOKUP($A94,'Data shares'!$C:$FB,3)</f>
        <v>79.02</v>
      </c>
      <c r="D94" s="140">
        <f>VLOOKUP($A94,'Data shares'!$C:$FB,4)</f>
        <v>79.58</v>
      </c>
      <c r="E94" s="50">
        <f t="shared" si="3"/>
        <v>-0.70369439557678104</v>
      </c>
      <c r="F94" s="49">
        <f>VLOOKUP($A94,'Data shares'!$C:$FB,98)</f>
        <v>668217375</v>
      </c>
      <c r="G94" s="49">
        <f>VLOOKUP($A94,'Data shares'!$C:$FB,99)</f>
        <v>681100350</v>
      </c>
      <c r="H94" s="50">
        <f t="shared" si="4"/>
        <v>-1.8914944031375114</v>
      </c>
      <c r="I94" s="49">
        <f>VLOOKUP($A94,'Data shares'!$C:$FB,66)</f>
        <v>413702100</v>
      </c>
      <c r="J94" s="49">
        <f>VLOOKUP($A94,'Data shares'!$C:$FB,67)</f>
        <v>382009425</v>
      </c>
      <c r="K94" s="50">
        <f t="shared" si="5"/>
        <v>7.6607479149852029</v>
      </c>
      <c r="L94" s="50">
        <f>VLOOKUP($A94,'Data shares'!$C:$FB,118)</f>
        <v>0.52</v>
      </c>
      <c r="M94" s="50">
        <f>VLOOKUP($A94,'Data shares'!$C:$FB,119)</f>
        <v>0.53</v>
      </c>
      <c r="N94" s="50">
        <f>VLOOKUP($A94,'Data shares'!$C:$FB,121)*100</f>
        <v>-1.8900000000000001</v>
      </c>
      <c r="O94" s="50">
        <f>VLOOKUP($A94,'Data shares'!$C:$FB,124)</f>
        <v>0.44</v>
      </c>
      <c r="P94" s="50">
        <f>VLOOKUP($A94,'Data shares'!$C:$FB,125)</f>
        <v>0.56000000000000005</v>
      </c>
      <c r="Q94" s="50">
        <f>VLOOKUP($A94,'Data shares'!$C:$FB,127)*100</f>
        <v>-21.43</v>
      </c>
    </row>
    <row r="95" spans="1:17" x14ac:dyDescent="0.25">
      <c r="A95" s="97" t="str">
        <f>'Data Vlaue (Cr)'!C90</f>
        <v>IEX</v>
      </c>
      <c r="B95" s="140">
        <f>VLOOKUP($A95,'Data shares'!$C:$FB,7)</f>
        <v>143.13</v>
      </c>
      <c r="C95" s="140">
        <f>VLOOKUP($A95,'Data shares'!$C:$FB,3)</f>
        <v>143.04</v>
      </c>
      <c r="D95" s="140">
        <f>VLOOKUP($A95,'Data shares'!$C:$FB,4)</f>
        <v>137.11000000000001</v>
      </c>
      <c r="E95" s="50">
        <f t="shared" si="3"/>
        <v>4.324994529939449</v>
      </c>
      <c r="F95" s="49">
        <f>VLOOKUP($A95,'Data shares'!$C:$FB,98)</f>
        <v>161347500</v>
      </c>
      <c r="G95" s="49">
        <f>VLOOKUP($A95,'Data shares'!$C:$FB,99)</f>
        <v>166275000</v>
      </c>
      <c r="H95" s="50">
        <f t="shared" si="4"/>
        <v>-2.963464140730717</v>
      </c>
      <c r="I95" s="49">
        <f>VLOOKUP($A95,'Data shares'!$C:$FB,66)</f>
        <v>360502500</v>
      </c>
      <c r="J95" s="49">
        <f>VLOOKUP($A95,'Data shares'!$C:$FB,67)</f>
        <v>58605000</v>
      </c>
      <c r="K95" s="50">
        <f t="shared" si="5"/>
        <v>83.743524663490547</v>
      </c>
      <c r="L95" s="50">
        <f>VLOOKUP($A95,'Data shares'!$C:$FB,118)</f>
        <v>0.64</v>
      </c>
      <c r="M95" s="50">
        <f>VLOOKUP($A95,'Data shares'!$C:$FB,119)</f>
        <v>0.6</v>
      </c>
      <c r="N95" s="50">
        <f>VLOOKUP($A95,'Data shares'!$C:$FB,121)*100</f>
        <v>6.67</v>
      </c>
      <c r="O95" s="50">
        <f>VLOOKUP($A95,'Data shares'!$C:$FB,124)</f>
        <v>0.23</v>
      </c>
      <c r="P95" s="50">
        <f>VLOOKUP($A95,'Data shares'!$C:$FB,125)</f>
        <v>0.45</v>
      </c>
      <c r="Q95" s="50">
        <f>VLOOKUP($A95,'Data shares'!$C:$FB,127)*100</f>
        <v>-48.89</v>
      </c>
    </row>
    <row r="96" spans="1:17" x14ac:dyDescent="0.25">
      <c r="A96" s="97" t="str">
        <f>'Data Vlaue (Cr)'!C91</f>
        <v>IGL</v>
      </c>
      <c r="B96" s="140">
        <f>VLOOKUP($A96,'Data shares'!$C:$FB,7)</f>
        <v>204.06</v>
      </c>
      <c r="C96" s="140">
        <f>VLOOKUP($A96,'Data shares'!$C:$FB,3)</f>
        <v>204.61</v>
      </c>
      <c r="D96" s="140">
        <f>VLOOKUP($A96,'Data shares'!$C:$FB,4)</f>
        <v>206.78</v>
      </c>
      <c r="E96" s="50">
        <f t="shared" si="3"/>
        <v>-1.0494245091401428</v>
      </c>
      <c r="F96" s="49">
        <f>VLOOKUP($A96,'Data shares'!$C:$FB,98)</f>
        <v>34941500</v>
      </c>
      <c r="G96" s="49">
        <f>VLOOKUP($A96,'Data shares'!$C:$FB,99)</f>
        <v>36828000</v>
      </c>
      <c r="H96" s="50">
        <f t="shared" si="4"/>
        <v>-5.1224611708482675</v>
      </c>
      <c r="I96" s="49">
        <f>VLOOKUP($A96,'Data shares'!$C:$FB,66)</f>
        <v>19387500</v>
      </c>
      <c r="J96" s="49">
        <f>VLOOKUP($A96,'Data shares'!$C:$FB,67)</f>
        <v>25366000</v>
      </c>
      <c r="K96" s="50">
        <f t="shared" si="5"/>
        <v>-30.836879432624116</v>
      </c>
      <c r="L96" s="50">
        <f>VLOOKUP($A96,'Data shares'!$C:$FB,118)</f>
        <v>0.59</v>
      </c>
      <c r="M96" s="50">
        <f>VLOOKUP($A96,'Data shares'!$C:$FB,119)</f>
        <v>0.56999999999999995</v>
      </c>
      <c r="N96" s="50">
        <f>VLOOKUP($A96,'Data shares'!$C:$FB,121)*100</f>
        <v>3.51</v>
      </c>
      <c r="O96" s="50">
        <f>VLOOKUP($A96,'Data shares'!$C:$FB,124)</f>
        <v>0.51</v>
      </c>
      <c r="P96" s="50">
        <f>VLOOKUP($A96,'Data shares'!$C:$FB,125)</f>
        <v>0.5</v>
      </c>
      <c r="Q96" s="50">
        <f>VLOOKUP($A96,'Data shares'!$C:$FB,127)*100</f>
        <v>2</v>
      </c>
    </row>
    <row r="97" spans="1:17" x14ac:dyDescent="0.25">
      <c r="A97" s="97" t="str">
        <f>'Data Vlaue (Cr)'!C92</f>
        <v>IIFL</v>
      </c>
      <c r="B97" s="140">
        <f>VLOOKUP($A97,'Data shares'!$C:$FB,7)</f>
        <v>544.75</v>
      </c>
      <c r="C97" s="140">
        <f>VLOOKUP($A97,'Data shares'!$C:$FB,3)</f>
        <v>545.4</v>
      </c>
      <c r="D97" s="140">
        <f>VLOOKUP($A97,'Data shares'!$C:$FB,4)</f>
        <v>558.25</v>
      </c>
      <c r="E97" s="50">
        <f t="shared" si="3"/>
        <v>-2.3018360949395476</v>
      </c>
      <c r="F97" s="49">
        <f>VLOOKUP($A97,'Data shares'!$C:$FB,98)</f>
        <v>29079600</v>
      </c>
      <c r="G97" s="49">
        <f>VLOOKUP($A97,'Data shares'!$C:$FB,99)</f>
        <v>30381450</v>
      </c>
      <c r="H97" s="50">
        <f t="shared" si="4"/>
        <v>-4.285016021289306</v>
      </c>
      <c r="I97" s="49">
        <f>VLOOKUP($A97,'Data shares'!$C:$FB,66)</f>
        <v>28988850</v>
      </c>
      <c r="J97" s="49">
        <f>VLOOKUP($A97,'Data shares'!$C:$FB,67)</f>
        <v>17321700</v>
      </c>
      <c r="K97" s="50">
        <f t="shared" si="5"/>
        <v>40.247026011725197</v>
      </c>
      <c r="L97" s="50">
        <f>VLOOKUP($A97,'Data shares'!$C:$FB,118)</f>
        <v>0.64</v>
      </c>
      <c r="M97" s="50">
        <f>VLOOKUP($A97,'Data shares'!$C:$FB,119)</f>
        <v>0.62</v>
      </c>
      <c r="N97" s="50">
        <f>VLOOKUP($A97,'Data shares'!$C:$FB,121)*100</f>
        <v>3.2300000000000004</v>
      </c>
      <c r="O97" s="50">
        <f>VLOOKUP($A97,'Data shares'!$C:$FB,124)</f>
        <v>0.49</v>
      </c>
      <c r="P97" s="50">
        <f>VLOOKUP($A97,'Data shares'!$C:$FB,125)</f>
        <v>0.36</v>
      </c>
      <c r="Q97" s="50">
        <f>VLOOKUP($A97,'Data shares'!$C:$FB,127)*100</f>
        <v>36.11</v>
      </c>
    </row>
    <row r="98" spans="1:17" x14ac:dyDescent="0.25">
      <c r="A98" s="97" t="str">
        <f>'Data Vlaue (Cr)'!C93</f>
        <v>INDHOTEL</v>
      </c>
      <c r="B98" s="140">
        <f>VLOOKUP($A98,'Data shares'!$C:$FB,7)</f>
        <v>733.35</v>
      </c>
      <c r="C98" s="140">
        <f>VLOOKUP($A98,'Data shares'!$C:$FB,3)</f>
        <v>734</v>
      </c>
      <c r="D98" s="140">
        <f>VLOOKUP($A98,'Data shares'!$C:$FB,4)</f>
        <v>719.3</v>
      </c>
      <c r="E98" s="50">
        <f t="shared" si="3"/>
        <v>2.0436535520645136</v>
      </c>
      <c r="F98" s="49">
        <f>VLOOKUP($A98,'Data shares'!$C:$FB,98)</f>
        <v>49870000</v>
      </c>
      <c r="G98" s="49">
        <f>VLOOKUP($A98,'Data shares'!$C:$FB,99)</f>
        <v>51530000</v>
      </c>
      <c r="H98" s="50">
        <f t="shared" si="4"/>
        <v>-3.2214244129633225</v>
      </c>
      <c r="I98" s="49">
        <f>VLOOKUP($A98,'Data shares'!$C:$FB,66)</f>
        <v>85208000</v>
      </c>
      <c r="J98" s="49">
        <f>VLOOKUP($A98,'Data shares'!$C:$FB,67)</f>
        <v>26081000</v>
      </c>
      <c r="K98" s="50">
        <f t="shared" si="5"/>
        <v>69.391371702187584</v>
      </c>
      <c r="L98" s="50">
        <f>VLOOKUP($A98,'Data shares'!$C:$FB,118)</f>
        <v>0.64</v>
      </c>
      <c r="M98" s="50">
        <f>VLOOKUP($A98,'Data shares'!$C:$FB,119)</f>
        <v>0.61</v>
      </c>
      <c r="N98" s="50">
        <f>VLOOKUP($A98,'Data shares'!$C:$FB,121)*100</f>
        <v>4.92</v>
      </c>
      <c r="O98" s="50">
        <f>VLOOKUP($A98,'Data shares'!$C:$FB,124)</f>
        <v>0.4</v>
      </c>
      <c r="P98" s="50">
        <f>VLOOKUP($A98,'Data shares'!$C:$FB,125)</f>
        <v>0.46</v>
      </c>
      <c r="Q98" s="50">
        <f>VLOOKUP($A98,'Data shares'!$C:$FB,127)*100</f>
        <v>-13.04</v>
      </c>
    </row>
    <row r="99" spans="1:17" x14ac:dyDescent="0.25">
      <c r="A99" s="97" t="str">
        <f>'Data Vlaue (Cr)'!C94</f>
        <v>INDIANB</v>
      </c>
      <c r="B99" s="140">
        <f>VLOOKUP($A99,'Data shares'!$C:$FB,7)</f>
        <v>882.35</v>
      </c>
      <c r="C99" s="140">
        <f>VLOOKUP($A99,'Data shares'!$C:$FB,3)</f>
        <v>880.65</v>
      </c>
      <c r="D99" s="140">
        <f>VLOOKUP($A99,'Data shares'!$C:$FB,4)</f>
        <v>885.5</v>
      </c>
      <c r="E99" s="50">
        <f t="shared" si="3"/>
        <v>-0.54771315640881113</v>
      </c>
      <c r="F99" s="49">
        <f>VLOOKUP($A99,'Data shares'!$C:$FB,98)</f>
        <v>22973000</v>
      </c>
      <c r="G99" s="49">
        <f>VLOOKUP($A99,'Data shares'!$C:$FB,99)</f>
        <v>24554000</v>
      </c>
      <c r="H99" s="50">
        <f t="shared" si="4"/>
        <v>-6.4388694306426659</v>
      </c>
      <c r="I99" s="49">
        <f>VLOOKUP($A99,'Data shares'!$C:$FB,66)</f>
        <v>16250000</v>
      </c>
      <c r="J99" s="49">
        <f>VLOOKUP($A99,'Data shares'!$C:$FB,67)</f>
        <v>13938000</v>
      </c>
      <c r="K99" s="50">
        <f t="shared" si="5"/>
        <v>14.227692307692308</v>
      </c>
      <c r="L99" s="50">
        <f>VLOOKUP($A99,'Data shares'!$C:$FB,118)</f>
        <v>0.63</v>
      </c>
      <c r="M99" s="50">
        <f>VLOOKUP($A99,'Data shares'!$C:$FB,119)</f>
        <v>0.61</v>
      </c>
      <c r="N99" s="50">
        <f>VLOOKUP($A99,'Data shares'!$C:$FB,121)*100</f>
        <v>3.2800000000000002</v>
      </c>
      <c r="O99" s="50">
        <f>VLOOKUP($A99,'Data shares'!$C:$FB,124)</f>
        <v>0.52</v>
      </c>
      <c r="P99" s="50">
        <f>VLOOKUP($A99,'Data shares'!$C:$FB,125)</f>
        <v>0.47</v>
      </c>
      <c r="Q99" s="50">
        <f>VLOOKUP($A99,'Data shares'!$C:$FB,127)*100</f>
        <v>10.639999999999999</v>
      </c>
    </row>
    <row r="100" spans="1:17" x14ac:dyDescent="0.25">
      <c r="A100" s="97" t="str">
        <f>'Data Vlaue (Cr)'!C95</f>
        <v>INDIAVIX</v>
      </c>
      <c r="B100" s="140">
        <f>VLOOKUP($A100,'Data shares'!$C:$FB,7)</f>
        <v>12.13</v>
      </c>
      <c r="C100" s="140">
        <f>VLOOKUP($A100,'Data shares'!$C:$FB,3)</f>
        <v>12.13</v>
      </c>
      <c r="D100" s="140">
        <f>VLOOKUP($A100,'Data shares'!$C:$FB,4)</f>
        <v>11.97</v>
      </c>
      <c r="E100" s="50">
        <f t="shared" si="3"/>
        <v>1.3366750208855482</v>
      </c>
      <c r="F100" s="49">
        <f>VLOOKUP($A100,'Data shares'!$C:$FB,98)</f>
        <v>0</v>
      </c>
      <c r="G100" s="49">
        <f>VLOOKUP($A100,'Data shares'!$C:$FB,99)</f>
        <v>0</v>
      </c>
      <c r="H100" s="50" t="e">
        <f t="shared" si="4"/>
        <v>#DIV/0!</v>
      </c>
      <c r="I100" s="49">
        <f>VLOOKUP($A100,'Data shares'!$C:$FB,66)</f>
        <v>0</v>
      </c>
      <c r="J100" s="49">
        <f>VLOOKUP($A100,'Data shares'!$C:$FB,67)</f>
        <v>0</v>
      </c>
      <c r="K100" s="50" t="e">
        <f t="shared" si="5"/>
        <v>#DIV/0!</v>
      </c>
      <c r="L100" s="50">
        <f>VLOOKUP($A100,'Data shares'!$C:$FB,118)</f>
        <v>0</v>
      </c>
      <c r="M100" s="50">
        <f>VLOOKUP($A100,'Data shares'!$C:$FB,119)</f>
        <v>0</v>
      </c>
      <c r="N100" s="50">
        <f>VLOOKUP($A100,'Data shares'!$C:$FB,121)*100</f>
        <v>0</v>
      </c>
      <c r="O100" s="50">
        <f>VLOOKUP($A100,'Data shares'!$C:$FB,124)</f>
        <v>0</v>
      </c>
      <c r="P100" s="50">
        <f>VLOOKUP($A100,'Data shares'!$C:$FB,125)</f>
        <v>0</v>
      </c>
      <c r="Q100" s="50">
        <f>VLOOKUP($A100,'Data shares'!$C:$FB,127)*100</f>
        <v>0</v>
      </c>
    </row>
    <row r="101" spans="1:17" x14ac:dyDescent="0.25">
      <c r="A101" s="97" t="str">
        <f>'Data Vlaue (Cr)'!C96</f>
        <v>INDIGO</v>
      </c>
      <c r="B101" s="140">
        <f>VLOOKUP($A101,'Data shares'!$C:$FB,7)</f>
        <v>5785.5</v>
      </c>
      <c r="C101" s="140">
        <f>VLOOKUP($A101,'Data shares'!$C:$FB,3)</f>
        <v>5788</v>
      </c>
      <c r="D101" s="140">
        <f>VLOOKUP($A101,'Data shares'!$C:$FB,4)</f>
        <v>5768</v>
      </c>
      <c r="E101" s="50">
        <f t="shared" si="3"/>
        <v>0.34674063800277394</v>
      </c>
      <c r="F101" s="49">
        <f>VLOOKUP($A101,'Data shares'!$C:$FB,98)</f>
        <v>13776750</v>
      </c>
      <c r="G101" s="49">
        <f>VLOOKUP($A101,'Data shares'!$C:$FB,99)</f>
        <v>13962300</v>
      </c>
      <c r="H101" s="50">
        <f t="shared" si="4"/>
        <v>-1.3289357770567887</v>
      </c>
      <c r="I101" s="49">
        <f>VLOOKUP($A101,'Data shares'!$C:$FB,66)</f>
        <v>15125250</v>
      </c>
      <c r="J101" s="49">
        <f>VLOOKUP($A101,'Data shares'!$C:$FB,67)</f>
        <v>12312750</v>
      </c>
      <c r="K101" s="50">
        <f t="shared" si="5"/>
        <v>18.594733971339316</v>
      </c>
      <c r="L101" s="50">
        <f>VLOOKUP($A101,'Data shares'!$C:$FB,118)</f>
        <v>0.6</v>
      </c>
      <c r="M101" s="50">
        <f>VLOOKUP($A101,'Data shares'!$C:$FB,119)</f>
        <v>0.57999999999999996</v>
      </c>
      <c r="N101" s="50">
        <f>VLOOKUP($A101,'Data shares'!$C:$FB,121)*100</f>
        <v>3.45</v>
      </c>
      <c r="O101" s="50">
        <f>VLOOKUP($A101,'Data shares'!$C:$FB,124)</f>
        <v>0.46</v>
      </c>
      <c r="P101" s="50">
        <f>VLOOKUP($A101,'Data shares'!$C:$FB,125)</f>
        <v>0.57999999999999996</v>
      </c>
      <c r="Q101" s="50">
        <f>VLOOKUP($A101,'Data shares'!$C:$FB,127)*100</f>
        <v>-20.69</v>
      </c>
    </row>
    <row r="102" spans="1:17" x14ac:dyDescent="0.25">
      <c r="A102" s="97" t="str">
        <f>'Data Vlaue (Cr)'!C97</f>
        <v>INDUSINDBK</v>
      </c>
      <c r="B102" s="140">
        <f>VLOOKUP($A102,'Data shares'!$C:$FB,7)</f>
        <v>829.4</v>
      </c>
      <c r="C102" s="140">
        <f>VLOOKUP($A102,'Data shares'!$C:$FB,3)</f>
        <v>830.05</v>
      </c>
      <c r="D102" s="140">
        <f>VLOOKUP($A102,'Data shares'!$C:$FB,4)</f>
        <v>840.7</v>
      </c>
      <c r="E102" s="50">
        <f t="shared" si="3"/>
        <v>-1.2668014749613523</v>
      </c>
      <c r="F102" s="49">
        <f>VLOOKUP($A102,'Data shares'!$C:$FB,98)</f>
        <v>80395700</v>
      </c>
      <c r="G102" s="49">
        <f>VLOOKUP($A102,'Data shares'!$C:$FB,99)</f>
        <v>79342200</v>
      </c>
      <c r="H102" s="50">
        <f t="shared" si="4"/>
        <v>1.3277927761014945</v>
      </c>
      <c r="I102" s="49">
        <f>VLOOKUP($A102,'Data shares'!$C:$FB,66)</f>
        <v>65928100</v>
      </c>
      <c r="J102" s="49">
        <f>VLOOKUP($A102,'Data shares'!$C:$FB,67)</f>
        <v>53382000</v>
      </c>
      <c r="K102" s="50">
        <f t="shared" si="5"/>
        <v>19.029973562107809</v>
      </c>
      <c r="L102" s="50">
        <f>VLOOKUP($A102,'Data shares'!$C:$FB,118)</f>
        <v>0.73</v>
      </c>
      <c r="M102" s="50">
        <f>VLOOKUP($A102,'Data shares'!$C:$FB,119)</f>
        <v>0.73</v>
      </c>
      <c r="N102" s="50">
        <f>VLOOKUP($A102,'Data shares'!$C:$FB,121)*100</f>
        <v>0</v>
      </c>
      <c r="O102" s="50">
        <f>VLOOKUP($A102,'Data shares'!$C:$FB,124)</f>
        <v>0.49</v>
      </c>
      <c r="P102" s="50">
        <f>VLOOKUP($A102,'Data shares'!$C:$FB,125)</f>
        <v>0.65</v>
      </c>
      <c r="Q102" s="50">
        <f>VLOOKUP($A102,'Data shares'!$C:$FB,127)*100</f>
        <v>-24.62</v>
      </c>
    </row>
    <row r="103" spans="1:17" x14ac:dyDescent="0.25">
      <c r="A103" s="97" t="str">
        <f>'Data Vlaue (Cr)'!C98</f>
        <v>INDUSTOWER</v>
      </c>
      <c r="B103" s="140">
        <f>VLOOKUP($A103,'Data shares'!$C:$FB,7)</f>
        <v>400.5</v>
      </c>
      <c r="C103" s="140">
        <f>VLOOKUP($A103,'Data shares'!$C:$FB,3)</f>
        <v>400.7</v>
      </c>
      <c r="D103" s="140">
        <f>VLOOKUP($A103,'Data shares'!$C:$FB,4)</f>
        <v>404.15</v>
      </c>
      <c r="E103" s="50">
        <f t="shared" si="3"/>
        <v>-0.85364344921439794</v>
      </c>
      <c r="F103" s="49">
        <f>VLOOKUP($A103,'Data shares'!$C:$FB,98)</f>
        <v>141071100</v>
      </c>
      <c r="G103" s="49">
        <f>VLOOKUP($A103,'Data shares'!$C:$FB,99)</f>
        <v>142845900</v>
      </c>
      <c r="H103" s="50">
        <f t="shared" si="4"/>
        <v>-1.2424577814273985</v>
      </c>
      <c r="I103" s="49">
        <f>VLOOKUP($A103,'Data shares'!$C:$FB,66)</f>
        <v>69893800</v>
      </c>
      <c r="J103" s="49">
        <f>VLOOKUP($A103,'Data shares'!$C:$FB,67)</f>
        <v>52875100</v>
      </c>
      <c r="K103" s="50">
        <f t="shared" si="5"/>
        <v>24.349370044267161</v>
      </c>
      <c r="L103" s="50">
        <f>VLOOKUP($A103,'Data shares'!$C:$FB,118)</f>
        <v>0.74</v>
      </c>
      <c r="M103" s="50">
        <f>VLOOKUP($A103,'Data shares'!$C:$FB,119)</f>
        <v>0.74</v>
      </c>
      <c r="N103" s="50">
        <f>VLOOKUP($A103,'Data shares'!$C:$FB,121)*100</f>
        <v>0</v>
      </c>
      <c r="O103" s="50">
        <f>VLOOKUP($A103,'Data shares'!$C:$FB,124)</f>
        <v>0.63</v>
      </c>
      <c r="P103" s="50">
        <f>VLOOKUP($A103,'Data shares'!$C:$FB,125)</f>
        <v>0.64</v>
      </c>
      <c r="Q103" s="50">
        <f>VLOOKUP($A103,'Data shares'!$C:$FB,127)*100</f>
        <v>-1.5599999999999998</v>
      </c>
    </row>
    <row r="104" spans="1:17" x14ac:dyDescent="0.25">
      <c r="A104" s="97" t="str">
        <f>'Data Vlaue (Cr)'!C99</f>
        <v>INFY</v>
      </c>
      <c r="B104" s="140">
        <f>VLOOKUP($A104,'Data shares'!$C:$FB,7)</f>
        <v>1536.5</v>
      </c>
      <c r="C104" s="140">
        <f>VLOOKUP($A104,'Data shares'!$C:$FB,3)</f>
        <v>1539.2</v>
      </c>
      <c r="D104" s="140">
        <f>VLOOKUP($A104,'Data shares'!$C:$FB,4)</f>
        <v>1542.1</v>
      </c>
      <c r="E104" s="50">
        <f t="shared" si="3"/>
        <v>-0.18805524933531312</v>
      </c>
      <c r="F104" s="49">
        <f>VLOOKUP($A104,'Data shares'!$C:$FB,98)</f>
        <v>119996000</v>
      </c>
      <c r="G104" s="49">
        <f>VLOOKUP($A104,'Data shares'!$C:$FB,99)</f>
        <v>118982800</v>
      </c>
      <c r="H104" s="50">
        <f t="shared" si="4"/>
        <v>0.85155165284394041</v>
      </c>
      <c r="I104" s="49">
        <f>VLOOKUP($A104,'Data shares'!$C:$FB,66)</f>
        <v>121854400</v>
      </c>
      <c r="J104" s="49">
        <f>VLOOKUP($A104,'Data shares'!$C:$FB,67)</f>
        <v>213904000</v>
      </c>
      <c r="K104" s="50">
        <f t="shared" si="5"/>
        <v>-75.54064522906026</v>
      </c>
      <c r="L104" s="50">
        <f>VLOOKUP($A104,'Data shares'!$C:$FB,118)</f>
        <v>0.74</v>
      </c>
      <c r="M104" s="50">
        <f>VLOOKUP($A104,'Data shares'!$C:$FB,119)</f>
        <v>0.77</v>
      </c>
      <c r="N104" s="50">
        <f>VLOOKUP($A104,'Data shares'!$C:$FB,121)*100</f>
        <v>-3.9</v>
      </c>
      <c r="O104" s="50">
        <f>VLOOKUP($A104,'Data shares'!$C:$FB,124)</f>
        <v>0.61</v>
      </c>
      <c r="P104" s="50">
        <f>VLOOKUP($A104,'Data shares'!$C:$FB,125)</f>
        <v>0.41</v>
      </c>
      <c r="Q104" s="50">
        <f>VLOOKUP($A104,'Data shares'!$C:$FB,127)*100</f>
        <v>48.78</v>
      </c>
    </row>
    <row r="105" spans="1:17" x14ac:dyDescent="0.25">
      <c r="A105" s="97" t="str">
        <f>'Data Vlaue (Cr)'!C100</f>
        <v>INOXWIND</v>
      </c>
      <c r="B105" s="140">
        <f>VLOOKUP($A105,'Data shares'!$C:$FB,7)</f>
        <v>138.08000000000001</v>
      </c>
      <c r="C105" s="140">
        <f>VLOOKUP($A105,'Data shares'!$C:$FB,3)</f>
        <v>138.38999999999999</v>
      </c>
      <c r="D105" s="140">
        <f>VLOOKUP($A105,'Data shares'!$C:$FB,4)</f>
        <v>139.79</v>
      </c>
      <c r="E105" s="50">
        <f t="shared" si="3"/>
        <v>-1.0015022533800741</v>
      </c>
      <c r="F105" s="49">
        <f>VLOOKUP($A105,'Data shares'!$C:$FB,98)</f>
        <v>149585314</v>
      </c>
      <c r="G105" s="49">
        <f>VLOOKUP($A105,'Data shares'!$C:$FB,99)</f>
        <v>154927579</v>
      </c>
      <c r="H105" s="50">
        <f t="shared" si="4"/>
        <v>-3.4482337066662616</v>
      </c>
      <c r="I105" s="49">
        <f>VLOOKUP($A105,'Data shares'!$C:$FB,66)</f>
        <v>107285608</v>
      </c>
      <c r="J105" s="49">
        <f>VLOOKUP($A105,'Data shares'!$C:$FB,67)</f>
        <v>96108456</v>
      </c>
      <c r="K105" s="50">
        <f t="shared" si="5"/>
        <v>10.418128030742018</v>
      </c>
      <c r="L105" s="50">
        <f>VLOOKUP($A105,'Data shares'!$C:$FB,118)</f>
        <v>0.41</v>
      </c>
      <c r="M105" s="50">
        <f>VLOOKUP($A105,'Data shares'!$C:$FB,119)</f>
        <v>0.38</v>
      </c>
      <c r="N105" s="50">
        <f>VLOOKUP($A105,'Data shares'!$C:$FB,121)*100</f>
        <v>7.89</v>
      </c>
      <c r="O105" s="50">
        <f>VLOOKUP($A105,'Data shares'!$C:$FB,124)</f>
        <v>0.25</v>
      </c>
      <c r="P105" s="50">
        <f>VLOOKUP($A105,'Data shares'!$C:$FB,125)</f>
        <v>0.25</v>
      </c>
      <c r="Q105" s="50">
        <f>VLOOKUP($A105,'Data shares'!$C:$FB,127)*100</f>
        <v>0</v>
      </c>
    </row>
    <row r="106" spans="1:17" x14ac:dyDescent="0.25">
      <c r="A106" s="97" t="str">
        <f>'Data Vlaue (Cr)'!C101</f>
        <v>IOC</v>
      </c>
      <c r="B106" s="140">
        <f>VLOOKUP($A106,'Data shares'!$C:$FB,7)</f>
        <v>168.7</v>
      </c>
      <c r="C106" s="140">
        <f>VLOOKUP($A106,'Data shares'!$C:$FB,3)</f>
        <v>168.58</v>
      </c>
      <c r="D106" s="140">
        <f>VLOOKUP($A106,'Data shares'!$C:$FB,4)</f>
        <v>169.55</v>
      </c>
      <c r="E106" s="50">
        <f t="shared" si="3"/>
        <v>-0.57210262459451411</v>
      </c>
      <c r="F106" s="49">
        <f>VLOOKUP($A106,'Data shares'!$C:$FB,98)</f>
        <v>209800500</v>
      </c>
      <c r="G106" s="49">
        <f>VLOOKUP($A106,'Data shares'!$C:$FB,99)</f>
        <v>213593250</v>
      </c>
      <c r="H106" s="50">
        <f t="shared" si="4"/>
        <v>-1.7756881362121697</v>
      </c>
      <c r="I106" s="49">
        <f>VLOOKUP($A106,'Data shares'!$C:$FB,66)</f>
        <v>149838000</v>
      </c>
      <c r="J106" s="49">
        <f>VLOOKUP($A106,'Data shares'!$C:$FB,67)</f>
        <v>112368750</v>
      </c>
      <c r="K106" s="50">
        <f t="shared" si="5"/>
        <v>25.006507027589798</v>
      </c>
      <c r="L106" s="50">
        <f>VLOOKUP($A106,'Data shares'!$C:$FB,118)</f>
        <v>0.88</v>
      </c>
      <c r="M106" s="50">
        <f>VLOOKUP($A106,'Data shares'!$C:$FB,119)</f>
        <v>0.88</v>
      </c>
      <c r="N106" s="50">
        <f>VLOOKUP($A106,'Data shares'!$C:$FB,121)*100</f>
        <v>0</v>
      </c>
      <c r="O106" s="50">
        <f>VLOOKUP($A106,'Data shares'!$C:$FB,124)</f>
        <v>0.6</v>
      </c>
      <c r="P106" s="50">
        <f>VLOOKUP($A106,'Data shares'!$C:$FB,125)</f>
        <v>0.64</v>
      </c>
      <c r="Q106" s="50">
        <f>VLOOKUP($A106,'Data shares'!$C:$FB,127)*100</f>
        <v>-6.25</v>
      </c>
    </row>
    <row r="107" spans="1:17" x14ac:dyDescent="0.25">
      <c r="A107" s="97" t="str">
        <f>'Data Vlaue (Cr)'!C102</f>
        <v>IRCTC</v>
      </c>
      <c r="B107" s="140">
        <f>VLOOKUP($A107,'Data shares'!$C:$FB,7)</f>
        <v>703</v>
      </c>
      <c r="C107" s="140">
        <f>VLOOKUP($A107,'Data shares'!$C:$FB,3)</f>
        <v>698.95</v>
      </c>
      <c r="D107" s="140">
        <f>VLOOKUP($A107,'Data shares'!$C:$FB,4)</f>
        <v>699.35</v>
      </c>
      <c r="E107" s="50">
        <f t="shared" si="3"/>
        <v>-5.7195967684275005E-2</v>
      </c>
      <c r="F107" s="49">
        <f>VLOOKUP($A107,'Data shares'!$C:$FB,98)</f>
        <v>39287500</v>
      </c>
      <c r="G107" s="49">
        <f>VLOOKUP($A107,'Data shares'!$C:$FB,99)</f>
        <v>40446000</v>
      </c>
      <c r="H107" s="50">
        <f t="shared" si="4"/>
        <v>-2.8643129110418828</v>
      </c>
      <c r="I107" s="49">
        <f>VLOOKUP($A107,'Data shares'!$C:$FB,66)</f>
        <v>32567500</v>
      </c>
      <c r="J107" s="49">
        <f>VLOOKUP($A107,'Data shares'!$C:$FB,67)</f>
        <v>22462125</v>
      </c>
      <c r="K107" s="50">
        <f t="shared" si="5"/>
        <v>31.029016657710905</v>
      </c>
      <c r="L107" s="50">
        <f>VLOOKUP($A107,'Data shares'!$C:$FB,118)</f>
        <v>0.64</v>
      </c>
      <c r="M107" s="50">
        <f>VLOOKUP($A107,'Data shares'!$C:$FB,119)</f>
        <v>0.62</v>
      </c>
      <c r="N107" s="50">
        <f>VLOOKUP($A107,'Data shares'!$C:$FB,121)*100</f>
        <v>3.2300000000000004</v>
      </c>
      <c r="O107" s="50">
        <f>VLOOKUP($A107,'Data shares'!$C:$FB,124)</f>
        <v>0.4</v>
      </c>
      <c r="P107" s="50">
        <f>VLOOKUP($A107,'Data shares'!$C:$FB,125)</f>
        <v>0.32</v>
      </c>
      <c r="Q107" s="50">
        <f>VLOOKUP($A107,'Data shares'!$C:$FB,127)*100</f>
        <v>25</v>
      </c>
    </row>
    <row r="108" spans="1:17" x14ac:dyDescent="0.25">
      <c r="A108" s="97" t="str">
        <f>'Data Vlaue (Cr)'!C103</f>
        <v>IREDA</v>
      </c>
      <c r="B108" s="140">
        <f>VLOOKUP($A108,'Data shares'!$C:$FB,7)</f>
        <v>146.63999999999999</v>
      </c>
      <c r="C108" s="140">
        <f>VLOOKUP($A108,'Data shares'!$C:$FB,3)</f>
        <v>146.76</v>
      </c>
      <c r="D108" s="140">
        <f>VLOOKUP($A108,'Data shares'!$C:$FB,4)</f>
        <v>147.36000000000001</v>
      </c>
      <c r="E108" s="50">
        <f t="shared" si="3"/>
        <v>-0.40716612377851696</v>
      </c>
      <c r="F108" s="49">
        <f>VLOOKUP($A108,'Data shares'!$C:$FB,98)</f>
        <v>88999650</v>
      </c>
      <c r="G108" s="49">
        <f>VLOOKUP($A108,'Data shares'!$C:$FB,99)</f>
        <v>93564000</v>
      </c>
      <c r="H108" s="50">
        <f t="shared" si="4"/>
        <v>-4.8783185840707963</v>
      </c>
      <c r="I108" s="49">
        <f>VLOOKUP($A108,'Data shares'!$C:$FB,66)</f>
        <v>45460650</v>
      </c>
      <c r="J108" s="49">
        <f>VLOOKUP($A108,'Data shares'!$C:$FB,67)</f>
        <v>49138350</v>
      </c>
      <c r="K108" s="50">
        <f t="shared" si="5"/>
        <v>-8.0898535326705634</v>
      </c>
      <c r="L108" s="50">
        <f>VLOOKUP($A108,'Data shares'!$C:$FB,118)</f>
        <v>0.56000000000000005</v>
      </c>
      <c r="M108" s="50">
        <f>VLOOKUP($A108,'Data shares'!$C:$FB,119)</f>
        <v>0.51</v>
      </c>
      <c r="N108" s="50">
        <f>VLOOKUP($A108,'Data shares'!$C:$FB,121)*100</f>
        <v>9.8000000000000007</v>
      </c>
      <c r="O108" s="50">
        <f>VLOOKUP($A108,'Data shares'!$C:$FB,124)</f>
        <v>0.23</v>
      </c>
      <c r="P108" s="50">
        <f>VLOOKUP($A108,'Data shares'!$C:$FB,125)</f>
        <v>0.32</v>
      </c>
      <c r="Q108" s="50">
        <f>VLOOKUP($A108,'Data shares'!$C:$FB,127)*100</f>
        <v>-28.13</v>
      </c>
    </row>
    <row r="109" spans="1:17" x14ac:dyDescent="0.25">
      <c r="A109" s="97" t="str">
        <f>'Data Vlaue (Cr)'!C104</f>
        <v>IRFC</v>
      </c>
      <c r="B109" s="140">
        <f>VLOOKUP($A109,'Data shares'!$C:$FB,7)</f>
        <v>120.08</v>
      </c>
      <c r="C109" s="140">
        <f>VLOOKUP($A109,'Data shares'!$C:$FB,3)</f>
        <v>120.02</v>
      </c>
      <c r="D109" s="140">
        <f>VLOOKUP($A109,'Data shares'!$C:$FB,4)</f>
        <v>121.08</v>
      </c>
      <c r="E109" s="50">
        <f t="shared" si="3"/>
        <v>-0.87545424512719061</v>
      </c>
      <c r="F109" s="49">
        <f>VLOOKUP($A109,'Data shares'!$C:$FB,98)</f>
        <v>101558000</v>
      </c>
      <c r="G109" s="49">
        <f>VLOOKUP($A109,'Data shares'!$C:$FB,99)</f>
        <v>104469250</v>
      </c>
      <c r="H109" s="50">
        <f t="shared" si="4"/>
        <v>-2.7867051787966313</v>
      </c>
      <c r="I109" s="49">
        <f>VLOOKUP($A109,'Data shares'!$C:$FB,66)</f>
        <v>48577500</v>
      </c>
      <c r="J109" s="49">
        <f>VLOOKUP($A109,'Data shares'!$C:$FB,67)</f>
        <v>40681000</v>
      </c>
      <c r="K109" s="50">
        <f t="shared" si="5"/>
        <v>16.255468066491687</v>
      </c>
      <c r="L109" s="50">
        <f>VLOOKUP($A109,'Data shares'!$C:$FB,118)</f>
        <v>0.49</v>
      </c>
      <c r="M109" s="50">
        <f>VLOOKUP($A109,'Data shares'!$C:$FB,119)</f>
        <v>0.48</v>
      </c>
      <c r="N109" s="50">
        <f>VLOOKUP($A109,'Data shares'!$C:$FB,121)*100</f>
        <v>2.08</v>
      </c>
      <c r="O109" s="50">
        <f>VLOOKUP($A109,'Data shares'!$C:$FB,124)</f>
        <v>0.34</v>
      </c>
      <c r="P109" s="50">
        <f>VLOOKUP($A109,'Data shares'!$C:$FB,125)</f>
        <v>0.25</v>
      </c>
      <c r="Q109" s="50">
        <f>VLOOKUP($A109,'Data shares'!$C:$FB,127)*100</f>
        <v>36</v>
      </c>
    </row>
    <row r="110" spans="1:17" x14ac:dyDescent="0.25">
      <c r="A110" s="97" t="str">
        <f>'Data Vlaue (Cr)'!C105</f>
        <v>ITC</v>
      </c>
      <c r="B110" s="140">
        <f>VLOOKUP($A110,'Data shares'!$C:$FB,7)</f>
        <v>405.45</v>
      </c>
      <c r="C110" s="140">
        <f>VLOOKUP($A110,'Data shares'!$C:$FB,3)</f>
        <v>405.85</v>
      </c>
      <c r="D110" s="140">
        <f>VLOOKUP($A110,'Data shares'!$C:$FB,4)</f>
        <v>404.25</v>
      </c>
      <c r="E110" s="50">
        <f t="shared" si="3"/>
        <v>0.3957946815089729</v>
      </c>
      <c r="F110" s="49">
        <f>VLOOKUP($A110,'Data shares'!$C:$FB,98)</f>
        <v>276051200</v>
      </c>
      <c r="G110" s="49">
        <f>VLOOKUP($A110,'Data shares'!$C:$FB,99)</f>
        <v>282923200</v>
      </c>
      <c r="H110" s="50">
        <f t="shared" si="4"/>
        <v>-2.4289277090037156</v>
      </c>
      <c r="I110" s="49">
        <f>VLOOKUP($A110,'Data shares'!$C:$FB,66)</f>
        <v>151296000</v>
      </c>
      <c r="J110" s="49">
        <f>VLOOKUP($A110,'Data shares'!$C:$FB,67)</f>
        <v>88155200</v>
      </c>
      <c r="K110" s="50">
        <f t="shared" si="5"/>
        <v>41.733291032148898</v>
      </c>
      <c r="L110" s="50">
        <f>VLOOKUP($A110,'Data shares'!$C:$FB,118)</f>
        <v>0.46</v>
      </c>
      <c r="M110" s="50">
        <f>VLOOKUP($A110,'Data shares'!$C:$FB,119)</f>
        <v>0.46</v>
      </c>
      <c r="N110" s="50">
        <f>VLOOKUP($A110,'Data shares'!$C:$FB,121)*100</f>
        <v>0</v>
      </c>
      <c r="O110" s="50">
        <f>VLOOKUP($A110,'Data shares'!$C:$FB,124)</f>
        <v>0.45</v>
      </c>
      <c r="P110" s="50">
        <f>VLOOKUP($A110,'Data shares'!$C:$FB,125)</f>
        <v>0.4</v>
      </c>
      <c r="Q110" s="50">
        <f>VLOOKUP($A110,'Data shares'!$C:$FB,127)*100</f>
        <v>12.5</v>
      </c>
    </row>
    <row r="111" spans="1:17" x14ac:dyDescent="0.25">
      <c r="A111" s="97" t="str">
        <f>'Data Vlaue (Cr)'!C106</f>
        <v>JINDALSTEL</v>
      </c>
      <c r="B111" s="140">
        <f>VLOOKUP($A111,'Data shares'!$C:$FB,7)</f>
        <v>1069.4000000000001</v>
      </c>
      <c r="C111" s="140">
        <f>VLOOKUP($A111,'Data shares'!$C:$FB,3)</f>
        <v>1070.4000000000001</v>
      </c>
      <c r="D111" s="140">
        <f>VLOOKUP($A111,'Data shares'!$C:$FB,4)</f>
        <v>1069.9000000000001</v>
      </c>
      <c r="E111" s="50">
        <f t="shared" si="3"/>
        <v>4.6733339564445267E-2</v>
      </c>
      <c r="F111" s="49">
        <f>VLOOKUP($A111,'Data shares'!$C:$FB,98)</f>
        <v>24088750</v>
      </c>
      <c r="G111" s="49">
        <f>VLOOKUP($A111,'Data shares'!$C:$FB,99)</f>
        <v>25034375</v>
      </c>
      <c r="H111" s="50">
        <f t="shared" si="4"/>
        <v>-3.7773062039695415</v>
      </c>
      <c r="I111" s="49">
        <f>VLOOKUP($A111,'Data shares'!$C:$FB,66)</f>
        <v>15306875</v>
      </c>
      <c r="J111" s="49">
        <f>VLOOKUP($A111,'Data shares'!$C:$FB,67)</f>
        <v>13951875</v>
      </c>
      <c r="K111" s="50">
        <f t="shared" si="5"/>
        <v>8.8522314319545945</v>
      </c>
      <c r="L111" s="50">
        <f>VLOOKUP($A111,'Data shares'!$C:$FB,118)</f>
        <v>0.86</v>
      </c>
      <c r="M111" s="50">
        <f>VLOOKUP($A111,'Data shares'!$C:$FB,119)</f>
        <v>0.86</v>
      </c>
      <c r="N111" s="50">
        <f>VLOOKUP($A111,'Data shares'!$C:$FB,121)*100</f>
        <v>0</v>
      </c>
      <c r="O111" s="50">
        <f>VLOOKUP($A111,'Data shares'!$C:$FB,124)</f>
        <v>0.56000000000000005</v>
      </c>
      <c r="P111" s="50">
        <f>VLOOKUP($A111,'Data shares'!$C:$FB,125)</f>
        <v>0.55000000000000004</v>
      </c>
      <c r="Q111" s="50">
        <f>VLOOKUP($A111,'Data shares'!$C:$FB,127)*100</f>
        <v>1.82</v>
      </c>
    </row>
    <row r="112" spans="1:17" x14ac:dyDescent="0.25">
      <c r="A112" s="97" t="str">
        <f>'Data Vlaue (Cr)'!C107</f>
        <v>JIOFIN</v>
      </c>
      <c r="B112" s="140">
        <f>VLOOKUP($A112,'Data shares'!$C:$FB,7)</f>
        <v>308.35000000000002</v>
      </c>
      <c r="C112" s="140">
        <f>VLOOKUP($A112,'Data shares'!$C:$FB,3)</f>
        <v>308.8</v>
      </c>
      <c r="D112" s="140">
        <f>VLOOKUP($A112,'Data shares'!$C:$FB,4)</f>
        <v>304.7</v>
      </c>
      <c r="E112" s="50">
        <f t="shared" si="3"/>
        <v>1.3455858221201256</v>
      </c>
      <c r="F112" s="49">
        <f>VLOOKUP($A112,'Data shares'!$C:$FB,98)</f>
        <v>268508650</v>
      </c>
      <c r="G112" s="49">
        <f>VLOOKUP($A112,'Data shares'!$C:$FB,99)</f>
        <v>272797400</v>
      </c>
      <c r="H112" s="50">
        <f t="shared" si="4"/>
        <v>-1.5721374177319871</v>
      </c>
      <c r="I112" s="49">
        <f>VLOOKUP($A112,'Data shares'!$C:$FB,66)</f>
        <v>164655100</v>
      </c>
      <c r="J112" s="49">
        <f>VLOOKUP($A112,'Data shares'!$C:$FB,67)</f>
        <v>116630500</v>
      </c>
      <c r="K112" s="50">
        <f t="shared" si="5"/>
        <v>29.16678560214655</v>
      </c>
      <c r="L112" s="50">
        <f>VLOOKUP($A112,'Data shares'!$C:$FB,118)</f>
        <v>0.61</v>
      </c>
      <c r="M112" s="50">
        <f>VLOOKUP($A112,'Data shares'!$C:$FB,119)</f>
        <v>0.57999999999999996</v>
      </c>
      <c r="N112" s="50">
        <f>VLOOKUP($A112,'Data shares'!$C:$FB,121)*100</f>
        <v>5.17</v>
      </c>
      <c r="O112" s="50">
        <f>VLOOKUP($A112,'Data shares'!$C:$FB,124)</f>
        <v>0.35</v>
      </c>
      <c r="P112" s="50">
        <f>VLOOKUP($A112,'Data shares'!$C:$FB,125)</f>
        <v>0.4</v>
      </c>
      <c r="Q112" s="50">
        <f>VLOOKUP($A112,'Data shares'!$C:$FB,127)*100</f>
        <v>-12.5</v>
      </c>
    </row>
    <row r="113" spans="1:17" x14ac:dyDescent="0.25">
      <c r="A113" s="97" t="str">
        <f>'Data Vlaue (Cr)'!C108</f>
        <v>JSWENERGY</v>
      </c>
      <c r="B113" s="140">
        <f>VLOOKUP($A113,'Data shares'!$C:$FB,7)</f>
        <v>504.85</v>
      </c>
      <c r="C113" s="140">
        <f>VLOOKUP($A113,'Data shares'!$C:$FB,3)</f>
        <v>504.8</v>
      </c>
      <c r="D113" s="140">
        <f>VLOOKUP($A113,'Data shares'!$C:$FB,4)</f>
        <v>513.5</v>
      </c>
      <c r="E113" s="50">
        <f t="shared" si="3"/>
        <v>-1.6942551119766287</v>
      </c>
      <c r="F113" s="49">
        <f>VLOOKUP($A113,'Data shares'!$C:$FB,98)</f>
        <v>62673000</v>
      </c>
      <c r="G113" s="49">
        <f>VLOOKUP($A113,'Data shares'!$C:$FB,99)</f>
        <v>60518000</v>
      </c>
      <c r="H113" s="50">
        <f t="shared" si="4"/>
        <v>3.5609240226048451</v>
      </c>
      <c r="I113" s="49">
        <f>VLOOKUP($A113,'Data shares'!$C:$FB,66)</f>
        <v>44889000</v>
      </c>
      <c r="J113" s="49">
        <f>VLOOKUP($A113,'Data shares'!$C:$FB,67)</f>
        <v>29373000</v>
      </c>
      <c r="K113" s="50">
        <f t="shared" si="5"/>
        <v>34.56526097707679</v>
      </c>
      <c r="L113" s="50">
        <f>VLOOKUP($A113,'Data shares'!$C:$FB,118)</f>
        <v>0.44</v>
      </c>
      <c r="M113" s="50">
        <f>VLOOKUP($A113,'Data shares'!$C:$FB,119)</f>
        <v>0.41</v>
      </c>
      <c r="N113" s="50">
        <f>VLOOKUP($A113,'Data shares'!$C:$FB,121)*100</f>
        <v>7.32</v>
      </c>
      <c r="O113" s="50">
        <f>VLOOKUP($A113,'Data shares'!$C:$FB,124)</f>
        <v>0.45</v>
      </c>
      <c r="P113" s="50">
        <f>VLOOKUP($A113,'Data shares'!$C:$FB,125)</f>
        <v>0.45</v>
      </c>
      <c r="Q113" s="50">
        <f>VLOOKUP($A113,'Data shares'!$C:$FB,127)*100</f>
        <v>0</v>
      </c>
    </row>
    <row r="114" spans="1:17" x14ac:dyDescent="0.25">
      <c r="A114" s="97" t="str">
        <f>'Data Vlaue (Cr)'!C109</f>
        <v>JSWSTEEL</v>
      </c>
      <c r="B114" s="140">
        <f>VLOOKUP($A114,'Data shares'!$C:$FB,7)</f>
        <v>1170</v>
      </c>
      <c r="C114" s="140">
        <f>VLOOKUP($A114,'Data shares'!$C:$FB,3)</f>
        <v>1172</v>
      </c>
      <c r="D114" s="140">
        <f>VLOOKUP($A114,'Data shares'!$C:$FB,4)</f>
        <v>1165.0999999999999</v>
      </c>
      <c r="E114" s="50">
        <f t="shared" si="3"/>
        <v>0.59222384344692225</v>
      </c>
      <c r="F114" s="49">
        <f>VLOOKUP($A114,'Data shares'!$C:$FB,98)</f>
        <v>58924800</v>
      </c>
      <c r="G114" s="49">
        <f>VLOOKUP($A114,'Data shares'!$C:$FB,99)</f>
        <v>59371650</v>
      </c>
      <c r="H114" s="50">
        <f t="shared" si="4"/>
        <v>-0.75263193797039496</v>
      </c>
      <c r="I114" s="49">
        <f>VLOOKUP($A114,'Data shares'!$C:$FB,66)</f>
        <v>36901575</v>
      </c>
      <c r="J114" s="49">
        <f>VLOOKUP($A114,'Data shares'!$C:$FB,67)</f>
        <v>17933400</v>
      </c>
      <c r="K114" s="50">
        <f t="shared" si="5"/>
        <v>51.402074301706634</v>
      </c>
      <c r="L114" s="50">
        <f>VLOOKUP($A114,'Data shares'!$C:$FB,118)</f>
        <v>0.57999999999999996</v>
      </c>
      <c r="M114" s="50">
        <f>VLOOKUP($A114,'Data shares'!$C:$FB,119)</f>
        <v>0.55000000000000004</v>
      </c>
      <c r="N114" s="50">
        <f>VLOOKUP($A114,'Data shares'!$C:$FB,121)*100</f>
        <v>5.45</v>
      </c>
      <c r="O114" s="50">
        <f>VLOOKUP($A114,'Data shares'!$C:$FB,124)</f>
        <v>0.5</v>
      </c>
      <c r="P114" s="50">
        <f>VLOOKUP($A114,'Data shares'!$C:$FB,125)</f>
        <v>0.4</v>
      </c>
      <c r="Q114" s="50">
        <f>VLOOKUP($A114,'Data shares'!$C:$FB,127)*100</f>
        <v>25</v>
      </c>
    </row>
    <row r="115" spans="1:17" x14ac:dyDescent="0.25">
      <c r="A115" s="97" t="str">
        <f>'Data Vlaue (Cr)'!C110</f>
        <v>JUBLFOOD</v>
      </c>
      <c r="B115" s="140">
        <f>VLOOKUP($A115,'Data shares'!$C:$FB,7)</f>
        <v>591.15</v>
      </c>
      <c r="C115" s="140">
        <f>VLOOKUP($A115,'Data shares'!$C:$FB,3)</f>
        <v>592.1</v>
      </c>
      <c r="D115" s="140">
        <f>VLOOKUP($A115,'Data shares'!$C:$FB,4)</f>
        <v>595.45000000000005</v>
      </c>
      <c r="E115" s="50">
        <f t="shared" si="3"/>
        <v>-0.56259971450164115</v>
      </c>
      <c r="F115" s="49">
        <f>VLOOKUP($A115,'Data shares'!$C:$FB,98)</f>
        <v>42770000</v>
      </c>
      <c r="G115" s="49">
        <f>VLOOKUP($A115,'Data shares'!$C:$FB,99)</f>
        <v>43915000</v>
      </c>
      <c r="H115" s="50">
        <f t="shared" si="4"/>
        <v>-2.6073095753159512</v>
      </c>
      <c r="I115" s="49">
        <f>VLOOKUP($A115,'Data shares'!$C:$FB,66)</f>
        <v>43021250</v>
      </c>
      <c r="J115" s="49">
        <f>VLOOKUP($A115,'Data shares'!$C:$FB,67)</f>
        <v>30077500</v>
      </c>
      <c r="K115" s="50">
        <f t="shared" si="5"/>
        <v>30.086875671906327</v>
      </c>
      <c r="L115" s="50">
        <f>VLOOKUP($A115,'Data shares'!$C:$FB,118)</f>
        <v>0.65</v>
      </c>
      <c r="M115" s="50">
        <f>VLOOKUP($A115,'Data shares'!$C:$FB,119)</f>
        <v>0.65</v>
      </c>
      <c r="N115" s="50">
        <f>VLOOKUP($A115,'Data shares'!$C:$FB,121)*100</f>
        <v>0</v>
      </c>
      <c r="O115" s="50">
        <f>VLOOKUP($A115,'Data shares'!$C:$FB,124)</f>
        <v>0.39</v>
      </c>
      <c r="P115" s="50">
        <f>VLOOKUP($A115,'Data shares'!$C:$FB,125)</f>
        <v>0.49</v>
      </c>
      <c r="Q115" s="50">
        <f>VLOOKUP($A115,'Data shares'!$C:$FB,127)*100</f>
        <v>-20.41</v>
      </c>
    </row>
    <row r="116" spans="1:17" x14ac:dyDescent="0.25">
      <c r="A116" s="97" t="str">
        <f>'Data Vlaue (Cr)'!C111</f>
        <v>KALYANKJIL</v>
      </c>
      <c r="B116" s="140">
        <f>VLOOKUP($A116,'Data shares'!$C:$FB,7)</f>
        <v>504.1</v>
      </c>
      <c r="C116" s="140">
        <f>VLOOKUP($A116,'Data shares'!$C:$FB,3)</f>
        <v>504.85</v>
      </c>
      <c r="D116" s="140">
        <f>VLOOKUP($A116,'Data shares'!$C:$FB,4)</f>
        <v>500.8</v>
      </c>
      <c r="E116" s="50">
        <f t="shared" si="3"/>
        <v>0.80870607028754216</v>
      </c>
      <c r="F116" s="49">
        <f>VLOOKUP($A116,'Data shares'!$C:$FB,98)</f>
        <v>48700225</v>
      </c>
      <c r="G116" s="49">
        <f>VLOOKUP($A116,'Data shares'!$C:$FB,99)</f>
        <v>51321650</v>
      </c>
      <c r="H116" s="50">
        <f t="shared" si="4"/>
        <v>-5.1078346078117125</v>
      </c>
      <c r="I116" s="49">
        <f>VLOOKUP($A116,'Data shares'!$C:$FB,66)</f>
        <v>72253100</v>
      </c>
      <c r="J116" s="49">
        <f>VLOOKUP($A116,'Data shares'!$C:$FB,67)</f>
        <v>39550500</v>
      </c>
      <c r="K116" s="50">
        <f t="shared" si="5"/>
        <v>45.26117218499968</v>
      </c>
      <c r="L116" s="50">
        <f>VLOOKUP($A116,'Data shares'!$C:$FB,118)</f>
        <v>0.52</v>
      </c>
      <c r="M116" s="50">
        <f>VLOOKUP($A116,'Data shares'!$C:$FB,119)</f>
        <v>0.48</v>
      </c>
      <c r="N116" s="50">
        <f>VLOOKUP($A116,'Data shares'!$C:$FB,121)*100</f>
        <v>8.33</v>
      </c>
      <c r="O116" s="50">
        <f>VLOOKUP($A116,'Data shares'!$C:$FB,124)</f>
        <v>0.37</v>
      </c>
      <c r="P116" s="50">
        <f>VLOOKUP($A116,'Data shares'!$C:$FB,125)</f>
        <v>0.35</v>
      </c>
      <c r="Q116" s="50">
        <f>VLOOKUP($A116,'Data shares'!$C:$FB,127)*100</f>
        <v>5.71</v>
      </c>
    </row>
    <row r="117" spans="1:17" x14ac:dyDescent="0.25">
      <c r="A117" s="97" t="str">
        <f>'Data Vlaue (Cr)'!C112</f>
        <v>KAYNES</v>
      </c>
      <c r="B117" s="140">
        <f>VLOOKUP($A117,'Data shares'!$C:$FB,7)</f>
        <v>5967.5</v>
      </c>
      <c r="C117" s="140">
        <f>VLOOKUP($A117,'Data shares'!$C:$FB,3)</f>
        <v>5978.5</v>
      </c>
      <c r="D117" s="140">
        <f>VLOOKUP($A117,'Data shares'!$C:$FB,4)</f>
        <v>5982.5</v>
      </c>
      <c r="E117" s="50">
        <f t="shared" si="3"/>
        <v>-6.6861679899707482E-2</v>
      </c>
      <c r="F117" s="49">
        <f>VLOOKUP($A117,'Data shares'!$C:$FB,98)</f>
        <v>6874700</v>
      </c>
      <c r="G117" s="49">
        <f>VLOOKUP($A117,'Data shares'!$C:$FB,99)</f>
        <v>7532300</v>
      </c>
      <c r="H117" s="50">
        <f t="shared" si="4"/>
        <v>-8.730401072713514</v>
      </c>
      <c r="I117" s="49">
        <f>VLOOKUP($A117,'Data shares'!$C:$FB,66)</f>
        <v>8495000</v>
      </c>
      <c r="J117" s="49">
        <f>VLOOKUP($A117,'Data shares'!$C:$FB,67)</f>
        <v>16007400</v>
      </c>
      <c r="K117" s="50">
        <f t="shared" si="5"/>
        <v>-88.433195997645669</v>
      </c>
      <c r="L117" s="50">
        <f>VLOOKUP($A117,'Data shares'!$C:$FB,118)</f>
        <v>0.33</v>
      </c>
      <c r="M117" s="50">
        <f>VLOOKUP($A117,'Data shares'!$C:$FB,119)</f>
        <v>0.31</v>
      </c>
      <c r="N117" s="50">
        <f>VLOOKUP($A117,'Data shares'!$C:$FB,121)*100</f>
        <v>6.45</v>
      </c>
      <c r="O117" s="50">
        <f>VLOOKUP($A117,'Data shares'!$C:$FB,124)</f>
        <v>0.32</v>
      </c>
      <c r="P117" s="50">
        <f>VLOOKUP($A117,'Data shares'!$C:$FB,125)</f>
        <v>0.3</v>
      </c>
      <c r="Q117" s="50">
        <f>VLOOKUP($A117,'Data shares'!$C:$FB,127)*100</f>
        <v>6.67</v>
      </c>
    </row>
    <row r="118" spans="1:17" x14ac:dyDescent="0.25">
      <c r="A118" s="97" t="str">
        <f>'Data Vlaue (Cr)'!C113</f>
        <v>KEI</v>
      </c>
      <c r="B118" s="140">
        <f>VLOOKUP($A118,'Data shares'!$C:$FB,7)</f>
        <v>4167.3</v>
      </c>
      <c r="C118" s="140">
        <f>VLOOKUP($A118,'Data shares'!$C:$FB,3)</f>
        <v>4165.8999999999996</v>
      </c>
      <c r="D118" s="140">
        <f>VLOOKUP($A118,'Data shares'!$C:$FB,4)</f>
        <v>4122.7</v>
      </c>
      <c r="E118" s="50">
        <f t="shared" si="3"/>
        <v>1.0478569869260392</v>
      </c>
      <c r="F118" s="49">
        <f>VLOOKUP($A118,'Data shares'!$C:$FB,98)</f>
        <v>2003925</v>
      </c>
      <c r="G118" s="49">
        <f>VLOOKUP($A118,'Data shares'!$C:$FB,99)</f>
        <v>2105075</v>
      </c>
      <c r="H118" s="50">
        <f t="shared" si="4"/>
        <v>-4.8050544517416238</v>
      </c>
      <c r="I118" s="49">
        <f>VLOOKUP($A118,'Data shares'!$C:$FB,66)</f>
        <v>2000075</v>
      </c>
      <c r="J118" s="49">
        <f>VLOOKUP($A118,'Data shares'!$C:$FB,67)</f>
        <v>736050</v>
      </c>
      <c r="K118" s="50">
        <f t="shared" si="5"/>
        <v>63.198880041998429</v>
      </c>
      <c r="L118" s="50">
        <f>VLOOKUP($A118,'Data shares'!$C:$FB,118)</f>
        <v>0.6</v>
      </c>
      <c r="M118" s="50">
        <f>VLOOKUP($A118,'Data shares'!$C:$FB,119)</f>
        <v>0.53</v>
      </c>
      <c r="N118" s="50">
        <f>VLOOKUP($A118,'Data shares'!$C:$FB,121)*100</f>
        <v>13.209999999999999</v>
      </c>
      <c r="O118" s="50">
        <f>VLOOKUP($A118,'Data shares'!$C:$FB,124)</f>
        <v>0.28999999999999998</v>
      </c>
      <c r="P118" s="50">
        <f>VLOOKUP($A118,'Data shares'!$C:$FB,125)</f>
        <v>0.52</v>
      </c>
      <c r="Q118" s="50">
        <f>VLOOKUP($A118,'Data shares'!$C:$FB,127)*100</f>
        <v>-44.230000000000004</v>
      </c>
    </row>
    <row r="119" spans="1:17" x14ac:dyDescent="0.25">
      <c r="A119" s="97" t="str">
        <f>'Data Vlaue (Cr)'!C114</f>
        <v>KFINTECH</v>
      </c>
      <c r="B119" s="140">
        <f>VLOOKUP($A119,'Data shares'!$C:$FB,7)</f>
        <v>1080.4000000000001</v>
      </c>
      <c r="C119" s="140">
        <f>VLOOKUP($A119,'Data shares'!$C:$FB,3)</f>
        <v>1081.8</v>
      </c>
      <c r="D119" s="140">
        <f>VLOOKUP($A119,'Data shares'!$C:$FB,4)</f>
        <v>1085.8</v>
      </c>
      <c r="E119" s="50">
        <f t="shared" si="3"/>
        <v>-0.36839196905507465</v>
      </c>
      <c r="F119" s="49">
        <f>VLOOKUP($A119,'Data shares'!$C:$FB,98)</f>
        <v>10061350</v>
      </c>
      <c r="G119" s="49">
        <f>VLOOKUP($A119,'Data shares'!$C:$FB,99)</f>
        <v>10831600</v>
      </c>
      <c r="H119" s="50">
        <f t="shared" si="4"/>
        <v>-7.1111377820451267</v>
      </c>
      <c r="I119" s="49">
        <f>VLOOKUP($A119,'Data shares'!$C:$FB,66)</f>
        <v>7498350</v>
      </c>
      <c r="J119" s="49">
        <f>VLOOKUP($A119,'Data shares'!$C:$FB,67)</f>
        <v>5446800</v>
      </c>
      <c r="K119" s="50">
        <f t="shared" si="5"/>
        <v>27.360019204224926</v>
      </c>
      <c r="L119" s="50">
        <f>VLOOKUP($A119,'Data shares'!$C:$FB,118)</f>
        <v>0.47</v>
      </c>
      <c r="M119" s="50">
        <f>VLOOKUP($A119,'Data shares'!$C:$FB,119)</f>
        <v>0.44</v>
      </c>
      <c r="N119" s="50">
        <f>VLOOKUP($A119,'Data shares'!$C:$FB,121)*100</f>
        <v>6.8199999999999994</v>
      </c>
      <c r="O119" s="50">
        <f>VLOOKUP($A119,'Data shares'!$C:$FB,124)</f>
        <v>0.35</v>
      </c>
      <c r="P119" s="50">
        <f>VLOOKUP($A119,'Data shares'!$C:$FB,125)</f>
        <v>0.36</v>
      </c>
      <c r="Q119" s="50">
        <f>VLOOKUP($A119,'Data shares'!$C:$FB,127)*100</f>
        <v>-2.78</v>
      </c>
    </row>
    <row r="120" spans="1:17" x14ac:dyDescent="0.25">
      <c r="A120" s="97" t="str">
        <f>'Data Vlaue (Cr)'!C115</f>
        <v>KOTAKBANK</v>
      </c>
      <c r="B120" s="140">
        <f>VLOOKUP($A120,'Data shares'!$C:$FB,7)</f>
        <v>2098.6999999999998</v>
      </c>
      <c r="C120" s="140">
        <f>VLOOKUP($A120,'Data shares'!$C:$FB,3)</f>
        <v>2097.1</v>
      </c>
      <c r="D120" s="140">
        <f>VLOOKUP($A120,'Data shares'!$C:$FB,4)</f>
        <v>2105.1</v>
      </c>
      <c r="E120" s="50">
        <f t="shared" si="3"/>
        <v>-0.38002945228255192</v>
      </c>
      <c r="F120" s="49">
        <f>VLOOKUP($A120,'Data shares'!$C:$FB,98)</f>
        <v>57849600</v>
      </c>
      <c r="G120" s="49">
        <f>VLOOKUP($A120,'Data shares'!$C:$FB,99)</f>
        <v>59034400</v>
      </c>
      <c r="H120" s="50">
        <f t="shared" si="4"/>
        <v>-2.0069654303253697</v>
      </c>
      <c r="I120" s="49">
        <f>VLOOKUP($A120,'Data shares'!$C:$FB,66)</f>
        <v>55280400</v>
      </c>
      <c r="J120" s="49">
        <f>VLOOKUP($A120,'Data shares'!$C:$FB,67)</f>
        <v>34021200</v>
      </c>
      <c r="K120" s="50">
        <f t="shared" si="5"/>
        <v>38.457029978075411</v>
      </c>
      <c r="L120" s="50">
        <f>VLOOKUP($A120,'Data shares'!$C:$FB,118)</f>
        <v>0.52</v>
      </c>
      <c r="M120" s="50">
        <f>VLOOKUP($A120,'Data shares'!$C:$FB,119)</f>
        <v>0.5</v>
      </c>
      <c r="N120" s="50">
        <f>VLOOKUP($A120,'Data shares'!$C:$FB,121)*100</f>
        <v>4</v>
      </c>
      <c r="O120" s="50">
        <f>VLOOKUP($A120,'Data shares'!$C:$FB,124)</f>
        <v>0.44</v>
      </c>
      <c r="P120" s="50">
        <f>VLOOKUP($A120,'Data shares'!$C:$FB,125)</f>
        <v>0.41</v>
      </c>
      <c r="Q120" s="50">
        <f>VLOOKUP($A120,'Data shares'!$C:$FB,127)*100</f>
        <v>7.32</v>
      </c>
    </row>
    <row r="121" spans="1:17" x14ac:dyDescent="0.25">
      <c r="A121" s="97" t="str">
        <f>'Data Vlaue (Cr)'!C116</f>
        <v>KPITTECH</v>
      </c>
      <c r="B121" s="140">
        <f>VLOOKUP($A121,'Data shares'!$C:$FB,7)</f>
        <v>1196.5999999999999</v>
      </c>
      <c r="C121" s="140">
        <f>VLOOKUP($A121,'Data shares'!$C:$FB,3)</f>
        <v>1200.5</v>
      </c>
      <c r="D121" s="140">
        <f>VLOOKUP($A121,'Data shares'!$C:$FB,4)</f>
        <v>1207.3</v>
      </c>
      <c r="E121" s="50">
        <f t="shared" si="3"/>
        <v>-0.56324028824649675</v>
      </c>
      <c r="F121" s="49">
        <f>VLOOKUP($A121,'Data shares'!$C:$FB,98)</f>
        <v>6972175</v>
      </c>
      <c r="G121" s="49">
        <f>VLOOKUP($A121,'Data shares'!$C:$FB,99)</f>
        <v>7185000</v>
      </c>
      <c r="H121" s="50">
        <f t="shared" si="4"/>
        <v>-2.9620737647877524</v>
      </c>
      <c r="I121" s="49">
        <f>VLOOKUP($A121,'Data shares'!$C:$FB,66)</f>
        <v>7856800</v>
      </c>
      <c r="J121" s="49">
        <f>VLOOKUP($A121,'Data shares'!$C:$FB,67)</f>
        <v>7132000</v>
      </c>
      <c r="K121" s="50">
        <f t="shared" si="5"/>
        <v>9.2251298238468582</v>
      </c>
      <c r="L121" s="50">
        <f>VLOOKUP($A121,'Data shares'!$C:$FB,118)</f>
        <v>0.79</v>
      </c>
      <c r="M121" s="50">
        <f>VLOOKUP($A121,'Data shares'!$C:$FB,119)</f>
        <v>0.82</v>
      </c>
      <c r="N121" s="50">
        <f>VLOOKUP($A121,'Data shares'!$C:$FB,121)*100</f>
        <v>-3.66</v>
      </c>
      <c r="O121" s="50">
        <f>VLOOKUP($A121,'Data shares'!$C:$FB,124)</f>
        <v>0.21</v>
      </c>
      <c r="P121" s="50">
        <f>VLOOKUP($A121,'Data shares'!$C:$FB,125)</f>
        <v>0.33</v>
      </c>
      <c r="Q121" s="50">
        <f>VLOOKUP($A121,'Data shares'!$C:$FB,127)*100</f>
        <v>-36.36</v>
      </c>
    </row>
    <row r="122" spans="1:17" x14ac:dyDescent="0.25">
      <c r="A122" s="97" t="str">
        <f>'Data Vlaue (Cr)'!C117</f>
        <v>LAURUSLABS</v>
      </c>
      <c r="B122" s="140">
        <f>VLOOKUP($A122,'Data shares'!$C:$FB,7)</f>
        <v>987.1</v>
      </c>
      <c r="C122" s="140">
        <f>VLOOKUP($A122,'Data shares'!$C:$FB,3)</f>
        <v>987.2</v>
      </c>
      <c r="D122" s="140">
        <f>VLOOKUP($A122,'Data shares'!$C:$FB,4)</f>
        <v>986.65</v>
      </c>
      <c r="E122" s="50">
        <f t="shared" si="3"/>
        <v>5.5744184867994553E-2</v>
      </c>
      <c r="F122" s="49">
        <f>VLOOKUP($A122,'Data shares'!$C:$FB,98)</f>
        <v>37625250</v>
      </c>
      <c r="G122" s="49">
        <f>VLOOKUP($A122,'Data shares'!$C:$FB,99)</f>
        <v>39175650</v>
      </c>
      <c r="H122" s="50">
        <f t="shared" si="4"/>
        <v>-3.9575603723231141</v>
      </c>
      <c r="I122" s="49">
        <f>VLOOKUP($A122,'Data shares'!$C:$FB,66)</f>
        <v>43942450</v>
      </c>
      <c r="J122" s="49">
        <f>VLOOKUP($A122,'Data shares'!$C:$FB,67)</f>
        <v>52827500</v>
      </c>
      <c r="K122" s="50">
        <f t="shared" si="5"/>
        <v>-20.219741957947271</v>
      </c>
      <c r="L122" s="50">
        <f>VLOOKUP($A122,'Data shares'!$C:$FB,118)</f>
        <v>0.7</v>
      </c>
      <c r="M122" s="50">
        <f>VLOOKUP($A122,'Data shares'!$C:$FB,119)</f>
        <v>0.71</v>
      </c>
      <c r="N122" s="50">
        <f>VLOOKUP($A122,'Data shares'!$C:$FB,121)*100</f>
        <v>-1.41</v>
      </c>
      <c r="O122" s="50">
        <f>VLOOKUP($A122,'Data shares'!$C:$FB,124)</f>
        <v>0.66</v>
      </c>
      <c r="P122" s="50">
        <f>VLOOKUP($A122,'Data shares'!$C:$FB,125)</f>
        <v>0.66</v>
      </c>
      <c r="Q122" s="50">
        <f>VLOOKUP($A122,'Data shares'!$C:$FB,127)*100</f>
        <v>0</v>
      </c>
    </row>
    <row r="123" spans="1:17" x14ac:dyDescent="0.25">
      <c r="A123" s="97" t="str">
        <f>'Data Vlaue (Cr)'!C118</f>
        <v>LICHSGFIN</v>
      </c>
      <c r="B123" s="140">
        <f>VLOOKUP($A123,'Data shares'!$C:$FB,7)</f>
        <v>554.79999999999995</v>
      </c>
      <c r="C123" s="140">
        <f>VLOOKUP($A123,'Data shares'!$C:$FB,3)</f>
        <v>555.4</v>
      </c>
      <c r="D123" s="140">
        <f>VLOOKUP($A123,'Data shares'!$C:$FB,4)</f>
        <v>563.70000000000005</v>
      </c>
      <c r="E123" s="50">
        <f t="shared" si="3"/>
        <v>-1.4724144048252736</v>
      </c>
      <c r="F123" s="49">
        <f>VLOOKUP($A123,'Data shares'!$C:$FB,98)</f>
        <v>55441000</v>
      </c>
      <c r="G123" s="49">
        <f>VLOOKUP($A123,'Data shares'!$C:$FB,99)</f>
        <v>52949000</v>
      </c>
      <c r="H123" s="50">
        <f t="shared" si="4"/>
        <v>4.7064156074713406</v>
      </c>
      <c r="I123" s="49">
        <f>VLOOKUP($A123,'Data shares'!$C:$FB,66)</f>
        <v>29037000</v>
      </c>
      <c r="J123" s="49">
        <f>VLOOKUP($A123,'Data shares'!$C:$FB,67)</f>
        <v>19324000</v>
      </c>
      <c r="K123" s="50">
        <f t="shared" si="5"/>
        <v>33.450425319420049</v>
      </c>
      <c r="L123" s="50">
        <f>VLOOKUP($A123,'Data shares'!$C:$FB,118)</f>
        <v>0.7</v>
      </c>
      <c r="M123" s="50">
        <f>VLOOKUP($A123,'Data shares'!$C:$FB,119)</f>
        <v>0.66</v>
      </c>
      <c r="N123" s="50">
        <f>VLOOKUP($A123,'Data shares'!$C:$FB,121)*100</f>
        <v>6.0600000000000005</v>
      </c>
      <c r="O123" s="50">
        <f>VLOOKUP($A123,'Data shares'!$C:$FB,124)</f>
        <v>0.5</v>
      </c>
      <c r="P123" s="50">
        <f>VLOOKUP($A123,'Data shares'!$C:$FB,125)</f>
        <v>0.35</v>
      </c>
      <c r="Q123" s="50">
        <f>VLOOKUP($A123,'Data shares'!$C:$FB,127)*100</f>
        <v>42.86</v>
      </c>
    </row>
    <row r="124" spans="1:17" x14ac:dyDescent="0.25">
      <c r="A124" s="97" t="str">
        <f>'Data Vlaue (Cr)'!C119</f>
        <v>LICI</v>
      </c>
      <c r="B124" s="140">
        <f>VLOOKUP($A124,'Data shares'!$C:$FB,7)</f>
        <v>908.3</v>
      </c>
      <c r="C124" s="140">
        <f>VLOOKUP($A124,'Data shares'!$C:$FB,3)</f>
        <v>908.05</v>
      </c>
      <c r="D124" s="140">
        <f>VLOOKUP($A124,'Data shares'!$C:$FB,4)</f>
        <v>913.95</v>
      </c>
      <c r="E124" s="50">
        <f t="shared" si="3"/>
        <v>-0.64554953772089185</v>
      </c>
      <c r="F124" s="49">
        <f>VLOOKUP($A124,'Data shares'!$C:$FB,98)</f>
        <v>23296000</v>
      </c>
      <c r="G124" s="49">
        <f>VLOOKUP($A124,'Data shares'!$C:$FB,99)</f>
        <v>24063200</v>
      </c>
      <c r="H124" s="50">
        <f t="shared" si="4"/>
        <v>-3.1882708866651148</v>
      </c>
      <c r="I124" s="49">
        <f>VLOOKUP($A124,'Data shares'!$C:$FB,66)</f>
        <v>14479500</v>
      </c>
      <c r="J124" s="49">
        <f>VLOOKUP($A124,'Data shares'!$C:$FB,67)</f>
        <v>13930700</v>
      </c>
      <c r="K124" s="50">
        <f t="shared" si="5"/>
        <v>3.7901861252115059</v>
      </c>
      <c r="L124" s="50">
        <f>VLOOKUP($A124,'Data shares'!$C:$FB,118)</f>
        <v>0.51</v>
      </c>
      <c r="M124" s="50">
        <f>VLOOKUP($A124,'Data shares'!$C:$FB,119)</f>
        <v>0.51</v>
      </c>
      <c r="N124" s="50">
        <f>VLOOKUP($A124,'Data shares'!$C:$FB,121)*100</f>
        <v>0</v>
      </c>
      <c r="O124" s="50">
        <f>VLOOKUP($A124,'Data shares'!$C:$FB,124)</f>
        <v>0.34</v>
      </c>
      <c r="P124" s="50">
        <f>VLOOKUP($A124,'Data shares'!$C:$FB,125)</f>
        <v>0.33</v>
      </c>
      <c r="Q124" s="50">
        <f>VLOOKUP($A124,'Data shares'!$C:$FB,127)*100</f>
        <v>3.0300000000000002</v>
      </c>
    </row>
    <row r="125" spans="1:17" x14ac:dyDescent="0.25">
      <c r="A125" s="97" t="str">
        <f>'Data Vlaue (Cr)'!C120</f>
        <v>LODHA</v>
      </c>
      <c r="B125" s="140">
        <f>VLOOKUP($A125,'Data shares'!$C:$FB,7)</f>
        <v>1200.8</v>
      </c>
      <c r="C125" s="140">
        <f>VLOOKUP($A125,'Data shares'!$C:$FB,3)</f>
        <v>1203.4000000000001</v>
      </c>
      <c r="D125" s="140">
        <f>VLOOKUP($A125,'Data shares'!$C:$FB,4)</f>
        <v>1201.4000000000001</v>
      </c>
      <c r="E125" s="50">
        <f t="shared" si="3"/>
        <v>0.16647244880972198</v>
      </c>
      <c r="F125" s="49">
        <f>VLOOKUP($A125,'Data shares'!$C:$FB,98)</f>
        <v>15213150</v>
      </c>
      <c r="G125" s="49">
        <f>VLOOKUP($A125,'Data shares'!$C:$FB,99)</f>
        <v>14971950</v>
      </c>
      <c r="H125" s="50">
        <f t="shared" si="4"/>
        <v>1.6110125935499382</v>
      </c>
      <c r="I125" s="49">
        <f>VLOOKUP($A125,'Data shares'!$C:$FB,66)</f>
        <v>12071700</v>
      </c>
      <c r="J125" s="49">
        <f>VLOOKUP($A125,'Data shares'!$C:$FB,67)</f>
        <v>8443800</v>
      </c>
      <c r="K125" s="50">
        <f t="shared" si="5"/>
        <v>30.052933721016924</v>
      </c>
      <c r="L125" s="50">
        <f>VLOOKUP($A125,'Data shares'!$C:$FB,118)</f>
        <v>0.66</v>
      </c>
      <c r="M125" s="50">
        <f>VLOOKUP($A125,'Data shares'!$C:$FB,119)</f>
        <v>0.67</v>
      </c>
      <c r="N125" s="50">
        <f>VLOOKUP($A125,'Data shares'!$C:$FB,121)*100</f>
        <v>-1.49</v>
      </c>
      <c r="O125" s="50">
        <f>VLOOKUP($A125,'Data shares'!$C:$FB,124)</f>
        <v>0.36</v>
      </c>
      <c r="P125" s="50">
        <f>VLOOKUP($A125,'Data shares'!$C:$FB,125)</f>
        <v>0.38</v>
      </c>
      <c r="Q125" s="50">
        <f>VLOOKUP($A125,'Data shares'!$C:$FB,127)*100</f>
        <v>-5.26</v>
      </c>
    </row>
    <row r="126" spans="1:17" x14ac:dyDescent="0.25">
      <c r="A126" s="97" t="str">
        <f>'Data Vlaue (Cr)'!C121</f>
        <v>LT</v>
      </c>
      <c r="B126" s="140">
        <f>VLOOKUP($A126,'Data shares'!$C:$FB,7)</f>
        <v>4037.4</v>
      </c>
      <c r="C126" s="140">
        <f>VLOOKUP($A126,'Data shares'!$C:$FB,3)</f>
        <v>4040</v>
      </c>
      <c r="D126" s="140">
        <f>VLOOKUP($A126,'Data shares'!$C:$FB,4)</f>
        <v>4017.5</v>
      </c>
      <c r="E126" s="50">
        <f t="shared" si="3"/>
        <v>0.5600497822028625</v>
      </c>
      <c r="F126" s="49">
        <f>VLOOKUP($A126,'Data shares'!$C:$FB,98)</f>
        <v>23659825</v>
      </c>
      <c r="G126" s="49">
        <f>VLOOKUP($A126,'Data shares'!$C:$FB,99)</f>
        <v>23812250</v>
      </c>
      <c r="H126" s="50">
        <f t="shared" si="4"/>
        <v>-0.64011170720952448</v>
      </c>
      <c r="I126" s="49">
        <f>VLOOKUP($A126,'Data shares'!$C:$FB,66)</f>
        <v>24975825</v>
      </c>
      <c r="J126" s="49">
        <f>VLOOKUP($A126,'Data shares'!$C:$FB,67)</f>
        <v>13284775</v>
      </c>
      <c r="K126" s="50">
        <f t="shared" si="5"/>
        <v>46.809464752415586</v>
      </c>
      <c r="L126" s="50">
        <f>VLOOKUP($A126,'Data shares'!$C:$FB,118)</f>
        <v>0.59</v>
      </c>
      <c r="M126" s="50">
        <f>VLOOKUP($A126,'Data shares'!$C:$FB,119)</f>
        <v>0.52</v>
      </c>
      <c r="N126" s="50">
        <f>VLOOKUP($A126,'Data shares'!$C:$FB,121)*100</f>
        <v>13.459999999999999</v>
      </c>
      <c r="O126" s="50">
        <f>VLOOKUP($A126,'Data shares'!$C:$FB,124)</f>
        <v>0.46</v>
      </c>
      <c r="P126" s="50">
        <f>VLOOKUP($A126,'Data shares'!$C:$FB,125)</f>
        <v>0.5</v>
      </c>
      <c r="Q126" s="50">
        <f>VLOOKUP($A126,'Data shares'!$C:$FB,127)*100</f>
        <v>-8</v>
      </c>
    </row>
    <row r="127" spans="1:17" x14ac:dyDescent="0.25">
      <c r="A127" s="97" t="str">
        <f>'Data Vlaue (Cr)'!C122</f>
        <v>LTF</v>
      </c>
      <c r="B127" s="140">
        <f>VLOOKUP($A127,'Data shares'!$C:$FB,7)</f>
        <v>292.3</v>
      </c>
      <c r="C127" s="140">
        <f>VLOOKUP($A127,'Data shares'!$C:$FB,3)</f>
        <v>292.89999999999998</v>
      </c>
      <c r="D127" s="140">
        <f>VLOOKUP($A127,'Data shares'!$C:$FB,4)</f>
        <v>297.85000000000002</v>
      </c>
      <c r="E127" s="50">
        <f t="shared" si="3"/>
        <v>-1.6619103575625467</v>
      </c>
      <c r="F127" s="49">
        <f>VLOOKUP($A127,'Data shares'!$C:$FB,98)</f>
        <v>129101356</v>
      </c>
      <c r="G127" s="49">
        <f>VLOOKUP($A127,'Data shares'!$C:$FB,99)</f>
        <v>128861898</v>
      </c>
      <c r="H127" s="50">
        <f t="shared" si="4"/>
        <v>0.18582529336949546</v>
      </c>
      <c r="I127" s="49">
        <f>VLOOKUP($A127,'Data shares'!$C:$FB,66)</f>
        <v>107734990</v>
      </c>
      <c r="J127" s="49">
        <f>VLOOKUP($A127,'Data shares'!$C:$FB,67)</f>
        <v>94888892</v>
      </c>
      <c r="K127" s="50">
        <f t="shared" si="5"/>
        <v>11.923793746117209</v>
      </c>
      <c r="L127" s="50">
        <f>VLOOKUP($A127,'Data shares'!$C:$FB,118)</f>
        <v>0.84</v>
      </c>
      <c r="M127" s="50">
        <f>VLOOKUP($A127,'Data shares'!$C:$FB,119)</f>
        <v>0.83</v>
      </c>
      <c r="N127" s="50">
        <f>VLOOKUP($A127,'Data shares'!$C:$FB,121)*100</f>
        <v>1.2</v>
      </c>
      <c r="O127" s="50">
        <f>VLOOKUP($A127,'Data shares'!$C:$FB,124)</f>
        <v>0.45</v>
      </c>
      <c r="P127" s="50">
        <f>VLOOKUP($A127,'Data shares'!$C:$FB,125)</f>
        <v>0.54</v>
      </c>
      <c r="Q127" s="50">
        <f>VLOOKUP($A127,'Data shares'!$C:$FB,127)*100</f>
        <v>-16.669999999999998</v>
      </c>
    </row>
    <row r="128" spans="1:17" x14ac:dyDescent="0.25">
      <c r="A128" s="97" t="str">
        <f>'Data Vlaue (Cr)'!C123</f>
        <v>LTIM</v>
      </c>
      <c r="B128" s="140">
        <f>VLOOKUP($A128,'Data shares'!$C:$FB,7)</f>
        <v>6027</v>
      </c>
      <c r="C128" s="140">
        <f>VLOOKUP($A128,'Data shares'!$C:$FB,3)</f>
        <v>6036</v>
      </c>
      <c r="D128" s="140">
        <f>VLOOKUP($A128,'Data shares'!$C:$FB,4)</f>
        <v>5983.5</v>
      </c>
      <c r="E128" s="50">
        <f t="shared" si="3"/>
        <v>0.87741288543494622</v>
      </c>
      <c r="F128" s="49">
        <f>VLOOKUP($A128,'Data shares'!$C:$FB,98)</f>
        <v>4194000</v>
      </c>
      <c r="G128" s="49">
        <f>VLOOKUP($A128,'Data shares'!$C:$FB,99)</f>
        <v>4223850</v>
      </c>
      <c r="H128" s="50">
        <f t="shared" si="4"/>
        <v>-0.70670123228807835</v>
      </c>
      <c r="I128" s="49">
        <f>VLOOKUP($A128,'Data shares'!$C:$FB,66)</f>
        <v>9946800</v>
      </c>
      <c r="J128" s="49">
        <f>VLOOKUP($A128,'Data shares'!$C:$FB,67)</f>
        <v>18387150</v>
      </c>
      <c r="K128" s="50">
        <f t="shared" si="5"/>
        <v>-84.854928218120392</v>
      </c>
      <c r="L128" s="50">
        <f>VLOOKUP($A128,'Data shares'!$C:$FB,118)</f>
        <v>0.76</v>
      </c>
      <c r="M128" s="50">
        <f>VLOOKUP($A128,'Data shares'!$C:$FB,119)</f>
        <v>0.65</v>
      </c>
      <c r="N128" s="50">
        <f>VLOOKUP($A128,'Data shares'!$C:$FB,121)*100</f>
        <v>16.919999999999998</v>
      </c>
      <c r="O128" s="50">
        <f>VLOOKUP($A128,'Data shares'!$C:$FB,124)</f>
        <v>0.46</v>
      </c>
      <c r="P128" s="50">
        <f>VLOOKUP($A128,'Data shares'!$C:$FB,125)</f>
        <v>0.28000000000000003</v>
      </c>
      <c r="Q128" s="50">
        <f>VLOOKUP($A128,'Data shares'!$C:$FB,127)*100</f>
        <v>64.290000000000006</v>
      </c>
    </row>
    <row r="129" spans="1:17" x14ac:dyDescent="0.25">
      <c r="A129" s="97" t="str">
        <f>'Data Vlaue (Cr)'!C124</f>
        <v>LUPIN</v>
      </c>
      <c r="B129" s="140">
        <f>VLOOKUP($A129,'Data shares'!$C:$FB,7)</f>
        <v>2030.8</v>
      </c>
      <c r="C129" s="140">
        <f>VLOOKUP($A129,'Data shares'!$C:$FB,3)</f>
        <v>2028.8</v>
      </c>
      <c r="D129" s="140">
        <f>VLOOKUP($A129,'Data shares'!$C:$FB,4)</f>
        <v>2029.1</v>
      </c>
      <c r="E129" s="50">
        <f t="shared" si="3"/>
        <v>-1.4784879996055123E-2</v>
      </c>
      <c r="F129" s="49">
        <f>VLOOKUP($A129,'Data shares'!$C:$FB,98)</f>
        <v>18438200</v>
      </c>
      <c r="G129" s="49">
        <f>VLOOKUP($A129,'Data shares'!$C:$FB,99)</f>
        <v>18820275</v>
      </c>
      <c r="H129" s="50">
        <f t="shared" si="4"/>
        <v>-2.0301244269810081</v>
      </c>
      <c r="I129" s="49">
        <f>VLOOKUP($A129,'Data shares'!$C:$FB,66)</f>
        <v>11593575</v>
      </c>
      <c r="J129" s="49">
        <f>VLOOKUP($A129,'Data shares'!$C:$FB,67)</f>
        <v>8546325</v>
      </c>
      <c r="K129" s="50">
        <f t="shared" si="5"/>
        <v>26.283954690421201</v>
      </c>
      <c r="L129" s="50">
        <f>VLOOKUP($A129,'Data shares'!$C:$FB,118)</f>
        <v>0.67</v>
      </c>
      <c r="M129" s="50">
        <f>VLOOKUP($A129,'Data shares'!$C:$FB,119)</f>
        <v>0.65</v>
      </c>
      <c r="N129" s="50">
        <f>VLOOKUP($A129,'Data shares'!$C:$FB,121)*100</f>
        <v>3.08</v>
      </c>
      <c r="O129" s="50">
        <f>VLOOKUP($A129,'Data shares'!$C:$FB,124)</f>
        <v>0.37</v>
      </c>
      <c r="P129" s="50">
        <f>VLOOKUP($A129,'Data shares'!$C:$FB,125)</f>
        <v>0.35</v>
      </c>
      <c r="Q129" s="50">
        <f>VLOOKUP($A129,'Data shares'!$C:$FB,127)*100</f>
        <v>5.71</v>
      </c>
    </row>
    <row r="130" spans="1:17" x14ac:dyDescent="0.25">
      <c r="A130" s="97" t="str">
        <f>'Data Vlaue (Cr)'!C125</f>
        <v>M&amp;M</v>
      </c>
      <c r="B130" s="140">
        <f>VLOOKUP($A130,'Data shares'!$C:$FB,7)</f>
        <v>3716.7</v>
      </c>
      <c r="C130" s="140">
        <f>VLOOKUP($A130,'Data shares'!$C:$FB,3)</f>
        <v>3721.7</v>
      </c>
      <c r="D130" s="140">
        <f>VLOOKUP($A130,'Data shares'!$C:$FB,4)</f>
        <v>3724.3</v>
      </c>
      <c r="E130" s="50">
        <f t="shared" si="3"/>
        <v>-6.9811776709727033E-2</v>
      </c>
      <c r="F130" s="49">
        <f>VLOOKUP($A130,'Data shares'!$C:$FB,98)</f>
        <v>26852400</v>
      </c>
      <c r="G130" s="49">
        <f>VLOOKUP($A130,'Data shares'!$C:$FB,99)</f>
        <v>27166600</v>
      </c>
      <c r="H130" s="50">
        <f t="shared" si="4"/>
        <v>-1.1565672553797679</v>
      </c>
      <c r="I130" s="49">
        <f>VLOOKUP($A130,'Data shares'!$C:$FB,66)</f>
        <v>23578000</v>
      </c>
      <c r="J130" s="49">
        <f>VLOOKUP($A130,'Data shares'!$C:$FB,67)</f>
        <v>14622000</v>
      </c>
      <c r="K130" s="50">
        <f t="shared" si="5"/>
        <v>37.984561879718385</v>
      </c>
      <c r="L130" s="50">
        <f>VLOOKUP($A130,'Data shares'!$C:$FB,118)</f>
        <v>0.76</v>
      </c>
      <c r="M130" s="50">
        <f>VLOOKUP($A130,'Data shares'!$C:$FB,119)</f>
        <v>0.73</v>
      </c>
      <c r="N130" s="50">
        <f>VLOOKUP($A130,'Data shares'!$C:$FB,121)*100</f>
        <v>4.1099999999999994</v>
      </c>
      <c r="O130" s="50">
        <f>VLOOKUP($A130,'Data shares'!$C:$FB,124)</f>
        <v>0.53</v>
      </c>
      <c r="P130" s="50">
        <f>VLOOKUP($A130,'Data shares'!$C:$FB,125)</f>
        <v>0.64</v>
      </c>
      <c r="Q130" s="50">
        <f>VLOOKUP($A130,'Data shares'!$C:$FB,127)*100</f>
        <v>-17.190000000000001</v>
      </c>
    </row>
    <row r="131" spans="1:17" x14ac:dyDescent="0.25">
      <c r="A131" s="97" t="str">
        <f>'Data Vlaue (Cr)'!C126</f>
        <v>MANAPPURAM</v>
      </c>
      <c r="B131" s="140">
        <f>VLOOKUP($A131,'Data shares'!$C:$FB,7)</f>
        <v>282.05</v>
      </c>
      <c r="C131" s="140">
        <f>VLOOKUP($A131,'Data shares'!$C:$FB,3)</f>
        <v>282.10000000000002</v>
      </c>
      <c r="D131" s="140">
        <f>VLOOKUP($A131,'Data shares'!$C:$FB,4)</f>
        <v>280.75</v>
      </c>
      <c r="E131" s="50">
        <f t="shared" si="3"/>
        <v>0.48085485307213627</v>
      </c>
      <c r="F131" s="49">
        <f>VLOOKUP($A131,'Data shares'!$C:$FB,98)</f>
        <v>80040000</v>
      </c>
      <c r="G131" s="49">
        <f>VLOOKUP($A131,'Data shares'!$C:$FB,99)</f>
        <v>83241000</v>
      </c>
      <c r="H131" s="50">
        <f t="shared" si="4"/>
        <v>-3.8454607705337511</v>
      </c>
      <c r="I131" s="49">
        <f>VLOOKUP($A131,'Data shares'!$C:$FB,66)</f>
        <v>60192000</v>
      </c>
      <c r="J131" s="49">
        <f>VLOOKUP($A131,'Data shares'!$C:$FB,67)</f>
        <v>58809000</v>
      </c>
      <c r="K131" s="50">
        <f t="shared" si="5"/>
        <v>2.2976475279106858</v>
      </c>
      <c r="L131" s="50">
        <f>VLOOKUP($A131,'Data shares'!$C:$FB,118)</f>
        <v>0.57999999999999996</v>
      </c>
      <c r="M131" s="50">
        <f>VLOOKUP($A131,'Data shares'!$C:$FB,119)</f>
        <v>0.53</v>
      </c>
      <c r="N131" s="50">
        <f>VLOOKUP($A131,'Data shares'!$C:$FB,121)*100</f>
        <v>9.43</v>
      </c>
      <c r="O131" s="50">
        <f>VLOOKUP($A131,'Data shares'!$C:$FB,124)</f>
        <v>0.4</v>
      </c>
      <c r="P131" s="50">
        <f>VLOOKUP($A131,'Data shares'!$C:$FB,125)</f>
        <v>0.38</v>
      </c>
      <c r="Q131" s="50">
        <f>VLOOKUP($A131,'Data shares'!$C:$FB,127)*100</f>
        <v>5.26</v>
      </c>
    </row>
    <row r="132" spans="1:17" x14ac:dyDescent="0.25">
      <c r="A132" s="97" t="str">
        <f>'Data Vlaue (Cr)'!C127</f>
        <v>MANKIND</v>
      </c>
      <c r="B132" s="140">
        <f>VLOOKUP($A132,'Data shares'!$C:$FB,7)</f>
        <v>2239.5</v>
      </c>
      <c r="C132" s="140">
        <f>VLOOKUP($A132,'Data shares'!$C:$FB,3)</f>
        <v>2241.6999999999998</v>
      </c>
      <c r="D132" s="140">
        <f>VLOOKUP($A132,'Data shares'!$C:$FB,4)</f>
        <v>2228.1</v>
      </c>
      <c r="E132" s="50">
        <f t="shared" si="3"/>
        <v>0.61038553027242537</v>
      </c>
      <c r="F132" s="49">
        <f>VLOOKUP($A132,'Data shares'!$C:$FB,98)</f>
        <v>4807125</v>
      </c>
      <c r="G132" s="49">
        <f>VLOOKUP($A132,'Data shares'!$C:$FB,99)</f>
        <v>5083875</v>
      </c>
      <c r="H132" s="50">
        <f t="shared" si="4"/>
        <v>-5.4436822305819872</v>
      </c>
      <c r="I132" s="49">
        <f>VLOOKUP($A132,'Data shares'!$C:$FB,66)</f>
        <v>3037275</v>
      </c>
      <c r="J132" s="49">
        <f>VLOOKUP($A132,'Data shares'!$C:$FB,67)</f>
        <v>1403775</v>
      </c>
      <c r="K132" s="50">
        <f t="shared" si="5"/>
        <v>53.781761611971255</v>
      </c>
      <c r="L132" s="50">
        <f>VLOOKUP($A132,'Data shares'!$C:$FB,118)</f>
        <v>0.46</v>
      </c>
      <c r="M132" s="50">
        <f>VLOOKUP($A132,'Data shares'!$C:$FB,119)</f>
        <v>0.4</v>
      </c>
      <c r="N132" s="50">
        <f>VLOOKUP($A132,'Data shares'!$C:$FB,121)*100</f>
        <v>15</v>
      </c>
      <c r="O132" s="50">
        <f>VLOOKUP($A132,'Data shares'!$C:$FB,124)</f>
        <v>0.22</v>
      </c>
      <c r="P132" s="50">
        <f>VLOOKUP($A132,'Data shares'!$C:$FB,125)</f>
        <v>0.34</v>
      </c>
      <c r="Q132" s="50">
        <f>VLOOKUP($A132,'Data shares'!$C:$FB,127)*100</f>
        <v>-35.29</v>
      </c>
    </row>
    <row r="133" spans="1:17" x14ac:dyDescent="0.25">
      <c r="A133" s="97" t="str">
        <f>'Data Vlaue (Cr)'!C128</f>
        <v>MARICO</v>
      </c>
      <c r="B133" s="140">
        <f>VLOOKUP($A133,'Data shares'!$C:$FB,7)</f>
        <v>736.15</v>
      </c>
      <c r="C133" s="140">
        <f>VLOOKUP($A133,'Data shares'!$C:$FB,3)</f>
        <v>736.75</v>
      </c>
      <c r="D133" s="140">
        <f>VLOOKUP($A133,'Data shares'!$C:$FB,4)</f>
        <v>748.9</v>
      </c>
      <c r="E133" s="50">
        <f t="shared" si="3"/>
        <v>-1.6223794899185442</v>
      </c>
      <c r="F133" s="49">
        <f>VLOOKUP($A133,'Data shares'!$C:$FB,98)</f>
        <v>43826400</v>
      </c>
      <c r="G133" s="49">
        <f>VLOOKUP($A133,'Data shares'!$C:$FB,99)</f>
        <v>44203200</v>
      </c>
      <c r="H133" s="50">
        <f t="shared" si="4"/>
        <v>-0.85242697361277009</v>
      </c>
      <c r="I133" s="49">
        <f>VLOOKUP($A133,'Data shares'!$C:$FB,66)</f>
        <v>40597200</v>
      </c>
      <c r="J133" s="49">
        <f>VLOOKUP($A133,'Data shares'!$C:$FB,67)</f>
        <v>26086800</v>
      </c>
      <c r="K133" s="50">
        <f t="shared" si="5"/>
        <v>35.742366468623452</v>
      </c>
      <c r="L133" s="50">
        <f>VLOOKUP($A133,'Data shares'!$C:$FB,118)</f>
        <v>0.69</v>
      </c>
      <c r="M133" s="50">
        <f>VLOOKUP($A133,'Data shares'!$C:$FB,119)</f>
        <v>0.8</v>
      </c>
      <c r="N133" s="50">
        <f>VLOOKUP($A133,'Data shares'!$C:$FB,121)*100</f>
        <v>-13.750000000000002</v>
      </c>
      <c r="O133" s="50">
        <f>VLOOKUP($A133,'Data shares'!$C:$FB,124)</f>
        <v>0.61</v>
      </c>
      <c r="P133" s="50">
        <f>VLOOKUP($A133,'Data shares'!$C:$FB,125)</f>
        <v>0.63</v>
      </c>
      <c r="Q133" s="50">
        <f>VLOOKUP($A133,'Data shares'!$C:$FB,127)*100</f>
        <v>-3.17</v>
      </c>
    </row>
    <row r="134" spans="1:17" x14ac:dyDescent="0.25">
      <c r="A134" s="97" t="str">
        <f>'Data Vlaue (Cr)'!C129</f>
        <v>MARUTI</v>
      </c>
      <c r="B134" s="140">
        <f>VLOOKUP($A134,'Data shares'!$C:$FB,7)</f>
        <v>15801</v>
      </c>
      <c r="C134" s="140">
        <f>VLOOKUP($A134,'Data shares'!$C:$FB,3)</f>
        <v>15813</v>
      </c>
      <c r="D134" s="140">
        <f>VLOOKUP($A134,'Data shares'!$C:$FB,4)</f>
        <v>15753</v>
      </c>
      <c r="E134" s="50">
        <f t="shared" si="3"/>
        <v>0.38087983241287371</v>
      </c>
      <c r="F134" s="49">
        <f>VLOOKUP($A134,'Data shares'!$C:$FB,98)</f>
        <v>6764600</v>
      </c>
      <c r="G134" s="49">
        <f>VLOOKUP($A134,'Data shares'!$C:$FB,99)</f>
        <v>7158950</v>
      </c>
      <c r="H134" s="50">
        <f t="shared" si="4"/>
        <v>-5.5084893734416358</v>
      </c>
      <c r="I134" s="49">
        <f>VLOOKUP($A134,'Data shares'!$C:$FB,66)</f>
        <v>11980000</v>
      </c>
      <c r="J134" s="49">
        <f>VLOOKUP($A134,'Data shares'!$C:$FB,67)</f>
        <v>8983500</v>
      </c>
      <c r="K134" s="50">
        <f t="shared" si="5"/>
        <v>25.012520868113526</v>
      </c>
      <c r="L134" s="50">
        <f>VLOOKUP($A134,'Data shares'!$C:$FB,118)</f>
        <v>0.46</v>
      </c>
      <c r="M134" s="50">
        <f>VLOOKUP($A134,'Data shares'!$C:$FB,119)</f>
        <v>0.43</v>
      </c>
      <c r="N134" s="50">
        <f>VLOOKUP($A134,'Data shares'!$C:$FB,121)*100</f>
        <v>6.98</v>
      </c>
      <c r="O134" s="50">
        <f>VLOOKUP($A134,'Data shares'!$C:$FB,124)</f>
        <v>0.43</v>
      </c>
      <c r="P134" s="50">
        <f>VLOOKUP($A134,'Data shares'!$C:$FB,125)</f>
        <v>0.52</v>
      </c>
      <c r="Q134" s="50">
        <f>VLOOKUP($A134,'Data shares'!$C:$FB,127)*100</f>
        <v>-17.309999999999999</v>
      </c>
    </row>
    <row r="135" spans="1:17" x14ac:dyDescent="0.25">
      <c r="A135" s="97" t="str">
        <f>'Data Vlaue (Cr)'!C130</f>
        <v>MAXHEALTH</v>
      </c>
      <c r="B135" s="140">
        <f>VLOOKUP($A135,'Data shares'!$C:$FB,7)</f>
        <v>1168.9000000000001</v>
      </c>
      <c r="C135" s="140">
        <f>VLOOKUP($A135,'Data shares'!$C:$FB,3)</f>
        <v>1168.3</v>
      </c>
      <c r="D135" s="140">
        <f>VLOOKUP($A135,'Data shares'!$C:$FB,4)</f>
        <v>1163.5999999999999</v>
      </c>
      <c r="E135" s="50">
        <f t="shared" si="3"/>
        <v>0.40391887246476849</v>
      </c>
      <c r="F135" s="49">
        <f>VLOOKUP($A135,'Data shares'!$C:$FB,98)</f>
        <v>25030950</v>
      </c>
      <c r="G135" s="49">
        <f>VLOOKUP($A135,'Data shares'!$C:$FB,99)</f>
        <v>26362350</v>
      </c>
      <c r="H135" s="50">
        <f t="shared" si="4"/>
        <v>-5.0503843549607677</v>
      </c>
      <c r="I135" s="49">
        <f>VLOOKUP($A135,'Data shares'!$C:$FB,66)</f>
        <v>32359425</v>
      </c>
      <c r="J135" s="49">
        <f>VLOOKUP($A135,'Data shares'!$C:$FB,67)</f>
        <v>76393800</v>
      </c>
      <c r="K135" s="50">
        <f t="shared" si="5"/>
        <v>-136.07897853561983</v>
      </c>
      <c r="L135" s="50">
        <f>VLOOKUP($A135,'Data shares'!$C:$FB,118)</f>
        <v>0.7</v>
      </c>
      <c r="M135" s="50">
        <f>VLOOKUP($A135,'Data shares'!$C:$FB,119)</f>
        <v>0.71</v>
      </c>
      <c r="N135" s="50">
        <f>VLOOKUP($A135,'Data shares'!$C:$FB,121)*100</f>
        <v>-1.41</v>
      </c>
      <c r="O135" s="50">
        <f>VLOOKUP($A135,'Data shares'!$C:$FB,124)</f>
        <v>0.5</v>
      </c>
      <c r="P135" s="50">
        <f>VLOOKUP($A135,'Data shares'!$C:$FB,125)</f>
        <v>0.43</v>
      </c>
      <c r="Q135" s="50">
        <f>VLOOKUP($A135,'Data shares'!$C:$FB,127)*100</f>
        <v>16.28</v>
      </c>
    </row>
    <row r="136" spans="1:17" x14ac:dyDescent="0.25">
      <c r="A136" s="97" t="str">
        <f>'Data Vlaue (Cr)'!C131</f>
        <v>MAZDOCK</v>
      </c>
      <c r="B136" s="140">
        <f>VLOOKUP($A136,'Data shares'!$C:$FB,7)</f>
        <v>2829.5</v>
      </c>
      <c r="C136" s="140">
        <f>VLOOKUP($A136,'Data shares'!$C:$FB,3)</f>
        <v>2835.5</v>
      </c>
      <c r="D136" s="140">
        <f>VLOOKUP($A136,'Data shares'!$C:$FB,4)</f>
        <v>2788.7</v>
      </c>
      <c r="E136" s="50">
        <f t="shared" ref="E136:E172" si="6">(C136-D136)/D136*100</f>
        <v>1.6782013124394943</v>
      </c>
      <c r="F136" s="49">
        <f>VLOOKUP($A136,'Data shares'!$C:$FB,98)</f>
        <v>8985525</v>
      </c>
      <c r="G136" s="49">
        <f>VLOOKUP($A136,'Data shares'!$C:$FB,99)</f>
        <v>9705300</v>
      </c>
      <c r="H136" s="50">
        <f t="shared" ref="H136:H172" si="7">(F136-G136)/G136*100</f>
        <v>-7.4163086148805295</v>
      </c>
      <c r="I136" s="49">
        <f>VLOOKUP($A136,'Data shares'!$C:$FB,66)</f>
        <v>16474150</v>
      </c>
      <c r="J136" s="49">
        <f>VLOOKUP($A136,'Data shares'!$C:$FB,67)</f>
        <v>5248425</v>
      </c>
      <c r="K136" s="50">
        <f t="shared" ref="K136:K172" si="8">(I136-J136)/I136*100</f>
        <v>68.141451911024248</v>
      </c>
      <c r="L136" s="50">
        <f>VLOOKUP($A136,'Data shares'!$C:$FB,118)</f>
        <v>0.47</v>
      </c>
      <c r="M136" s="50">
        <f>VLOOKUP($A136,'Data shares'!$C:$FB,119)</f>
        <v>0.42</v>
      </c>
      <c r="N136" s="50">
        <f>VLOOKUP($A136,'Data shares'!$C:$FB,121)*100</f>
        <v>11.899999999999999</v>
      </c>
      <c r="O136" s="50">
        <f>VLOOKUP($A136,'Data shares'!$C:$FB,124)</f>
        <v>0.3</v>
      </c>
      <c r="P136" s="50">
        <f>VLOOKUP($A136,'Data shares'!$C:$FB,125)</f>
        <v>0.23</v>
      </c>
      <c r="Q136" s="50">
        <f>VLOOKUP($A136,'Data shares'!$C:$FB,127)*100</f>
        <v>30.43</v>
      </c>
    </row>
    <row r="137" spans="1:17" x14ac:dyDescent="0.25">
      <c r="A137" s="97" t="str">
        <f>'Data Vlaue (Cr)'!C132</f>
        <v>MCX</v>
      </c>
      <c r="B137" s="140">
        <f>VLOOKUP($A137,'Data shares'!$C:$FB,7)</f>
        <v>9858.5</v>
      </c>
      <c r="C137" s="140">
        <f>VLOOKUP($A137,'Data shares'!$C:$FB,3)</f>
        <v>9849.5</v>
      </c>
      <c r="D137" s="140">
        <f>VLOOKUP($A137,'Data shares'!$C:$FB,4)</f>
        <v>9793</v>
      </c>
      <c r="E137" s="50">
        <f t="shared" si="6"/>
        <v>0.57694271418360055</v>
      </c>
      <c r="F137" s="49">
        <f>VLOOKUP($A137,'Data shares'!$C:$FB,98)</f>
        <v>7265125</v>
      </c>
      <c r="G137" s="49">
        <f>VLOOKUP($A137,'Data shares'!$C:$FB,99)</f>
        <v>7602250</v>
      </c>
      <c r="H137" s="50">
        <f t="shared" si="7"/>
        <v>-4.4345424052089841</v>
      </c>
      <c r="I137" s="49">
        <f>VLOOKUP($A137,'Data shares'!$C:$FB,66)</f>
        <v>19197625</v>
      </c>
      <c r="J137" s="49">
        <f>VLOOKUP($A137,'Data shares'!$C:$FB,67)</f>
        <v>13919000</v>
      </c>
      <c r="K137" s="50">
        <f t="shared" si="8"/>
        <v>27.496239769242287</v>
      </c>
      <c r="L137" s="50">
        <f>VLOOKUP($A137,'Data shares'!$C:$FB,118)</f>
        <v>0.76</v>
      </c>
      <c r="M137" s="50">
        <f>VLOOKUP($A137,'Data shares'!$C:$FB,119)</f>
        <v>0.78</v>
      </c>
      <c r="N137" s="50">
        <f>VLOOKUP($A137,'Data shares'!$C:$FB,121)*100</f>
        <v>-2.56</v>
      </c>
      <c r="O137" s="50">
        <f>VLOOKUP($A137,'Data shares'!$C:$FB,124)</f>
        <v>0.54</v>
      </c>
      <c r="P137" s="50">
        <f>VLOOKUP($A137,'Data shares'!$C:$FB,125)</f>
        <v>0.6</v>
      </c>
      <c r="Q137" s="50">
        <f>VLOOKUP($A137,'Data shares'!$C:$FB,127)*100</f>
        <v>-10</v>
      </c>
    </row>
    <row r="138" spans="1:17" x14ac:dyDescent="0.25">
      <c r="A138" s="97" t="str">
        <f>'Data Vlaue (Cr)'!C133</f>
        <v>MFSL</v>
      </c>
      <c r="B138" s="140">
        <f>VLOOKUP($A138,'Data shares'!$C:$FB,7)</f>
        <v>1692.6</v>
      </c>
      <c r="C138" s="140">
        <f>VLOOKUP($A138,'Data shares'!$C:$FB,3)</f>
        <v>1692.4</v>
      </c>
      <c r="D138" s="140">
        <f>VLOOKUP($A138,'Data shares'!$C:$FB,4)</f>
        <v>1672.2</v>
      </c>
      <c r="E138" s="50">
        <f t="shared" si="6"/>
        <v>1.2079894749431914</v>
      </c>
      <c r="F138" s="49">
        <f>VLOOKUP($A138,'Data shares'!$C:$FB,98)</f>
        <v>10548800</v>
      </c>
      <c r="G138" s="49">
        <f>VLOOKUP($A138,'Data shares'!$C:$FB,99)</f>
        <v>10105200</v>
      </c>
      <c r="H138" s="50">
        <f t="shared" si="7"/>
        <v>4.3898191030360607</v>
      </c>
      <c r="I138" s="49">
        <f>VLOOKUP($A138,'Data shares'!$C:$FB,66)</f>
        <v>17105200</v>
      </c>
      <c r="J138" s="49">
        <f>VLOOKUP($A138,'Data shares'!$C:$FB,67)</f>
        <v>4626800</v>
      </c>
      <c r="K138" s="50">
        <f t="shared" si="8"/>
        <v>72.950915511072651</v>
      </c>
      <c r="L138" s="50">
        <f>VLOOKUP($A138,'Data shares'!$C:$FB,118)</f>
        <v>0.66</v>
      </c>
      <c r="M138" s="50">
        <f>VLOOKUP($A138,'Data shares'!$C:$FB,119)</f>
        <v>0.68</v>
      </c>
      <c r="N138" s="50">
        <f>VLOOKUP($A138,'Data shares'!$C:$FB,121)*100</f>
        <v>-2.94</v>
      </c>
      <c r="O138" s="50">
        <f>VLOOKUP($A138,'Data shares'!$C:$FB,124)</f>
        <v>0.38</v>
      </c>
      <c r="P138" s="50">
        <f>VLOOKUP($A138,'Data shares'!$C:$FB,125)</f>
        <v>0.52</v>
      </c>
      <c r="Q138" s="50">
        <f>VLOOKUP($A138,'Data shares'!$C:$FB,127)*100</f>
        <v>-26.919999999999998</v>
      </c>
    </row>
    <row r="139" spans="1:17" x14ac:dyDescent="0.25">
      <c r="A139" s="97" t="str">
        <f>'Data Vlaue (Cr)'!C134</f>
        <v>MIDCPNIFTY</v>
      </c>
      <c r="B139" s="140">
        <f>VLOOKUP($A139,'Data shares'!$C:$FB,7)</f>
        <v>13992.2</v>
      </c>
      <c r="C139" s="140">
        <f>VLOOKUP($A139,'Data shares'!$C:$FB,3)</f>
        <v>14007.25</v>
      </c>
      <c r="D139" s="140">
        <f>VLOOKUP($A139,'Data shares'!$C:$FB,4)</f>
        <v>14025.65</v>
      </c>
      <c r="E139" s="50">
        <f t="shared" si="6"/>
        <v>-0.13118821587591048</v>
      </c>
      <c r="F139" s="49">
        <f>VLOOKUP($A139,'Data shares'!$C:$FB,98)</f>
        <v>25451820</v>
      </c>
      <c r="G139" s="49">
        <f>VLOOKUP($A139,'Data shares'!$C:$FB,99)</f>
        <v>26276040</v>
      </c>
      <c r="H139" s="50">
        <f t="shared" si="7"/>
        <v>-3.1367740344435466</v>
      </c>
      <c r="I139" s="49">
        <f>VLOOKUP($A139,'Data shares'!$C:$FB,66)</f>
        <v>82018720</v>
      </c>
      <c r="J139" s="49">
        <f>VLOOKUP($A139,'Data shares'!$C:$FB,67)</f>
        <v>73102540</v>
      </c>
      <c r="K139" s="50">
        <f t="shared" si="8"/>
        <v>10.870908495036256</v>
      </c>
      <c r="L139" s="50">
        <f>VLOOKUP($A139,'Data shares'!$C:$FB,118)</f>
        <v>1.1000000000000001</v>
      </c>
      <c r="M139" s="50">
        <f>VLOOKUP($A139,'Data shares'!$C:$FB,119)</f>
        <v>1.2</v>
      </c>
      <c r="N139" s="50">
        <f>VLOOKUP($A139,'Data shares'!$C:$FB,121)*100</f>
        <v>-8.33</v>
      </c>
      <c r="O139" s="50">
        <f>VLOOKUP($A139,'Data shares'!$C:$FB,124)</f>
        <v>1.05</v>
      </c>
      <c r="P139" s="50">
        <f>VLOOKUP($A139,'Data shares'!$C:$FB,125)</f>
        <v>1.17</v>
      </c>
      <c r="Q139" s="50">
        <f>VLOOKUP($A139,'Data shares'!$C:$FB,127)*100</f>
        <v>-10.26</v>
      </c>
    </row>
    <row r="140" spans="1:17" x14ac:dyDescent="0.25">
      <c r="A140" s="97" t="str">
        <f>'Data Vlaue (Cr)'!C135</f>
        <v>MOTHERSON</v>
      </c>
      <c r="B140" s="140">
        <f>VLOOKUP($A140,'Data shares'!$C:$FB,7)</f>
        <v>112</v>
      </c>
      <c r="C140" s="140">
        <f>VLOOKUP($A140,'Data shares'!$C:$FB,3)</f>
        <v>111.95</v>
      </c>
      <c r="D140" s="140">
        <f>VLOOKUP($A140,'Data shares'!$C:$FB,4)</f>
        <v>112.16</v>
      </c>
      <c r="E140" s="50">
        <f t="shared" si="6"/>
        <v>-0.1872325249643311</v>
      </c>
      <c r="F140" s="49">
        <f>VLOOKUP($A140,'Data shares'!$C:$FB,98)</f>
        <v>327235350</v>
      </c>
      <c r="G140" s="49">
        <f>VLOOKUP($A140,'Data shares'!$C:$FB,99)</f>
        <v>333053250</v>
      </c>
      <c r="H140" s="50">
        <f t="shared" si="7"/>
        <v>-1.746837780445019</v>
      </c>
      <c r="I140" s="49">
        <f>VLOOKUP($A140,'Data shares'!$C:$FB,66)</f>
        <v>219007650</v>
      </c>
      <c r="J140" s="49">
        <f>VLOOKUP($A140,'Data shares'!$C:$FB,67)</f>
        <v>502344300</v>
      </c>
      <c r="K140" s="50">
        <f t="shared" si="8"/>
        <v>-129.37294656145573</v>
      </c>
      <c r="L140" s="50">
        <f>VLOOKUP($A140,'Data shares'!$C:$FB,118)</f>
        <v>0.61</v>
      </c>
      <c r="M140" s="50">
        <f>VLOOKUP($A140,'Data shares'!$C:$FB,119)</f>
        <v>0.6</v>
      </c>
      <c r="N140" s="50">
        <f>VLOOKUP($A140,'Data shares'!$C:$FB,121)*100</f>
        <v>1.67</v>
      </c>
      <c r="O140" s="50">
        <f>VLOOKUP($A140,'Data shares'!$C:$FB,124)</f>
        <v>0.4</v>
      </c>
      <c r="P140" s="50">
        <f>VLOOKUP($A140,'Data shares'!$C:$FB,125)</f>
        <v>0.34</v>
      </c>
      <c r="Q140" s="50">
        <f>VLOOKUP($A140,'Data shares'!$C:$FB,127)*100</f>
        <v>17.649999999999999</v>
      </c>
    </row>
    <row r="141" spans="1:17" x14ac:dyDescent="0.25">
      <c r="A141" s="97" t="str">
        <f>'Data Vlaue (Cr)'!C136</f>
        <v>MPHASIS</v>
      </c>
      <c r="B141" s="140">
        <f>VLOOKUP($A141,'Data shares'!$C:$FB,7)</f>
        <v>2740.4</v>
      </c>
      <c r="C141" s="140">
        <f>VLOOKUP($A141,'Data shares'!$C:$FB,3)</f>
        <v>2744.2</v>
      </c>
      <c r="D141" s="140">
        <f>VLOOKUP($A141,'Data shares'!$C:$FB,4)</f>
        <v>2715</v>
      </c>
      <c r="E141" s="50">
        <f t="shared" si="6"/>
        <v>1.0755064456721848</v>
      </c>
      <c r="F141" s="49">
        <f>VLOOKUP($A141,'Data shares'!$C:$FB,98)</f>
        <v>11189475</v>
      </c>
      <c r="G141" s="49">
        <f>VLOOKUP($A141,'Data shares'!$C:$FB,99)</f>
        <v>12003475</v>
      </c>
      <c r="H141" s="50">
        <f t="shared" si="7"/>
        <v>-6.7813695617310819</v>
      </c>
      <c r="I141" s="49">
        <f>VLOOKUP($A141,'Data shares'!$C:$FB,66)</f>
        <v>16005000</v>
      </c>
      <c r="J141" s="49">
        <f>VLOOKUP($A141,'Data shares'!$C:$FB,67)</f>
        <v>20245775</v>
      </c>
      <c r="K141" s="50">
        <f t="shared" si="8"/>
        <v>-26.496563573883165</v>
      </c>
      <c r="L141" s="50">
        <f>VLOOKUP($A141,'Data shares'!$C:$FB,118)</f>
        <v>0.6</v>
      </c>
      <c r="M141" s="50">
        <f>VLOOKUP($A141,'Data shares'!$C:$FB,119)</f>
        <v>0.53</v>
      </c>
      <c r="N141" s="50">
        <f>VLOOKUP($A141,'Data shares'!$C:$FB,121)*100</f>
        <v>13.209999999999999</v>
      </c>
      <c r="O141" s="50">
        <f>VLOOKUP($A141,'Data shares'!$C:$FB,124)</f>
        <v>0.44</v>
      </c>
      <c r="P141" s="50">
        <f>VLOOKUP($A141,'Data shares'!$C:$FB,125)</f>
        <v>0.4</v>
      </c>
      <c r="Q141" s="50">
        <f>VLOOKUP($A141,'Data shares'!$C:$FB,127)*100</f>
        <v>10</v>
      </c>
    </row>
    <row r="142" spans="1:17" x14ac:dyDescent="0.25">
      <c r="A142" s="97" t="str">
        <f>'Data Vlaue (Cr)'!C137</f>
        <v>MUTHOOTFIN</v>
      </c>
      <c r="B142" s="140">
        <f>VLOOKUP($A142,'Data shares'!$C:$FB,7)</f>
        <v>3697.5</v>
      </c>
      <c r="C142" s="140">
        <f>VLOOKUP($A142,'Data shares'!$C:$FB,3)</f>
        <v>3708.1</v>
      </c>
      <c r="D142" s="140">
        <f>VLOOKUP($A142,'Data shares'!$C:$FB,4)</f>
        <v>3714.4</v>
      </c>
      <c r="E142" s="50">
        <f t="shared" si="6"/>
        <v>-0.16961016584105593</v>
      </c>
      <c r="F142" s="49">
        <f>VLOOKUP($A142,'Data shares'!$C:$FB,98)</f>
        <v>10718125</v>
      </c>
      <c r="G142" s="49">
        <f>VLOOKUP($A142,'Data shares'!$C:$FB,99)</f>
        <v>11478225</v>
      </c>
      <c r="H142" s="50">
        <f t="shared" si="7"/>
        <v>-6.6221040274084197</v>
      </c>
      <c r="I142" s="49">
        <f>VLOOKUP($A142,'Data shares'!$C:$FB,66)</f>
        <v>10101575</v>
      </c>
      <c r="J142" s="49">
        <f>VLOOKUP($A142,'Data shares'!$C:$FB,67)</f>
        <v>11095975</v>
      </c>
      <c r="K142" s="50">
        <f t="shared" si="8"/>
        <v>-9.8440094737701802</v>
      </c>
      <c r="L142" s="50">
        <f>VLOOKUP($A142,'Data shares'!$C:$FB,118)</f>
        <v>0.85</v>
      </c>
      <c r="M142" s="50">
        <f>VLOOKUP($A142,'Data shares'!$C:$FB,119)</f>
        <v>0.87</v>
      </c>
      <c r="N142" s="50">
        <f>VLOOKUP($A142,'Data shares'!$C:$FB,121)*100</f>
        <v>-2.2999999999999998</v>
      </c>
      <c r="O142" s="50">
        <f>VLOOKUP($A142,'Data shares'!$C:$FB,124)</f>
        <v>0.81</v>
      </c>
      <c r="P142" s="50">
        <f>VLOOKUP($A142,'Data shares'!$C:$FB,125)</f>
        <v>0.89</v>
      </c>
      <c r="Q142" s="50">
        <f>VLOOKUP($A142,'Data shares'!$C:$FB,127)*100</f>
        <v>-8.99</v>
      </c>
    </row>
    <row r="143" spans="1:17" x14ac:dyDescent="0.25">
      <c r="A143" s="97" t="str">
        <f>'Data Vlaue (Cr)'!C138</f>
        <v>NATIONALUM</v>
      </c>
      <c r="B143" s="140">
        <f>VLOOKUP($A143,'Data shares'!$C:$FB,7)</f>
        <v>257.62</v>
      </c>
      <c r="C143" s="140">
        <f>VLOOKUP($A143,'Data shares'!$C:$FB,3)</f>
        <v>258.22000000000003</v>
      </c>
      <c r="D143" s="140">
        <f>VLOOKUP($A143,'Data shares'!$C:$FB,4)</f>
        <v>256.94</v>
      </c>
      <c r="E143" s="50">
        <f t="shared" si="6"/>
        <v>0.49817077917024583</v>
      </c>
      <c r="F143" s="49">
        <f>VLOOKUP($A143,'Data shares'!$C:$FB,98)</f>
        <v>149565000</v>
      </c>
      <c r="G143" s="49">
        <f>VLOOKUP($A143,'Data shares'!$C:$FB,99)</f>
        <v>151725000</v>
      </c>
      <c r="H143" s="50">
        <f t="shared" si="7"/>
        <v>-1.4236282748393476</v>
      </c>
      <c r="I143" s="49">
        <f>VLOOKUP($A143,'Data shares'!$C:$FB,66)</f>
        <v>150993750</v>
      </c>
      <c r="J143" s="49">
        <f>VLOOKUP($A143,'Data shares'!$C:$FB,67)</f>
        <v>81686250</v>
      </c>
      <c r="K143" s="50">
        <f t="shared" si="8"/>
        <v>45.900906494474107</v>
      </c>
      <c r="L143" s="50">
        <f>VLOOKUP($A143,'Data shares'!$C:$FB,118)</f>
        <v>0.93</v>
      </c>
      <c r="M143" s="50">
        <f>VLOOKUP($A143,'Data shares'!$C:$FB,119)</f>
        <v>0.98</v>
      </c>
      <c r="N143" s="50">
        <f>VLOOKUP($A143,'Data shares'!$C:$FB,121)*100</f>
        <v>-5.0999999999999996</v>
      </c>
      <c r="O143" s="50">
        <f>VLOOKUP($A143,'Data shares'!$C:$FB,124)</f>
        <v>0.42</v>
      </c>
      <c r="P143" s="50">
        <f>VLOOKUP($A143,'Data shares'!$C:$FB,125)</f>
        <v>0.55000000000000004</v>
      </c>
      <c r="Q143" s="50">
        <f>VLOOKUP($A143,'Data shares'!$C:$FB,127)*100</f>
        <v>-23.64</v>
      </c>
    </row>
    <row r="144" spans="1:17" x14ac:dyDescent="0.25">
      <c r="A144" s="97" t="str">
        <f>'Data Vlaue (Cr)'!C139</f>
        <v>NAUKRI</v>
      </c>
      <c r="B144" s="140">
        <f>VLOOKUP($A144,'Data shares'!$C:$FB,7)</f>
        <v>1365.4</v>
      </c>
      <c r="C144" s="140">
        <f>VLOOKUP($A144,'Data shares'!$C:$FB,3)</f>
        <v>1361.7</v>
      </c>
      <c r="D144" s="140">
        <f>VLOOKUP($A144,'Data shares'!$C:$FB,4)</f>
        <v>1359.5</v>
      </c>
      <c r="E144" s="50">
        <f t="shared" si="6"/>
        <v>0.1618242000735598</v>
      </c>
      <c r="F144" s="49">
        <f>VLOOKUP($A144,'Data shares'!$C:$FB,98)</f>
        <v>13116375</v>
      </c>
      <c r="G144" s="49">
        <f>VLOOKUP($A144,'Data shares'!$C:$FB,99)</f>
        <v>13936500</v>
      </c>
      <c r="H144" s="50">
        <f t="shared" si="7"/>
        <v>-5.8847271553115919</v>
      </c>
      <c r="I144" s="49">
        <f>VLOOKUP($A144,'Data shares'!$C:$FB,66)</f>
        <v>13198500</v>
      </c>
      <c r="J144" s="49">
        <f>VLOOKUP($A144,'Data shares'!$C:$FB,67)</f>
        <v>15120750</v>
      </c>
      <c r="K144" s="50">
        <f t="shared" si="8"/>
        <v>-14.564155017615638</v>
      </c>
      <c r="L144" s="50">
        <f>VLOOKUP($A144,'Data shares'!$C:$FB,118)</f>
        <v>0.6</v>
      </c>
      <c r="M144" s="50">
        <f>VLOOKUP($A144,'Data shares'!$C:$FB,119)</f>
        <v>0.54</v>
      </c>
      <c r="N144" s="50">
        <f>VLOOKUP($A144,'Data shares'!$C:$FB,121)*100</f>
        <v>11.110000000000001</v>
      </c>
      <c r="O144" s="50">
        <f>VLOOKUP($A144,'Data shares'!$C:$FB,124)</f>
        <v>0.36</v>
      </c>
      <c r="P144" s="50">
        <f>VLOOKUP($A144,'Data shares'!$C:$FB,125)</f>
        <v>0.3</v>
      </c>
      <c r="Q144" s="50">
        <f>VLOOKUP($A144,'Data shares'!$C:$FB,127)*100</f>
        <v>20</v>
      </c>
    </row>
    <row r="145" spans="1:17" x14ac:dyDescent="0.25">
      <c r="A145" s="97" t="str">
        <f>'Data Vlaue (Cr)'!C140</f>
        <v>NBCC</v>
      </c>
      <c r="B145" s="140">
        <f>VLOOKUP($A145,'Data shares'!$C:$FB,7)</f>
        <v>115.99</v>
      </c>
      <c r="C145" s="140">
        <f>VLOOKUP($A145,'Data shares'!$C:$FB,3)</f>
        <v>116.14</v>
      </c>
      <c r="D145" s="140">
        <f>VLOOKUP($A145,'Data shares'!$C:$FB,4)</f>
        <v>113.07</v>
      </c>
      <c r="E145" s="50">
        <f t="shared" si="6"/>
        <v>2.7151322189794</v>
      </c>
      <c r="F145" s="49">
        <f>VLOOKUP($A145,'Data shares'!$C:$FB,98)</f>
        <v>165353500</v>
      </c>
      <c r="G145" s="49">
        <f>VLOOKUP($A145,'Data shares'!$C:$FB,99)</f>
        <v>152373000</v>
      </c>
      <c r="H145" s="50">
        <f t="shared" si="7"/>
        <v>8.5188977049739787</v>
      </c>
      <c r="I145" s="49">
        <f>VLOOKUP($A145,'Data shares'!$C:$FB,66)</f>
        <v>412951500</v>
      </c>
      <c r="J145" s="49">
        <f>VLOOKUP($A145,'Data shares'!$C:$FB,67)</f>
        <v>67788500</v>
      </c>
      <c r="K145" s="50">
        <f t="shared" si="8"/>
        <v>83.584391871684687</v>
      </c>
      <c r="L145" s="50">
        <f>VLOOKUP($A145,'Data shares'!$C:$FB,118)</f>
        <v>0.48</v>
      </c>
      <c r="M145" s="50">
        <f>VLOOKUP($A145,'Data shares'!$C:$FB,119)</f>
        <v>0.55000000000000004</v>
      </c>
      <c r="N145" s="50">
        <f>VLOOKUP($A145,'Data shares'!$C:$FB,121)*100</f>
        <v>-12.73</v>
      </c>
      <c r="O145" s="50">
        <f>VLOOKUP($A145,'Data shares'!$C:$FB,124)</f>
        <v>0.34</v>
      </c>
      <c r="P145" s="50">
        <f>VLOOKUP($A145,'Data shares'!$C:$FB,125)</f>
        <v>0.46</v>
      </c>
      <c r="Q145" s="50">
        <f>VLOOKUP($A145,'Data shares'!$C:$FB,127)*100</f>
        <v>-26.090000000000003</v>
      </c>
    </row>
    <row r="146" spans="1:17" x14ac:dyDescent="0.25">
      <c r="A146" s="97" t="str">
        <f>'Data Vlaue (Cr)'!C141</f>
        <v>NCC</v>
      </c>
      <c r="B146" s="140">
        <f>VLOOKUP($A146,'Data shares'!$C:$FB,7)</f>
        <v>179.03</v>
      </c>
      <c r="C146" s="140">
        <f>VLOOKUP($A146,'Data shares'!$C:$FB,3)</f>
        <v>179.26</v>
      </c>
      <c r="D146" s="140">
        <f>VLOOKUP($A146,'Data shares'!$C:$FB,4)</f>
        <v>181.2</v>
      </c>
      <c r="E146" s="50">
        <f t="shared" si="6"/>
        <v>-1.0706401766004403</v>
      </c>
      <c r="F146" s="49">
        <f>VLOOKUP($A146,'Data shares'!$C:$FB,98)</f>
        <v>59702400</v>
      </c>
      <c r="G146" s="49">
        <f>VLOOKUP($A146,'Data shares'!$C:$FB,99)</f>
        <v>59940000</v>
      </c>
      <c r="H146" s="50">
        <f t="shared" si="7"/>
        <v>-0.3963963963963964</v>
      </c>
      <c r="I146" s="49">
        <f>VLOOKUP($A146,'Data shares'!$C:$FB,66)</f>
        <v>23922000</v>
      </c>
      <c r="J146" s="49">
        <f>VLOOKUP($A146,'Data shares'!$C:$FB,67)</f>
        <v>25504200</v>
      </c>
      <c r="K146" s="50">
        <f t="shared" si="8"/>
        <v>-6.6139954853273135</v>
      </c>
      <c r="L146" s="50">
        <f>VLOOKUP($A146,'Data shares'!$C:$FB,118)</f>
        <v>0.47</v>
      </c>
      <c r="M146" s="50">
        <f>VLOOKUP($A146,'Data shares'!$C:$FB,119)</f>
        <v>0.46</v>
      </c>
      <c r="N146" s="50">
        <f>VLOOKUP($A146,'Data shares'!$C:$FB,121)*100</f>
        <v>2.17</v>
      </c>
      <c r="O146" s="50">
        <f>VLOOKUP($A146,'Data shares'!$C:$FB,124)</f>
        <v>0.33</v>
      </c>
      <c r="P146" s="50">
        <f>VLOOKUP($A146,'Data shares'!$C:$FB,125)</f>
        <v>0.28999999999999998</v>
      </c>
      <c r="Q146" s="50">
        <f>VLOOKUP($A146,'Data shares'!$C:$FB,127)*100</f>
        <v>13.79</v>
      </c>
    </row>
    <row r="147" spans="1:17" x14ac:dyDescent="0.25">
      <c r="A147" s="97" t="str">
        <f>'Data Vlaue (Cr)'!C142</f>
        <v>NESTLEIND</v>
      </c>
      <c r="B147" s="140">
        <f>VLOOKUP($A147,'Data shares'!$C:$FB,7)</f>
        <v>1279.2</v>
      </c>
      <c r="C147" s="140">
        <f>VLOOKUP($A147,'Data shares'!$C:$FB,3)</f>
        <v>1280.7</v>
      </c>
      <c r="D147" s="140">
        <f>VLOOKUP($A147,'Data shares'!$C:$FB,4)</f>
        <v>1281.0999999999999</v>
      </c>
      <c r="E147" s="50">
        <f t="shared" si="6"/>
        <v>-3.1223167590341397E-2</v>
      </c>
      <c r="F147" s="49">
        <f>VLOOKUP($A147,'Data shares'!$C:$FB,98)</f>
        <v>23785500</v>
      </c>
      <c r="G147" s="49">
        <f>VLOOKUP($A147,'Data shares'!$C:$FB,99)</f>
        <v>24101000</v>
      </c>
      <c r="H147" s="50">
        <f t="shared" si="7"/>
        <v>-1.3090743122692003</v>
      </c>
      <c r="I147" s="49">
        <f>VLOOKUP($A147,'Data shares'!$C:$FB,66)</f>
        <v>15581500</v>
      </c>
      <c r="J147" s="49">
        <f>VLOOKUP($A147,'Data shares'!$C:$FB,67)</f>
        <v>12396000</v>
      </c>
      <c r="K147" s="50">
        <f t="shared" si="8"/>
        <v>20.444116420113595</v>
      </c>
      <c r="L147" s="50">
        <f>VLOOKUP($A147,'Data shares'!$C:$FB,118)</f>
        <v>0.37</v>
      </c>
      <c r="M147" s="50">
        <f>VLOOKUP($A147,'Data shares'!$C:$FB,119)</f>
        <v>0.38</v>
      </c>
      <c r="N147" s="50">
        <f>VLOOKUP($A147,'Data shares'!$C:$FB,121)*100</f>
        <v>-2.63</v>
      </c>
      <c r="O147" s="50">
        <f>VLOOKUP($A147,'Data shares'!$C:$FB,124)</f>
        <v>0.3</v>
      </c>
      <c r="P147" s="50">
        <f>VLOOKUP($A147,'Data shares'!$C:$FB,125)</f>
        <v>0.34</v>
      </c>
      <c r="Q147" s="50">
        <f>VLOOKUP($A147,'Data shares'!$C:$FB,127)*100</f>
        <v>-11.76</v>
      </c>
    </row>
    <row r="148" spans="1:17" x14ac:dyDescent="0.25">
      <c r="A148" s="97" t="str">
        <f>'Data Vlaue (Cr)'!C143</f>
        <v>NHPC</v>
      </c>
      <c r="B148" s="140">
        <f>VLOOKUP($A148,'Data shares'!$C:$FB,7)</f>
        <v>80.12</v>
      </c>
      <c r="C148" s="140">
        <f>VLOOKUP($A148,'Data shares'!$C:$FB,3)</f>
        <v>80.17</v>
      </c>
      <c r="D148" s="140">
        <f>VLOOKUP($A148,'Data shares'!$C:$FB,4)</f>
        <v>80.16</v>
      </c>
      <c r="E148" s="50">
        <f t="shared" si="6"/>
        <v>1.2475049900205983E-2</v>
      </c>
      <c r="F148" s="49">
        <f>VLOOKUP($A148,'Data shares'!$C:$FB,98)</f>
        <v>123699200</v>
      </c>
      <c r="G148" s="49">
        <f>VLOOKUP($A148,'Data shares'!$C:$FB,99)</f>
        <v>125548800</v>
      </c>
      <c r="H148" s="50">
        <f t="shared" si="7"/>
        <v>-1.4732120099913342</v>
      </c>
      <c r="I148" s="49">
        <f>VLOOKUP($A148,'Data shares'!$C:$FB,66)</f>
        <v>59046400</v>
      </c>
      <c r="J148" s="49">
        <f>VLOOKUP($A148,'Data shares'!$C:$FB,67)</f>
        <v>42912000</v>
      </c>
      <c r="K148" s="50">
        <f t="shared" si="8"/>
        <v>27.324951224799481</v>
      </c>
      <c r="L148" s="50">
        <f>VLOOKUP($A148,'Data shares'!$C:$FB,118)</f>
        <v>0.45</v>
      </c>
      <c r="M148" s="50">
        <f>VLOOKUP($A148,'Data shares'!$C:$FB,119)</f>
        <v>0.45</v>
      </c>
      <c r="N148" s="50">
        <f>VLOOKUP($A148,'Data shares'!$C:$FB,121)*100</f>
        <v>0</v>
      </c>
      <c r="O148" s="50">
        <f>VLOOKUP($A148,'Data shares'!$C:$FB,124)</f>
        <v>0.34</v>
      </c>
      <c r="P148" s="50">
        <f>VLOOKUP($A148,'Data shares'!$C:$FB,125)</f>
        <v>0.33</v>
      </c>
      <c r="Q148" s="50">
        <f>VLOOKUP($A148,'Data shares'!$C:$FB,127)*100</f>
        <v>3.0300000000000002</v>
      </c>
    </row>
    <row r="149" spans="1:17" x14ac:dyDescent="0.25">
      <c r="A149" s="97" t="str">
        <f>'Data Vlaue (Cr)'!C144</f>
        <v>NIFTY</v>
      </c>
      <c r="B149" s="140">
        <f>VLOOKUP($A149,'Data shares'!$C:$FB,7)</f>
        <v>26192.15</v>
      </c>
      <c r="C149" s="140">
        <f>VLOOKUP($A149,'Data shares'!$C:$FB,3)</f>
        <v>26220.799999999999</v>
      </c>
      <c r="D149" s="140">
        <f>VLOOKUP($A149,'Data shares'!$C:$FB,4)</f>
        <v>26071</v>
      </c>
      <c r="E149" s="50">
        <f t="shared" si="6"/>
        <v>0.57458478769513732</v>
      </c>
      <c r="F149" s="49">
        <f>VLOOKUP($A149,'Data shares'!$C:$FB,98)</f>
        <v>497077965</v>
      </c>
      <c r="G149" s="49">
        <f>VLOOKUP($A149,'Data shares'!$C:$FB,99)</f>
        <v>428880330</v>
      </c>
      <c r="H149" s="50">
        <f t="shared" si="7"/>
        <v>15.901320305363503</v>
      </c>
      <c r="I149" s="49">
        <f>VLOOKUP($A149,'Data shares'!$C:$FB,66)</f>
        <v>3728155725</v>
      </c>
      <c r="J149" s="49">
        <f>VLOOKUP($A149,'Data shares'!$C:$FB,67)</f>
        <v>3673479075</v>
      </c>
      <c r="K149" s="50">
        <f t="shared" si="8"/>
        <v>1.4665870750342651</v>
      </c>
      <c r="L149" s="50">
        <f>VLOOKUP($A149,'Data shares'!$C:$FB,118)</f>
        <v>1.44</v>
      </c>
      <c r="M149" s="50">
        <f>VLOOKUP($A149,'Data shares'!$C:$FB,119)</f>
        <v>1.29</v>
      </c>
      <c r="N149" s="50">
        <f>VLOOKUP($A149,'Data shares'!$C:$FB,121)*100</f>
        <v>11.63</v>
      </c>
      <c r="O149" s="50">
        <f>VLOOKUP($A149,'Data shares'!$C:$FB,124)</f>
        <v>0.95</v>
      </c>
      <c r="P149" s="50">
        <f>VLOOKUP($A149,'Data shares'!$C:$FB,125)</f>
        <v>0.89</v>
      </c>
      <c r="Q149" s="50">
        <f>VLOOKUP($A149,'Data shares'!$C:$FB,127)*100</f>
        <v>6.74</v>
      </c>
    </row>
    <row r="150" spans="1:17" x14ac:dyDescent="0.25">
      <c r="A150" s="97" t="str">
        <f>'Data Vlaue (Cr)'!C145</f>
        <v>NIFTYNXT50</v>
      </c>
      <c r="B150" s="140">
        <f>VLOOKUP($A150,'Data shares'!$C:$FB,7)</f>
        <v>69567.75</v>
      </c>
      <c r="C150" s="140">
        <f>VLOOKUP($A150,'Data shares'!$C:$FB,3)</f>
        <v>69623.399999999994</v>
      </c>
      <c r="D150" s="140">
        <f>VLOOKUP($A150,'Data shares'!$C:$FB,4)</f>
        <v>69658.8</v>
      </c>
      <c r="E150" s="50">
        <f t="shared" si="6"/>
        <v>-5.0819135557903274E-2</v>
      </c>
      <c r="F150" s="49">
        <f>VLOOKUP($A150,'Data shares'!$C:$FB,98)</f>
        <v>59850</v>
      </c>
      <c r="G150" s="49">
        <f>VLOOKUP($A150,'Data shares'!$C:$FB,99)</f>
        <v>54925</v>
      </c>
      <c r="H150" s="50">
        <f t="shared" si="7"/>
        <v>8.966772872098316</v>
      </c>
      <c r="I150" s="49">
        <f>VLOOKUP($A150,'Data shares'!$C:$FB,66)</f>
        <v>40550</v>
      </c>
      <c r="J150" s="49">
        <f>VLOOKUP($A150,'Data shares'!$C:$FB,67)</f>
        <v>49275</v>
      </c>
      <c r="K150" s="50">
        <f t="shared" si="8"/>
        <v>-21.516646115906287</v>
      </c>
      <c r="L150" s="50">
        <f>VLOOKUP($A150,'Data shares'!$C:$FB,118)</f>
        <v>0.78</v>
      </c>
      <c r="M150" s="50">
        <f>VLOOKUP($A150,'Data shares'!$C:$FB,119)</f>
        <v>0.54</v>
      </c>
      <c r="N150" s="50">
        <f>VLOOKUP($A150,'Data shares'!$C:$FB,121)*100</f>
        <v>44.440000000000005</v>
      </c>
      <c r="O150" s="50">
        <f>VLOOKUP($A150,'Data shares'!$C:$FB,124)</f>
        <v>0.5</v>
      </c>
      <c r="P150" s="50">
        <f>VLOOKUP($A150,'Data shares'!$C:$FB,125)</f>
        <v>0.68</v>
      </c>
      <c r="Q150" s="50">
        <f>VLOOKUP($A150,'Data shares'!$C:$FB,127)*100</f>
        <v>-26.47</v>
      </c>
    </row>
    <row r="151" spans="1:17" x14ac:dyDescent="0.25">
      <c r="A151" s="97" t="str">
        <f>'Data Vlaue (Cr)'!C146</f>
        <v>NMDC</v>
      </c>
      <c r="B151" s="140">
        <f>VLOOKUP($A151,'Data shares'!$C:$FB,7)</f>
        <v>74.459999999999994</v>
      </c>
      <c r="C151" s="140">
        <f>VLOOKUP($A151,'Data shares'!$C:$FB,3)</f>
        <v>74.489999999999995</v>
      </c>
      <c r="D151" s="140">
        <f>VLOOKUP($A151,'Data shares'!$C:$FB,4)</f>
        <v>75.2</v>
      </c>
      <c r="E151" s="50">
        <f t="shared" si="6"/>
        <v>-0.94414893617022333</v>
      </c>
      <c r="F151" s="49">
        <f>VLOOKUP($A151,'Data shares'!$C:$FB,98)</f>
        <v>592616250</v>
      </c>
      <c r="G151" s="49">
        <f>VLOOKUP($A151,'Data shares'!$C:$FB,99)</f>
        <v>588701250</v>
      </c>
      <c r="H151" s="50">
        <f t="shared" si="7"/>
        <v>0.66502321848305912</v>
      </c>
      <c r="I151" s="49">
        <f>VLOOKUP($A151,'Data shares'!$C:$FB,66)</f>
        <v>532939500</v>
      </c>
      <c r="J151" s="49">
        <f>VLOOKUP($A151,'Data shares'!$C:$FB,67)</f>
        <v>174757500</v>
      </c>
      <c r="K151" s="50">
        <f t="shared" si="8"/>
        <v>67.208754464624974</v>
      </c>
      <c r="L151" s="50">
        <f>VLOOKUP($A151,'Data shares'!$C:$FB,118)</f>
        <v>0.61</v>
      </c>
      <c r="M151" s="50">
        <f>VLOOKUP($A151,'Data shares'!$C:$FB,119)</f>
        <v>0.61</v>
      </c>
      <c r="N151" s="50">
        <f>VLOOKUP($A151,'Data shares'!$C:$FB,121)*100</f>
        <v>0</v>
      </c>
      <c r="O151" s="50">
        <f>VLOOKUP($A151,'Data shares'!$C:$FB,124)</f>
        <v>0.6</v>
      </c>
      <c r="P151" s="50">
        <f>VLOOKUP($A151,'Data shares'!$C:$FB,125)</f>
        <v>0.49</v>
      </c>
      <c r="Q151" s="50">
        <f>VLOOKUP($A151,'Data shares'!$C:$FB,127)*100</f>
        <v>22.45</v>
      </c>
    </row>
    <row r="152" spans="1:17" x14ac:dyDescent="0.25">
      <c r="A152" s="97" t="str">
        <f>'Data Vlaue (Cr)'!C147</f>
        <v>NTPC</v>
      </c>
      <c r="B152" s="140">
        <f>VLOOKUP($A152,'Data shares'!$C:$FB,7)</f>
        <v>326.60000000000002</v>
      </c>
      <c r="C152" s="140">
        <f>VLOOKUP($A152,'Data shares'!$C:$FB,3)</f>
        <v>327</v>
      </c>
      <c r="D152" s="140">
        <f>VLOOKUP($A152,'Data shares'!$C:$FB,4)</f>
        <v>326.3</v>
      </c>
      <c r="E152" s="50">
        <f t="shared" si="6"/>
        <v>0.21452650934722298</v>
      </c>
      <c r="F152" s="49">
        <f>VLOOKUP($A152,'Data shares'!$C:$FB,98)</f>
        <v>176638500</v>
      </c>
      <c r="G152" s="49">
        <f>VLOOKUP($A152,'Data shares'!$C:$FB,99)</f>
        <v>181254000</v>
      </c>
      <c r="H152" s="50">
        <f t="shared" si="7"/>
        <v>-2.5464265616207094</v>
      </c>
      <c r="I152" s="49">
        <f>VLOOKUP($A152,'Data shares'!$C:$FB,66)</f>
        <v>81538500</v>
      </c>
      <c r="J152" s="49">
        <f>VLOOKUP($A152,'Data shares'!$C:$FB,67)</f>
        <v>82306500</v>
      </c>
      <c r="K152" s="50">
        <f t="shared" si="8"/>
        <v>-0.94188634816681682</v>
      </c>
      <c r="L152" s="50">
        <f>VLOOKUP($A152,'Data shares'!$C:$FB,118)</f>
        <v>0.4</v>
      </c>
      <c r="M152" s="50">
        <f>VLOOKUP($A152,'Data shares'!$C:$FB,119)</f>
        <v>0.4</v>
      </c>
      <c r="N152" s="50">
        <f>VLOOKUP($A152,'Data shares'!$C:$FB,121)*100</f>
        <v>0</v>
      </c>
      <c r="O152" s="50">
        <f>VLOOKUP($A152,'Data shares'!$C:$FB,124)</f>
        <v>0.44</v>
      </c>
      <c r="P152" s="50">
        <f>VLOOKUP($A152,'Data shares'!$C:$FB,125)</f>
        <v>0.32</v>
      </c>
      <c r="Q152" s="50">
        <f>VLOOKUP($A152,'Data shares'!$C:$FB,127)*100</f>
        <v>37.5</v>
      </c>
    </row>
    <row r="153" spans="1:17" x14ac:dyDescent="0.25">
      <c r="A153" s="97" t="str">
        <f>'Data Vlaue (Cr)'!C148</f>
        <v>NUVAMA</v>
      </c>
      <c r="B153" s="140">
        <f>VLOOKUP($A153,'Data shares'!$C:$FB,7)</f>
        <v>7336</v>
      </c>
      <c r="C153" s="140">
        <f>VLOOKUP($A153,'Data shares'!$C:$FB,3)</f>
        <v>7342</v>
      </c>
      <c r="D153" s="140">
        <f>VLOOKUP($A153,'Data shares'!$C:$FB,4)</f>
        <v>7365.5</v>
      </c>
      <c r="E153" s="50">
        <f t="shared" si="6"/>
        <v>-0.31905505396782297</v>
      </c>
      <c r="F153" s="49">
        <f>VLOOKUP($A153,'Data shares'!$C:$FB,98)</f>
        <v>1008550</v>
      </c>
      <c r="G153" s="49">
        <f>VLOOKUP($A153,'Data shares'!$C:$FB,99)</f>
        <v>983800</v>
      </c>
      <c r="H153" s="50">
        <f t="shared" si="7"/>
        <v>2.5157552348038221</v>
      </c>
      <c r="I153" s="49">
        <f>VLOOKUP($A153,'Data shares'!$C:$FB,66)</f>
        <v>918600</v>
      </c>
      <c r="J153" s="49">
        <f>VLOOKUP($A153,'Data shares'!$C:$FB,67)</f>
        <v>539025</v>
      </c>
      <c r="K153" s="50">
        <f t="shared" si="8"/>
        <v>41.321032005225348</v>
      </c>
      <c r="L153" s="50">
        <f>VLOOKUP($A153,'Data shares'!$C:$FB,118)</f>
        <v>0.65</v>
      </c>
      <c r="M153" s="50">
        <f>VLOOKUP($A153,'Data shares'!$C:$FB,119)</f>
        <v>0.56000000000000005</v>
      </c>
      <c r="N153" s="50">
        <f>VLOOKUP($A153,'Data shares'!$C:$FB,121)*100</f>
        <v>16.07</v>
      </c>
      <c r="O153" s="50">
        <f>VLOOKUP($A153,'Data shares'!$C:$FB,124)</f>
        <v>0.26</v>
      </c>
      <c r="P153" s="50">
        <f>VLOOKUP($A153,'Data shares'!$C:$FB,125)</f>
        <v>0.21</v>
      </c>
      <c r="Q153" s="50">
        <f>VLOOKUP($A153,'Data shares'!$C:$FB,127)*100</f>
        <v>23.810000000000002</v>
      </c>
    </row>
    <row r="154" spans="1:17" x14ac:dyDescent="0.25">
      <c r="A154" s="97" t="str">
        <f>'Data Vlaue (Cr)'!C149</f>
        <v>NYKAA</v>
      </c>
      <c r="B154" s="140">
        <f>VLOOKUP($A154,'Data shares'!$C:$FB,7)</f>
        <v>268.74</v>
      </c>
      <c r="C154" s="140">
        <f>VLOOKUP($A154,'Data shares'!$C:$FB,3)</f>
        <v>269.16000000000003</v>
      </c>
      <c r="D154" s="140">
        <f>VLOOKUP($A154,'Data shares'!$C:$FB,4)</f>
        <v>268.83</v>
      </c>
      <c r="E154" s="50">
        <f t="shared" si="6"/>
        <v>0.12275415690214668</v>
      </c>
      <c r="F154" s="49">
        <f>VLOOKUP($A154,'Data shares'!$C:$FB,98)</f>
        <v>91162500</v>
      </c>
      <c r="G154" s="49">
        <f>VLOOKUP($A154,'Data shares'!$C:$FB,99)</f>
        <v>97753125</v>
      </c>
      <c r="H154" s="50">
        <f t="shared" si="7"/>
        <v>-6.7421118250695313</v>
      </c>
      <c r="I154" s="49">
        <f>VLOOKUP($A154,'Data shares'!$C:$FB,66)</f>
        <v>79975000</v>
      </c>
      <c r="J154" s="49">
        <f>VLOOKUP($A154,'Data shares'!$C:$FB,67)</f>
        <v>62409375</v>
      </c>
      <c r="K154" s="50">
        <f t="shared" si="8"/>
        <v>21.963894967177243</v>
      </c>
      <c r="L154" s="50">
        <f>VLOOKUP($A154,'Data shares'!$C:$FB,118)</f>
        <v>0.59</v>
      </c>
      <c r="M154" s="50">
        <f>VLOOKUP($A154,'Data shares'!$C:$FB,119)</f>
        <v>0.61</v>
      </c>
      <c r="N154" s="50">
        <f>VLOOKUP($A154,'Data shares'!$C:$FB,121)*100</f>
        <v>-3.2800000000000002</v>
      </c>
      <c r="O154" s="50">
        <f>VLOOKUP($A154,'Data shares'!$C:$FB,124)</f>
        <v>0.4</v>
      </c>
      <c r="P154" s="50">
        <f>VLOOKUP($A154,'Data shares'!$C:$FB,125)</f>
        <v>0.46</v>
      </c>
      <c r="Q154" s="50">
        <f>VLOOKUP($A154,'Data shares'!$C:$FB,127)*100</f>
        <v>-13.04</v>
      </c>
    </row>
    <row r="155" spans="1:17" x14ac:dyDescent="0.25">
      <c r="A155" s="97" t="str">
        <f>'Data Vlaue (Cr)'!C150</f>
        <v>OBEROIRLTY</v>
      </c>
      <c r="B155" s="140">
        <f>VLOOKUP($A155,'Data shares'!$C:$FB,7)</f>
        <v>1708.5</v>
      </c>
      <c r="C155" s="140">
        <f>VLOOKUP($A155,'Data shares'!$C:$FB,3)</f>
        <v>1709.5</v>
      </c>
      <c r="D155" s="140">
        <f>VLOOKUP($A155,'Data shares'!$C:$FB,4)</f>
        <v>1714.2</v>
      </c>
      <c r="E155" s="50">
        <f t="shared" si="6"/>
        <v>-0.27418037568545356</v>
      </c>
      <c r="F155" s="49">
        <f>VLOOKUP($A155,'Data shares'!$C:$FB,98)</f>
        <v>6752200</v>
      </c>
      <c r="G155" s="49">
        <f>VLOOKUP($A155,'Data shares'!$C:$FB,99)</f>
        <v>7346150</v>
      </c>
      <c r="H155" s="50">
        <f t="shared" si="7"/>
        <v>-8.0851874791557474</v>
      </c>
      <c r="I155" s="49">
        <f>VLOOKUP($A155,'Data shares'!$C:$FB,66)</f>
        <v>5306350</v>
      </c>
      <c r="J155" s="49">
        <f>VLOOKUP($A155,'Data shares'!$C:$FB,67)</f>
        <v>4246550</v>
      </c>
      <c r="K155" s="50">
        <f t="shared" si="8"/>
        <v>19.972297341863992</v>
      </c>
      <c r="L155" s="50">
        <f>VLOOKUP($A155,'Data shares'!$C:$FB,118)</f>
        <v>0.66</v>
      </c>
      <c r="M155" s="50">
        <f>VLOOKUP($A155,'Data shares'!$C:$FB,119)</f>
        <v>0.61</v>
      </c>
      <c r="N155" s="50">
        <f>VLOOKUP($A155,'Data shares'!$C:$FB,121)*100</f>
        <v>8.2000000000000011</v>
      </c>
      <c r="O155" s="50">
        <f>VLOOKUP($A155,'Data shares'!$C:$FB,124)</f>
        <v>0.43</v>
      </c>
      <c r="P155" s="50">
        <f>VLOOKUP($A155,'Data shares'!$C:$FB,125)</f>
        <v>0.46</v>
      </c>
      <c r="Q155" s="50">
        <f>VLOOKUP($A155,'Data shares'!$C:$FB,127)*100</f>
        <v>-6.52</v>
      </c>
    </row>
    <row r="156" spans="1:17" x14ac:dyDescent="0.25">
      <c r="A156" s="97" t="str">
        <f>'Data Vlaue (Cr)'!C151</f>
        <v>OFSS</v>
      </c>
      <c r="B156" s="140">
        <f>VLOOKUP($A156,'Data shares'!$C:$FB,7)</f>
        <v>8372.5</v>
      </c>
      <c r="C156" s="140">
        <f>VLOOKUP($A156,'Data shares'!$C:$FB,3)</f>
        <v>8398</v>
      </c>
      <c r="D156" s="140">
        <f>VLOOKUP($A156,'Data shares'!$C:$FB,4)</f>
        <v>8356</v>
      </c>
      <c r="E156" s="50">
        <f t="shared" si="6"/>
        <v>0.50263283867879371</v>
      </c>
      <c r="F156" s="49">
        <f>VLOOKUP($A156,'Data shares'!$C:$FB,98)</f>
        <v>2740875</v>
      </c>
      <c r="G156" s="49">
        <f>VLOOKUP($A156,'Data shares'!$C:$FB,99)</f>
        <v>2806200</v>
      </c>
      <c r="H156" s="50">
        <f t="shared" si="7"/>
        <v>-2.3278811203763095</v>
      </c>
      <c r="I156" s="49">
        <f>VLOOKUP($A156,'Data shares'!$C:$FB,66)</f>
        <v>5345625</v>
      </c>
      <c r="J156" s="49">
        <f>VLOOKUP($A156,'Data shares'!$C:$FB,67)</f>
        <v>2987175</v>
      </c>
      <c r="K156" s="50">
        <f t="shared" si="8"/>
        <v>44.11925640126271</v>
      </c>
      <c r="L156" s="50">
        <f>VLOOKUP($A156,'Data shares'!$C:$FB,118)</f>
        <v>0.51</v>
      </c>
      <c r="M156" s="50">
        <f>VLOOKUP($A156,'Data shares'!$C:$FB,119)</f>
        <v>0.51</v>
      </c>
      <c r="N156" s="50">
        <f>VLOOKUP($A156,'Data shares'!$C:$FB,121)*100</f>
        <v>0</v>
      </c>
      <c r="O156" s="50">
        <f>VLOOKUP($A156,'Data shares'!$C:$FB,124)</f>
        <v>0.27</v>
      </c>
      <c r="P156" s="50">
        <f>VLOOKUP($A156,'Data shares'!$C:$FB,125)</f>
        <v>0.3</v>
      </c>
      <c r="Q156" s="50">
        <f>VLOOKUP($A156,'Data shares'!$C:$FB,127)*100</f>
        <v>-10</v>
      </c>
    </row>
    <row r="157" spans="1:17" x14ac:dyDescent="0.25">
      <c r="A157" s="97" t="str">
        <f>'Data Vlaue (Cr)'!C152</f>
        <v>OIL</v>
      </c>
      <c r="B157" s="140">
        <f>VLOOKUP($A157,'Data shares'!$C:$FB,7)</f>
        <v>436.2</v>
      </c>
      <c r="C157" s="140">
        <f>VLOOKUP($A157,'Data shares'!$C:$FB,3)</f>
        <v>433.05</v>
      </c>
      <c r="D157" s="140">
        <f>VLOOKUP($A157,'Data shares'!$C:$FB,4)</f>
        <v>433.5</v>
      </c>
      <c r="E157" s="50">
        <f t="shared" si="6"/>
        <v>-0.10380622837369981</v>
      </c>
      <c r="F157" s="49">
        <f>VLOOKUP($A157,'Data shares'!$C:$FB,98)</f>
        <v>22779400</v>
      </c>
      <c r="G157" s="49">
        <f>VLOOKUP($A157,'Data shares'!$C:$FB,99)</f>
        <v>23699200</v>
      </c>
      <c r="H157" s="50">
        <f t="shared" si="7"/>
        <v>-3.8811436672967865</v>
      </c>
      <c r="I157" s="49">
        <f>VLOOKUP($A157,'Data shares'!$C:$FB,66)</f>
        <v>16972200</v>
      </c>
      <c r="J157" s="49">
        <f>VLOOKUP($A157,'Data shares'!$C:$FB,67)</f>
        <v>6708800</v>
      </c>
      <c r="K157" s="50">
        <f t="shared" si="8"/>
        <v>60.471830405015261</v>
      </c>
      <c r="L157" s="50">
        <f>VLOOKUP($A157,'Data shares'!$C:$FB,118)</f>
        <v>0.56000000000000005</v>
      </c>
      <c r="M157" s="50">
        <f>VLOOKUP($A157,'Data shares'!$C:$FB,119)</f>
        <v>0.53</v>
      </c>
      <c r="N157" s="50">
        <f>VLOOKUP($A157,'Data shares'!$C:$FB,121)*100</f>
        <v>5.66</v>
      </c>
      <c r="O157" s="50">
        <f>VLOOKUP($A157,'Data shares'!$C:$FB,124)</f>
        <v>0.37</v>
      </c>
      <c r="P157" s="50">
        <f>VLOOKUP($A157,'Data shares'!$C:$FB,125)</f>
        <v>0.27</v>
      </c>
      <c r="Q157" s="50">
        <f>VLOOKUP($A157,'Data shares'!$C:$FB,127)*100</f>
        <v>37.04</v>
      </c>
    </row>
    <row r="158" spans="1:17" x14ac:dyDescent="0.25">
      <c r="A158" s="97" t="str">
        <f>'Data Vlaue (Cr)'!C153</f>
        <v>ONGC</v>
      </c>
      <c r="B158" s="140">
        <f>VLOOKUP($A158,'Data shares'!$C:$FB,7)</f>
        <v>248.05</v>
      </c>
      <c r="C158" s="140">
        <f>VLOOKUP($A158,'Data shares'!$C:$FB,3)</f>
        <v>248.1</v>
      </c>
      <c r="D158" s="140">
        <f>VLOOKUP($A158,'Data shares'!$C:$FB,4)</f>
        <v>249.05</v>
      </c>
      <c r="E158" s="50">
        <f t="shared" si="6"/>
        <v>-0.38144950813090428</v>
      </c>
      <c r="F158" s="49">
        <f>VLOOKUP($A158,'Data shares'!$C:$FB,98)</f>
        <v>173245500</v>
      </c>
      <c r="G158" s="49">
        <f>VLOOKUP($A158,'Data shares'!$C:$FB,99)</f>
        <v>171929250</v>
      </c>
      <c r="H158" s="50">
        <f t="shared" si="7"/>
        <v>0.76557653802363468</v>
      </c>
      <c r="I158" s="49">
        <f>VLOOKUP($A158,'Data shares'!$C:$FB,66)</f>
        <v>105583500</v>
      </c>
      <c r="J158" s="49">
        <f>VLOOKUP($A158,'Data shares'!$C:$FB,67)</f>
        <v>81832500</v>
      </c>
      <c r="K158" s="50">
        <f t="shared" si="8"/>
        <v>22.494992115245278</v>
      </c>
      <c r="L158" s="50">
        <f>VLOOKUP($A158,'Data shares'!$C:$FB,118)</f>
        <v>0.38</v>
      </c>
      <c r="M158" s="50">
        <f>VLOOKUP($A158,'Data shares'!$C:$FB,119)</f>
        <v>0.38</v>
      </c>
      <c r="N158" s="50">
        <f>VLOOKUP($A158,'Data shares'!$C:$FB,121)*100</f>
        <v>0</v>
      </c>
      <c r="O158" s="50">
        <f>VLOOKUP($A158,'Data shares'!$C:$FB,124)</f>
        <v>0.48</v>
      </c>
      <c r="P158" s="50">
        <f>VLOOKUP($A158,'Data shares'!$C:$FB,125)</f>
        <v>0.47</v>
      </c>
      <c r="Q158" s="50">
        <f>VLOOKUP($A158,'Data shares'!$C:$FB,127)*100</f>
        <v>2.13</v>
      </c>
    </row>
    <row r="159" spans="1:17" x14ac:dyDescent="0.25">
      <c r="A159" s="97" t="str">
        <f>'Data Vlaue (Cr)'!C154</f>
        <v>PAGEIND</v>
      </c>
      <c r="B159" s="140">
        <f>VLOOKUP($A159,'Data shares'!$C:$FB,7)</f>
        <v>38565</v>
      </c>
      <c r="C159" s="140">
        <f>VLOOKUP($A159,'Data shares'!$C:$FB,3)</f>
        <v>38670</v>
      </c>
      <c r="D159" s="140">
        <f>VLOOKUP($A159,'Data shares'!$C:$FB,4)</f>
        <v>38945</v>
      </c>
      <c r="E159" s="50">
        <f t="shared" si="6"/>
        <v>-0.70612402105533445</v>
      </c>
      <c r="F159" s="49">
        <f>VLOOKUP($A159,'Data shares'!$C:$FB,98)</f>
        <v>546255</v>
      </c>
      <c r="G159" s="49">
        <f>VLOOKUP($A159,'Data shares'!$C:$FB,99)</f>
        <v>555975</v>
      </c>
      <c r="H159" s="50">
        <f t="shared" si="7"/>
        <v>-1.7482800485633345</v>
      </c>
      <c r="I159" s="49">
        <f>VLOOKUP($A159,'Data shares'!$C:$FB,66)</f>
        <v>600750</v>
      </c>
      <c r="J159" s="49">
        <f>VLOOKUP($A159,'Data shares'!$C:$FB,67)</f>
        <v>433320</v>
      </c>
      <c r="K159" s="50">
        <f t="shared" si="8"/>
        <v>27.870162297128587</v>
      </c>
      <c r="L159" s="50">
        <f>VLOOKUP($A159,'Data shares'!$C:$FB,118)</f>
        <v>0.36</v>
      </c>
      <c r="M159" s="50">
        <f>VLOOKUP($A159,'Data shares'!$C:$FB,119)</f>
        <v>0.34</v>
      </c>
      <c r="N159" s="50">
        <f>VLOOKUP($A159,'Data shares'!$C:$FB,121)*100</f>
        <v>5.88</v>
      </c>
      <c r="O159" s="50">
        <f>VLOOKUP($A159,'Data shares'!$C:$FB,124)</f>
        <v>0.2</v>
      </c>
      <c r="P159" s="50">
        <f>VLOOKUP($A159,'Data shares'!$C:$FB,125)</f>
        <v>0.26</v>
      </c>
      <c r="Q159" s="50">
        <f>VLOOKUP($A159,'Data shares'!$C:$FB,127)*100</f>
        <v>-23.080000000000002</v>
      </c>
    </row>
    <row r="160" spans="1:17" x14ac:dyDescent="0.25">
      <c r="A160" s="97" t="str">
        <f>'Data Vlaue (Cr)'!C155</f>
        <v>PATANJALI</v>
      </c>
      <c r="B160" s="140">
        <f>VLOOKUP($A160,'Data shares'!$C:$FB,7)</f>
        <v>584.25</v>
      </c>
      <c r="C160" s="140">
        <f>VLOOKUP($A160,'Data shares'!$C:$FB,3)</f>
        <v>582.9</v>
      </c>
      <c r="D160" s="140">
        <f>VLOOKUP($A160,'Data shares'!$C:$FB,4)</f>
        <v>582.04999999999995</v>
      </c>
      <c r="E160" s="50">
        <f t="shared" si="6"/>
        <v>0.14603556395499062</v>
      </c>
      <c r="F160" s="49">
        <f>VLOOKUP($A160,'Data shares'!$C:$FB,98)</f>
        <v>48557700</v>
      </c>
      <c r="G160" s="49">
        <f>VLOOKUP($A160,'Data shares'!$C:$FB,99)</f>
        <v>49566600</v>
      </c>
      <c r="H160" s="50">
        <f t="shared" si="7"/>
        <v>-2.0354432218469696</v>
      </c>
      <c r="I160" s="49">
        <f>VLOOKUP($A160,'Data shares'!$C:$FB,66)</f>
        <v>18448200</v>
      </c>
      <c r="J160" s="49">
        <f>VLOOKUP($A160,'Data shares'!$C:$FB,67)</f>
        <v>11641500</v>
      </c>
      <c r="K160" s="50">
        <f t="shared" si="8"/>
        <v>36.8962825641526</v>
      </c>
      <c r="L160" s="50">
        <f>VLOOKUP($A160,'Data shares'!$C:$FB,118)</f>
        <v>0.37</v>
      </c>
      <c r="M160" s="50">
        <f>VLOOKUP($A160,'Data shares'!$C:$FB,119)</f>
        <v>0.38</v>
      </c>
      <c r="N160" s="50">
        <f>VLOOKUP($A160,'Data shares'!$C:$FB,121)*100</f>
        <v>-2.63</v>
      </c>
      <c r="O160" s="50">
        <f>VLOOKUP($A160,'Data shares'!$C:$FB,124)</f>
        <v>0.31</v>
      </c>
      <c r="P160" s="50">
        <f>VLOOKUP($A160,'Data shares'!$C:$FB,125)</f>
        <v>0.28999999999999998</v>
      </c>
      <c r="Q160" s="50">
        <f>VLOOKUP($A160,'Data shares'!$C:$FB,127)*100</f>
        <v>6.9</v>
      </c>
    </row>
    <row r="161" spans="1:17" x14ac:dyDescent="0.25">
      <c r="A161" s="97" t="str">
        <f>'Data Vlaue (Cr)'!C156</f>
        <v>PAYTM</v>
      </c>
      <c r="B161" s="140">
        <f>VLOOKUP($A161,'Data shares'!$C:$FB,7)</f>
        <v>1283.9000000000001</v>
      </c>
      <c r="C161" s="140">
        <f>VLOOKUP($A161,'Data shares'!$C:$FB,3)</f>
        <v>1283.8</v>
      </c>
      <c r="D161" s="140">
        <f>VLOOKUP($A161,'Data shares'!$C:$FB,4)</f>
        <v>1284.5999999999999</v>
      </c>
      <c r="E161" s="50">
        <f t="shared" si="6"/>
        <v>-6.2276194924486578E-2</v>
      </c>
      <c r="F161" s="49">
        <f>VLOOKUP($A161,'Data shares'!$C:$FB,98)</f>
        <v>39211625</v>
      </c>
      <c r="G161" s="49">
        <f>VLOOKUP($A161,'Data shares'!$C:$FB,99)</f>
        <v>38561300</v>
      </c>
      <c r="H161" s="50">
        <f t="shared" si="7"/>
        <v>1.6864706324734902</v>
      </c>
      <c r="I161" s="49">
        <f>VLOOKUP($A161,'Data shares'!$C:$FB,66)</f>
        <v>36887275</v>
      </c>
      <c r="J161" s="49">
        <f>VLOOKUP($A161,'Data shares'!$C:$FB,67)</f>
        <v>38746900</v>
      </c>
      <c r="K161" s="50">
        <f t="shared" si="8"/>
        <v>-5.0413726684879814</v>
      </c>
      <c r="L161" s="50">
        <f>VLOOKUP($A161,'Data shares'!$C:$FB,118)</f>
        <v>0.64</v>
      </c>
      <c r="M161" s="50">
        <f>VLOOKUP($A161,'Data shares'!$C:$FB,119)</f>
        <v>0.63</v>
      </c>
      <c r="N161" s="50">
        <f>VLOOKUP($A161,'Data shares'!$C:$FB,121)*100</f>
        <v>1.59</v>
      </c>
      <c r="O161" s="50">
        <f>VLOOKUP($A161,'Data shares'!$C:$FB,124)</f>
        <v>0.35</v>
      </c>
      <c r="P161" s="50">
        <f>VLOOKUP($A161,'Data shares'!$C:$FB,125)</f>
        <v>0.57999999999999996</v>
      </c>
      <c r="Q161" s="50">
        <f>VLOOKUP($A161,'Data shares'!$C:$FB,127)*100</f>
        <v>-39.660000000000004</v>
      </c>
    </row>
    <row r="162" spans="1:17" x14ac:dyDescent="0.25">
      <c r="A162" s="97" t="str">
        <f>'Data Vlaue (Cr)'!C157</f>
        <v>PERSISTENT</v>
      </c>
      <c r="B162" s="140">
        <f>VLOOKUP($A162,'Data shares'!$C:$FB,7)</f>
        <v>6350.5</v>
      </c>
      <c r="C162" s="140">
        <f>VLOOKUP($A162,'Data shares'!$C:$FB,3)</f>
        <v>6350</v>
      </c>
      <c r="D162" s="140">
        <f>VLOOKUP($A162,'Data shares'!$C:$FB,4)</f>
        <v>6321</v>
      </c>
      <c r="E162" s="50">
        <f t="shared" si="6"/>
        <v>0.45878816642936249</v>
      </c>
      <c r="F162" s="49">
        <f>VLOOKUP($A162,'Data shares'!$C:$FB,98)</f>
        <v>4374600</v>
      </c>
      <c r="G162" s="49">
        <f>VLOOKUP($A162,'Data shares'!$C:$FB,99)</f>
        <v>4497000</v>
      </c>
      <c r="H162" s="50">
        <f t="shared" si="7"/>
        <v>-2.7218145430286858</v>
      </c>
      <c r="I162" s="49">
        <f>VLOOKUP($A162,'Data shares'!$C:$FB,66)</f>
        <v>11293200</v>
      </c>
      <c r="J162" s="49">
        <f>VLOOKUP($A162,'Data shares'!$C:$FB,67)</f>
        <v>23402600</v>
      </c>
      <c r="K162" s="50">
        <f t="shared" si="8"/>
        <v>-107.2273580561754</v>
      </c>
      <c r="L162" s="50">
        <f>VLOOKUP($A162,'Data shares'!$C:$FB,118)</f>
        <v>1.1499999999999999</v>
      </c>
      <c r="M162" s="50">
        <f>VLOOKUP($A162,'Data shares'!$C:$FB,119)</f>
        <v>1.1499999999999999</v>
      </c>
      <c r="N162" s="50">
        <f>VLOOKUP($A162,'Data shares'!$C:$FB,121)*100</f>
        <v>0</v>
      </c>
      <c r="O162" s="50">
        <f>VLOOKUP($A162,'Data shares'!$C:$FB,124)</f>
        <v>0.53</v>
      </c>
      <c r="P162" s="50">
        <f>VLOOKUP($A162,'Data shares'!$C:$FB,125)</f>
        <v>0.37</v>
      </c>
      <c r="Q162" s="50">
        <f>VLOOKUP($A162,'Data shares'!$C:$FB,127)*100</f>
        <v>43.24</v>
      </c>
    </row>
    <row r="163" spans="1:17" x14ac:dyDescent="0.25">
      <c r="A163" s="97" t="str">
        <f>'Data Vlaue (Cr)'!C158</f>
        <v>PETRONET</v>
      </c>
      <c r="B163" s="140">
        <f>VLOOKUP($A163,'Data shares'!$C:$FB,7)</f>
        <v>274.35000000000002</v>
      </c>
      <c r="C163" s="140">
        <f>VLOOKUP($A163,'Data shares'!$C:$FB,3)</f>
        <v>274.14999999999998</v>
      </c>
      <c r="D163" s="140">
        <f>VLOOKUP($A163,'Data shares'!$C:$FB,4)</f>
        <v>274.35000000000002</v>
      </c>
      <c r="E163" s="50">
        <f t="shared" si="6"/>
        <v>-7.2899580827426813E-2</v>
      </c>
      <c r="F163" s="49">
        <f>VLOOKUP($A163,'Data shares'!$C:$FB,98)</f>
        <v>75117400</v>
      </c>
      <c r="G163" s="49">
        <f>VLOOKUP($A163,'Data shares'!$C:$FB,99)</f>
        <v>74492700</v>
      </c>
      <c r="H163" s="50">
        <f t="shared" si="7"/>
        <v>0.83860566203131315</v>
      </c>
      <c r="I163" s="49">
        <f>VLOOKUP($A163,'Data shares'!$C:$FB,66)</f>
        <v>40852800</v>
      </c>
      <c r="J163" s="49">
        <f>VLOOKUP($A163,'Data shares'!$C:$FB,67)</f>
        <v>10135800</v>
      </c>
      <c r="K163" s="50">
        <f t="shared" si="8"/>
        <v>75.189460697920339</v>
      </c>
      <c r="L163" s="50">
        <f>VLOOKUP($A163,'Data shares'!$C:$FB,118)</f>
        <v>1.21</v>
      </c>
      <c r="M163" s="50">
        <f>VLOOKUP($A163,'Data shares'!$C:$FB,119)</f>
        <v>1.2</v>
      </c>
      <c r="N163" s="50">
        <f>VLOOKUP($A163,'Data shares'!$C:$FB,121)*100</f>
        <v>0.83</v>
      </c>
      <c r="O163" s="50">
        <f>VLOOKUP($A163,'Data shares'!$C:$FB,124)</f>
        <v>1.03</v>
      </c>
      <c r="P163" s="50">
        <f>VLOOKUP($A163,'Data shares'!$C:$FB,125)</f>
        <v>0.91</v>
      </c>
      <c r="Q163" s="50">
        <f>VLOOKUP($A163,'Data shares'!$C:$FB,127)*100</f>
        <v>13.19</v>
      </c>
    </row>
    <row r="164" spans="1:17" x14ac:dyDescent="0.25">
      <c r="A164" s="97" t="str">
        <f>'Data Vlaue (Cr)'!C159</f>
        <v>PFC</v>
      </c>
      <c r="B164" s="140">
        <f>VLOOKUP($A164,'Data shares'!$C:$FB,7)</f>
        <v>372.75</v>
      </c>
      <c r="C164" s="140">
        <f>VLOOKUP($A164,'Data shares'!$C:$FB,3)</f>
        <v>373.4</v>
      </c>
      <c r="D164" s="140">
        <f>VLOOKUP($A164,'Data shares'!$C:$FB,4)</f>
        <v>374.15</v>
      </c>
      <c r="E164" s="50">
        <f t="shared" si="6"/>
        <v>-0.20045436322330615</v>
      </c>
      <c r="F164" s="49">
        <f>VLOOKUP($A164,'Data shares'!$C:$FB,98)</f>
        <v>149778200</v>
      </c>
      <c r="G164" s="49">
        <f>VLOOKUP($A164,'Data shares'!$C:$FB,99)</f>
        <v>155417600</v>
      </c>
      <c r="H164" s="50">
        <f t="shared" si="7"/>
        <v>-3.6285465738758029</v>
      </c>
      <c r="I164" s="49">
        <f>VLOOKUP($A164,'Data shares'!$C:$FB,66)</f>
        <v>70869500</v>
      </c>
      <c r="J164" s="49">
        <f>VLOOKUP($A164,'Data shares'!$C:$FB,67)</f>
        <v>56382300</v>
      </c>
      <c r="K164" s="50">
        <f t="shared" si="8"/>
        <v>20.442080161423462</v>
      </c>
      <c r="L164" s="50">
        <f>VLOOKUP($A164,'Data shares'!$C:$FB,118)</f>
        <v>0.71</v>
      </c>
      <c r="M164" s="50">
        <f>VLOOKUP($A164,'Data shares'!$C:$FB,119)</f>
        <v>0.66</v>
      </c>
      <c r="N164" s="50">
        <f>VLOOKUP($A164,'Data shares'!$C:$FB,121)*100</f>
        <v>7.580000000000001</v>
      </c>
      <c r="O164" s="50">
        <f>VLOOKUP($A164,'Data shares'!$C:$FB,124)</f>
        <v>0.52</v>
      </c>
      <c r="P164" s="50">
        <f>VLOOKUP($A164,'Data shares'!$C:$FB,125)</f>
        <v>0.46</v>
      </c>
      <c r="Q164" s="50">
        <f>VLOOKUP($A164,'Data shares'!$C:$FB,127)*100</f>
        <v>13.04</v>
      </c>
    </row>
    <row r="165" spans="1:17" x14ac:dyDescent="0.25">
      <c r="A165" s="97" t="str">
        <f>'Data Vlaue (Cr)'!C160</f>
        <v>PGEL</v>
      </c>
      <c r="B165" s="140">
        <f>VLOOKUP($A165,'Data shares'!$C:$FB,7)</f>
        <v>590.54999999999995</v>
      </c>
      <c r="C165" s="140">
        <f>VLOOKUP($A165,'Data shares'!$C:$FB,3)</f>
        <v>593.15</v>
      </c>
      <c r="D165" s="140">
        <f>VLOOKUP($A165,'Data shares'!$C:$FB,4)</f>
        <v>581.35</v>
      </c>
      <c r="E165" s="50">
        <f t="shared" si="6"/>
        <v>2.0297583211490418</v>
      </c>
      <c r="F165" s="49">
        <f>VLOOKUP($A165,'Data shares'!$C:$FB,98)</f>
        <v>29168150</v>
      </c>
      <c r="G165" s="49">
        <f>VLOOKUP($A165,'Data shares'!$C:$FB,99)</f>
        <v>29718800</v>
      </c>
      <c r="H165" s="50">
        <f t="shared" si="7"/>
        <v>-1.8528675451229524</v>
      </c>
      <c r="I165" s="49">
        <f>VLOOKUP($A165,'Data shares'!$C:$FB,66)</f>
        <v>45258500</v>
      </c>
      <c r="J165" s="49">
        <f>VLOOKUP($A165,'Data shares'!$C:$FB,67)</f>
        <v>26208000</v>
      </c>
      <c r="K165" s="50">
        <f t="shared" si="8"/>
        <v>42.092645580388215</v>
      </c>
      <c r="L165" s="50">
        <f>VLOOKUP($A165,'Data shares'!$C:$FB,118)</f>
        <v>0.66</v>
      </c>
      <c r="M165" s="50">
        <f>VLOOKUP($A165,'Data shares'!$C:$FB,119)</f>
        <v>0.79</v>
      </c>
      <c r="N165" s="50">
        <f>VLOOKUP($A165,'Data shares'!$C:$FB,121)*100</f>
        <v>-16.46</v>
      </c>
      <c r="O165" s="50">
        <f>VLOOKUP($A165,'Data shares'!$C:$FB,124)</f>
        <v>0.32</v>
      </c>
      <c r="P165" s="50">
        <f>VLOOKUP($A165,'Data shares'!$C:$FB,125)</f>
        <v>0.62</v>
      </c>
      <c r="Q165" s="50">
        <f>VLOOKUP($A165,'Data shares'!$C:$FB,127)*100</f>
        <v>-48.39</v>
      </c>
    </row>
    <row r="166" spans="1:17" x14ac:dyDescent="0.25">
      <c r="A166" s="97" t="str">
        <f>'Data Vlaue (Cr)'!C161</f>
        <v>PHOENIXLTD</v>
      </c>
      <c r="B166" s="140">
        <f>VLOOKUP($A166,'Data shares'!$C:$FB,7)</f>
        <v>1715.7</v>
      </c>
      <c r="C166" s="140">
        <f>VLOOKUP($A166,'Data shares'!$C:$FB,3)</f>
        <v>1718.8</v>
      </c>
      <c r="D166" s="140">
        <f>VLOOKUP($A166,'Data shares'!$C:$FB,4)</f>
        <v>1717.2</v>
      </c>
      <c r="E166" s="50">
        <f t="shared" si="6"/>
        <v>9.3174935942226242E-2</v>
      </c>
      <c r="F166" s="49">
        <f>VLOOKUP($A166,'Data shares'!$C:$FB,98)</f>
        <v>5120850</v>
      </c>
      <c r="G166" s="49">
        <f>VLOOKUP($A166,'Data shares'!$C:$FB,99)</f>
        <v>5169150</v>
      </c>
      <c r="H166" s="50">
        <f t="shared" si="7"/>
        <v>-0.93438959983749748</v>
      </c>
      <c r="I166" s="49">
        <f>VLOOKUP($A166,'Data shares'!$C:$FB,66)</f>
        <v>2670500</v>
      </c>
      <c r="J166" s="49">
        <f>VLOOKUP($A166,'Data shares'!$C:$FB,67)</f>
        <v>2166500</v>
      </c>
      <c r="K166" s="50">
        <f t="shared" si="8"/>
        <v>18.872870249017037</v>
      </c>
      <c r="L166" s="50">
        <f>VLOOKUP($A166,'Data shares'!$C:$FB,118)</f>
        <v>0.47</v>
      </c>
      <c r="M166" s="50">
        <f>VLOOKUP($A166,'Data shares'!$C:$FB,119)</f>
        <v>0.47</v>
      </c>
      <c r="N166" s="50">
        <f>VLOOKUP($A166,'Data shares'!$C:$FB,121)*100</f>
        <v>0</v>
      </c>
      <c r="O166" s="50">
        <f>VLOOKUP($A166,'Data shares'!$C:$FB,124)</f>
        <v>0.3</v>
      </c>
      <c r="P166" s="50">
        <f>VLOOKUP($A166,'Data shares'!$C:$FB,125)</f>
        <v>0.2</v>
      </c>
      <c r="Q166" s="50">
        <f>VLOOKUP($A166,'Data shares'!$C:$FB,127)*100</f>
        <v>50</v>
      </c>
    </row>
    <row r="167" spans="1:17" x14ac:dyDescent="0.25">
      <c r="A167" s="97" t="str">
        <f>'Data Vlaue (Cr)'!C162</f>
        <v>PIDILITIND</v>
      </c>
      <c r="B167" s="140">
        <f>VLOOKUP($A167,'Data shares'!$C:$FB,7)</f>
        <v>1489</v>
      </c>
      <c r="C167" s="140">
        <f>VLOOKUP($A167,'Data shares'!$C:$FB,3)</f>
        <v>1488.3</v>
      </c>
      <c r="D167" s="140">
        <f>VLOOKUP($A167,'Data shares'!$C:$FB,4)</f>
        <v>1475.8</v>
      </c>
      <c r="E167" s="50">
        <f t="shared" si="6"/>
        <v>0.84699823824366438</v>
      </c>
      <c r="F167" s="49">
        <f>VLOOKUP($A167,'Data shares'!$C:$FB,98)</f>
        <v>11896500</v>
      </c>
      <c r="G167" s="49">
        <f>VLOOKUP($A167,'Data shares'!$C:$FB,99)</f>
        <v>12530500</v>
      </c>
      <c r="H167" s="50">
        <f t="shared" si="7"/>
        <v>-5.0596544431586929</v>
      </c>
      <c r="I167" s="49">
        <f>VLOOKUP($A167,'Data shares'!$C:$FB,66)</f>
        <v>8042500</v>
      </c>
      <c r="J167" s="49">
        <f>VLOOKUP($A167,'Data shares'!$C:$FB,67)</f>
        <v>5192500</v>
      </c>
      <c r="K167" s="50">
        <f t="shared" si="8"/>
        <v>35.43674230649674</v>
      </c>
      <c r="L167" s="50">
        <f>VLOOKUP($A167,'Data shares'!$C:$FB,118)</f>
        <v>0.57999999999999996</v>
      </c>
      <c r="M167" s="50">
        <f>VLOOKUP($A167,'Data shares'!$C:$FB,119)</f>
        <v>0.56000000000000005</v>
      </c>
      <c r="N167" s="50">
        <f>VLOOKUP($A167,'Data shares'!$C:$FB,121)*100</f>
        <v>3.5700000000000003</v>
      </c>
      <c r="O167" s="50">
        <f>VLOOKUP($A167,'Data shares'!$C:$FB,124)</f>
        <v>0.33</v>
      </c>
      <c r="P167" s="50">
        <f>VLOOKUP($A167,'Data shares'!$C:$FB,125)</f>
        <v>0.3</v>
      </c>
      <c r="Q167" s="50">
        <f>VLOOKUP($A167,'Data shares'!$C:$FB,127)*100</f>
        <v>10</v>
      </c>
    </row>
    <row r="168" spans="1:17" x14ac:dyDescent="0.25">
      <c r="A168" s="97" t="str">
        <f>'Data Vlaue (Cr)'!C163</f>
        <v>PIIND</v>
      </c>
      <c r="B168" s="140">
        <f>VLOOKUP($A168,'Data shares'!$C:$FB,7)</f>
        <v>3441.1</v>
      </c>
      <c r="C168" s="140">
        <f>VLOOKUP($A168,'Data shares'!$C:$FB,3)</f>
        <v>3452.4</v>
      </c>
      <c r="D168" s="140">
        <f>VLOOKUP($A168,'Data shares'!$C:$FB,4)</f>
        <v>3450.9</v>
      </c>
      <c r="E168" s="50">
        <f t="shared" si="6"/>
        <v>4.3466921672607142E-2</v>
      </c>
      <c r="F168" s="49">
        <f>VLOOKUP($A168,'Data shares'!$C:$FB,98)</f>
        <v>4966325</v>
      </c>
      <c r="G168" s="49">
        <f>VLOOKUP($A168,'Data shares'!$C:$FB,99)</f>
        <v>5310025</v>
      </c>
      <c r="H168" s="50">
        <f t="shared" si="7"/>
        <v>-6.4726625580858848</v>
      </c>
      <c r="I168" s="49">
        <f>VLOOKUP($A168,'Data shares'!$C:$FB,66)</f>
        <v>4703475</v>
      </c>
      <c r="J168" s="49">
        <f>VLOOKUP($A168,'Data shares'!$C:$FB,67)</f>
        <v>4403175</v>
      </c>
      <c r="K168" s="50">
        <f t="shared" si="8"/>
        <v>6.3846411429847079</v>
      </c>
      <c r="L168" s="50">
        <f>VLOOKUP($A168,'Data shares'!$C:$FB,118)</f>
        <v>0.67</v>
      </c>
      <c r="M168" s="50">
        <f>VLOOKUP($A168,'Data shares'!$C:$FB,119)</f>
        <v>0.62</v>
      </c>
      <c r="N168" s="50">
        <f>VLOOKUP($A168,'Data shares'!$C:$FB,121)*100</f>
        <v>8.06</v>
      </c>
      <c r="O168" s="50">
        <f>VLOOKUP($A168,'Data shares'!$C:$FB,124)</f>
        <v>0.35</v>
      </c>
      <c r="P168" s="50">
        <f>VLOOKUP($A168,'Data shares'!$C:$FB,125)</f>
        <v>0.43</v>
      </c>
      <c r="Q168" s="50">
        <f>VLOOKUP($A168,'Data shares'!$C:$FB,127)*100</f>
        <v>-18.600000000000001</v>
      </c>
    </row>
    <row r="169" spans="1:17" x14ac:dyDescent="0.25">
      <c r="A169" s="97" t="str">
        <f>'Data Vlaue (Cr)'!C164</f>
        <v>PNB</v>
      </c>
      <c r="B169" s="140">
        <f>VLOOKUP($A169,'Data shares'!$C:$FB,7)</f>
        <v>123.86</v>
      </c>
      <c r="C169" s="140">
        <f>VLOOKUP($A169,'Data shares'!$C:$FB,3)</f>
        <v>123.83</v>
      </c>
      <c r="D169" s="140">
        <f>VLOOKUP($A169,'Data shares'!$C:$FB,4)</f>
        <v>125.24</v>
      </c>
      <c r="E169" s="50">
        <f t="shared" si="6"/>
        <v>-1.1258383902906393</v>
      </c>
      <c r="F169" s="49">
        <f>VLOOKUP($A169,'Data shares'!$C:$FB,98)</f>
        <v>436792000</v>
      </c>
      <c r="G169" s="49">
        <f>VLOOKUP($A169,'Data shares'!$C:$FB,99)</f>
        <v>434440000</v>
      </c>
      <c r="H169" s="50">
        <f t="shared" si="7"/>
        <v>0.54138661265076882</v>
      </c>
      <c r="I169" s="49">
        <f>VLOOKUP($A169,'Data shares'!$C:$FB,66)</f>
        <v>485840000</v>
      </c>
      <c r="J169" s="49">
        <f>VLOOKUP($A169,'Data shares'!$C:$FB,67)</f>
        <v>528048000</v>
      </c>
      <c r="K169" s="50">
        <f t="shared" si="8"/>
        <v>-8.6876337889016959</v>
      </c>
      <c r="L169" s="50">
        <f>VLOOKUP($A169,'Data shares'!$C:$FB,118)</f>
        <v>0.71</v>
      </c>
      <c r="M169" s="50">
        <f>VLOOKUP($A169,'Data shares'!$C:$FB,119)</f>
        <v>0.71</v>
      </c>
      <c r="N169" s="50">
        <f>VLOOKUP($A169,'Data shares'!$C:$FB,121)*100</f>
        <v>0</v>
      </c>
      <c r="O169" s="50">
        <f>VLOOKUP($A169,'Data shares'!$C:$FB,124)</f>
        <v>0.67</v>
      </c>
      <c r="P169" s="50">
        <f>VLOOKUP($A169,'Data shares'!$C:$FB,125)</f>
        <v>0.42</v>
      </c>
      <c r="Q169" s="50">
        <f>VLOOKUP($A169,'Data shares'!$C:$FB,127)*100</f>
        <v>59.519999999999996</v>
      </c>
    </row>
    <row r="170" spans="1:17" x14ac:dyDescent="0.25">
      <c r="A170" s="97" t="str">
        <f>'Data Vlaue (Cr)'!C165</f>
        <v>PNBHOUSING</v>
      </c>
      <c r="B170" s="140">
        <f>VLOOKUP($A170,'Data shares'!$C:$FB,7)</f>
        <v>905.25</v>
      </c>
      <c r="C170" s="140">
        <f>VLOOKUP($A170,'Data shares'!$C:$FB,3)</f>
        <v>904.8</v>
      </c>
      <c r="D170" s="140">
        <f>VLOOKUP($A170,'Data shares'!$C:$FB,4)</f>
        <v>908.9</v>
      </c>
      <c r="E170" s="50">
        <f t="shared" si="6"/>
        <v>-0.45109472989328009</v>
      </c>
      <c r="F170" s="49">
        <f>VLOOKUP($A170,'Data shares'!$C:$FB,98)</f>
        <v>26497250</v>
      </c>
      <c r="G170" s="49">
        <f>VLOOKUP($A170,'Data shares'!$C:$FB,99)</f>
        <v>27190800</v>
      </c>
      <c r="H170" s="50">
        <f t="shared" si="7"/>
        <v>-2.5506789061005928</v>
      </c>
      <c r="I170" s="49">
        <f>VLOOKUP($A170,'Data shares'!$C:$FB,66)</f>
        <v>10136750</v>
      </c>
      <c r="J170" s="49">
        <f>VLOOKUP($A170,'Data shares'!$C:$FB,67)</f>
        <v>14675050</v>
      </c>
      <c r="K170" s="50">
        <f t="shared" si="8"/>
        <v>-44.770759858929146</v>
      </c>
      <c r="L170" s="50">
        <f>VLOOKUP($A170,'Data shares'!$C:$FB,118)</f>
        <v>0.8</v>
      </c>
      <c r="M170" s="50">
        <f>VLOOKUP($A170,'Data shares'!$C:$FB,119)</f>
        <v>0.78</v>
      </c>
      <c r="N170" s="50">
        <f>VLOOKUP($A170,'Data shares'!$C:$FB,121)*100</f>
        <v>2.56</v>
      </c>
      <c r="O170" s="50">
        <f>VLOOKUP($A170,'Data shares'!$C:$FB,124)</f>
        <v>0.38</v>
      </c>
      <c r="P170" s="50">
        <f>VLOOKUP($A170,'Data shares'!$C:$FB,125)</f>
        <v>0.55000000000000004</v>
      </c>
      <c r="Q170" s="50">
        <f>VLOOKUP($A170,'Data shares'!$C:$FB,127)*100</f>
        <v>-30.91</v>
      </c>
    </row>
    <row r="171" spans="1:17" x14ac:dyDescent="0.25">
      <c r="A171" s="97" t="str">
        <f>'Data Vlaue (Cr)'!C166</f>
        <v>POLICYBZR</v>
      </c>
      <c r="B171" s="140">
        <f>VLOOKUP($A171,'Data shares'!$C:$FB,7)</f>
        <v>1843.9</v>
      </c>
      <c r="C171" s="140">
        <f>VLOOKUP($A171,'Data shares'!$C:$FB,3)</f>
        <v>1842.6</v>
      </c>
      <c r="D171" s="140">
        <f>VLOOKUP($A171,'Data shares'!$C:$FB,4)</f>
        <v>1853</v>
      </c>
      <c r="E171" s="50">
        <f t="shared" si="6"/>
        <v>-0.56125202374528282</v>
      </c>
      <c r="F171" s="49">
        <f>VLOOKUP($A171,'Data shares'!$C:$FB,98)</f>
        <v>12685050</v>
      </c>
      <c r="G171" s="49">
        <f>VLOOKUP($A171,'Data shares'!$C:$FB,99)</f>
        <v>13120800</v>
      </c>
      <c r="H171" s="50">
        <f t="shared" si="7"/>
        <v>-3.3210627400768242</v>
      </c>
      <c r="I171" s="49">
        <f>VLOOKUP($A171,'Data shares'!$C:$FB,66)</f>
        <v>9789850</v>
      </c>
      <c r="J171" s="49">
        <f>VLOOKUP($A171,'Data shares'!$C:$FB,67)</f>
        <v>17985450</v>
      </c>
      <c r="K171" s="50">
        <f t="shared" si="8"/>
        <v>-83.715276536412702</v>
      </c>
      <c r="L171" s="50">
        <f>VLOOKUP($A171,'Data shares'!$C:$FB,118)</f>
        <v>0.59</v>
      </c>
      <c r="M171" s="50">
        <f>VLOOKUP($A171,'Data shares'!$C:$FB,119)</f>
        <v>0.56999999999999995</v>
      </c>
      <c r="N171" s="50">
        <f>VLOOKUP($A171,'Data shares'!$C:$FB,121)*100</f>
        <v>3.51</v>
      </c>
      <c r="O171" s="50">
        <f>VLOOKUP($A171,'Data shares'!$C:$FB,124)</f>
        <v>0.57999999999999996</v>
      </c>
      <c r="P171" s="50">
        <f>VLOOKUP($A171,'Data shares'!$C:$FB,125)</f>
        <v>0.43</v>
      </c>
      <c r="Q171" s="50">
        <f>VLOOKUP($A171,'Data shares'!$C:$FB,127)*100</f>
        <v>34.880000000000003</v>
      </c>
    </row>
    <row r="172" spans="1:17" x14ac:dyDescent="0.25">
      <c r="A172" s="97" t="str">
        <f>'Data Vlaue (Cr)'!C167</f>
        <v>POLYCAB</v>
      </c>
      <c r="B172" s="140">
        <f>VLOOKUP($A172,'Data shares'!$C:$FB,7)</f>
        <v>7648.5</v>
      </c>
      <c r="C172" s="140">
        <f>VLOOKUP($A172,'Data shares'!$C:$FB,3)</f>
        <v>7658.5</v>
      </c>
      <c r="D172" s="140">
        <f>VLOOKUP($A172,'Data shares'!$C:$FB,4)</f>
        <v>7693.5</v>
      </c>
      <c r="E172" s="50">
        <f t="shared" si="6"/>
        <v>-0.45492948592968085</v>
      </c>
      <c r="F172" s="49">
        <f>VLOOKUP($A172,'Data shares'!$C:$FB,98)</f>
        <v>2665000</v>
      </c>
      <c r="G172" s="49">
        <f>VLOOKUP($A172,'Data shares'!$C:$FB,99)</f>
        <v>2720375</v>
      </c>
      <c r="H172" s="50">
        <f t="shared" si="7"/>
        <v>-2.0355649496852455</v>
      </c>
      <c r="I172" s="49">
        <f>VLOOKUP($A172,'Data shares'!$C:$FB,66)</f>
        <v>2435875</v>
      </c>
      <c r="J172" s="49">
        <f>VLOOKUP($A172,'Data shares'!$C:$FB,67)</f>
        <v>1331125</v>
      </c>
      <c r="K172" s="50">
        <f t="shared" si="8"/>
        <v>45.353312464720069</v>
      </c>
      <c r="L172" s="50">
        <f>VLOOKUP($A172,'Data shares'!$C:$FB,118)</f>
        <v>0.49</v>
      </c>
      <c r="M172" s="50">
        <f>VLOOKUP($A172,'Data shares'!$C:$FB,119)</f>
        <v>0.52</v>
      </c>
      <c r="N172" s="50">
        <f>VLOOKUP($A172,'Data shares'!$C:$FB,121)*100</f>
        <v>-5.7700000000000005</v>
      </c>
      <c r="O172" s="50">
        <f>VLOOKUP($A172,'Data shares'!$C:$FB,124)</f>
        <v>0.42</v>
      </c>
      <c r="P172" s="50">
        <f>VLOOKUP($A172,'Data shares'!$C:$FB,125)</f>
        <v>0.34</v>
      </c>
      <c r="Q172" s="50">
        <f>VLOOKUP($A172,'Data shares'!$C:$FB,127)*100</f>
        <v>23.53</v>
      </c>
    </row>
    <row r="173" spans="1:17" x14ac:dyDescent="0.25">
      <c r="A173" s="97" t="str">
        <f>'Data Vlaue (Cr)'!C168</f>
        <v>POWERGRID</v>
      </c>
      <c r="B173" s="140">
        <f>VLOOKUP($A173,'Data shares'!$C:$FB,7)</f>
        <v>277.2</v>
      </c>
      <c r="C173" s="140">
        <f>VLOOKUP($A173,'Data shares'!$C:$FB,3)</f>
        <v>276.95</v>
      </c>
      <c r="D173" s="140">
        <f>VLOOKUP($A173,'Data shares'!$C:$FB,4)</f>
        <v>275</v>
      </c>
      <c r="E173" s="50">
        <f t="shared" ref="E173:E182" si="9">(C173-D173)/D173*100</f>
        <v>0.709090909090905</v>
      </c>
      <c r="F173" s="49">
        <f>VLOOKUP($A173,'Data shares'!$C:$FB,98)</f>
        <v>135057700</v>
      </c>
      <c r="G173" s="49">
        <f>VLOOKUP($A173,'Data shares'!$C:$FB,99)</f>
        <v>142997800</v>
      </c>
      <c r="H173" s="50">
        <f t="shared" ref="H173:H182" si="10">(F173-G173)/G173*100</f>
        <v>-5.5526029071775929</v>
      </c>
      <c r="I173" s="49">
        <f>VLOOKUP($A173,'Data shares'!$C:$FB,66)</f>
        <v>103382800</v>
      </c>
      <c r="J173" s="49">
        <f>VLOOKUP($A173,'Data shares'!$C:$FB,67)</f>
        <v>56851800</v>
      </c>
      <c r="K173" s="50">
        <f t="shared" ref="K173:K182" si="11">(I173-J173)/I173*100</f>
        <v>45.008454017496142</v>
      </c>
      <c r="L173" s="50">
        <f>VLOOKUP($A173,'Data shares'!$C:$FB,118)</f>
        <v>0.56000000000000005</v>
      </c>
      <c r="M173" s="50">
        <f>VLOOKUP($A173,'Data shares'!$C:$FB,119)</f>
        <v>0.53</v>
      </c>
      <c r="N173" s="50">
        <f>VLOOKUP($A173,'Data shares'!$C:$FB,121)*100</f>
        <v>5.66</v>
      </c>
      <c r="O173" s="50">
        <f>VLOOKUP($A173,'Data shares'!$C:$FB,124)</f>
        <v>0.41</v>
      </c>
      <c r="P173" s="50">
        <f>VLOOKUP($A173,'Data shares'!$C:$FB,125)</f>
        <v>0.3</v>
      </c>
      <c r="Q173" s="50">
        <f>VLOOKUP($A173,'Data shares'!$C:$FB,127)*100</f>
        <v>36.67</v>
      </c>
    </row>
    <row r="174" spans="1:17" x14ac:dyDescent="0.25">
      <c r="A174" s="97" t="str">
        <f>'Data Vlaue (Cr)'!C169</f>
        <v>POWERINDIA</v>
      </c>
      <c r="B174" s="140">
        <f>VLOOKUP($A174,'Data shares'!$C:$FB,7)</f>
        <v>22397</v>
      </c>
      <c r="C174" s="140">
        <f>VLOOKUP($A174,'Data shares'!$C:$FB,3)</f>
        <v>22389</v>
      </c>
      <c r="D174" s="140">
        <f>VLOOKUP($A174,'Data shares'!$C:$FB,4)</f>
        <v>21665</v>
      </c>
      <c r="E174" s="50">
        <f t="shared" si="9"/>
        <v>3.341795522732518</v>
      </c>
      <c r="F174" s="49">
        <f>VLOOKUP($A174,'Data shares'!$C:$FB,98)</f>
        <v>890600</v>
      </c>
      <c r="G174" s="49">
        <f>VLOOKUP($A174,'Data shares'!$C:$FB,99)</f>
        <v>727400</v>
      </c>
      <c r="H174" s="50">
        <f t="shared" si="10"/>
        <v>22.436073687104756</v>
      </c>
      <c r="I174" s="49">
        <f>VLOOKUP($A174,'Data shares'!$C:$FB,66)</f>
        <v>4259300</v>
      </c>
      <c r="J174" s="49">
        <f>VLOOKUP($A174,'Data shares'!$C:$FB,67)</f>
        <v>708150</v>
      </c>
      <c r="K174" s="50">
        <f t="shared" si="11"/>
        <v>83.374028596248209</v>
      </c>
      <c r="L174" s="50">
        <f>VLOOKUP($A174,'Data shares'!$C:$FB,118)</f>
        <v>0.79</v>
      </c>
      <c r="M174" s="50">
        <f>VLOOKUP($A174,'Data shares'!$C:$FB,119)</f>
        <v>0.96</v>
      </c>
      <c r="N174" s="50">
        <f>VLOOKUP($A174,'Data shares'!$C:$FB,121)*100</f>
        <v>-17.71</v>
      </c>
      <c r="O174" s="50">
        <f>VLOOKUP($A174,'Data shares'!$C:$FB,124)</f>
        <v>0.33</v>
      </c>
      <c r="P174" s="50">
        <f>VLOOKUP($A174,'Data shares'!$C:$FB,125)</f>
        <v>0.73</v>
      </c>
      <c r="Q174" s="50">
        <f>VLOOKUP($A174,'Data shares'!$C:$FB,127)*100</f>
        <v>-54.790000000000006</v>
      </c>
    </row>
    <row r="175" spans="1:17" x14ac:dyDescent="0.25">
      <c r="A175" s="97" t="str">
        <f>'Data Vlaue (Cr)'!C170</f>
        <v>PPLPHARMA</v>
      </c>
      <c r="B175" s="140">
        <f>VLOOKUP($A175,'Data shares'!$C:$FB,7)</f>
        <v>189.64</v>
      </c>
      <c r="C175" s="140">
        <f>VLOOKUP($A175,'Data shares'!$C:$FB,3)</f>
        <v>189.63</v>
      </c>
      <c r="D175" s="140">
        <f>VLOOKUP($A175,'Data shares'!$C:$FB,4)</f>
        <v>189.34</v>
      </c>
      <c r="E175" s="50">
        <f t="shared" si="9"/>
        <v>0.15316362099925637</v>
      </c>
      <c r="F175" s="49">
        <f>VLOOKUP($A175,'Data shares'!$C:$FB,98)</f>
        <v>46958625</v>
      </c>
      <c r="G175" s="49">
        <f>VLOOKUP($A175,'Data shares'!$C:$FB,99)</f>
        <v>49726750</v>
      </c>
      <c r="H175" s="50">
        <f t="shared" si="10"/>
        <v>-5.5666718617243234</v>
      </c>
      <c r="I175" s="49">
        <f>VLOOKUP($A175,'Data shares'!$C:$FB,66)</f>
        <v>27075000</v>
      </c>
      <c r="J175" s="49">
        <f>VLOOKUP($A175,'Data shares'!$C:$FB,67)</f>
        <v>22957500</v>
      </c>
      <c r="K175" s="50">
        <f t="shared" si="11"/>
        <v>15.207756232686981</v>
      </c>
      <c r="L175" s="50">
        <f>VLOOKUP($A175,'Data shares'!$C:$FB,118)</f>
        <v>0.44</v>
      </c>
      <c r="M175" s="50">
        <f>VLOOKUP($A175,'Data shares'!$C:$FB,119)</f>
        <v>0.43</v>
      </c>
      <c r="N175" s="50">
        <f>VLOOKUP($A175,'Data shares'!$C:$FB,121)*100</f>
        <v>2.33</v>
      </c>
      <c r="O175" s="50">
        <f>VLOOKUP($A175,'Data shares'!$C:$FB,124)</f>
        <v>0.25</v>
      </c>
      <c r="P175" s="50">
        <f>VLOOKUP($A175,'Data shares'!$C:$FB,125)</f>
        <v>0.37</v>
      </c>
      <c r="Q175" s="50">
        <f>VLOOKUP($A175,'Data shares'!$C:$FB,127)*100</f>
        <v>-32.43</v>
      </c>
    </row>
    <row r="176" spans="1:17" x14ac:dyDescent="0.25">
      <c r="A176" s="97" t="str">
        <f>'Data Vlaue (Cr)'!C171</f>
        <v>PRESTIGE</v>
      </c>
      <c r="B176" s="140">
        <f>VLOOKUP($A176,'Data shares'!$C:$FB,7)</f>
        <v>1717.2</v>
      </c>
      <c r="C176" s="140">
        <f>VLOOKUP($A176,'Data shares'!$C:$FB,3)</f>
        <v>1716.8</v>
      </c>
      <c r="D176" s="140">
        <f>VLOOKUP($A176,'Data shares'!$C:$FB,4)</f>
        <v>1722.3</v>
      </c>
      <c r="E176" s="50">
        <f t="shared" si="9"/>
        <v>-0.31934041688439879</v>
      </c>
      <c r="F176" s="49">
        <f>VLOOKUP($A176,'Data shares'!$C:$FB,98)</f>
        <v>7158150</v>
      </c>
      <c r="G176" s="49">
        <f>VLOOKUP($A176,'Data shares'!$C:$FB,99)</f>
        <v>7497450</v>
      </c>
      <c r="H176" s="50">
        <f t="shared" si="10"/>
        <v>-4.5255386831522717</v>
      </c>
      <c r="I176" s="49">
        <f>VLOOKUP($A176,'Data shares'!$C:$FB,66)</f>
        <v>7007400</v>
      </c>
      <c r="J176" s="49">
        <f>VLOOKUP($A176,'Data shares'!$C:$FB,67)</f>
        <v>6929550</v>
      </c>
      <c r="K176" s="50">
        <f t="shared" si="11"/>
        <v>1.1109684048291806</v>
      </c>
      <c r="L176" s="50">
        <f>VLOOKUP($A176,'Data shares'!$C:$FB,118)</f>
        <v>0.56000000000000005</v>
      </c>
      <c r="M176" s="50">
        <f>VLOOKUP($A176,'Data shares'!$C:$FB,119)</f>
        <v>0.51</v>
      </c>
      <c r="N176" s="50">
        <f>VLOOKUP($A176,'Data shares'!$C:$FB,121)*100</f>
        <v>9.8000000000000007</v>
      </c>
      <c r="O176" s="50">
        <f>VLOOKUP($A176,'Data shares'!$C:$FB,124)</f>
        <v>0.23</v>
      </c>
      <c r="P176" s="50">
        <f>VLOOKUP($A176,'Data shares'!$C:$FB,125)</f>
        <v>0.19</v>
      </c>
      <c r="Q176" s="50">
        <f>VLOOKUP($A176,'Data shares'!$C:$FB,127)*100</f>
        <v>21.05</v>
      </c>
    </row>
    <row r="177" spans="1:17" x14ac:dyDescent="0.25">
      <c r="A177" s="97" t="str">
        <f>'Data Vlaue (Cr)'!C172</f>
        <v>RBLBANK</v>
      </c>
      <c r="B177" s="140">
        <f>VLOOKUP($A177,'Data shares'!$C:$FB,7)</f>
        <v>313.64999999999998</v>
      </c>
      <c r="C177" s="140">
        <f>VLOOKUP($A177,'Data shares'!$C:$FB,3)</f>
        <v>313.5</v>
      </c>
      <c r="D177" s="140">
        <f>VLOOKUP($A177,'Data shares'!$C:$FB,4)</f>
        <v>310.5</v>
      </c>
      <c r="E177" s="50">
        <f t="shared" si="9"/>
        <v>0.96618357487922701</v>
      </c>
      <c r="F177" s="49">
        <f>VLOOKUP($A177,'Data shares'!$C:$FB,98)</f>
        <v>116411375</v>
      </c>
      <c r="G177" s="49">
        <f>VLOOKUP($A177,'Data shares'!$C:$FB,99)</f>
        <v>118837075</v>
      </c>
      <c r="H177" s="50">
        <f t="shared" si="10"/>
        <v>-2.0411980015496005</v>
      </c>
      <c r="I177" s="49">
        <f>VLOOKUP($A177,'Data shares'!$C:$FB,66)</f>
        <v>51657250</v>
      </c>
      <c r="J177" s="49">
        <f>VLOOKUP($A177,'Data shares'!$C:$FB,67)</f>
        <v>42322750</v>
      </c>
      <c r="K177" s="50">
        <f t="shared" si="11"/>
        <v>18.070067609096498</v>
      </c>
      <c r="L177" s="50">
        <f>VLOOKUP($A177,'Data shares'!$C:$FB,118)</f>
        <v>0.7</v>
      </c>
      <c r="M177" s="50">
        <f>VLOOKUP($A177,'Data shares'!$C:$FB,119)</f>
        <v>0.72</v>
      </c>
      <c r="N177" s="50">
        <f>VLOOKUP($A177,'Data shares'!$C:$FB,121)*100</f>
        <v>-2.78</v>
      </c>
      <c r="O177" s="50">
        <f>VLOOKUP($A177,'Data shares'!$C:$FB,124)</f>
        <v>0.42</v>
      </c>
      <c r="P177" s="50">
        <f>VLOOKUP($A177,'Data shares'!$C:$FB,125)</f>
        <v>0.43</v>
      </c>
      <c r="Q177" s="50">
        <f>VLOOKUP($A177,'Data shares'!$C:$FB,127)*100</f>
        <v>-2.33</v>
      </c>
    </row>
    <row r="178" spans="1:17" x14ac:dyDescent="0.25">
      <c r="A178" s="97" t="str">
        <f>'Data Vlaue (Cr)'!C173</f>
        <v>RECLTD</v>
      </c>
      <c r="B178" s="140">
        <f>VLOOKUP($A178,'Data shares'!$C:$FB,7)</f>
        <v>361.4</v>
      </c>
      <c r="C178" s="140">
        <f>VLOOKUP($A178,'Data shares'!$C:$FB,3)</f>
        <v>361.1</v>
      </c>
      <c r="D178" s="140">
        <f>VLOOKUP($A178,'Data shares'!$C:$FB,4)</f>
        <v>359.2</v>
      </c>
      <c r="E178" s="50">
        <f t="shared" si="9"/>
        <v>0.52895322939867317</v>
      </c>
      <c r="F178" s="49">
        <f>VLOOKUP($A178,'Data shares'!$C:$FB,98)</f>
        <v>176613375</v>
      </c>
      <c r="G178" s="49">
        <f>VLOOKUP($A178,'Data shares'!$C:$FB,99)</f>
        <v>185308975</v>
      </c>
      <c r="H178" s="50">
        <f t="shared" si="10"/>
        <v>-4.6924872365194403</v>
      </c>
      <c r="I178" s="49">
        <f>VLOOKUP($A178,'Data shares'!$C:$FB,66)</f>
        <v>90420450</v>
      </c>
      <c r="J178" s="49">
        <f>VLOOKUP($A178,'Data shares'!$C:$FB,67)</f>
        <v>64327575</v>
      </c>
      <c r="K178" s="50">
        <f t="shared" si="11"/>
        <v>28.857271778673958</v>
      </c>
      <c r="L178" s="50">
        <f>VLOOKUP($A178,'Data shares'!$C:$FB,118)</f>
        <v>0.72</v>
      </c>
      <c r="M178" s="50">
        <f>VLOOKUP($A178,'Data shares'!$C:$FB,119)</f>
        <v>0.68</v>
      </c>
      <c r="N178" s="50">
        <f>VLOOKUP($A178,'Data shares'!$C:$FB,121)*100</f>
        <v>5.88</v>
      </c>
      <c r="O178" s="50">
        <f>VLOOKUP($A178,'Data shares'!$C:$FB,124)</f>
        <v>0.55000000000000004</v>
      </c>
      <c r="P178" s="50">
        <f>VLOOKUP($A178,'Data shares'!$C:$FB,125)</f>
        <v>0.46</v>
      </c>
      <c r="Q178" s="50">
        <f>VLOOKUP($A178,'Data shares'!$C:$FB,127)*100</f>
        <v>19.57</v>
      </c>
    </row>
    <row r="179" spans="1:17" x14ac:dyDescent="0.25">
      <c r="A179" s="97" t="str">
        <f>'Data Vlaue (Cr)'!C174</f>
        <v>RELIANCE</v>
      </c>
      <c r="B179" s="140">
        <f>VLOOKUP($A179,'Data shares'!$C:$FB,7)</f>
        <v>1549.1</v>
      </c>
      <c r="C179" s="140">
        <f>VLOOKUP($A179,'Data shares'!$C:$FB,3)</f>
        <v>1548</v>
      </c>
      <c r="D179" s="140">
        <f>VLOOKUP($A179,'Data shares'!$C:$FB,4)</f>
        <v>1518.1</v>
      </c>
      <c r="E179" s="50">
        <f t="shared" si="9"/>
        <v>1.9695672221856328</v>
      </c>
      <c r="F179" s="49">
        <f>VLOOKUP($A179,'Data shares'!$C:$FB,98)</f>
        <v>191335000</v>
      </c>
      <c r="G179" s="49">
        <f>VLOOKUP($A179,'Data shares'!$C:$FB,99)</f>
        <v>184018000</v>
      </c>
      <c r="H179" s="50">
        <f t="shared" si="10"/>
        <v>3.9762414546403071</v>
      </c>
      <c r="I179" s="49">
        <f>VLOOKUP($A179,'Data shares'!$C:$FB,66)</f>
        <v>357956500</v>
      </c>
      <c r="J179" s="49">
        <f>VLOOKUP($A179,'Data shares'!$C:$FB,67)</f>
        <v>120375500</v>
      </c>
      <c r="K179" s="50">
        <f t="shared" si="11"/>
        <v>66.371472511324697</v>
      </c>
      <c r="L179" s="50">
        <f>VLOOKUP($A179,'Data shares'!$C:$FB,118)</f>
        <v>0.73</v>
      </c>
      <c r="M179" s="50">
        <f>VLOOKUP($A179,'Data shares'!$C:$FB,119)</f>
        <v>0.65</v>
      </c>
      <c r="N179" s="50">
        <f>VLOOKUP($A179,'Data shares'!$C:$FB,121)*100</f>
        <v>12.31</v>
      </c>
      <c r="O179" s="50">
        <f>VLOOKUP($A179,'Data shares'!$C:$FB,124)</f>
        <v>0.46</v>
      </c>
      <c r="P179" s="50">
        <f>VLOOKUP($A179,'Data shares'!$C:$FB,125)</f>
        <v>0.6</v>
      </c>
      <c r="Q179" s="50">
        <f>VLOOKUP($A179,'Data shares'!$C:$FB,127)*100</f>
        <v>-23.330000000000002</v>
      </c>
    </row>
    <row r="180" spans="1:17" x14ac:dyDescent="0.25">
      <c r="A180" s="97" t="str">
        <f>'Data Vlaue (Cr)'!C175</f>
        <v>RVNL</v>
      </c>
      <c r="B180" s="140">
        <f>VLOOKUP($A180,'Data shares'!$C:$FB,7)</f>
        <v>319.10000000000002</v>
      </c>
      <c r="C180" s="140">
        <f>VLOOKUP($A180,'Data shares'!$C:$FB,3)</f>
        <v>319.60000000000002</v>
      </c>
      <c r="D180" s="140">
        <f>VLOOKUP($A180,'Data shares'!$C:$FB,4)</f>
        <v>319.10000000000002</v>
      </c>
      <c r="E180" s="50">
        <f t="shared" si="9"/>
        <v>0.15669069257286117</v>
      </c>
      <c r="F180" s="49">
        <f>VLOOKUP($A180,'Data shares'!$C:$FB,98)</f>
        <v>65201575</v>
      </c>
      <c r="G180" s="49">
        <f>VLOOKUP($A180,'Data shares'!$C:$FB,99)</f>
        <v>76391950</v>
      </c>
      <c r="H180" s="50">
        <f t="shared" si="10"/>
        <v>-14.648631171216339</v>
      </c>
      <c r="I180" s="49">
        <f>VLOOKUP($A180,'Data shares'!$C:$FB,66)</f>
        <v>54786875</v>
      </c>
      <c r="J180" s="49">
        <f>VLOOKUP($A180,'Data shares'!$C:$FB,67)</f>
        <v>31777625</v>
      </c>
      <c r="K180" s="50">
        <f t="shared" si="11"/>
        <v>41.997741247333416</v>
      </c>
      <c r="L180" s="50">
        <f>VLOOKUP($A180,'Data shares'!$C:$FB,118)</f>
        <v>0.54</v>
      </c>
      <c r="M180" s="50">
        <f>VLOOKUP($A180,'Data shares'!$C:$FB,119)</f>
        <v>0.51</v>
      </c>
      <c r="N180" s="50">
        <f>VLOOKUP($A180,'Data shares'!$C:$FB,121)*100</f>
        <v>5.88</v>
      </c>
      <c r="O180" s="50">
        <f>VLOOKUP($A180,'Data shares'!$C:$FB,124)</f>
        <v>0.39</v>
      </c>
      <c r="P180" s="50">
        <f>VLOOKUP($A180,'Data shares'!$C:$FB,125)</f>
        <v>0.36</v>
      </c>
      <c r="Q180" s="50">
        <f>VLOOKUP($A180,'Data shares'!$C:$FB,127)*100</f>
        <v>8.33</v>
      </c>
    </row>
    <row r="181" spans="1:17" x14ac:dyDescent="0.25">
      <c r="A181" s="97" t="str">
        <f>'Data Vlaue (Cr)'!C176</f>
        <v>SAIL</v>
      </c>
      <c r="B181" s="140">
        <f>VLOOKUP($A181,'Data shares'!$C:$FB,7)</f>
        <v>138.19</v>
      </c>
      <c r="C181" s="140">
        <f>VLOOKUP($A181,'Data shares'!$C:$FB,3)</f>
        <v>138.38</v>
      </c>
      <c r="D181" s="140">
        <f>VLOOKUP($A181,'Data shares'!$C:$FB,4)</f>
        <v>139.93</v>
      </c>
      <c r="E181" s="50">
        <f t="shared" si="9"/>
        <v>-1.1076967054956131</v>
      </c>
      <c r="F181" s="49">
        <f>VLOOKUP($A181,'Data shares'!$C:$FB,98)</f>
        <v>272515400</v>
      </c>
      <c r="G181" s="49">
        <f>VLOOKUP($A181,'Data shares'!$C:$FB,99)</f>
        <v>276054500</v>
      </c>
      <c r="H181" s="50">
        <f t="shared" si="10"/>
        <v>-1.2820294543287649</v>
      </c>
      <c r="I181" s="49">
        <f>VLOOKUP($A181,'Data shares'!$C:$FB,66)</f>
        <v>16017600</v>
      </c>
      <c r="J181" s="49">
        <f>VLOOKUP($A181,'Data shares'!$C:$FB,67)</f>
        <v>4117200</v>
      </c>
      <c r="K181" s="50">
        <f t="shared" si="11"/>
        <v>74.295774647887328</v>
      </c>
      <c r="L181" s="50">
        <f>VLOOKUP($A181,'Data shares'!$C:$FB,118)</f>
        <v>0.89</v>
      </c>
      <c r="M181" s="50">
        <f>VLOOKUP($A181,'Data shares'!$C:$FB,119)</f>
        <v>0.86</v>
      </c>
      <c r="N181" s="50">
        <f>VLOOKUP($A181,'Data shares'!$C:$FB,121)*100</f>
        <v>3.49</v>
      </c>
      <c r="O181" s="50">
        <f>VLOOKUP($A181,'Data shares'!$C:$FB,124)</f>
        <v>0.28999999999999998</v>
      </c>
      <c r="P181" s="50">
        <f>VLOOKUP($A181,'Data shares'!$C:$FB,125)</f>
        <v>0.44</v>
      </c>
      <c r="Q181" s="50">
        <f>VLOOKUP($A181,'Data shares'!$C:$FB,127)*100</f>
        <v>-34.089999999999996</v>
      </c>
    </row>
    <row r="182" spans="1:17" x14ac:dyDescent="0.25">
      <c r="A182" s="97" t="str">
        <f>'Data Vlaue (Cr)'!C177</f>
        <v>SAMMAANCAP</v>
      </c>
      <c r="B182" s="140">
        <f>VLOOKUP($A182,'Data shares'!$C:$FB,7)</f>
        <v>157.02000000000001</v>
      </c>
      <c r="C182" s="140">
        <f>VLOOKUP($A182,'Data shares'!$C:$FB,3)</f>
        <v>157.49</v>
      </c>
      <c r="D182" s="140">
        <f>VLOOKUP($A182,'Data shares'!$C:$FB,4)</f>
        <v>160.13</v>
      </c>
      <c r="E182" s="50">
        <f t="shared" si="9"/>
        <v>-1.6486604633735005</v>
      </c>
      <c r="F182" s="49">
        <f>VLOOKUP($A182,'Data shares'!$C:$FB,98)</f>
        <v>215391300</v>
      </c>
      <c r="G182" s="49">
        <f>VLOOKUP($A182,'Data shares'!$C:$FB,99)</f>
        <v>245362300</v>
      </c>
      <c r="H182" s="50">
        <f t="shared" si="10"/>
        <v>-12.214997984612957</v>
      </c>
      <c r="I182" s="49">
        <f>VLOOKUP($A182,'Data shares'!$C:$FB,66)</f>
        <v>71048900</v>
      </c>
      <c r="J182" s="49">
        <f>VLOOKUP($A182,'Data shares'!$C:$FB,67)</f>
        <v>736112700</v>
      </c>
      <c r="K182" s="50">
        <f t="shared" si="11"/>
        <v>-936.06487925921442</v>
      </c>
      <c r="L182" s="50">
        <f>VLOOKUP($A182,'Data shares'!$C:$FB,118)</f>
        <v>0.59</v>
      </c>
      <c r="M182" s="50">
        <f>VLOOKUP($A182,'Data shares'!$C:$FB,119)</f>
        <v>0.62</v>
      </c>
      <c r="N182" s="50">
        <f>VLOOKUP($A182,'Data shares'!$C:$FB,121)*100</f>
        <v>-4.84</v>
      </c>
      <c r="O182" s="50">
        <f>VLOOKUP($A182,'Data shares'!$C:$FB,124)</f>
        <v>0.89</v>
      </c>
      <c r="P182" s="50">
        <f>VLOOKUP($A182,'Data shares'!$C:$FB,125)</f>
        <v>0.96</v>
      </c>
      <c r="Q182" s="50">
        <f>VLOOKUP($A182,'Data shares'!$C:$FB,127)*100</f>
        <v>-7.2900000000000009</v>
      </c>
    </row>
    <row r="183" spans="1:17" x14ac:dyDescent="0.25">
      <c r="A183" s="97" t="str">
        <f>'Data Vlaue (Cr)'!C178</f>
        <v>SBICARD</v>
      </c>
      <c r="B183" s="140">
        <f>VLOOKUP($A183,'Data shares'!$C:$FB,7)</f>
        <v>874.1</v>
      </c>
      <c r="C183" s="140">
        <f>VLOOKUP($A183,'Data shares'!$C:$FB,3)</f>
        <v>875.35</v>
      </c>
      <c r="D183" s="140">
        <f>VLOOKUP($A183,'Data shares'!$C:$FB,4)</f>
        <v>866.6</v>
      </c>
      <c r="E183" s="50">
        <f>(C183-D183)/D183*100</f>
        <v>1.0096930533117932</v>
      </c>
      <c r="F183" s="49">
        <f>VLOOKUP($A183,'Data shares'!$C:$FB,98)</f>
        <v>32474400</v>
      </c>
      <c r="G183" s="49">
        <f>VLOOKUP($A183,'Data shares'!$C:$FB,99)</f>
        <v>36707200</v>
      </c>
      <c r="H183" s="50">
        <f>(F183-G183)/G183*100</f>
        <v>-11.531252724261181</v>
      </c>
      <c r="I183" s="49">
        <f>VLOOKUP($A183,'Data shares'!$C:$FB,66)</f>
        <v>22556000</v>
      </c>
      <c r="J183" s="49">
        <f>VLOOKUP($A183,'Data shares'!$C:$FB,67)</f>
        <v>20738400</v>
      </c>
      <c r="K183" s="50">
        <f>(I183-J183)/I183*100</f>
        <v>8.0581663415499207</v>
      </c>
      <c r="L183" s="50">
        <f>VLOOKUP($A183,'Data shares'!$C:$FB,118)</f>
        <v>0.49</v>
      </c>
      <c r="M183" s="50">
        <f>VLOOKUP($A183,'Data shares'!$C:$FB,119)</f>
        <v>0.46</v>
      </c>
      <c r="N183" s="50">
        <f>VLOOKUP($A183,'Data shares'!$C:$FB,121)*100</f>
        <v>6.52</v>
      </c>
      <c r="O183" s="50">
        <f>VLOOKUP($A183,'Data shares'!$C:$FB,124)</f>
        <v>0.38</v>
      </c>
      <c r="P183" s="50">
        <f>VLOOKUP($A183,'Data shares'!$C:$FB,125)</f>
        <v>0.32</v>
      </c>
      <c r="Q183" s="50">
        <f>VLOOKUP($A183,'Data shares'!$C:$FB,127)*100</f>
        <v>18.75</v>
      </c>
    </row>
    <row r="184" spans="1:17" x14ac:dyDescent="0.25">
      <c r="A184" s="97" t="str">
        <f>'Data Vlaue (Cr)'!C179</f>
        <v>SBILIFE</v>
      </c>
      <c r="B184" s="140">
        <f>VLOOKUP($A184,'Data shares'!$C:$FB,7)</f>
        <v>2027.1</v>
      </c>
      <c r="C184" s="140">
        <f>VLOOKUP($A184,'Data shares'!$C:$FB,3)</f>
        <v>2021.1</v>
      </c>
      <c r="D184" s="140">
        <f>VLOOKUP($A184,'Data shares'!$C:$FB,4)</f>
        <v>2002.4</v>
      </c>
      <c r="E184" s="50">
        <f t="shared" ref="E184:E189" si="12">(C184-D184)/D184*100</f>
        <v>0.93387934478624746</v>
      </c>
      <c r="F184" s="49">
        <f>VLOOKUP($A184,'Data shares'!$C:$FB,98)</f>
        <v>17629500</v>
      </c>
      <c r="G184" s="49">
        <f>VLOOKUP($A184,'Data shares'!$C:$FB,99)</f>
        <v>16479750</v>
      </c>
      <c r="H184" s="50">
        <f t="shared" ref="H184:H189" si="13">(F184-G184)/G184*100</f>
        <v>6.9767441860465116</v>
      </c>
      <c r="I184" s="49">
        <f>VLOOKUP($A184,'Data shares'!$C:$FB,66)</f>
        <v>16935750</v>
      </c>
      <c r="J184" s="49">
        <f>VLOOKUP($A184,'Data shares'!$C:$FB,67)</f>
        <v>6960750</v>
      </c>
      <c r="K184" s="50">
        <f t="shared" ref="K184:K189" si="14">(I184-J184)/I184*100</f>
        <v>58.899074443115893</v>
      </c>
      <c r="L184" s="50">
        <f>VLOOKUP($A184,'Data shares'!$C:$FB,118)</f>
        <v>0.65</v>
      </c>
      <c r="M184" s="50">
        <f>VLOOKUP($A184,'Data shares'!$C:$FB,119)</f>
        <v>0.64</v>
      </c>
      <c r="N184" s="50">
        <f>VLOOKUP($A184,'Data shares'!$C:$FB,121)*100</f>
        <v>1.5599999999999998</v>
      </c>
      <c r="O184" s="50">
        <f>VLOOKUP($A184,'Data shares'!$C:$FB,124)</f>
        <v>0.41</v>
      </c>
      <c r="P184" s="50">
        <f>VLOOKUP($A184,'Data shares'!$C:$FB,125)</f>
        <v>0.74</v>
      </c>
      <c r="Q184" s="50">
        <f>VLOOKUP($A184,'Data shares'!$C:$FB,127)*100</f>
        <v>-44.59</v>
      </c>
    </row>
    <row r="185" spans="1:17" x14ac:dyDescent="0.25">
      <c r="A185" s="97" t="str">
        <f>'Data Vlaue (Cr)'!C180</f>
        <v>SBIN</v>
      </c>
      <c r="B185" s="140">
        <f>VLOOKUP($A185,'Data shares'!$C:$FB,7)</f>
        <v>981.55</v>
      </c>
      <c r="C185" s="140">
        <f>VLOOKUP($A185,'Data shares'!$C:$FB,3)</f>
        <v>980.5</v>
      </c>
      <c r="D185" s="140">
        <f>VLOOKUP($A185,'Data shares'!$C:$FB,4)</f>
        <v>982.15</v>
      </c>
      <c r="E185" s="50">
        <f t="shared" si="12"/>
        <v>-0.16799877819070178</v>
      </c>
      <c r="F185" s="49">
        <f>VLOOKUP($A185,'Data shares'!$C:$FB,98)</f>
        <v>166377000</v>
      </c>
      <c r="G185" s="49">
        <f>VLOOKUP($A185,'Data shares'!$C:$FB,99)</f>
        <v>169816500</v>
      </c>
      <c r="H185" s="50">
        <f t="shared" si="13"/>
        <v>-2.025421557975815</v>
      </c>
      <c r="I185" s="49">
        <f>VLOOKUP($A185,'Data shares'!$C:$FB,66)</f>
        <v>163778250</v>
      </c>
      <c r="J185" s="49">
        <f>VLOOKUP($A185,'Data shares'!$C:$FB,67)</f>
        <v>201616500</v>
      </c>
      <c r="K185" s="50">
        <f t="shared" si="14"/>
        <v>-23.103342476794079</v>
      </c>
      <c r="L185" s="50">
        <f>VLOOKUP($A185,'Data shares'!$C:$FB,118)</f>
        <v>0.91</v>
      </c>
      <c r="M185" s="50">
        <f>VLOOKUP($A185,'Data shares'!$C:$FB,119)</f>
        <v>0.99</v>
      </c>
      <c r="N185" s="50">
        <f>VLOOKUP($A185,'Data shares'!$C:$FB,121)*100</f>
        <v>-8.08</v>
      </c>
      <c r="O185" s="50">
        <f>VLOOKUP($A185,'Data shares'!$C:$FB,124)</f>
        <v>0.69</v>
      </c>
      <c r="P185" s="50">
        <f>VLOOKUP($A185,'Data shares'!$C:$FB,125)</f>
        <v>0.71</v>
      </c>
      <c r="Q185" s="50">
        <f>VLOOKUP($A185,'Data shares'!$C:$FB,127)*100</f>
        <v>-2.82</v>
      </c>
    </row>
    <row r="186" spans="1:17" x14ac:dyDescent="0.25">
      <c r="A186" s="97" t="str">
        <f>'Data Vlaue (Cr)'!C181</f>
        <v>SHREECEM</v>
      </c>
      <c r="B186" s="140">
        <f>VLOOKUP($A186,'Data shares'!$C:$FB,7)</f>
        <v>26480</v>
      </c>
      <c r="C186" s="140">
        <f>VLOOKUP($A186,'Data shares'!$C:$FB,3)</f>
        <v>26565</v>
      </c>
      <c r="D186" s="140">
        <f>VLOOKUP($A186,'Data shares'!$C:$FB,4)</f>
        <v>26550</v>
      </c>
      <c r="E186" s="50">
        <f t="shared" si="12"/>
        <v>5.6497175141242938E-2</v>
      </c>
      <c r="F186" s="49">
        <f>VLOOKUP($A186,'Data shares'!$C:$FB,98)</f>
        <v>521950</v>
      </c>
      <c r="G186" s="49">
        <f>VLOOKUP($A186,'Data shares'!$C:$FB,99)</f>
        <v>551775</v>
      </c>
      <c r="H186" s="50">
        <f t="shared" si="13"/>
        <v>-5.4052829504780027</v>
      </c>
      <c r="I186" s="49">
        <f>VLOOKUP($A186,'Data shares'!$C:$FB,66)</f>
        <v>334800</v>
      </c>
      <c r="J186" s="49">
        <f>VLOOKUP($A186,'Data shares'!$C:$FB,67)</f>
        <v>219575</v>
      </c>
      <c r="K186" s="50">
        <f t="shared" si="14"/>
        <v>34.416069295101551</v>
      </c>
      <c r="L186" s="50">
        <f>VLOOKUP($A186,'Data shares'!$C:$FB,118)</f>
        <v>0.35</v>
      </c>
      <c r="M186" s="50">
        <f>VLOOKUP($A186,'Data shares'!$C:$FB,119)</f>
        <v>0.31</v>
      </c>
      <c r="N186" s="50">
        <f>VLOOKUP($A186,'Data shares'!$C:$FB,121)*100</f>
        <v>12.9</v>
      </c>
      <c r="O186" s="50">
        <f>VLOOKUP($A186,'Data shares'!$C:$FB,124)</f>
        <v>0.11</v>
      </c>
      <c r="P186" s="50">
        <f>VLOOKUP($A186,'Data shares'!$C:$FB,125)</f>
        <v>0.13</v>
      </c>
      <c r="Q186" s="50">
        <f>VLOOKUP($A186,'Data shares'!$C:$FB,127)*100</f>
        <v>-15.379999999999999</v>
      </c>
    </row>
    <row r="187" spans="1:17" x14ac:dyDescent="0.25">
      <c r="A187" s="97" t="str">
        <f>'Data Vlaue (Cr)'!C182</f>
        <v>SHRIRAMFIN</v>
      </c>
      <c r="B187" s="140">
        <f>VLOOKUP($A187,'Data shares'!$C:$FB,7)</f>
        <v>826.6</v>
      </c>
      <c r="C187" s="140">
        <f>VLOOKUP($A187,'Data shares'!$C:$FB,3)</f>
        <v>826.6</v>
      </c>
      <c r="D187" s="140">
        <f>VLOOKUP($A187,'Data shares'!$C:$FB,4)</f>
        <v>819.3</v>
      </c>
      <c r="E187" s="50">
        <f t="shared" si="12"/>
        <v>0.89100451605029518</v>
      </c>
      <c r="F187" s="49">
        <f>VLOOKUP($A187,'Data shares'!$C:$FB,98)</f>
        <v>87690075</v>
      </c>
      <c r="G187" s="49">
        <f>VLOOKUP($A187,'Data shares'!$C:$FB,99)</f>
        <v>90325950</v>
      </c>
      <c r="H187" s="50">
        <f t="shared" si="13"/>
        <v>-2.9181813199861169</v>
      </c>
      <c r="I187" s="49">
        <f>VLOOKUP($A187,'Data shares'!$C:$FB,66)</f>
        <v>54783300</v>
      </c>
      <c r="J187" s="49">
        <f>VLOOKUP($A187,'Data shares'!$C:$FB,67)</f>
        <v>34676400</v>
      </c>
      <c r="K187" s="50">
        <f t="shared" si="14"/>
        <v>36.702608276609844</v>
      </c>
      <c r="L187" s="50">
        <f>VLOOKUP($A187,'Data shares'!$C:$FB,118)</f>
        <v>0.91</v>
      </c>
      <c r="M187" s="50">
        <f>VLOOKUP($A187,'Data shares'!$C:$FB,119)</f>
        <v>0.88</v>
      </c>
      <c r="N187" s="50">
        <f>VLOOKUP($A187,'Data shares'!$C:$FB,121)*100</f>
        <v>3.4099999999999997</v>
      </c>
      <c r="O187" s="50">
        <f>VLOOKUP($A187,'Data shares'!$C:$FB,124)</f>
        <v>0.56999999999999995</v>
      </c>
      <c r="P187" s="50">
        <f>VLOOKUP($A187,'Data shares'!$C:$FB,125)</f>
        <v>0.66</v>
      </c>
      <c r="Q187" s="50">
        <f>VLOOKUP($A187,'Data shares'!$C:$FB,127)*100</f>
        <v>-13.639999999999999</v>
      </c>
    </row>
    <row r="188" spans="1:17" x14ac:dyDescent="0.25">
      <c r="A188" s="97" t="str">
        <f>'Data Vlaue (Cr)'!C183</f>
        <v>SIEMENS</v>
      </c>
      <c r="B188" s="140">
        <f>VLOOKUP($A188,'Data shares'!$C:$FB,7)</f>
        <v>3216.3</v>
      </c>
      <c r="C188" s="140">
        <f>VLOOKUP($A188,'Data shares'!$C:$FB,3)</f>
        <v>3222.8</v>
      </c>
      <c r="D188" s="140">
        <f>VLOOKUP($A188,'Data shares'!$C:$FB,4)</f>
        <v>3212.7</v>
      </c>
      <c r="E188" s="50">
        <f t="shared" si="12"/>
        <v>0.31437731503098215</v>
      </c>
      <c r="F188" s="49">
        <f>VLOOKUP($A188,'Data shares'!$C:$FB,98)</f>
        <v>5027425</v>
      </c>
      <c r="G188" s="49">
        <f>VLOOKUP($A188,'Data shares'!$C:$FB,99)</f>
        <v>5424450</v>
      </c>
      <c r="H188" s="50">
        <f t="shared" si="13"/>
        <v>-7.3191752159205077</v>
      </c>
      <c r="I188" s="49">
        <f>VLOOKUP($A188,'Data shares'!$C:$FB,66)</f>
        <v>8665750</v>
      </c>
      <c r="J188" s="49">
        <f>VLOOKUP($A188,'Data shares'!$C:$FB,67)</f>
        <v>8404000</v>
      </c>
      <c r="K188" s="50">
        <f t="shared" si="14"/>
        <v>3.020511784900326</v>
      </c>
      <c r="L188" s="50">
        <f>VLOOKUP($A188,'Data shares'!$C:$FB,118)</f>
        <v>0.7</v>
      </c>
      <c r="M188" s="50">
        <f>VLOOKUP($A188,'Data shares'!$C:$FB,119)</f>
        <v>0.69</v>
      </c>
      <c r="N188" s="50">
        <f>VLOOKUP($A188,'Data shares'!$C:$FB,121)*100</f>
        <v>1.4500000000000002</v>
      </c>
      <c r="O188" s="50">
        <f>VLOOKUP($A188,'Data shares'!$C:$FB,124)</f>
        <v>0.44</v>
      </c>
      <c r="P188" s="50">
        <f>VLOOKUP($A188,'Data shares'!$C:$FB,125)</f>
        <v>0.71</v>
      </c>
      <c r="Q188" s="50">
        <f>VLOOKUP($A188,'Data shares'!$C:$FB,127)*100</f>
        <v>-38.03</v>
      </c>
    </row>
    <row r="189" spans="1:17" x14ac:dyDescent="0.25">
      <c r="A189" s="97" t="str">
        <f>'Data Vlaue (Cr)'!C216</f>
        <v>ZYDUSLIFE</v>
      </c>
      <c r="B189" s="140">
        <f>VLOOKUP($A189,'Data shares'!$C:$FB,7)</f>
        <v>928</v>
      </c>
      <c r="C189" s="140">
        <f>VLOOKUP($A189,'Data shares'!$C:$FB,3)</f>
        <v>927.5</v>
      </c>
      <c r="D189" s="140">
        <f>VLOOKUP($A189,'Data shares'!$C:$FB,4)</f>
        <v>931.6</v>
      </c>
      <c r="E189" s="50">
        <f t="shared" si="12"/>
        <v>-0.44010304851867998</v>
      </c>
      <c r="F189" s="49">
        <f>VLOOKUP($A189,'Data shares'!$C:$FB,98)</f>
        <v>21375000</v>
      </c>
      <c r="G189" s="49">
        <f>VLOOKUP($A189,'Data shares'!$C:$FB,99)</f>
        <v>22282200</v>
      </c>
      <c r="H189" s="50">
        <f t="shared" si="13"/>
        <v>-4.0714112610065429</v>
      </c>
      <c r="I189" s="49">
        <f>VLOOKUP($A189,'Data shares'!$C:$FB,66)</f>
        <v>17039700</v>
      </c>
      <c r="J189" s="49">
        <f>VLOOKUP($A189,'Data shares'!$C:$FB,67)</f>
        <v>7930800</v>
      </c>
      <c r="K189" s="50">
        <f t="shared" si="14"/>
        <v>53.456927058574976</v>
      </c>
      <c r="L189" s="50">
        <f>VLOOKUP($A189,'Data shares'!$C:$FB,118)</f>
        <v>0.71</v>
      </c>
      <c r="M189" s="50">
        <f>VLOOKUP($A189,'Data shares'!$C:$FB,119)</f>
        <v>0.64</v>
      </c>
      <c r="N189" s="50">
        <f>VLOOKUP($A189,'Data shares'!$C:$FB,121)*100</f>
        <v>10.94</v>
      </c>
      <c r="O189" s="50">
        <f>VLOOKUP($A189,'Data shares'!$C:$FB,124)</f>
        <v>0.52</v>
      </c>
      <c r="P189" s="50">
        <f>VLOOKUP($A189,'Data shares'!$C:$FB,125)</f>
        <v>0.34</v>
      </c>
      <c r="Q189" s="50">
        <f>VLOOKUP($A189,'Data shares'!$C:$FB,127)*100</f>
        <v>52.94</v>
      </c>
    </row>
    <row r="190" spans="1:17" x14ac:dyDescent="0.25">
      <c r="A190" s="97"/>
      <c r="B190" s="140"/>
      <c r="C190" s="140"/>
      <c r="D190" s="140"/>
      <c r="E190" s="50"/>
      <c r="F190" s="49"/>
      <c r="G190" s="49"/>
      <c r="H190" s="50"/>
      <c r="I190" s="49"/>
      <c r="J190" s="49"/>
      <c r="K190" s="50"/>
      <c r="L190" s="50"/>
      <c r="M190" s="50"/>
      <c r="N190" s="50"/>
      <c r="O190" s="50"/>
      <c r="P190" s="50"/>
      <c r="Q190" s="50"/>
    </row>
    <row r="191" spans="1:17" x14ac:dyDescent="0.25">
      <c r="A191" s="97"/>
      <c r="B191" s="140"/>
      <c r="C191" s="140"/>
      <c r="D191" s="140"/>
      <c r="E191" s="50"/>
      <c r="F191" s="49"/>
      <c r="G191" s="49"/>
      <c r="H191" s="50"/>
      <c r="I191" s="49"/>
      <c r="J191" s="49"/>
      <c r="K191" s="50"/>
      <c r="L191" s="50"/>
      <c r="M191" s="50"/>
      <c r="N191" s="50"/>
      <c r="O191" s="50"/>
      <c r="P191" s="50"/>
      <c r="Q191" s="50"/>
    </row>
    <row r="192" spans="1:17" x14ac:dyDescent="0.25">
      <c r="A192" s="97"/>
      <c r="B192" s="140"/>
      <c r="C192" s="140"/>
      <c r="D192" s="140"/>
      <c r="E192" s="50"/>
      <c r="F192" s="49"/>
      <c r="G192" s="49"/>
      <c r="H192" s="50"/>
      <c r="I192" s="49"/>
      <c r="J192" s="49"/>
      <c r="K192" s="50"/>
      <c r="L192" s="50"/>
      <c r="M192" s="50"/>
      <c r="N192" s="50"/>
      <c r="O192" s="50"/>
      <c r="P192" s="50"/>
      <c r="Q192" s="50"/>
    </row>
    <row r="193" spans="1:17" x14ac:dyDescent="0.25">
      <c r="A193" s="97"/>
      <c r="B193" s="140"/>
      <c r="C193" s="140"/>
      <c r="D193" s="140"/>
      <c r="E193" s="50"/>
      <c r="F193" s="49"/>
      <c r="G193" s="49"/>
      <c r="H193" s="50"/>
      <c r="I193" s="49"/>
      <c r="J193" s="49"/>
      <c r="K193" s="50"/>
      <c r="L193" s="50"/>
      <c r="M193" s="50"/>
      <c r="N193" s="50"/>
      <c r="O193" s="50"/>
      <c r="P193" s="50"/>
      <c r="Q193" s="50"/>
    </row>
    <row r="194" spans="1:17" x14ac:dyDescent="0.25">
      <c r="A194" s="97"/>
      <c r="B194" s="140"/>
      <c r="C194" s="140"/>
      <c r="D194" s="140"/>
      <c r="E194" s="50"/>
      <c r="F194" s="49"/>
      <c r="G194" s="49"/>
      <c r="H194" s="50"/>
      <c r="I194" s="49"/>
      <c r="J194" s="49"/>
      <c r="K194" s="50"/>
      <c r="L194" s="50"/>
      <c r="M194" s="50"/>
      <c r="N194" s="50"/>
      <c r="O194" s="50"/>
      <c r="P194" s="50"/>
      <c r="Q194" s="50"/>
    </row>
    <row r="195" spans="1:17" x14ac:dyDescent="0.25">
      <c r="A195" s="97"/>
      <c r="B195" s="140"/>
      <c r="C195" s="140"/>
      <c r="D195" s="140"/>
      <c r="E195" s="50"/>
      <c r="F195" s="49"/>
      <c r="G195" s="49"/>
      <c r="H195" s="50"/>
      <c r="I195" s="49"/>
      <c r="J195" s="49"/>
      <c r="K195" s="50"/>
      <c r="L195" s="50"/>
      <c r="M195" s="50"/>
      <c r="N195" s="50"/>
      <c r="O195" s="50"/>
      <c r="P195" s="50"/>
      <c r="Q195" s="50"/>
    </row>
    <row r="196" spans="1:17" x14ac:dyDescent="0.25">
      <c r="A196" s="97"/>
      <c r="B196" s="140"/>
      <c r="C196" s="140"/>
      <c r="D196" s="140"/>
      <c r="E196" s="50"/>
      <c r="F196" s="49"/>
      <c r="G196" s="49"/>
      <c r="H196" s="50"/>
      <c r="I196" s="49"/>
      <c r="J196" s="49"/>
      <c r="K196" s="50"/>
      <c r="L196" s="50"/>
      <c r="M196" s="50"/>
      <c r="N196" s="50"/>
      <c r="O196" s="50"/>
      <c r="P196" s="50"/>
      <c r="Q196" s="50"/>
    </row>
    <row r="197" spans="1:17" x14ac:dyDescent="0.25">
      <c r="A197" s="97"/>
      <c r="B197" s="140"/>
      <c r="C197" s="140"/>
      <c r="D197" s="140"/>
      <c r="E197" s="50"/>
      <c r="F197" s="49"/>
      <c r="G197" s="49"/>
      <c r="H197" s="50"/>
      <c r="I197" s="49"/>
      <c r="J197" s="49"/>
      <c r="K197" s="50"/>
      <c r="L197" s="50"/>
      <c r="M197" s="50"/>
      <c r="N197" s="50"/>
      <c r="O197" s="50"/>
      <c r="P197" s="50"/>
      <c r="Q197" s="50"/>
    </row>
    <row r="198" spans="1:17" x14ac:dyDescent="0.25">
      <c r="A198" s="97"/>
      <c r="B198" s="140"/>
      <c r="C198" s="140"/>
      <c r="D198" s="140"/>
      <c r="E198" s="50"/>
      <c r="F198" s="49"/>
      <c r="G198" s="49"/>
      <c r="H198" s="50"/>
      <c r="I198" s="49"/>
      <c r="J198" s="49"/>
      <c r="K198" s="50"/>
      <c r="L198" s="50"/>
      <c r="M198" s="50"/>
      <c r="N198" s="50"/>
      <c r="O198" s="50"/>
      <c r="P198" s="50"/>
      <c r="Q198" s="50"/>
    </row>
    <row r="199" spans="1:17" x14ac:dyDescent="0.25">
      <c r="A199" s="97"/>
      <c r="B199" s="140"/>
      <c r="C199" s="140"/>
      <c r="D199" s="140"/>
      <c r="E199" s="50"/>
      <c r="F199" s="49"/>
      <c r="G199" s="49"/>
      <c r="H199" s="50"/>
      <c r="I199" s="49"/>
      <c r="J199" s="49"/>
      <c r="K199" s="50"/>
      <c r="L199" s="50"/>
      <c r="M199" s="50"/>
      <c r="N199" s="50"/>
      <c r="O199" s="50"/>
      <c r="P199" s="50"/>
      <c r="Q199" s="50"/>
    </row>
    <row r="200" spans="1:17" x14ac:dyDescent="0.25">
      <c r="A200" s="97"/>
      <c r="B200" s="140"/>
      <c r="C200" s="140"/>
      <c r="D200" s="140"/>
      <c r="E200" s="50"/>
      <c r="F200" s="49"/>
      <c r="G200" s="49"/>
      <c r="H200" s="50"/>
      <c r="I200" s="49"/>
      <c r="J200" s="49"/>
      <c r="K200" s="50"/>
      <c r="L200" s="50"/>
      <c r="M200" s="50"/>
      <c r="N200" s="50"/>
      <c r="O200" s="50"/>
      <c r="P200" s="50"/>
      <c r="Q200" s="50"/>
    </row>
    <row r="201" spans="1:17" x14ac:dyDescent="0.25">
      <c r="A201" s="97"/>
      <c r="B201" s="140"/>
      <c r="C201" s="140"/>
      <c r="D201" s="140"/>
      <c r="E201" s="50"/>
      <c r="F201" s="49"/>
      <c r="G201" s="49"/>
      <c r="H201" s="50"/>
      <c r="I201" s="49"/>
      <c r="J201" s="49"/>
      <c r="K201" s="50"/>
      <c r="L201" s="50"/>
      <c r="M201" s="50"/>
      <c r="N201" s="50"/>
      <c r="O201" s="50"/>
      <c r="P201" s="50"/>
      <c r="Q201" s="50"/>
    </row>
    <row r="202" spans="1:17" x14ac:dyDescent="0.25">
      <c r="A202" s="97"/>
      <c r="B202" s="140"/>
      <c r="C202" s="140"/>
      <c r="D202" s="140"/>
      <c r="E202" s="50"/>
      <c r="F202" s="49"/>
      <c r="G202" s="49"/>
      <c r="H202" s="50"/>
      <c r="I202" s="49"/>
      <c r="J202" s="49"/>
      <c r="K202" s="50"/>
      <c r="L202" s="50"/>
      <c r="M202" s="50"/>
      <c r="N202" s="50"/>
      <c r="O202" s="50"/>
      <c r="P202" s="50"/>
      <c r="Q202" s="50"/>
    </row>
    <row r="203" spans="1:17" x14ac:dyDescent="0.25">
      <c r="A203" s="97"/>
      <c r="B203" s="140"/>
      <c r="C203" s="140"/>
      <c r="D203" s="140"/>
      <c r="E203" s="50"/>
      <c r="F203" s="49"/>
      <c r="G203" s="49"/>
      <c r="H203" s="50"/>
      <c r="I203" s="49"/>
      <c r="J203" s="49"/>
      <c r="K203" s="50"/>
      <c r="L203" s="50"/>
      <c r="M203" s="50"/>
      <c r="N203" s="50"/>
      <c r="O203" s="50"/>
      <c r="P203" s="50"/>
      <c r="Q203" s="50"/>
    </row>
    <row r="204" spans="1:17" x14ac:dyDescent="0.25">
      <c r="A204" s="97"/>
      <c r="B204" s="140"/>
      <c r="C204" s="140"/>
      <c r="D204" s="140"/>
      <c r="E204" s="50"/>
      <c r="F204" s="49"/>
      <c r="G204" s="49"/>
      <c r="H204" s="50"/>
      <c r="I204" s="49"/>
      <c r="J204" s="49"/>
      <c r="K204" s="50"/>
      <c r="L204" s="50"/>
      <c r="M204" s="50"/>
      <c r="N204" s="50"/>
      <c r="O204" s="50"/>
      <c r="P204" s="50"/>
      <c r="Q204" s="50"/>
    </row>
    <row r="205" spans="1:17" x14ac:dyDescent="0.25">
      <c r="A205" s="97"/>
      <c r="B205" s="140"/>
      <c r="C205" s="140"/>
      <c r="D205" s="140"/>
      <c r="E205" s="50"/>
      <c r="F205" s="49"/>
      <c r="G205" s="49"/>
      <c r="H205" s="50"/>
      <c r="I205" s="49"/>
      <c r="J205" s="49"/>
      <c r="K205" s="50"/>
      <c r="L205" s="50"/>
      <c r="M205" s="50"/>
      <c r="N205" s="50"/>
      <c r="O205" s="50"/>
      <c r="P205" s="50"/>
      <c r="Q205" s="50"/>
    </row>
    <row r="206" spans="1:17" x14ac:dyDescent="0.25">
      <c r="A206" s="97"/>
      <c r="B206" s="140"/>
      <c r="C206" s="140"/>
      <c r="D206" s="140"/>
      <c r="E206" s="50"/>
      <c r="F206" s="49"/>
      <c r="G206" s="49"/>
      <c r="H206" s="50"/>
      <c r="I206" s="49"/>
      <c r="J206" s="49"/>
      <c r="K206" s="50"/>
      <c r="L206" s="50"/>
      <c r="M206" s="50"/>
      <c r="N206" s="50"/>
      <c r="O206" s="50"/>
      <c r="P206" s="50"/>
      <c r="Q206" s="50"/>
    </row>
    <row r="207" spans="1:17" x14ac:dyDescent="0.25">
      <c r="A207" s="97"/>
      <c r="B207" s="140"/>
      <c r="C207" s="140"/>
      <c r="D207" s="140"/>
      <c r="E207" s="50"/>
      <c r="F207" s="49"/>
      <c r="G207" s="49"/>
      <c r="H207" s="50"/>
      <c r="I207" s="49"/>
      <c r="J207" s="49"/>
      <c r="K207" s="50"/>
      <c r="L207" s="50"/>
      <c r="M207" s="50"/>
      <c r="N207" s="50"/>
      <c r="O207" s="50"/>
      <c r="P207" s="50"/>
      <c r="Q207" s="50"/>
    </row>
    <row r="208" spans="1:17" x14ac:dyDescent="0.25">
      <c r="A208" s="97"/>
      <c r="B208" s="140"/>
      <c r="C208" s="140"/>
      <c r="D208" s="140"/>
      <c r="E208" s="50"/>
      <c r="F208" s="49"/>
      <c r="G208" s="49"/>
      <c r="H208" s="50"/>
      <c r="I208" s="49"/>
      <c r="J208" s="49"/>
      <c r="K208" s="50"/>
      <c r="L208" s="50"/>
      <c r="M208" s="50"/>
      <c r="N208" s="50"/>
      <c r="O208" s="50"/>
      <c r="P208" s="50"/>
      <c r="Q208" s="50"/>
    </row>
    <row r="209" spans="1:17" x14ac:dyDescent="0.25">
      <c r="A209" s="97"/>
      <c r="B209" s="140"/>
      <c r="C209" s="140"/>
      <c r="D209" s="140"/>
      <c r="E209" s="50"/>
      <c r="F209" s="49"/>
      <c r="G209" s="49"/>
      <c r="H209" s="50"/>
      <c r="I209" s="49"/>
      <c r="J209" s="49"/>
      <c r="K209" s="50"/>
      <c r="L209" s="50"/>
      <c r="M209" s="50"/>
      <c r="N209" s="50"/>
      <c r="O209" s="50"/>
      <c r="P209" s="50"/>
      <c r="Q209" s="50"/>
    </row>
    <row r="210" spans="1:17" x14ac:dyDescent="0.25">
      <c r="A210" s="97"/>
      <c r="B210" s="140"/>
      <c r="C210" s="140"/>
      <c r="D210" s="140"/>
      <c r="E210" s="50"/>
      <c r="F210" s="49"/>
      <c r="G210" s="49"/>
      <c r="H210" s="50"/>
      <c r="I210" s="49"/>
      <c r="J210" s="49"/>
      <c r="K210" s="50"/>
      <c r="L210" s="50"/>
      <c r="M210" s="50"/>
      <c r="N210" s="50"/>
      <c r="O210" s="50"/>
      <c r="P210" s="50"/>
      <c r="Q210" s="50"/>
    </row>
    <row r="211" spans="1:17" x14ac:dyDescent="0.25">
      <c r="A211" s="97"/>
      <c r="B211" s="140"/>
      <c r="C211" s="140"/>
      <c r="D211" s="140"/>
      <c r="E211" s="50"/>
      <c r="F211" s="49"/>
      <c r="G211" s="49"/>
      <c r="H211" s="50"/>
      <c r="I211" s="49"/>
      <c r="J211" s="49"/>
      <c r="K211" s="50"/>
      <c r="L211" s="50"/>
      <c r="M211" s="50"/>
      <c r="N211" s="50"/>
      <c r="O211" s="50"/>
      <c r="P211" s="50"/>
      <c r="Q211" s="50"/>
    </row>
    <row r="212" spans="1:17" x14ac:dyDescent="0.25">
      <c r="A212" s="97"/>
      <c r="B212" s="140"/>
      <c r="C212" s="140"/>
      <c r="D212" s="140"/>
      <c r="E212" s="50"/>
      <c r="F212" s="49"/>
      <c r="G212" s="49"/>
      <c r="H212" s="50"/>
      <c r="I212" s="49"/>
      <c r="J212" s="49"/>
      <c r="K212" s="50"/>
      <c r="L212" s="50"/>
      <c r="M212" s="50"/>
      <c r="N212" s="50"/>
      <c r="O212" s="50"/>
      <c r="P212" s="50"/>
      <c r="Q212" s="50"/>
    </row>
    <row r="213" spans="1:17" x14ac:dyDescent="0.25">
      <c r="A213" s="97"/>
      <c r="B213" s="140"/>
      <c r="C213" s="140"/>
      <c r="D213" s="140"/>
      <c r="E213" s="50"/>
      <c r="F213" s="49"/>
      <c r="G213" s="49"/>
      <c r="H213" s="50"/>
      <c r="I213" s="49"/>
      <c r="J213" s="49"/>
      <c r="K213" s="50"/>
      <c r="L213" s="50"/>
      <c r="M213" s="50"/>
      <c r="N213" s="50"/>
      <c r="O213" s="50"/>
      <c r="P213" s="50"/>
      <c r="Q213" s="50"/>
    </row>
    <row r="214" spans="1:17" x14ac:dyDescent="0.25">
      <c r="A214" s="97"/>
      <c r="B214" s="140"/>
      <c r="C214" s="140"/>
      <c r="D214" s="140"/>
      <c r="E214" s="50"/>
      <c r="F214" s="49"/>
      <c r="G214" s="49"/>
      <c r="H214" s="50"/>
      <c r="I214" s="49"/>
      <c r="J214" s="49"/>
      <c r="K214" s="50"/>
      <c r="L214" s="50"/>
      <c r="M214" s="50"/>
      <c r="N214" s="50"/>
      <c r="O214" s="50"/>
      <c r="P214" s="50"/>
      <c r="Q214" s="50"/>
    </row>
    <row r="215" spans="1:17" x14ac:dyDescent="0.25">
      <c r="A215" s="97"/>
      <c r="B215" s="140"/>
      <c r="C215" s="140"/>
      <c r="D215" s="140"/>
      <c r="E215" s="50"/>
      <c r="F215" s="49"/>
      <c r="G215" s="49"/>
      <c r="H215" s="50"/>
      <c r="I215" s="49"/>
      <c r="J215" s="49"/>
      <c r="K215" s="50"/>
      <c r="L215" s="50"/>
      <c r="M215" s="50"/>
      <c r="N215" s="50"/>
      <c r="O215" s="50"/>
      <c r="P215" s="50"/>
      <c r="Q215" s="50"/>
    </row>
    <row r="216" spans="1:17" x14ac:dyDescent="0.25">
      <c r="A216" s="97"/>
      <c r="B216" s="140"/>
      <c r="C216" s="140"/>
      <c r="D216" s="140"/>
      <c r="E216" s="50"/>
      <c r="F216" s="49"/>
      <c r="G216" s="49"/>
      <c r="H216" s="50"/>
      <c r="I216" s="49"/>
      <c r="J216" s="49"/>
      <c r="K216" s="50"/>
      <c r="L216" s="50"/>
      <c r="M216" s="50"/>
      <c r="N216" s="50"/>
      <c r="O216" s="50"/>
      <c r="P216" s="50"/>
      <c r="Q216" s="50"/>
    </row>
    <row r="217" spans="1:17" x14ac:dyDescent="0.25">
      <c r="A217" s="97"/>
      <c r="B217" s="140"/>
      <c r="C217" s="140"/>
      <c r="D217" s="140"/>
      <c r="E217" s="50"/>
      <c r="F217" s="49"/>
      <c r="G217" s="49"/>
      <c r="H217" s="50"/>
      <c r="I217" s="49"/>
      <c r="J217" s="49"/>
      <c r="K217" s="50"/>
      <c r="L217" s="50"/>
      <c r="M217" s="50"/>
      <c r="N217" s="50"/>
      <c r="O217" s="50"/>
      <c r="P217" s="50"/>
      <c r="Q217" s="50"/>
    </row>
    <row r="218" spans="1:17" x14ac:dyDescent="0.25">
      <c r="A218" s="97"/>
      <c r="B218" s="140"/>
      <c r="C218" s="140"/>
      <c r="D218" s="140"/>
      <c r="E218" s="50"/>
      <c r="F218" s="49"/>
      <c r="G218" s="49"/>
      <c r="H218" s="50"/>
      <c r="I218" s="49"/>
      <c r="J218" s="49"/>
      <c r="K218" s="50"/>
      <c r="L218" s="50"/>
      <c r="M218" s="50"/>
      <c r="N218" s="50"/>
      <c r="O218" s="50"/>
      <c r="P218" s="50"/>
      <c r="Q218" s="50"/>
    </row>
    <row r="219" spans="1:17" x14ac:dyDescent="0.25">
      <c r="A219" s="97"/>
      <c r="B219" s="140"/>
      <c r="C219" s="140"/>
      <c r="D219" s="140"/>
      <c r="E219" s="50"/>
      <c r="F219" s="49"/>
      <c r="G219" s="49"/>
      <c r="H219" s="50"/>
      <c r="I219" s="49"/>
      <c r="J219" s="49"/>
      <c r="K219" s="50"/>
      <c r="L219" s="50"/>
      <c r="M219" s="50"/>
      <c r="N219" s="50"/>
      <c r="O219" s="50"/>
      <c r="P219" s="50"/>
      <c r="Q219" s="50"/>
    </row>
    <row r="220" spans="1:17" x14ac:dyDescent="0.25">
      <c r="A220" s="97"/>
      <c r="B220" s="140"/>
      <c r="C220" s="140"/>
      <c r="D220" s="140"/>
      <c r="E220" s="50"/>
      <c r="F220" s="49"/>
      <c r="G220" s="49"/>
      <c r="H220" s="50"/>
      <c r="I220" s="49"/>
      <c r="J220" s="49"/>
      <c r="K220" s="50"/>
      <c r="L220" s="50"/>
      <c r="M220" s="50"/>
      <c r="N220" s="50"/>
      <c r="O220" s="50"/>
      <c r="P220" s="50"/>
      <c r="Q220" s="50"/>
    </row>
    <row r="221" spans="1:17" x14ac:dyDescent="0.25">
      <c r="A221" s="97"/>
      <c r="B221" s="140"/>
      <c r="C221" s="140"/>
      <c r="D221" s="140"/>
      <c r="E221" s="50"/>
      <c r="F221" s="49"/>
      <c r="G221" s="49"/>
      <c r="H221" s="50"/>
      <c r="I221" s="49"/>
      <c r="J221" s="49"/>
      <c r="K221" s="50"/>
      <c r="L221" s="50"/>
      <c r="M221" s="50"/>
      <c r="N221" s="50"/>
      <c r="O221" s="50"/>
      <c r="P221" s="50"/>
      <c r="Q221" s="50"/>
    </row>
    <row r="222" spans="1:17" x14ac:dyDescent="0.25">
      <c r="A222" s="97"/>
      <c r="B222" s="140"/>
      <c r="C222" s="140"/>
      <c r="D222" s="140"/>
      <c r="E222" s="50"/>
      <c r="F222" s="49"/>
      <c r="G222" s="49"/>
      <c r="H222" s="50"/>
      <c r="I222" s="49"/>
      <c r="J222" s="49"/>
      <c r="K222" s="50"/>
      <c r="L222" s="50"/>
      <c r="M222" s="50"/>
      <c r="N222" s="50"/>
      <c r="O222" s="50"/>
      <c r="P222" s="50"/>
      <c r="Q222" s="50"/>
    </row>
    <row r="223" spans="1:17" x14ac:dyDescent="0.25">
      <c r="A223" s="97"/>
      <c r="B223" s="140"/>
      <c r="C223" s="140"/>
      <c r="D223" s="140"/>
      <c r="E223" s="50"/>
      <c r="F223" s="49"/>
      <c r="G223" s="49"/>
      <c r="H223" s="50"/>
      <c r="I223" s="49"/>
      <c r="J223" s="49"/>
      <c r="K223" s="50"/>
      <c r="L223" s="50"/>
      <c r="M223" s="50"/>
      <c r="N223" s="50"/>
      <c r="O223" s="50"/>
      <c r="P223" s="50"/>
      <c r="Q223" s="50"/>
    </row>
    <row r="224" spans="1:17" x14ac:dyDescent="0.25">
      <c r="A224" s="97"/>
      <c r="B224" s="140"/>
      <c r="C224" s="140"/>
      <c r="D224" s="140"/>
      <c r="E224" s="50"/>
      <c r="F224" s="49"/>
      <c r="G224" s="49"/>
      <c r="H224" s="50"/>
      <c r="I224" s="49"/>
      <c r="J224" s="49"/>
      <c r="K224" s="50"/>
      <c r="L224" s="50"/>
      <c r="M224" s="50"/>
      <c r="N224" s="50"/>
      <c r="O224" s="50"/>
      <c r="P224" s="50"/>
      <c r="Q224" s="50"/>
    </row>
    <row r="225" spans="1:17" x14ac:dyDescent="0.25">
      <c r="A225" s="97"/>
      <c r="B225" s="140"/>
      <c r="C225" s="140"/>
      <c r="D225" s="140"/>
      <c r="E225" s="50"/>
      <c r="F225" s="49"/>
      <c r="G225" s="49"/>
      <c r="H225" s="50"/>
      <c r="I225" s="49"/>
      <c r="J225" s="49"/>
      <c r="K225" s="50"/>
      <c r="L225" s="50"/>
      <c r="M225" s="50"/>
      <c r="N225" s="50"/>
      <c r="O225" s="50"/>
      <c r="P225" s="50"/>
      <c r="Q225" s="50"/>
    </row>
    <row r="226" spans="1:17" x14ac:dyDescent="0.25">
      <c r="A226" s="97"/>
      <c r="B226" s="140"/>
      <c r="C226" s="140"/>
      <c r="D226" s="140"/>
      <c r="E226" s="50"/>
      <c r="F226" s="49"/>
      <c r="G226" s="49"/>
      <c r="H226" s="50"/>
      <c r="I226" s="49"/>
      <c r="J226" s="49"/>
      <c r="K226" s="50"/>
      <c r="L226" s="50"/>
      <c r="M226" s="50"/>
      <c r="N226" s="50"/>
      <c r="O226" s="50"/>
      <c r="P226" s="50"/>
      <c r="Q226" s="50"/>
    </row>
    <row r="227" spans="1:17" x14ac:dyDescent="0.25">
      <c r="A227" s="97"/>
      <c r="B227" s="140"/>
      <c r="C227" s="140"/>
      <c r="D227" s="140"/>
      <c r="E227" s="50"/>
      <c r="F227" s="49"/>
      <c r="G227" s="49"/>
      <c r="H227" s="50"/>
      <c r="I227" s="49"/>
      <c r="J227" s="49"/>
      <c r="K227" s="50"/>
      <c r="L227" s="50"/>
      <c r="M227" s="50"/>
      <c r="N227" s="50"/>
      <c r="O227" s="50"/>
      <c r="P227" s="50"/>
      <c r="Q227" s="50"/>
    </row>
    <row r="228" spans="1:17" x14ac:dyDescent="0.25">
      <c r="A228" s="97"/>
      <c r="B228" s="140"/>
      <c r="C228" s="140"/>
      <c r="D228" s="140"/>
      <c r="E228" s="50"/>
      <c r="F228" s="49"/>
      <c r="G228" s="49"/>
      <c r="H228" s="50"/>
      <c r="I228" s="49"/>
      <c r="J228" s="49"/>
      <c r="K228" s="50"/>
      <c r="L228" s="50"/>
      <c r="M228" s="50"/>
      <c r="N228" s="50"/>
      <c r="O228" s="50"/>
      <c r="P228" s="50"/>
      <c r="Q228" s="50"/>
    </row>
    <row r="229" spans="1:17" x14ac:dyDescent="0.25">
      <c r="A229" s="97"/>
      <c r="B229" s="140"/>
      <c r="C229" s="140"/>
      <c r="D229" s="140"/>
      <c r="E229" s="50"/>
      <c r="F229" s="49"/>
      <c r="G229" s="49"/>
      <c r="H229" s="50"/>
      <c r="I229" s="49"/>
      <c r="J229" s="49"/>
      <c r="K229" s="50"/>
      <c r="L229" s="50"/>
      <c r="M229" s="50"/>
      <c r="N229" s="50"/>
      <c r="O229" s="50"/>
      <c r="P229" s="50"/>
      <c r="Q229" s="50"/>
    </row>
    <row r="230" spans="1:17" x14ac:dyDescent="0.25">
      <c r="A230" s="98"/>
      <c r="B230" s="17"/>
      <c r="C230" s="17"/>
      <c r="D230" s="17"/>
      <c r="E230" s="17"/>
      <c r="F230" s="17"/>
      <c r="G230" s="17"/>
      <c r="H230" s="17"/>
      <c r="I230" s="17"/>
      <c r="J230" s="17"/>
      <c r="K230" s="17"/>
      <c r="L230" s="17"/>
      <c r="M230" s="17"/>
      <c r="N230" s="17"/>
      <c r="O230" s="17"/>
      <c r="P230" s="17"/>
      <c r="Q230" s="17"/>
    </row>
    <row r="231" spans="1:17" s="64" customFormat="1" x14ac:dyDescent="0.25">
      <c r="A231" s="257" t="s">
        <v>391</v>
      </c>
      <c r="B231" s="257"/>
      <c r="C231" s="257"/>
      <c r="D231" s="257"/>
      <c r="E231" s="257"/>
      <c r="F231" s="113">
        <f>SUM(F7:F172)</f>
        <v>22997965257</v>
      </c>
      <c r="G231" s="113">
        <f>SUM(G7:G172)</f>
        <v>23330330378</v>
      </c>
      <c r="H231" s="114">
        <f>(F231-G231)/G231*100</f>
        <v>-1.4246052911167224</v>
      </c>
      <c r="I231" s="113">
        <f>SUM(I7:I172)</f>
        <v>21409594146</v>
      </c>
      <c r="J231" s="113">
        <f>SUM(J7:J172)</f>
        <v>17053370749</v>
      </c>
      <c r="K231" s="114">
        <f>(I231-J231)/J231*100</f>
        <v>25.544647220288962</v>
      </c>
      <c r="L231" s="113"/>
      <c r="M231" s="113"/>
      <c r="N231" s="113"/>
      <c r="O231" s="113"/>
      <c r="P231" s="257"/>
      <c r="Q231" s="257"/>
    </row>
    <row r="232" spans="1:17" s="64" customFormat="1" x14ac:dyDescent="0.25">
      <c r="A232" s="257" t="s">
        <v>398</v>
      </c>
      <c r="B232" s="257"/>
      <c r="C232" s="257"/>
      <c r="D232" s="257"/>
      <c r="E232" s="257"/>
      <c r="F232" s="113">
        <f>F231/10000000</f>
        <v>2299.7965257000001</v>
      </c>
      <c r="G232" s="113">
        <f>G231/10000000</f>
        <v>2333.0330377999999</v>
      </c>
      <c r="H232" s="114">
        <f>(F232-G232)/G232*100</f>
        <v>-1.424605291116714</v>
      </c>
      <c r="I232" s="113">
        <f>I231/10000000</f>
        <v>2140.9594145999999</v>
      </c>
      <c r="J232" s="113">
        <f>J231/10000000</f>
        <v>1705.3370749000001</v>
      </c>
      <c r="K232" s="114">
        <f>(I232-J232)/J232*100</f>
        <v>25.544647220288958</v>
      </c>
      <c r="L232" s="113"/>
      <c r="M232" s="113"/>
      <c r="N232" s="113"/>
      <c r="O232" s="113"/>
      <c r="P232" s="257"/>
      <c r="Q232" s="257"/>
    </row>
  </sheetData>
  <mergeCells count="15">
    <mergeCell ref="A3:Q3"/>
    <mergeCell ref="A4:A5"/>
    <mergeCell ref="B4:E4"/>
    <mergeCell ref="F4:H4"/>
    <mergeCell ref="I4:K4"/>
    <mergeCell ref="L4:Q4"/>
    <mergeCell ref="A232:E232"/>
    <mergeCell ref="P231:Q231"/>
    <mergeCell ref="P232:Q232"/>
    <mergeCell ref="A231:E231"/>
    <mergeCell ref="O5:Q5"/>
    <mergeCell ref="C5:E5"/>
    <mergeCell ref="F5:H5"/>
    <mergeCell ref="I5:K5"/>
    <mergeCell ref="L5:N5"/>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3"/>
  <sheetViews>
    <sheetView workbookViewId="0">
      <selection activeCell="P17" sqref="P17"/>
    </sheetView>
  </sheetViews>
  <sheetFormatPr defaultRowHeight="15" x14ac:dyDescent="0.25"/>
  <cols>
    <col min="2" max="2" width="13.28515625" bestFit="1" customWidth="1"/>
    <col min="3" max="3" width="15.28515625" bestFit="1" customWidth="1"/>
    <col min="7" max="7" width="10.42578125" bestFit="1" customWidth="1"/>
  </cols>
  <sheetData>
    <row r="2" spans="1:12" x14ac:dyDescent="0.25">
      <c r="B2" s="152" t="s">
        <v>465</v>
      </c>
      <c r="C2" s="152" t="s">
        <v>466</v>
      </c>
      <c r="D2" s="152" t="s">
        <v>467</v>
      </c>
      <c r="E2" s="152" t="s">
        <v>126</v>
      </c>
      <c r="F2" s="152" t="s">
        <v>377</v>
      </c>
      <c r="G2" s="152" t="s">
        <v>521</v>
      </c>
      <c r="H2" s="152" t="s">
        <v>477</v>
      </c>
      <c r="I2" s="152" t="s">
        <v>478</v>
      </c>
      <c r="J2" s="152" t="s">
        <v>479</v>
      </c>
    </row>
    <row r="3" spans="1:12" x14ac:dyDescent="0.25">
      <c r="A3" t="s">
        <v>463</v>
      </c>
      <c r="B3" s="154">
        <f>'Snapshot (Value)'!H153</f>
        <v>1303378</v>
      </c>
      <c r="C3" s="159">
        <f>'OI(Volume)'!G149</f>
        <v>6.6E-3</v>
      </c>
      <c r="D3" s="153">
        <f>'Snapshot (Value)'!P149</f>
        <v>0.48</v>
      </c>
      <c r="E3" s="153">
        <f>'Snapshot (Value)'!R149</f>
        <v>0.34</v>
      </c>
      <c r="F3" s="153">
        <f>IV!E149</f>
        <v>14.51</v>
      </c>
      <c r="G3" s="153">
        <f>IV!B149</f>
        <v>11.2</v>
      </c>
      <c r="H3" s="153">
        <f>'Snapshot (Value)'!C153</f>
        <v>26192.15</v>
      </c>
      <c r="I3" s="153">
        <f>'Snapshot (Value)'!D153</f>
        <v>26220.799999999999</v>
      </c>
      <c r="J3" s="153">
        <f>'Snapshot (Value)'!E153</f>
        <v>26071</v>
      </c>
      <c r="K3" s="153">
        <f>(I3-H3)</f>
        <v>28.649999999997817</v>
      </c>
      <c r="L3" s="232">
        <f>'Data Vlaue (Cr)'!V144</f>
        <v>26562.9</v>
      </c>
    </row>
    <row r="4" spans="1:12" x14ac:dyDescent="0.25">
      <c r="A4" t="s">
        <v>464</v>
      </c>
      <c r="B4" s="154">
        <f>'Snapshot (Value)'!H36</f>
        <v>276242</v>
      </c>
      <c r="C4" s="159">
        <f>'OI(Volume)'!G32</f>
        <v>3.85E-2</v>
      </c>
      <c r="D4" s="153">
        <f>'Snapshot (Value)'!P36</f>
        <v>1.25</v>
      </c>
      <c r="E4" s="153">
        <f>'Snapshot (Value)'!R36</f>
        <v>1</v>
      </c>
      <c r="F4" s="153">
        <f>IV!E32</f>
        <v>16.5</v>
      </c>
      <c r="G4" s="153">
        <f>IV!B32</f>
        <v>11.34</v>
      </c>
      <c r="H4" s="153">
        <f>'Snapshot (Value)'!C36</f>
        <v>59347.7</v>
      </c>
      <c r="I4" s="153">
        <f>'Snapshot (Value)'!D36</f>
        <v>59399</v>
      </c>
      <c r="J4" s="153">
        <f>'Snapshot (Value)'!E36</f>
        <v>59227.4</v>
      </c>
      <c r="K4" s="153">
        <f>(I4-H4)</f>
        <v>51.30000000000291</v>
      </c>
      <c r="L4" s="232">
        <f>'Data Vlaue (Cr)'!V27</f>
        <v>60084.4</v>
      </c>
    </row>
    <row r="5" spans="1:12" x14ac:dyDescent="0.25">
      <c r="B5" s="152"/>
    </row>
    <row r="8" spans="1:12" x14ac:dyDescent="0.25">
      <c r="B8" s="154"/>
      <c r="C8" s="153"/>
      <c r="D8" s="159"/>
      <c r="E8" s="153"/>
      <c r="F8" s="153"/>
    </row>
    <row r="9" spans="1:12" x14ac:dyDescent="0.25">
      <c r="B9" s="154"/>
      <c r="C9" s="159"/>
      <c r="D9" s="153"/>
      <c r="E9" s="153"/>
      <c r="F9" s="153"/>
    </row>
    <row r="13" spans="1:12" x14ac:dyDescent="0.25">
      <c r="F13" t="s">
        <v>560</v>
      </c>
    </row>
  </sheetData>
  <pageMargins left="0.7" right="0.7" top="0.75" bottom="0.75" header="0.3" footer="0.3"/>
  <pageSetup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workbookViewId="0">
      <selection activeCell="U8" sqref="U8"/>
    </sheetView>
  </sheetViews>
  <sheetFormatPr defaultRowHeight="12.75" x14ac:dyDescent="0.2"/>
  <cols>
    <col min="1" max="1" width="16.28515625" style="200" bestFit="1" customWidth="1"/>
    <col min="2" max="3" width="9.28515625" style="200" bestFit="1" customWidth="1"/>
    <col min="4" max="6" width="10" style="200" bestFit="1" customWidth="1"/>
    <col min="7" max="7" width="9" style="200" bestFit="1" customWidth="1"/>
    <col min="8" max="9" width="9.28515625" style="200" bestFit="1" customWidth="1"/>
    <col min="10" max="10" width="10" style="200" bestFit="1" customWidth="1"/>
    <col min="11" max="12" width="9.28515625" style="200" bestFit="1" customWidth="1"/>
    <col min="13" max="13" width="9" style="200" bestFit="1" customWidth="1"/>
    <col min="14" max="16384" width="9.140625" style="200"/>
  </cols>
  <sheetData>
    <row r="1" spans="1:13" ht="13.5" thickBot="1" x14ac:dyDescent="0.25">
      <c r="A1" s="339" t="s">
        <v>393</v>
      </c>
      <c r="B1" s="336" t="s">
        <v>632</v>
      </c>
      <c r="C1" s="337"/>
      <c r="D1" s="338"/>
      <c r="E1" s="333" t="s">
        <v>633</v>
      </c>
      <c r="F1" s="334"/>
      <c r="G1" s="335"/>
      <c r="H1" s="330" t="s">
        <v>634</v>
      </c>
      <c r="I1" s="331"/>
      <c r="J1" s="332"/>
      <c r="K1" s="327" t="s">
        <v>635</v>
      </c>
      <c r="L1" s="328"/>
      <c r="M1" s="329"/>
    </row>
    <row r="2" spans="1:13" ht="26.25" thickBot="1" x14ac:dyDescent="0.25">
      <c r="A2" s="340"/>
      <c r="B2" s="201" t="s">
        <v>636</v>
      </c>
      <c r="C2" s="201" t="s">
        <v>637</v>
      </c>
      <c r="D2" s="201" t="s">
        <v>369</v>
      </c>
      <c r="E2" s="202" t="s">
        <v>636</v>
      </c>
      <c r="F2" s="202" t="s">
        <v>637</v>
      </c>
      <c r="G2" s="202" t="s">
        <v>369</v>
      </c>
      <c r="H2" s="203" t="s">
        <v>636</v>
      </c>
      <c r="I2" s="203" t="s">
        <v>637</v>
      </c>
      <c r="J2" s="203" t="s">
        <v>369</v>
      </c>
      <c r="K2" s="204" t="s">
        <v>636</v>
      </c>
      <c r="L2" s="204" t="s">
        <v>637</v>
      </c>
      <c r="M2" s="204" t="s">
        <v>369</v>
      </c>
    </row>
    <row r="3" spans="1:13" x14ac:dyDescent="0.2">
      <c r="A3" s="205" t="s">
        <v>638</v>
      </c>
      <c r="B3" s="206">
        <v>195075</v>
      </c>
      <c r="C3" s="206">
        <v>189243</v>
      </c>
      <c r="D3" s="207">
        <v>-5832</v>
      </c>
      <c r="E3" s="206">
        <v>81097</v>
      </c>
      <c r="F3" s="206">
        <v>83380</v>
      </c>
      <c r="G3" s="207">
        <v>2283</v>
      </c>
      <c r="H3" s="206">
        <v>27064</v>
      </c>
      <c r="I3" s="206">
        <v>27813</v>
      </c>
      <c r="J3" s="207">
        <v>749</v>
      </c>
      <c r="K3" s="206">
        <v>30122</v>
      </c>
      <c r="L3" s="206">
        <v>29876</v>
      </c>
      <c r="M3" s="207">
        <v>-246</v>
      </c>
    </row>
    <row r="4" spans="1:13" x14ac:dyDescent="0.2">
      <c r="A4" s="208" t="s">
        <v>639</v>
      </c>
      <c r="B4" s="206">
        <v>82257</v>
      </c>
      <c r="C4" s="206">
        <v>80314</v>
      </c>
      <c r="D4" s="207">
        <v>-1943</v>
      </c>
      <c r="E4" s="206">
        <v>39971</v>
      </c>
      <c r="F4" s="206">
        <v>39971</v>
      </c>
      <c r="G4" s="207">
        <v>0</v>
      </c>
      <c r="H4" s="206">
        <v>177724</v>
      </c>
      <c r="I4" s="206">
        <v>171472</v>
      </c>
      <c r="J4" s="207">
        <v>-6252</v>
      </c>
      <c r="K4" s="206">
        <v>33406</v>
      </c>
      <c r="L4" s="206">
        <v>38555</v>
      </c>
      <c r="M4" s="207">
        <v>5149</v>
      </c>
    </row>
    <row r="5" spans="1:13" ht="13.5" thickBot="1" x14ac:dyDescent="0.25">
      <c r="A5" s="205" t="s">
        <v>640</v>
      </c>
      <c r="B5" s="206">
        <v>112818</v>
      </c>
      <c r="C5" s="206">
        <v>108929</v>
      </c>
      <c r="D5" s="209">
        <v>-3889</v>
      </c>
      <c r="E5" s="206">
        <v>41126</v>
      </c>
      <c r="F5" s="206">
        <v>43409</v>
      </c>
      <c r="G5" s="209">
        <v>2283</v>
      </c>
      <c r="H5" s="210">
        <v>-150660</v>
      </c>
      <c r="I5" s="210">
        <v>-143659</v>
      </c>
      <c r="J5" s="209">
        <v>7001</v>
      </c>
      <c r="K5" s="210">
        <v>-3284</v>
      </c>
      <c r="L5" s="210">
        <v>-8679</v>
      </c>
      <c r="M5" s="209">
        <v>-5395</v>
      </c>
    </row>
    <row r="6" spans="1:13" ht="13.5" customHeight="1" thickBot="1" x14ac:dyDescent="0.25">
      <c r="A6" s="339" t="s">
        <v>641</v>
      </c>
      <c r="B6" s="336" t="s">
        <v>632</v>
      </c>
      <c r="C6" s="337"/>
      <c r="D6" s="338"/>
      <c r="E6" s="333" t="s">
        <v>633</v>
      </c>
      <c r="F6" s="334"/>
      <c r="G6" s="335"/>
      <c r="H6" s="330" t="s">
        <v>634</v>
      </c>
      <c r="I6" s="331"/>
      <c r="J6" s="332"/>
      <c r="K6" s="327" t="s">
        <v>635</v>
      </c>
      <c r="L6" s="328"/>
      <c r="M6" s="329"/>
    </row>
    <row r="7" spans="1:13" ht="26.25" thickBot="1" x14ac:dyDescent="0.25">
      <c r="A7" s="340"/>
      <c r="B7" s="201" t="s">
        <v>636</v>
      </c>
      <c r="C7" s="201" t="s">
        <v>637</v>
      </c>
      <c r="D7" s="201" t="s">
        <v>369</v>
      </c>
      <c r="E7" s="202" t="s">
        <v>636</v>
      </c>
      <c r="F7" s="202" t="s">
        <v>637</v>
      </c>
      <c r="G7" s="202" t="s">
        <v>369</v>
      </c>
      <c r="H7" s="203" t="s">
        <v>636</v>
      </c>
      <c r="I7" s="203" t="s">
        <v>637</v>
      </c>
      <c r="J7" s="203" t="s">
        <v>369</v>
      </c>
      <c r="K7" s="204" t="s">
        <v>636</v>
      </c>
      <c r="L7" s="204" t="s">
        <v>637</v>
      </c>
      <c r="M7" s="204" t="s">
        <v>369</v>
      </c>
    </row>
    <row r="8" spans="1:13" x14ac:dyDescent="0.2">
      <c r="A8" s="205" t="s">
        <v>638</v>
      </c>
      <c r="B8" s="206">
        <v>1750202</v>
      </c>
      <c r="C8" s="206">
        <v>2157714</v>
      </c>
      <c r="D8" s="207">
        <v>407512</v>
      </c>
      <c r="E8" s="206">
        <v>970</v>
      </c>
      <c r="F8" s="206">
        <v>963</v>
      </c>
      <c r="G8" s="207">
        <v>-7</v>
      </c>
      <c r="H8" s="206">
        <v>375596</v>
      </c>
      <c r="I8" s="206">
        <v>431295</v>
      </c>
      <c r="J8" s="207">
        <v>55699</v>
      </c>
      <c r="K8" s="206">
        <v>809404</v>
      </c>
      <c r="L8" s="206">
        <v>949095</v>
      </c>
      <c r="M8" s="207">
        <v>139691</v>
      </c>
    </row>
    <row r="9" spans="1:13" x14ac:dyDescent="0.2">
      <c r="A9" s="208" t="s">
        <v>639</v>
      </c>
      <c r="B9" s="206">
        <v>1852984</v>
      </c>
      <c r="C9" s="206">
        <v>2307126</v>
      </c>
      <c r="D9" s="207">
        <v>454142</v>
      </c>
      <c r="E9" s="206">
        <v>0</v>
      </c>
      <c r="F9" s="206">
        <v>0</v>
      </c>
      <c r="G9" s="207">
        <v>0</v>
      </c>
      <c r="H9" s="206">
        <v>386440</v>
      </c>
      <c r="I9" s="206">
        <v>419058</v>
      </c>
      <c r="J9" s="207">
        <v>32618</v>
      </c>
      <c r="K9" s="206">
        <v>696749</v>
      </c>
      <c r="L9" s="206">
        <v>812883</v>
      </c>
      <c r="M9" s="207">
        <v>116134</v>
      </c>
    </row>
    <row r="10" spans="1:13" ht="13.5" thickBot="1" x14ac:dyDescent="0.25">
      <c r="A10" s="205" t="s">
        <v>640</v>
      </c>
      <c r="B10" s="206">
        <v>-102782</v>
      </c>
      <c r="C10" s="206">
        <v>-149412</v>
      </c>
      <c r="D10" s="209">
        <v>-46630</v>
      </c>
      <c r="E10" s="206">
        <v>970</v>
      </c>
      <c r="F10" s="206">
        <v>963</v>
      </c>
      <c r="G10" s="209">
        <v>-7</v>
      </c>
      <c r="H10" s="206">
        <v>-10844</v>
      </c>
      <c r="I10" s="206">
        <v>12237</v>
      </c>
      <c r="J10" s="209">
        <v>23081</v>
      </c>
      <c r="K10" s="210">
        <v>112655</v>
      </c>
      <c r="L10" s="210">
        <v>136212</v>
      </c>
      <c r="M10" s="209">
        <v>23557</v>
      </c>
    </row>
    <row r="11" spans="1:13" ht="13.5" customHeight="1" thickBot="1" x14ac:dyDescent="0.25">
      <c r="A11" s="339" t="s">
        <v>642</v>
      </c>
      <c r="B11" s="336" t="s">
        <v>632</v>
      </c>
      <c r="C11" s="337"/>
      <c r="D11" s="338"/>
      <c r="E11" s="333" t="s">
        <v>633</v>
      </c>
      <c r="F11" s="334"/>
      <c r="G11" s="335"/>
      <c r="H11" s="330" t="s">
        <v>634</v>
      </c>
      <c r="I11" s="331"/>
      <c r="J11" s="332"/>
      <c r="K11" s="327" t="s">
        <v>635</v>
      </c>
      <c r="L11" s="328"/>
      <c r="M11" s="329"/>
    </row>
    <row r="12" spans="1:13" ht="26.25" thickBot="1" x14ac:dyDescent="0.25">
      <c r="A12" s="340"/>
      <c r="B12" s="201" t="s">
        <v>636</v>
      </c>
      <c r="C12" s="201" t="s">
        <v>637</v>
      </c>
      <c r="D12" s="201" t="s">
        <v>369</v>
      </c>
      <c r="E12" s="202" t="s">
        <v>636</v>
      </c>
      <c r="F12" s="202" t="s">
        <v>637</v>
      </c>
      <c r="G12" s="202" t="s">
        <v>369</v>
      </c>
      <c r="H12" s="203" t="s">
        <v>636</v>
      </c>
      <c r="I12" s="203" t="s">
        <v>637</v>
      </c>
      <c r="J12" s="203" t="s">
        <v>369</v>
      </c>
      <c r="K12" s="204" t="s">
        <v>636</v>
      </c>
      <c r="L12" s="204" t="s">
        <v>637</v>
      </c>
      <c r="M12" s="204" t="s">
        <v>369</v>
      </c>
    </row>
    <row r="13" spans="1:13" x14ac:dyDescent="0.2">
      <c r="A13" s="205" t="s">
        <v>638</v>
      </c>
      <c r="B13" s="206">
        <v>1938105</v>
      </c>
      <c r="C13" s="206">
        <v>2298331</v>
      </c>
      <c r="D13" s="207">
        <v>360226</v>
      </c>
      <c r="E13" s="206">
        <v>37845</v>
      </c>
      <c r="F13" s="206">
        <v>41245</v>
      </c>
      <c r="G13" s="207">
        <v>3400</v>
      </c>
      <c r="H13" s="206">
        <v>547466</v>
      </c>
      <c r="I13" s="206">
        <v>616493</v>
      </c>
      <c r="J13" s="207">
        <v>69027</v>
      </c>
      <c r="K13" s="206">
        <v>950549</v>
      </c>
      <c r="L13" s="206">
        <v>1105542</v>
      </c>
      <c r="M13" s="207">
        <v>154993</v>
      </c>
    </row>
    <row r="14" spans="1:13" x14ac:dyDescent="0.2">
      <c r="A14" s="208" t="s">
        <v>639</v>
      </c>
      <c r="B14" s="206">
        <v>2262347</v>
      </c>
      <c r="C14" s="206">
        <v>2712851</v>
      </c>
      <c r="D14" s="207">
        <v>450504</v>
      </c>
      <c r="E14" s="206">
        <v>0</v>
      </c>
      <c r="F14" s="206">
        <v>0</v>
      </c>
      <c r="G14" s="207">
        <v>0</v>
      </c>
      <c r="H14" s="206">
        <v>304838</v>
      </c>
      <c r="I14" s="206">
        <v>340222</v>
      </c>
      <c r="J14" s="207">
        <v>35384</v>
      </c>
      <c r="K14" s="206">
        <v>906781</v>
      </c>
      <c r="L14" s="206">
        <v>1008537</v>
      </c>
      <c r="M14" s="207">
        <v>101756</v>
      </c>
    </row>
    <row r="15" spans="1:13" ht="13.5" thickBot="1" x14ac:dyDescent="0.25">
      <c r="A15" s="205" t="s">
        <v>640</v>
      </c>
      <c r="B15" s="210">
        <v>-324242</v>
      </c>
      <c r="C15" s="210">
        <v>-414520</v>
      </c>
      <c r="D15" s="209">
        <v>-90278</v>
      </c>
      <c r="E15" s="206">
        <v>37845</v>
      </c>
      <c r="F15" s="206">
        <v>41245</v>
      </c>
      <c r="G15" s="209">
        <v>3400</v>
      </c>
      <c r="H15" s="206">
        <v>242628</v>
      </c>
      <c r="I15" s="206">
        <v>276271</v>
      </c>
      <c r="J15" s="209">
        <v>33643</v>
      </c>
      <c r="K15" s="210">
        <v>43768</v>
      </c>
      <c r="L15" s="210">
        <v>97005</v>
      </c>
      <c r="M15" s="209">
        <v>53237</v>
      </c>
    </row>
    <row r="16" spans="1:13" ht="13.5" thickBot="1" x14ac:dyDescent="0.25">
      <c r="A16" s="339" t="s">
        <v>395</v>
      </c>
      <c r="B16" s="336" t="s">
        <v>632</v>
      </c>
      <c r="C16" s="337"/>
      <c r="D16" s="338"/>
      <c r="E16" s="333" t="s">
        <v>633</v>
      </c>
      <c r="F16" s="334"/>
      <c r="G16" s="335"/>
      <c r="H16" s="330" t="s">
        <v>634</v>
      </c>
      <c r="I16" s="331"/>
      <c r="J16" s="332"/>
      <c r="K16" s="327" t="s">
        <v>635</v>
      </c>
      <c r="L16" s="328"/>
      <c r="M16" s="329"/>
    </row>
    <row r="17" spans="1:13" ht="26.25" thickBot="1" x14ac:dyDescent="0.25">
      <c r="A17" s="340"/>
      <c r="B17" s="201" t="s">
        <v>636</v>
      </c>
      <c r="C17" s="201" t="s">
        <v>637</v>
      </c>
      <c r="D17" s="201" t="s">
        <v>369</v>
      </c>
      <c r="E17" s="202" t="s">
        <v>636</v>
      </c>
      <c r="F17" s="202" t="s">
        <v>637</v>
      </c>
      <c r="G17" s="202" t="s">
        <v>369</v>
      </c>
      <c r="H17" s="203" t="s">
        <v>636</v>
      </c>
      <c r="I17" s="203" t="s">
        <v>637</v>
      </c>
      <c r="J17" s="203" t="s">
        <v>369</v>
      </c>
      <c r="K17" s="204" t="s">
        <v>636</v>
      </c>
      <c r="L17" s="204" t="s">
        <v>637</v>
      </c>
      <c r="M17" s="204" t="s">
        <v>369</v>
      </c>
    </row>
    <row r="18" spans="1:13" x14ac:dyDescent="0.2">
      <c r="A18" s="205" t="s">
        <v>638</v>
      </c>
      <c r="B18" s="206">
        <v>2604639</v>
      </c>
      <c r="C18" s="206">
        <v>2612825</v>
      </c>
      <c r="D18" s="207">
        <v>8186</v>
      </c>
      <c r="E18" s="206">
        <v>205860</v>
      </c>
      <c r="F18" s="206">
        <v>209067</v>
      </c>
      <c r="G18" s="207">
        <v>3207</v>
      </c>
      <c r="H18" s="206">
        <v>3430475</v>
      </c>
      <c r="I18" s="206">
        <v>3444136</v>
      </c>
      <c r="J18" s="207">
        <v>13661</v>
      </c>
      <c r="K18" s="206">
        <v>746247</v>
      </c>
      <c r="L18" s="206">
        <v>755762</v>
      </c>
      <c r="M18" s="207">
        <v>9515</v>
      </c>
    </row>
    <row r="19" spans="1:13" x14ac:dyDescent="0.2">
      <c r="A19" s="208" t="s">
        <v>639</v>
      </c>
      <c r="B19" s="206">
        <v>318266</v>
      </c>
      <c r="C19" s="206">
        <v>323006</v>
      </c>
      <c r="D19" s="207">
        <v>4740</v>
      </c>
      <c r="E19" s="206">
        <v>4255042</v>
      </c>
      <c r="F19" s="206">
        <v>4256764</v>
      </c>
      <c r="G19" s="207">
        <v>1722</v>
      </c>
      <c r="H19" s="206">
        <v>2101997</v>
      </c>
      <c r="I19" s="206">
        <v>2115165</v>
      </c>
      <c r="J19" s="207">
        <v>13168</v>
      </c>
      <c r="K19" s="206">
        <v>311916</v>
      </c>
      <c r="L19" s="206">
        <v>326855</v>
      </c>
      <c r="M19" s="207">
        <v>14939</v>
      </c>
    </row>
    <row r="20" spans="1:13" ht="13.5" thickBot="1" x14ac:dyDescent="0.25">
      <c r="A20" s="205" t="s">
        <v>640</v>
      </c>
      <c r="B20" s="206">
        <v>2286373</v>
      </c>
      <c r="C20" s="206">
        <v>2289819</v>
      </c>
      <c r="D20" s="209">
        <v>3446</v>
      </c>
      <c r="E20" s="210">
        <v>-4049182</v>
      </c>
      <c r="F20" s="210">
        <v>-4047697</v>
      </c>
      <c r="G20" s="209">
        <v>1485</v>
      </c>
      <c r="H20" s="206">
        <v>1328478</v>
      </c>
      <c r="I20" s="206">
        <v>1328971</v>
      </c>
      <c r="J20" s="209">
        <v>493</v>
      </c>
      <c r="K20" s="206">
        <v>434331</v>
      </c>
      <c r="L20" s="206">
        <v>428907</v>
      </c>
      <c r="M20" s="209">
        <v>-5424</v>
      </c>
    </row>
    <row r="21" spans="1:13" ht="13.5" customHeight="1" thickBot="1" x14ac:dyDescent="0.25">
      <c r="A21" s="339" t="s">
        <v>643</v>
      </c>
      <c r="B21" s="336" t="s">
        <v>632</v>
      </c>
      <c r="C21" s="337"/>
      <c r="D21" s="338"/>
      <c r="E21" s="333" t="s">
        <v>633</v>
      </c>
      <c r="F21" s="334"/>
      <c r="G21" s="335"/>
      <c r="H21" s="330" t="s">
        <v>634</v>
      </c>
      <c r="I21" s="331"/>
      <c r="J21" s="332"/>
      <c r="K21" s="327" t="s">
        <v>635</v>
      </c>
      <c r="L21" s="328"/>
      <c r="M21" s="329"/>
    </row>
    <row r="22" spans="1:13" ht="26.25" thickBot="1" x14ac:dyDescent="0.25">
      <c r="A22" s="340"/>
      <c r="B22" s="201" t="s">
        <v>636</v>
      </c>
      <c r="C22" s="201" t="s">
        <v>637</v>
      </c>
      <c r="D22" s="201" t="s">
        <v>369</v>
      </c>
      <c r="E22" s="202" t="s">
        <v>636</v>
      </c>
      <c r="F22" s="202" t="s">
        <v>637</v>
      </c>
      <c r="G22" s="202" t="s">
        <v>369</v>
      </c>
      <c r="H22" s="203" t="s">
        <v>636</v>
      </c>
      <c r="I22" s="203" t="s">
        <v>637</v>
      </c>
      <c r="J22" s="203" t="s">
        <v>369</v>
      </c>
      <c r="K22" s="204" t="s">
        <v>636</v>
      </c>
      <c r="L22" s="204" t="s">
        <v>637</v>
      </c>
      <c r="M22" s="204" t="s">
        <v>369</v>
      </c>
    </row>
    <row r="23" spans="1:13" x14ac:dyDescent="0.2">
      <c r="A23" s="205" t="s">
        <v>638</v>
      </c>
      <c r="B23" s="206">
        <v>1962301</v>
      </c>
      <c r="C23" s="206">
        <v>2026368</v>
      </c>
      <c r="D23" s="207">
        <v>64067</v>
      </c>
      <c r="E23" s="206">
        <v>2302</v>
      </c>
      <c r="F23" s="206">
        <v>2302</v>
      </c>
      <c r="G23" s="207">
        <v>0</v>
      </c>
      <c r="H23" s="206">
        <v>88221</v>
      </c>
      <c r="I23" s="206">
        <v>95099</v>
      </c>
      <c r="J23" s="207">
        <v>6878</v>
      </c>
      <c r="K23" s="206">
        <v>844996</v>
      </c>
      <c r="L23" s="206">
        <v>880521</v>
      </c>
      <c r="M23" s="207">
        <v>35525</v>
      </c>
    </row>
    <row r="24" spans="1:13" x14ac:dyDescent="0.2">
      <c r="A24" s="208" t="s">
        <v>639</v>
      </c>
      <c r="B24" s="206">
        <v>1309245</v>
      </c>
      <c r="C24" s="206">
        <v>1348505</v>
      </c>
      <c r="D24" s="207">
        <v>39260</v>
      </c>
      <c r="E24" s="206">
        <v>201046</v>
      </c>
      <c r="F24" s="206">
        <v>210019</v>
      </c>
      <c r="G24" s="207">
        <v>8973</v>
      </c>
      <c r="H24" s="206">
        <v>122735</v>
      </c>
      <c r="I24" s="206">
        <v>126406</v>
      </c>
      <c r="J24" s="207">
        <v>3671</v>
      </c>
      <c r="K24" s="206">
        <v>1264794</v>
      </c>
      <c r="L24" s="206">
        <v>1319360</v>
      </c>
      <c r="M24" s="207">
        <v>54566</v>
      </c>
    </row>
    <row r="25" spans="1:13" ht="13.5" thickBot="1" x14ac:dyDescent="0.25">
      <c r="A25" s="205" t="s">
        <v>640</v>
      </c>
      <c r="B25" s="206">
        <v>653056</v>
      </c>
      <c r="C25" s="206">
        <v>677863</v>
      </c>
      <c r="D25" s="209">
        <v>24807</v>
      </c>
      <c r="E25" s="210">
        <v>-198744</v>
      </c>
      <c r="F25" s="210">
        <v>-207717</v>
      </c>
      <c r="G25" s="209">
        <v>-8973</v>
      </c>
      <c r="H25" s="210">
        <v>-34514</v>
      </c>
      <c r="I25" s="210">
        <v>-31307</v>
      </c>
      <c r="J25" s="209">
        <v>3207</v>
      </c>
      <c r="K25" s="210">
        <v>-419798</v>
      </c>
      <c r="L25" s="210">
        <v>-438839</v>
      </c>
      <c r="M25" s="209">
        <v>-19041</v>
      </c>
    </row>
    <row r="26" spans="1:13" ht="13.5" thickBot="1" x14ac:dyDescent="0.25">
      <c r="A26" s="339" t="s">
        <v>644</v>
      </c>
      <c r="B26" s="336" t="s">
        <v>632</v>
      </c>
      <c r="C26" s="337"/>
      <c r="D26" s="338"/>
      <c r="E26" s="333" t="s">
        <v>633</v>
      </c>
      <c r="F26" s="334"/>
      <c r="G26" s="335"/>
      <c r="H26" s="330" t="s">
        <v>634</v>
      </c>
      <c r="I26" s="331"/>
      <c r="J26" s="332"/>
      <c r="K26" s="327" t="s">
        <v>635</v>
      </c>
      <c r="L26" s="328"/>
      <c r="M26" s="329"/>
    </row>
    <row r="27" spans="1:13" ht="26.25" thickBot="1" x14ac:dyDescent="0.25">
      <c r="A27" s="340"/>
      <c r="B27" s="201" t="s">
        <v>636</v>
      </c>
      <c r="C27" s="201" t="s">
        <v>637</v>
      </c>
      <c r="D27" s="201" t="s">
        <v>369</v>
      </c>
      <c r="E27" s="202" t="s">
        <v>636</v>
      </c>
      <c r="F27" s="202" t="s">
        <v>637</v>
      </c>
      <c r="G27" s="202" t="s">
        <v>369</v>
      </c>
      <c r="H27" s="203" t="s">
        <v>636</v>
      </c>
      <c r="I27" s="203" t="s">
        <v>637</v>
      </c>
      <c r="J27" s="203" t="s">
        <v>369</v>
      </c>
      <c r="K27" s="204" t="s">
        <v>636</v>
      </c>
      <c r="L27" s="204" t="s">
        <v>637</v>
      </c>
      <c r="M27" s="204" t="s">
        <v>369</v>
      </c>
    </row>
    <row r="28" spans="1:13" x14ac:dyDescent="0.2">
      <c r="A28" s="205" t="s">
        <v>638</v>
      </c>
      <c r="B28" s="206">
        <v>965204</v>
      </c>
      <c r="C28" s="206">
        <v>976654</v>
      </c>
      <c r="D28" s="207">
        <v>11450</v>
      </c>
      <c r="E28" s="206">
        <v>0</v>
      </c>
      <c r="F28" s="206">
        <v>0</v>
      </c>
      <c r="G28" s="207">
        <v>0</v>
      </c>
      <c r="H28" s="206">
        <v>122759</v>
      </c>
      <c r="I28" s="206">
        <v>127524</v>
      </c>
      <c r="J28" s="207">
        <v>4765</v>
      </c>
      <c r="K28" s="206">
        <v>890072</v>
      </c>
      <c r="L28" s="206">
        <v>914253</v>
      </c>
      <c r="M28" s="207">
        <v>24181</v>
      </c>
    </row>
    <row r="29" spans="1:13" x14ac:dyDescent="0.2">
      <c r="A29" s="208" t="s">
        <v>639</v>
      </c>
      <c r="B29" s="206">
        <v>1149376</v>
      </c>
      <c r="C29" s="206">
        <v>1171336</v>
      </c>
      <c r="D29" s="207">
        <v>21960</v>
      </c>
      <c r="E29" s="206">
        <v>0</v>
      </c>
      <c r="F29" s="206">
        <v>0</v>
      </c>
      <c r="G29" s="207">
        <v>0</v>
      </c>
      <c r="H29" s="206">
        <v>95281</v>
      </c>
      <c r="I29" s="206">
        <v>97491</v>
      </c>
      <c r="J29" s="207">
        <v>2210</v>
      </c>
      <c r="K29" s="206">
        <v>733378</v>
      </c>
      <c r="L29" s="206">
        <v>749604</v>
      </c>
      <c r="M29" s="207">
        <v>16226</v>
      </c>
    </row>
    <row r="30" spans="1:13" ht="13.5" thickBot="1" x14ac:dyDescent="0.25">
      <c r="A30" s="211" t="s">
        <v>640</v>
      </c>
      <c r="B30" s="212">
        <v>-184172</v>
      </c>
      <c r="C30" s="212">
        <v>-194682</v>
      </c>
      <c r="D30" s="213">
        <v>-10510</v>
      </c>
      <c r="E30" s="214">
        <v>0</v>
      </c>
      <c r="F30" s="214">
        <v>0</v>
      </c>
      <c r="G30" s="213">
        <v>0</v>
      </c>
      <c r="H30" s="214">
        <v>27478</v>
      </c>
      <c r="I30" s="214">
        <v>30033</v>
      </c>
      <c r="J30" s="213">
        <v>2555</v>
      </c>
      <c r="K30" s="214">
        <v>156694</v>
      </c>
      <c r="L30" s="214">
        <v>164649</v>
      </c>
      <c r="M30" s="213">
        <v>7955</v>
      </c>
    </row>
  </sheetData>
  <mergeCells count="30">
    <mergeCell ref="A1:A2"/>
    <mergeCell ref="B1:D1"/>
    <mergeCell ref="E1:G1"/>
    <mergeCell ref="H1:J1"/>
    <mergeCell ref="K1:M1"/>
    <mergeCell ref="K26:M26"/>
    <mergeCell ref="H26:J26"/>
    <mergeCell ref="E26:G26"/>
    <mergeCell ref="B26:D26"/>
    <mergeCell ref="A26:A27"/>
    <mergeCell ref="B16:D16"/>
    <mergeCell ref="A16:A17"/>
    <mergeCell ref="K21:M21"/>
    <mergeCell ref="H21:J21"/>
    <mergeCell ref="E21:G21"/>
    <mergeCell ref="B21:D21"/>
    <mergeCell ref="A21:A22"/>
    <mergeCell ref="K16:M16"/>
    <mergeCell ref="H16:J16"/>
    <mergeCell ref="E16:G16"/>
    <mergeCell ref="K6:M6"/>
    <mergeCell ref="H6:J6"/>
    <mergeCell ref="E6:G6"/>
    <mergeCell ref="B6:D6"/>
    <mergeCell ref="A6:A7"/>
    <mergeCell ref="K11:M11"/>
    <mergeCell ref="H11:J11"/>
    <mergeCell ref="E11:G11"/>
    <mergeCell ref="B11:D11"/>
    <mergeCell ref="A11:A12"/>
  </mergeCells>
  <pageMargins left="0.7" right="0.7" top="0.75" bottom="0.75" header="0.3" footer="0.3"/>
  <pageSetup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0"/>
  <sheetViews>
    <sheetView showGridLines="0" workbookViewId="0">
      <selection activeCell="O8" sqref="O8"/>
    </sheetView>
  </sheetViews>
  <sheetFormatPr defaultRowHeight="15" x14ac:dyDescent="0.25"/>
  <cols>
    <col min="1" max="1" width="1.140625" customWidth="1"/>
    <col min="2" max="2" width="64.42578125" customWidth="1"/>
    <col min="3" max="3" width="1.5703125" customWidth="1"/>
    <col min="4" max="4" width="5.5703125" customWidth="1"/>
    <col min="5" max="5" width="16" customWidth="1"/>
  </cols>
  <sheetData>
    <row r="1" spans="2:5" x14ac:dyDescent="0.25">
      <c r="B1" s="181" t="s">
        <v>538</v>
      </c>
      <c r="C1" s="182"/>
      <c r="D1" s="187"/>
      <c r="E1" s="187"/>
    </row>
    <row r="2" spans="2:5" x14ac:dyDescent="0.25">
      <c r="B2" s="181" t="s">
        <v>539</v>
      </c>
      <c r="C2" s="182"/>
      <c r="D2" s="187"/>
      <c r="E2" s="187"/>
    </row>
    <row r="3" spans="2:5" x14ac:dyDescent="0.25">
      <c r="B3" s="183"/>
      <c r="C3" s="183"/>
      <c r="D3" s="188"/>
      <c r="E3" s="188"/>
    </row>
    <row r="4" spans="2:5" ht="45" x14ac:dyDescent="0.25">
      <c r="B4" s="184" t="s">
        <v>540</v>
      </c>
      <c r="C4" s="183"/>
      <c r="D4" s="188"/>
      <c r="E4" s="188"/>
    </row>
    <row r="5" spans="2:5" x14ac:dyDescent="0.25">
      <c r="B5" s="183"/>
      <c r="C5" s="183"/>
      <c r="D5" s="188"/>
      <c r="E5" s="188"/>
    </row>
    <row r="6" spans="2:5" x14ac:dyDescent="0.25">
      <c r="B6" s="181" t="s">
        <v>541</v>
      </c>
      <c r="C6" s="182"/>
      <c r="D6" s="187"/>
      <c r="E6" s="189" t="s">
        <v>542</v>
      </c>
    </row>
    <row r="7" spans="2:5" ht="15.75" thickBot="1" x14ac:dyDescent="0.3">
      <c r="B7" s="183"/>
      <c r="C7" s="183"/>
      <c r="D7" s="188"/>
      <c r="E7" s="188"/>
    </row>
    <row r="8" spans="2:5" ht="45.75" thickBot="1" x14ac:dyDescent="0.3">
      <c r="B8" s="185" t="s">
        <v>543</v>
      </c>
      <c r="C8" s="186"/>
      <c r="D8" s="190"/>
      <c r="E8" s="191">
        <v>52</v>
      </c>
    </row>
    <row r="9" spans="2:5" x14ac:dyDescent="0.25">
      <c r="B9" s="183"/>
      <c r="C9" s="183"/>
      <c r="D9" s="188"/>
      <c r="E9" s="188"/>
    </row>
    <row r="10" spans="2:5" x14ac:dyDescent="0.25">
      <c r="B10" s="183"/>
      <c r="C10" s="183"/>
      <c r="D10" s="188"/>
      <c r="E10" s="188"/>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election activeCell="S32" sqref="S32"/>
    </sheetView>
  </sheetViews>
  <sheetFormatPr defaultRowHeight="15" x14ac:dyDescent="0.25"/>
  <cols>
    <col min="1" max="1" width="13.28515625" bestFit="1" customWidth="1"/>
    <col min="2" max="2" width="12.5703125" bestFit="1" customWidth="1"/>
  </cols>
  <sheetData>
    <row r="1" spans="1:4" x14ac:dyDescent="0.25">
      <c r="A1" s="215" t="s">
        <v>647</v>
      </c>
      <c r="B1" s="216" t="s">
        <v>249</v>
      </c>
      <c r="C1" s="200"/>
      <c r="D1" s="200"/>
    </row>
    <row r="2" spans="1:4" x14ac:dyDescent="0.25">
      <c r="A2" s="217" t="s">
        <v>648</v>
      </c>
      <c r="B2" s="218">
        <f>VLOOKUP($B$1,'Snapshot (Value)'!$A:$S,2,0)</f>
        <v>175</v>
      </c>
      <c r="C2" s="200"/>
      <c r="D2" s="200"/>
    </row>
    <row r="3" spans="1:4" x14ac:dyDescent="0.25">
      <c r="A3" s="217" t="s">
        <v>312</v>
      </c>
      <c r="B3" s="219">
        <f>VLOOKUP($B$1,'Snapshot (Value)'!$A:$S,3,0)</f>
        <v>4037.4</v>
      </c>
      <c r="C3" s="200"/>
      <c r="D3" s="200"/>
    </row>
    <row r="4" spans="1:4" x14ac:dyDescent="0.25">
      <c r="A4" s="217" t="s">
        <v>320</v>
      </c>
      <c r="B4" s="220">
        <f>VLOOKUP($B$1,'Snapshot (Value)'!$A:$S,6,0)</f>
        <v>2.5999999999999091</v>
      </c>
      <c r="C4" s="200"/>
      <c r="D4" s="200"/>
    </row>
    <row r="5" spans="1:4" x14ac:dyDescent="0.25">
      <c r="A5" s="221"/>
      <c r="B5" s="222" t="s">
        <v>649</v>
      </c>
      <c r="C5" s="222" t="s">
        <v>650</v>
      </c>
      <c r="D5" s="222" t="s">
        <v>651</v>
      </c>
    </row>
    <row r="6" spans="1:4" x14ac:dyDescent="0.25">
      <c r="A6" s="217" t="s">
        <v>652</v>
      </c>
      <c r="B6" s="219">
        <f>VLOOKUP($B$1,'Snapshot (Value)'!$A:$S,4,0)</f>
        <v>4040</v>
      </c>
      <c r="C6" s="219">
        <f>VLOOKUP($B$1,'Snapshot (Value)'!$A:$S,5,0)</f>
        <v>4017.5</v>
      </c>
      <c r="D6" s="219">
        <f>+(B6/C6-1)*100</f>
        <v>0.56004978220285384</v>
      </c>
    </row>
    <row r="7" spans="1:4" x14ac:dyDescent="0.25">
      <c r="A7" s="217" t="s">
        <v>316</v>
      </c>
      <c r="B7" s="219">
        <f>VLOOKUP($B$1,'Snapshot (Volume)'!$A:$S,12,0)</f>
        <v>0.59</v>
      </c>
      <c r="C7" s="219">
        <f>VLOOKUP($B$1,'Snapshot (Volume)'!$A:$S,13,0)</f>
        <v>0.52</v>
      </c>
      <c r="D7" s="219">
        <f>+(B7/C7-1)*100</f>
        <v>13.461538461538458</v>
      </c>
    </row>
    <row r="8" spans="1:4" x14ac:dyDescent="0.25">
      <c r="A8" s="217" t="s">
        <v>653</v>
      </c>
      <c r="B8" s="219">
        <f>VLOOKUP($B$1,'Snapshot (Volume)'!$A:$S,15,0)</f>
        <v>0.46</v>
      </c>
      <c r="C8" s="219">
        <f>VLOOKUP($B$1,'Snapshot (Volume)'!$A:$S,16,0)</f>
        <v>0.5</v>
      </c>
      <c r="D8" s="219">
        <f>+(B8/C8-1)*100</f>
        <v>-7.9999999999999964</v>
      </c>
    </row>
    <row r="9" spans="1:4" x14ac:dyDescent="0.25">
      <c r="A9" s="215" t="s">
        <v>654</v>
      </c>
      <c r="B9" s="222" t="s">
        <v>655</v>
      </c>
      <c r="C9" s="222" t="s">
        <v>369</v>
      </c>
      <c r="D9" s="222" t="s">
        <v>651</v>
      </c>
    </row>
    <row r="10" spans="1:4" x14ac:dyDescent="0.25">
      <c r="A10" s="217" t="s">
        <v>656</v>
      </c>
      <c r="B10" s="219">
        <f>VLOOKUP($B$1,'OI(Value)'!$A:$O,5,0)</f>
        <v>5371</v>
      </c>
      <c r="C10" s="219">
        <f>VLOOKUP($B$1,'OI(Value)'!$A:$O,6,0)</f>
        <v>56</v>
      </c>
      <c r="D10" s="219">
        <f>VLOOKUP($B$1,'OI(Value)'!$A:$O,7,0)*100</f>
        <v>1.05</v>
      </c>
    </row>
    <row r="11" spans="1:4" x14ac:dyDescent="0.25">
      <c r="A11" s="217" t="s">
        <v>657</v>
      </c>
      <c r="B11" s="219">
        <f>VLOOKUP($B$1,'OI(Value)'!$A:$O,8,0)</f>
        <v>2636</v>
      </c>
      <c r="C11" s="219">
        <f>VLOOKUP($B$1,'OI(Value)'!$A:$O,9,0)</f>
        <v>-203</v>
      </c>
      <c r="D11" s="219">
        <f>VLOOKUP($B$1,'OI(Value)'!$A:$O,10,0)*100</f>
        <v>-7.1499999999999995</v>
      </c>
    </row>
    <row r="12" spans="1:4" x14ac:dyDescent="0.25">
      <c r="A12" s="217" t="s">
        <v>658</v>
      </c>
      <c r="B12" s="219">
        <f>VLOOKUP($B$1,'OI(Value)'!$A:$O,11,0)</f>
        <v>1551</v>
      </c>
      <c r="C12" s="219">
        <f>VLOOKUP($B$1,'OI(Value)'!$A:$O,12,0)</f>
        <v>86</v>
      </c>
      <c r="D12" s="219">
        <f>VLOOKUP($B$1,'OI(Value)'!$A:$O,13,0)*100</f>
        <v>5.86</v>
      </c>
    </row>
    <row r="13" spans="1:4" x14ac:dyDescent="0.25">
      <c r="A13" s="215" t="s">
        <v>659</v>
      </c>
      <c r="B13" s="223">
        <f>VLOOKUP($B$1,'OI(Value)'!$A:$O,2,0)</f>
        <v>9559</v>
      </c>
      <c r="C13" s="223">
        <f>VLOOKUP($B$1,'OI(Value)'!$A:$O,3,0)</f>
        <v>-62</v>
      </c>
      <c r="D13" s="223">
        <f>VLOOKUP($B$1,'OI(Value)'!$A:$O,4,0)*100</f>
        <v>-0.64</v>
      </c>
    </row>
    <row r="14" spans="1:4" x14ac:dyDescent="0.25">
      <c r="A14" s="215" t="s">
        <v>660</v>
      </c>
      <c r="B14" s="222" t="s">
        <v>661</v>
      </c>
      <c r="C14" s="222" t="s">
        <v>369</v>
      </c>
      <c r="D14" s="222" t="s">
        <v>651</v>
      </c>
    </row>
    <row r="15" spans="1:4" x14ac:dyDescent="0.25">
      <c r="A15" s="217" t="s">
        <v>656</v>
      </c>
      <c r="B15" s="219">
        <f>VLOOKUP($B$1,'OI(Volume)'!$A:$O,5,0)/10^5</f>
        <v>132.9545</v>
      </c>
      <c r="C15" s="219">
        <f>VLOOKUP($B$1,'OI(Volume)'!$A:$O,6,0)/10^5</f>
        <v>1.3772500000000001</v>
      </c>
      <c r="D15" s="219">
        <f>(VLOOKUP($B$1,'OI(Volume)'!$A:$O,7,0))*100</f>
        <v>1.05</v>
      </c>
    </row>
    <row r="16" spans="1:4" x14ac:dyDescent="0.25">
      <c r="A16" s="217" t="s">
        <v>657</v>
      </c>
      <c r="B16" s="219">
        <f>VLOOKUP($B$1,'OI(Volume)'!$A:$O,8,0)/10^5</f>
        <v>65.243499999999997</v>
      </c>
      <c r="C16" s="219">
        <f>VLOOKUP($B$1,'OI(Volume)'!$A:$O,9,0)/10^5</f>
        <v>-5.0277500000000002</v>
      </c>
      <c r="D16" s="219">
        <f>(VLOOKUP($B$1,'OI(Volume)'!$A:$O,10,0))*100</f>
        <v>-7.1499999999999995</v>
      </c>
    </row>
    <row r="17" spans="1:4" x14ac:dyDescent="0.25">
      <c r="A17" s="217" t="s">
        <v>658</v>
      </c>
      <c r="B17" s="219">
        <f>VLOOKUP($B$1,'OI(Volume)'!$A:$O,11,0)/10^5</f>
        <v>38.40025</v>
      </c>
      <c r="C17" s="219">
        <f>VLOOKUP($B$1,'OI(Volume)'!$A:$O,12,0)/10^5</f>
        <v>2.1262500000000002</v>
      </c>
      <c r="D17" s="219">
        <f>(VLOOKUP($B$1,'OI(Volume)'!$A:$O,13,0))*100</f>
        <v>5.86</v>
      </c>
    </row>
    <row r="18" spans="1:4" x14ac:dyDescent="0.25">
      <c r="A18" s="215" t="s">
        <v>662</v>
      </c>
      <c r="B18" s="223">
        <f>VLOOKUP($B$1,'OI(Volume)'!$A:$O,2,0)/10^5</f>
        <v>236.59825000000001</v>
      </c>
      <c r="C18" s="223">
        <f>VLOOKUP($B$1,'OI(Volume)'!$A:$O,3,0)/10^5</f>
        <v>-1.5242500000000001</v>
      </c>
      <c r="D18" s="223">
        <f>(VLOOKUP($B$1,'OI(Volume)'!$A:$O,4,0))*100</f>
        <v>-0.64</v>
      </c>
    </row>
    <row r="20" spans="1:4" x14ac:dyDescent="0.25">
      <c r="A20" s="17" t="s">
        <v>417</v>
      </c>
      <c r="B20" s="224">
        <f>VLOOKUP($B$1,'Open Interest Position'!$A:$F,2,0)/10^5</f>
        <v>1360.07303</v>
      </c>
    </row>
    <row r="21" spans="1:4" x14ac:dyDescent="0.25">
      <c r="A21" s="17" t="s">
        <v>412</v>
      </c>
      <c r="B21" s="224">
        <f>VLOOKUP($B$1,'Open Interest Position'!$A:$F,3,0)/10^5</f>
        <v>231.721</v>
      </c>
    </row>
    <row r="22" spans="1:4" x14ac:dyDescent="0.25">
      <c r="A22" s="17" t="s">
        <v>418</v>
      </c>
      <c r="B22" s="224">
        <f>VLOOKUP($B$1,'Open Interest Position'!$A:$F,4,0)/10^5</f>
        <v>138.97635331133702</v>
      </c>
    </row>
    <row r="23" spans="1:4" x14ac:dyDescent="0.25">
      <c r="A23" s="17" t="s">
        <v>419</v>
      </c>
      <c r="B23" s="225">
        <f>VLOOKUP($B$1,'Open Interest Position'!$A:$F,6,0)</f>
        <v>0.17037393940529796</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J192"/>
  <sheetViews>
    <sheetView workbookViewId="0">
      <pane ySplit="6" topLeftCell="A189" activePane="bottomLeft" state="frozen"/>
      <selection pane="bottomLeft" activeCell="M191" sqref="M191"/>
    </sheetView>
  </sheetViews>
  <sheetFormatPr defaultRowHeight="15" x14ac:dyDescent="0.25"/>
  <cols>
    <col min="1" max="1" width="11.85546875" customWidth="1"/>
    <col min="2" max="2" width="11.5703125" bestFit="1" customWidth="1"/>
    <col min="4" max="4" width="11.7109375" bestFit="1" customWidth="1"/>
    <col min="5" max="5" width="11.7109375" customWidth="1"/>
    <col min="6" max="6" width="10.85546875" customWidth="1"/>
    <col min="7" max="7" width="8.85546875" bestFit="1" customWidth="1"/>
    <col min="8" max="9" width="11.7109375" bestFit="1" customWidth="1"/>
    <col min="10" max="10" width="9.140625" customWidth="1"/>
  </cols>
  <sheetData>
    <row r="1" spans="1:36" ht="21" customHeight="1" x14ac:dyDescent="0.25"/>
    <row r="2" spans="1:36" ht="22.5" customHeight="1" thickBot="1" x14ac:dyDescent="0.3"/>
    <row r="3" spans="1:36" ht="23.25" customHeight="1" thickBot="1" x14ac:dyDescent="0.3">
      <c r="A3" s="265" t="s">
        <v>329</v>
      </c>
      <c r="B3" s="266"/>
      <c r="C3" s="266"/>
      <c r="D3" s="266"/>
      <c r="E3" s="266"/>
      <c r="F3" s="266"/>
      <c r="G3" s="266"/>
      <c r="H3" s="266"/>
      <c r="I3" s="267"/>
      <c r="J3" s="267"/>
      <c r="K3" s="267"/>
      <c r="L3" s="267"/>
      <c r="M3" s="267"/>
      <c r="N3" s="267"/>
      <c r="O3" s="267"/>
      <c r="P3" s="268"/>
    </row>
    <row r="4" spans="1:36" x14ac:dyDescent="0.25">
      <c r="A4" s="269" t="s">
        <v>330</v>
      </c>
      <c r="B4" s="269"/>
      <c r="C4" s="77" t="s">
        <v>308</v>
      </c>
      <c r="D4" s="271" t="s">
        <v>326</v>
      </c>
      <c r="E4" s="271"/>
      <c r="F4" s="271"/>
      <c r="G4" s="271"/>
      <c r="H4" s="271" t="s">
        <v>457</v>
      </c>
      <c r="I4" s="271"/>
      <c r="J4" s="271"/>
      <c r="K4" s="269" t="s">
        <v>309</v>
      </c>
      <c r="L4" s="269"/>
      <c r="M4" s="269"/>
      <c r="N4" s="269" t="s">
        <v>331</v>
      </c>
      <c r="O4" s="269"/>
      <c r="P4" s="269"/>
    </row>
    <row r="5" spans="1:36" x14ac:dyDescent="0.25">
      <c r="A5" s="270"/>
      <c r="B5" s="270"/>
      <c r="C5" s="65" t="s">
        <v>312</v>
      </c>
      <c r="D5" s="272" t="s">
        <v>314</v>
      </c>
      <c r="E5" s="272"/>
      <c r="F5" s="272"/>
      <c r="G5" s="272"/>
      <c r="H5" s="272" t="s">
        <v>315</v>
      </c>
      <c r="I5" s="272"/>
      <c r="J5" s="272"/>
      <c r="K5" s="270" t="s">
        <v>314</v>
      </c>
      <c r="L5" s="270"/>
      <c r="M5" s="270"/>
      <c r="N5" s="270" t="s">
        <v>315</v>
      </c>
      <c r="O5" s="270"/>
      <c r="P5" s="270"/>
    </row>
    <row r="6" spans="1:36" x14ac:dyDescent="0.25">
      <c r="A6" s="78" t="s">
        <v>332</v>
      </c>
      <c r="B6" s="78" t="s">
        <v>318</v>
      </c>
      <c r="C6" s="65" t="s">
        <v>328</v>
      </c>
      <c r="D6" s="66">
        <f>'Snapshot (Volume)'!B6</f>
        <v>45981</v>
      </c>
      <c r="E6" s="66" t="s">
        <v>368</v>
      </c>
      <c r="F6" s="71" t="s">
        <v>333</v>
      </c>
      <c r="G6" s="71" t="s">
        <v>328</v>
      </c>
      <c r="H6" s="66">
        <f>D6</f>
        <v>45981</v>
      </c>
      <c r="I6" s="71" t="s">
        <v>322</v>
      </c>
      <c r="J6" s="71" t="s">
        <v>328</v>
      </c>
      <c r="K6" s="66">
        <f>D6</f>
        <v>45981</v>
      </c>
      <c r="L6" s="78" t="s">
        <v>333</v>
      </c>
      <c r="M6" s="78" t="s">
        <v>328</v>
      </c>
      <c r="N6" s="66">
        <f>D6</f>
        <v>45981</v>
      </c>
      <c r="O6" s="78" t="s">
        <v>322</v>
      </c>
      <c r="P6" s="78" t="s">
        <v>328</v>
      </c>
    </row>
    <row r="7" spans="1:36" x14ac:dyDescent="0.25">
      <c r="A7" s="79" t="str">
        <f>'Data shares'!B2</f>
        <v>Finance</v>
      </c>
      <c r="B7" s="79" t="str">
        <f>'Data shares'!C2</f>
        <v>360ONE</v>
      </c>
      <c r="C7" s="79">
        <f>VLOOKUP($B7,'Data shares'!$C:$FB,7)</f>
        <v>1142.0999999999999</v>
      </c>
      <c r="D7" s="165">
        <f>VLOOKUP($B7,'Data shares'!$C:$FB,98)</f>
        <v>5397500</v>
      </c>
      <c r="E7" s="165">
        <f>VLOOKUP(B7,'Snapshot (Volume)'!$A$7:$G$168,7,0)</f>
        <v>5502500</v>
      </c>
      <c r="F7" s="165">
        <f>D7-E7</f>
        <v>-105000</v>
      </c>
      <c r="G7" s="166">
        <f>F7/E7</f>
        <v>-1.9082235347569285E-2</v>
      </c>
      <c r="H7" s="165">
        <f>VLOOKUP($B7,'Data shares'!$C:$FB,66)</f>
        <v>15743500</v>
      </c>
      <c r="I7" s="165">
        <f>VLOOKUP($B7,'Data shares'!$C:$FB,67)</f>
        <v>11379500</v>
      </c>
      <c r="J7" s="81">
        <f>(H7-I7)/I7*100</f>
        <v>38.34966386923854</v>
      </c>
      <c r="K7" s="81">
        <f>VLOOKUP($B7,'Data Vlaue (Cr)'!$C:$FB,99)</f>
        <v>616</v>
      </c>
      <c r="L7" s="81">
        <f>VLOOKUP(B7,'OI(Value)'!$A$7:$C$209,3,0)</f>
        <v>-12</v>
      </c>
      <c r="M7" s="81">
        <f t="shared" ref="M7:M36" si="0">L7/K7*100</f>
        <v>-1.948051948051948</v>
      </c>
      <c r="N7" s="81">
        <f>VLOOKUP($B7,'Data Vlaue (Cr)'!$C:$FB,67)</f>
        <v>1797</v>
      </c>
      <c r="O7" s="81">
        <f>VLOOKUP($B7,'Data Vlaue (Cr)'!$C:$FB,68)</f>
        <v>1299</v>
      </c>
      <c r="P7" s="81">
        <f t="shared" ref="P7:P23" si="1">(N7-O7)/N7*100</f>
        <v>27.712854757929883</v>
      </c>
      <c r="Q7" s="1"/>
      <c r="R7" s="1"/>
      <c r="S7" s="1"/>
      <c r="T7" s="1"/>
      <c r="U7" s="1"/>
      <c r="V7" s="1"/>
      <c r="W7" s="1"/>
      <c r="X7" s="1"/>
      <c r="Y7" s="1"/>
      <c r="Z7" s="1"/>
      <c r="AA7" s="1"/>
      <c r="AB7" s="1"/>
      <c r="AC7" s="1"/>
      <c r="AD7" s="1"/>
      <c r="AE7" s="1"/>
      <c r="AF7" s="1"/>
      <c r="AG7" s="1"/>
      <c r="AH7" s="1"/>
      <c r="AI7" s="1"/>
      <c r="AJ7" s="1"/>
    </row>
    <row r="8" spans="1:36" x14ac:dyDescent="0.25">
      <c r="A8" s="79" t="str">
        <f>'Data shares'!B3</f>
        <v>Capital_Goods</v>
      </c>
      <c r="B8" s="79" t="str">
        <f>'Data shares'!C3</f>
        <v>ABB</v>
      </c>
      <c r="C8" s="79">
        <f>VLOOKUP($B8,'Data shares'!$C:$FB,7)</f>
        <v>5147</v>
      </c>
      <c r="D8" s="165">
        <f>VLOOKUP($B8,'Data shares'!$C:$FB,98)</f>
        <v>5623625</v>
      </c>
      <c r="E8" s="165">
        <f>VLOOKUP(B8,'Snapshot (Volume)'!$A$7:$G$168,7,0)</f>
        <v>6401750</v>
      </c>
      <c r="F8" s="165">
        <f t="shared" ref="F8:F23" si="2">D8-E8</f>
        <v>-778125</v>
      </c>
      <c r="G8" s="166">
        <f t="shared" ref="G8:G23" si="3">F8/E8</f>
        <v>-0.12154879525129847</v>
      </c>
      <c r="H8" s="165">
        <f>VLOOKUP($B8,'Data shares'!$C:$FB,66)</f>
        <v>8096000</v>
      </c>
      <c r="I8" s="165">
        <f>VLOOKUP($B8,'Data shares'!$C:$FB,67)</f>
        <v>3951875</v>
      </c>
      <c r="J8" s="81">
        <f t="shared" ref="J8:J22" si="4">(H8-I8)/I8*100</f>
        <v>104.86477937687806</v>
      </c>
      <c r="K8" s="81">
        <f>VLOOKUP($B8,'Data Vlaue (Cr)'!$C:$FB,99)</f>
        <v>2885</v>
      </c>
      <c r="L8" s="81">
        <f>VLOOKUP(B8,'OI(Value)'!$A$7:$C$209,3,0)</f>
        <v>-399</v>
      </c>
      <c r="M8" s="81">
        <f t="shared" si="0"/>
        <v>-13.830155979202774</v>
      </c>
      <c r="N8" s="81">
        <f>VLOOKUP($B8,'Data Vlaue (Cr)'!$C:$FB,67)</f>
        <v>4154</v>
      </c>
      <c r="O8" s="81">
        <f>VLOOKUP($B8,'Data Vlaue (Cr)'!$C:$FB,68)</f>
        <v>2028</v>
      </c>
      <c r="P8" s="81">
        <f t="shared" si="1"/>
        <v>51.179585941261429</v>
      </c>
      <c r="Q8" s="1"/>
      <c r="R8" s="1"/>
      <c r="S8" s="1"/>
      <c r="T8" s="1"/>
      <c r="U8" s="1"/>
      <c r="V8" s="1"/>
      <c r="W8" s="1"/>
      <c r="X8" s="1"/>
      <c r="Y8" s="1"/>
      <c r="Z8" s="1"/>
      <c r="AA8" s="1"/>
      <c r="AB8" s="1"/>
      <c r="AC8" s="1"/>
      <c r="AD8" s="1"/>
      <c r="AE8" s="1"/>
      <c r="AF8" s="1"/>
      <c r="AG8" s="1"/>
      <c r="AH8" s="1"/>
      <c r="AI8" s="1"/>
      <c r="AJ8" s="1"/>
    </row>
    <row r="9" spans="1:36" x14ac:dyDescent="0.25">
      <c r="A9" s="79" t="str">
        <f>'Data shares'!B4</f>
        <v>Finance</v>
      </c>
      <c r="B9" s="79" t="str">
        <f>'Data shares'!C4</f>
        <v>ABCAPITAL</v>
      </c>
      <c r="C9" s="79">
        <f>VLOOKUP($B9,'Data shares'!$C:$FB,7)</f>
        <v>327.85</v>
      </c>
      <c r="D9" s="165">
        <f>VLOOKUP($B9,'Data shares'!$C:$FB,98)</f>
        <v>110862200</v>
      </c>
      <c r="E9" s="165">
        <f>VLOOKUP(B9,'Snapshot (Volume)'!$A$7:$G$168,7,0)</f>
        <v>114501600</v>
      </c>
      <c r="F9" s="165">
        <f t="shared" si="2"/>
        <v>-3639400</v>
      </c>
      <c r="G9" s="166">
        <f t="shared" si="3"/>
        <v>-3.1784708685293483E-2</v>
      </c>
      <c r="H9" s="165">
        <f>VLOOKUP($B9,'Data shares'!$C:$FB,66)</f>
        <v>69901900</v>
      </c>
      <c r="I9" s="165">
        <f>VLOOKUP($B9,'Data shares'!$C:$FB,67)</f>
        <v>42718000</v>
      </c>
      <c r="J9" s="81">
        <f t="shared" si="4"/>
        <v>63.635703918722783</v>
      </c>
      <c r="K9" s="81">
        <f>VLOOKUP($B9,'Data Vlaue (Cr)'!$C:$FB,99)</f>
        <v>3636</v>
      </c>
      <c r="L9" s="81">
        <f>VLOOKUP(B9,'OI(Value)'!$A$7:$C$209,3,0)</f>
        <v>-119</v>
      </c>
      <c r="M9" s="81">
        <f t="shared" si="0"/>
        <v>-3.2728272827282732</v>
      </c>
      <c r="N9" s="81">
        <f>VLOOKUP($B9,'Data Vlaue (Cr)'!$C:$FB,67)</f>
        <v>2293</v>
      </c>
      <c r="O9" s="81">
        <f>VLOOKUP($B9,'Data Vlaue (Cr)'!$C:$FB,68)</f>
        <v>1401</v>
      </c>
      <c r="P9" s="81">
        <f t="shared" si="1"/>
        <v>38.901003052769298</v>
      </c>
      <c r="Q9" s="1"/>
      <c r="R9" s="1"/>
      <c r="S9" s="1"/>
      <c r="T9" s="1"/>
      <c r="U9" s="1"/>
      <c r="V9" s="1"/>
      <c r="W9" s="1"/>
      <c r="X9" s="1"/>
      <c r="Y9" s="1"/>
      <c r="Z9" s="1"/>
      <c r="AA9" s="1"/>
      <c r="AB9" s="1"/>
      <c r="AC9" s="1"/>
      <c r="AD9" s="1"/>
      <c r="AE9" s="1"/>
      <c r="AF9" s="1"/>
      <c r="AG9" s="1"/>
      <c r="AH9" s="1"/>
      <c r="AI9" s="1"/>
      <c r="AJ9" s="1"/>
    </row>
    <row r="10" spans="1:36" x14ac:dyDescent="0.25">
      <c r="A10" s="79" t="str">
        <f>'Data shares'!B5</f>
        <v>Power</v>
      </c>
      <c r="B10" s="79" t="str">
        <f>'Data shares'!C5</f>
        <v>ADANIENSOL</v>
      </c>
      <c r="C10" s="4">
        <f>VLOOKUP($B10,'Data shares'!$C:$FB,7)</f>
        <v>993.6</v>
      </c>
      <c r="D10" s="82">
        <f>VLOOKUP($B10,'Data shares'!$C:$FB,98)</f>
        <v>30993975</v>
      </c>
      <c r="E10" s="165">
        <f>VLOOKUP(B10,'Snapshot (Volume)'!$A$7:$G$168,7,0)</f>
        <v>31214700</v>
      </c>
      <c r="F10" s="165">
        <f t="shared" si="2"/>
        <v>-220725</v>
      </c>
      <c r="G10" s="166">
        <f t="shared" si="3"/>
        <v>-7.0711876135282417E-3</v>
      </c>
      <c r="H10" s="165">
        <f>VLOOKUP($B10,'Data shares'!$C:$FB,66)</f>
        <v>39700125</v>
      </c>
      <c r="I10" s="165">
        <f>VLOOKUP($B10,'Data shares'!$C:$FB,67)</f>
        <v>46077525</v>
      </c>
      <c r="J10" s="81">
        <f t="shared" si="4"/>
        <v>-13.840587140910889</v>
      </c>
      <c r="K10" s="5">
        <f>VLOOKUP($B10,'Data Vlaue (Cr)'!$C:$FB,99)</f>
        <v>3074</v>
      </c>
      <c r="L10" s="81">
        <f>VLOOKUP(B10,'OI(Value)'!$A$7:$C$209,3,0)</f>
        <v>-22</v>
      </c>
      <c r="M10" s="33">
        <f t="shared" si="0"/>
        <v>-0.71567989590110603</v>
      </c>
      <c r="N10" s="5">
        <f>VLOOKUP($B10,'Data Vlaue (Cr)'!$C:$FB,67)</f>
        <v>3938</v>
      </c>
      <c r="O10" s="5">
        <f>VLOOKUP($B10,'Data Vlaue (Cr)'!$C:$FB,68)</f>
        <v>4570</v>
      </c>
      <c r="P10" s="5">
        <f t="shared" si="1"/>
        <v>-16.048755713560183</v>
      </c>
      <c r="Q10" s="1"/>
      <c r="R10" s="1"/>
      <c r="S10" s="1"/>
      <c r="T10" s="1"/>
      <c r="U10" s="1"/>
      <c r="V10" s="1"/>
      <c r="W10" s="1"/>
      <c r="X10" s="1"/>
      <c r="Y10" s="1"/>
      <c r="Z10" s="1"/>
      <c r="AA10" s="1"/>
      <c r="AB10" s="1"/>
      <c r="AC10" s="1"/>
      <c r="AD10" s="1"/>
      <c r="AE10" s="1"/>
      <c r="AF10" s="1"/>
      <c r="AG10" s="1"/>
      <c r="AH10" s="1"/>
      <c r="AI10" s="1"/>
      <c r="AJ10" s="1"/>
    </row>
    <row r="11" spans="1:36" x14ac:dyDescent="0.25">
      <c r="A11" s="79" t="str">
        <f>'Data shares'!B6</f>
        <v>Infrastructure</v>
      </c>
      <c r="B11" s="79" t="str">
        <f>'Data shares'!C6</f>
        <v>ADANIENT</v>
      </c>
      <c r="C11" s="4">
        <f>VLOOKUP($B11,'Data shares'!$C:$FB,7)</f>
        <v>2446.1</v>
      </c>
      <c r="D11" s="82">
        <f>VLOOKUP($B11,'Data shares'!$C:$FB,98)</f>
        <v>31783122</v>
      </c>
      <c r="E11" s="165">
        <f>VLOOKUP(B11,'Snapshot (Volume)'!$A$7:$G$168,7,0)</f>
        <v>30969216</v>
      </c>
      <c r="F11" s="165">
        <f t="shared" si="2"/>
        <v>813906</v>
      </c>
      <c r="G11" s="166">
        <f t="shared" si="3"/>
        <v>2.6281130268199233E-2</v>
      </c>
      <c r="H11" s="165">
        <f>VLOOKUP($B11,'Data shares'!$C:$FB,66)</f>
        <v>50364528</v>
      </c>
      <c r="I11" s="165">
        <f>VLOOKUP($B11,'Data shares'!$C:$FB,67)</f>
        <v>22661751</v>
      </c>
      <c r="J11" s="81">
        <f t="shared" si="4"/>
        <v>122.24464473199799</v>
      </c>
      <c r="K11" s="5">
        <f>VLOOKUP($B11,'Data Vlaue (Cr)'!$C:$FB,99)</f>
        <v>7790</v>
      </c>
      <c r="L11" s="81">
        <f>VLOOKUP(B11,'OI(Value)'!$A$7:$C$209,3,0)</f>
        <v>199</v>
      </c>
      <c r="M11" s="33">
        <f t="shared" si="0"/>
        <v>2.5545571245186136</v>
      </c>
      <c r="N11" s="5">
        <f>VLOOKUP($B11,'Data Vlaue (Cr)'!$C:$FB,67)</f>
        <v>12344</v>
      </c>
      <c r="O11" s="5">
        <f>VLOOKUP($B11,'Data Vlaue (Cr)'!$C:$FB,68)</f>
        <v>5554</v>
      </c>
      <c r="P11" s="5">
        <f t="shared" si="1"/>
        <v>55.006480881399867</v>
      </c>
      <c r="Q11" s="1"/>
      <c r="R11" s="1"/>
      <c r="S11" s="1"/>
      <c r="T11" s="1"/>
      <c r="U11" s="1"/>
      <c r="V11" s="1"/>
      <c r="W11" s="1"/>
      <c r="X11" s="1"/>
      <c r="Y11" s="1"/>
      <c r="Z11" s="1"/>
      <c r="AA11" s="1"/>
      <c r="AB11" s="1"/>
      <c r="AC11" s="1"/>
      <c r="AD11" s="1"/>
      <c r="AE11" s="1"/>
      <c r="AF11" s="1"/>
      <c r="AG11" s="1"/>
      <c r="AH11" s="1"/>
      <c r="AI11" s="1"/>
      <c r="AJ11" s="1"/>
    </row>
    <row r="12" spans="1:36" x14ac:dyDescent="0.25">
      <c r="A12" s="79" t="str">
        <f>'Data shares'!B7</f>
        <v>Power</v>
      </c>
      <c r="B12" s="79" t="str">
        <f>'Data shares'!C7</f>
        <v>ADANIGREEN</v>
      </c>
      <c r="C12" s="4">
        <f>VLOOKUP($B12,'Data shares'!$C:$FB,7)</f>
        <v>1060</v>
      </c>
      <c r="D12" s="82">
        <f>VLOOKUP($B12,'Data shares'!$C:$FB,98)</f>
        <v>52626000</v>
      </c>
      <c r="E12" s="165">
        <f>VLOOKUP(B12,'Snapshot (Volume)'!$A$7:$G$168,7,0)</f>
        <v>52203000</v>
      </c>
      <c r="F12" s="165">
        <f t="shared" si="2"/>
        <v>423000</v>
      </c>
      <c r="G12" s="166">
        <f t="shared" si="3"/>
        <v>8.1029825872076314E-3</v>
      </c>
      <c r="H12" s="165">
        <f>VLOOKUP($B12,'Data shares'!$C:$FB,66)</f>
        <v>43024200</v>
      </c>
      <c r="I12" s="165">
        <f>VLOOKUP($B12,'Data shares'!$C:$FB,67)</f>
        <v>67338000</v>
      </c>
      <c r="J12" s="81">
        <f t="shared" si="4"/>
        <v>-36.10710148801568</v>
      </c>
      <c r="K12" s="5">
        <f>VLOOKUP($B12,'Data Vlaue (Cr)'!$C:$FB,99)</f>
        <v>5570</v>
      </c>
      <c r="L12" s="81">
        <f>VLOOKUP(B12,'OI(Value)'!$A$7:$C$209,3,0)</f>
        <v>45</v>
      </c>
      <c r="M12" s="33">
        <f t="shared" si="0"/>
        <v>0.80789946140035895</v>
      </c>
      <c r="N12" s="5">
        <f>VLOOKUP($B12,'Data Vlaue (Cr)'!$C:$FB,67)</f>
        <v>4554</v>
      </c>
      <c r="O12" s="5">
        <f>VLOOKUP($B12,'Data Vlaue (Cr)'!$C:$FB,68)</f>
        <v>7127</v>
      </c>
      <c r="P12" s="5">
        <f t="shared" si="1"/>
        <v>-56.499780412823888</v>
      </c>
      <c r="Q12" s="1"/>
      <c r="R12" s="1"/>
      <c r="S12" s="1"/>
      <c r="T12" s="1"/>
      <c r="U12" s="1"/>
      <c r="V12" s="1"/>
      <c r="W12" s="1"/>
      <c r="X12" s="1"/>
      <c r="Y12" s="1"/>
      <c r="Z12" s="1"/>
      <c r="AA12" s="1"/>
      <c r="AB12" s="1"/>
      <c r="AC12" s="1"/>
      <c r="AD12" s="1"/>
      <c r="AE12" s="1"/>
      <c r="AF12" s="1"/>
      <c r="AG12" s="1"/>
      <c r="AH12" s="1"/>
      <c r="AI12" s="1"/>
      <c r="AJ12" s="1"/>
    </row>
    <row r="13" spans="1:36" x14ac:dyDescent="0.25">
      <c r="A13" s="79" t="str">
        <f>'Data shares'!B8</f>
        <v>Infrastructure</v>
      </c>
      <c r="B13" s="79" t="str">
        <f>'Data shares'!C8</f>
        <v>ADANIPORTS</v>
      </c>
      <c r="C13" s="4">
        <f>VLOOKUP($B13,'Data shares'!$C:$FB,7)</f>
        <v>1491.1</v>
      </c>
      <c r="D13" s="82">
        <f>VLOOKUP($B13,'Data shares'!$C:$FB,98)</f>
        <v>43076325</v>
      </c>
      <c r="E13" s="165">
        <f>VLOOKUP(B13,'Snapshot (Volume)'!$A$7:$G$168,7,0)</f>
        <v>43498125</v>
      </c>
      <c r="F13" s="165">
        <f t="shared" si="2"/>
        <v>-421800</v>
      </c>
      <c r="G13" s="166">
        <f t="shared" si="3"/>
        <v>-9.696969696969697E-3</v>
      </c>
      <c r="H13" s="165">
        <f>VLOOKUP($B13,'Data shares'!$C:$FB,66)</f>
        <v>41272275</v>
      </c>
      <c r="I13" s="165">
        <f>VLOOKUP($B13,'Data shares'!$C:$FB,67)</f>
        <v>29765875</v>
      </c>
      <c r="J13" s="81">
        <f t="shared" si="4"/>
        <v>38.656347243277743</v>
      </c>
      <c r="K13" s="5">
        <f>VLOOKUP($B13,'Data Vlaue (Cr)'!$C:$FB,99)</f>
        <v>6429</v>
      </c>
      <c r="L13" s="81">
        <f>VLOOKUP(B13,'OI(Value)'!$A$7:$C$209,3,0)</f>
        <v>-63</v>
      </c>
      <c r="M13" s="33">
        <f t="shared" si="0"/>
        <v>-0.97993467102193199</v>
      </c>
      <c r="N13" s="5">
        <f>VLOOKUP($B13,'Data Vlaue (Cr)'!$C:$FB,67)</f>
        <v>6159</v>
      </c>
      <c r="O13" s="5">
        <f>VLOOKUP($B13,'Data Vlaue (Cr)'!$C:$FB,68)</f>
        <v>4442</v>
      </c>
      <c r="P13" s="5">
        <f t="shared" si="1"/>
        <v>27.877902256859883</v>
      </c>
      <c r="Q13" s="1"/>
      <c r="R13" s="1"/>
      <c r="S13" s="1"/>
      <c r="T13" s="1"/>
      <c r="U13" s="1"/>
      <c r="V13" s="1"/>
      <c r="W13" s="1"/>
      <c r="X13" s="1"/>
      <c r="Y13" s="1"/>
      <c r="Z13" s="1"/>
      <c r="AA13" s="1"/>
      <c r="AB13" s="1"/>
      <c r="AC13" s="1"/>
      <c r="AD13" s="1"/>
      <c r="AE13" s="1"/>
      <c r="AF13" s="1"/>
      <c r="AG13" s="1"/>
      <c r="AH13" s="1"/>
      <c r="AI13" s="1"/>
      <c r="AJ13" s="1"/>
    </row>
    <row r="14" spans="1:36" x14ac:dyDescent="0.25">
      <c r="A14" s="79" t="str">
        <f>'Data shares'!B9</f>
        <v>Pharma</v>
      </c>
      <c r="B14" s="79" t="str">
        <f>'Data shares'!C9</f>
        <v>ALKEM</v>
      </c>
      <c r="C14" s="4">
        <f>VLOOKUP($B14,'Data shares'!$C:$FB,7)</f>
        <v>5700</v>
      </c>
      <c r="D14" s="82">
        <f>VLOOKUP($B14,'Data shares'!$C:$FB,98)</f>
        <v>2756625</v>
      </c>
      <c r="E14" s="165">
        <f>VLOOKUP(B14,'Snapshot (Volume)'!$A$7:$G$168,7,0)</f>
        <v>2697250</v>
      </c>
      <c r="F14" s="165">
        <f t="shared" si="2"/>
        <v>59375</v>
      </c>
      <c r="G14" s="166">
        <f t="shared" si="3"/>
        <v>2.2013161553434052E-2</v>
      </c>
      <c r="H14" s="165">
        <f>VLOOKUP($B14,'Data shares'!$C:$FB,66)</f>
        <v>1649000</v>
      </c>
      <c r="I14" s="165">
        <f>VLOOKUP($B14,'Data shares'!$C:$FB,67)</f>
        <v>1052500</v>
      </c>
      <c r="J14" s="81">
        <f t="shared" si="4"/>
        <v>56.674584323040378</v>
      </c>
      <c r="K14" s="5">
        <f>VLOOKUP($B14,'Data Vlaue (Cr)'!$C:$FB,99)</f>
        <v>1569</v>
      </c>
      <c r="L14" s="81">
        <f>VLOOKUP(B14,'OI(Value)'!$A$7:$C$209,3,0)</f>
        <v>34</v>
      </c>
      <c r="M14" s="33">
        <f t="shared" si="0"/>
        <v>2.1669853409815167</v>
      </c>
      <c r="N14" s="5">
        <f>VLOOKUP($B14,'Data Vlaue (Cr)'!$C:$FB,67)</f>
        <v>939</v>
      </c>
      <c r="O14" s="5">
        <f>VLOOKUP($B14,'Data Vlaue (Cr)'!$C:$FB,68)</f>
        <v>599</v>
      </c>
      <c r="P14" s="5">
        <f t="shared" si="1"/>
        <v>36.208732694355703</v>
      </c>
      <c r="Q14" s="1"/>
      <c r="R14" s="1"/>
      <c r="S14" s="1"/>
      <c r="T14" s="1"/>
      <c r="U14" s="1"/>
      <c r="V14" s="1"/>
      <c r="W14" s="1"/>
      <c r="X14" s="1"/>
      <c r="Y14" s="1"/>
      <c r="Z14" s="1"/>
      <c r="AA14" s="1"/>
      <c r="AB14" s="1"/>
      <c r="AC14" s="1"/>
      <c r="AD14" s="1"/>
      <c r="AE14" s="1"/>
      <c r="AF14" s="1"/>
      <c r="AG14" s="1"/>
      <c r="AH14" s="1"/>
      <c r="AI14" s="1"/>
      <c r="AJ14" s="1"/>
    </row>
    <row r="15" spans="1:36" x14ac:dyDescent="0.25">
      <c r="A15" s="79" t="str">
        <f>'Data shares'!B10</f>
        <v>Capital_Goods</v>
      </c>
      <c r="B15" s="79" t="str">
        <f>'Data shares'!C10</f>
        <v>AMBER</v>
      </c>
      <c r="C15" s="4">
        <f>VLOOKUP($B15,'Data shares'!$C:$FB,7)</f>
        <v>7256.5</v>
      </c>
      <c r="D15" s="82">
        <f>VLOOKUP($B15,'Data shares'!$C:$FB,98)</f>
        <v>4085200</v>
      </c>
      <c r="E15" s="165">
        <f>VLOOKUP(B15,'Snapshot (Volume)'!$A$7:$G$168,7,0)</f>
        <v>4458300</v>
      </c>
      <c r="F15" s="165">
        <f t="shared" si="2"/>
        <v>-373100</v>
      </c>
      <c r="G15" s="166">
        <f t="shared" si="3"/>
        <v>-8.3686607002669181E-2</v>
      </c>
      <c r="H15" s="165">
        <f>VLOOKUP($B15,'Data shares'!$C:$FB,66)</f>
        <v>4636000</v>
      </c>
      <c r="I15" s="165">
        <f>VLOOKUP($B15,'Data shares'!$C:$FB,67)</f>
        <v>2621700</v>
      </c>
      <c r="J15" s="81">
        <f t="shared" si="4"/>
        <v>76.831826677346754</v>
      </c>
      <c r="K15" s="5">
        <f>VLOOKUP($B15,'Data Vlaue (Cr)'!$C:$FB,99)</f>
        <v>2970</v>
      </c>
      <c r="L15" s="81">
        <f>VLOOKUP(B15,'OI(Value)'!$A$7:$C$209,3,0)</f>
        <v>-271</v>
      </c>
      <c r="M15" s="33">
        <f t="shared" si="0"/>
        <v>-9.1245791245791246</v>
      </c>
      <c r="N15" s="5">
        <f>VLOOKUP($B15,'Data Vlaue (Cr)'!$C:$FB,67)</f>
        <v>3371</v>
      </c>
      <c r="O15" s="5">
        <f>VLOOKUP($B15,'Data Vlaue (Cr)'!$C:$FB,68)</f>
        <v>1906</v>
      </c>
      <c r="P15" s="5">
        <f t="shared" si="1"/>
        <v>43.458914268762975</v>
      </c>
      <c r="Q15" s="1"/>
      <c r="R15" s="1"/>
      <c r="S15" s="1"/>
      <c r="T15" s="1"/>
      <c r="U15" s="1"/>
      <c r="V15" s="1"/>
      <c r="W15" s="1"/>
      <c r="X15" s="1"/>
      <c r="Y15" s="1"/>
      <c r="Z15" s="1"/>
      <c r="AA15" s="1"/>
      <c r="AB15" s="1"/>
      <c r="AC15" s="1"/>
      <c r="AD15" s="1"/>
      <c r="AE15" s="1"/>
      <c r="AF15" s="1"/>
      <c r="AG15" s="1"/>
      <c r="AH15" s="1"/>
      <c r="AI15" s="1"/>
      <c r="AJ15" s="1"/>
    </row>
    <row r="16" spans="1:36" x14ac:dyDescent="0.25">
      <c r="A16" s="79" t="str">
        <f>'Data shares'!B11</f>
        <v>Cement</v>
      </c>
      <c r="B16" s="79" t="str">
        <f>'Data shares'!C11</f>
        <v>AMBUJACEM</v>
      </c>
      <c r="C16" s="4">
        <f>VLOOKUP($B16,'Data shares'!$C:$FB,7)</f>
        <v>555.75</v>
      </c>
      <c r="D16" s="82">
        <f>VLOOKUP($B16,'Data shares'!$C:$FB,98)</f>
        <v>77680050</v>
      </c>
      <c r="E16" s="165">
        <f>VLOOKUP(B16,'Snapshot (Volume)'!$A$7:$G$168,7,0)</f>
        <v>78087450</v>
      </c>
      <c r="F16" s="165">
        <f t="shared" si="2"/>
        <v>-407400</v>
      </c>
      <c r="G16" s="166">
        <f t="shared" si="3"/>
        <v>-5.2172276082776423E-3</v>
      </c>
      <c r="H16" s="165">
        <f>VLOOKUP($B16,'Data shares'!$C:$FB,66)</f>
        <v>44668050</v>
      </c>
      <c r="I16" s="165">
        <f>VLOOKUP($B16,'Data shares'!$C:$FB,67)</f>
        <v>25763850</v>
      </c>
      <c r="J16" s="81">
        <f t="shared" si="4"/>
        <v>73.374903207401061</v>
      </c>
      <c r="K16" s="5">
        <f>VLOOKUP($B16,'Data Vlaue (Cr)'!$C:$FB,99)</f>
        <v>4317</v>
      </c>
      <c r="L16" s="81">
        <f>VLOOKUP(B16,'OI(Value)'!$A$7:$C$209,3,0)</f>
        <v>-23</v>
      </c>
      <c r="M16" s="33">
        <f t="shared" si="0"/>
        <v>-0.53277739170720406</v>
      </c>
      <c r="N16" s="5">
        <f>VLOOKUP($B16,'Data Vlaue (Cr)'!$C:$FB,67)</f>
        <v>2482</v>
      </c>
      <c r="O16" s="5">
        <f>VLOOKUP($B16,'Data Vlaue (Cr)'!$C:$FB,68)</f>
        <v>1432</v>
      </c>
      <c r="P16" s="5">
        <f t="shared" si="1"/>
        <v>42.304593070104758</v>
      </c>
      <c r="Q16" s="1"/>
      <c r="R16" s="1"/>
      <c r="S16" s="1"/>
      <c r="T16" s="1"/>
      <c r="U16" s="1"/>
      <c r="V16" s="1"/>
      <c r="W16" s="1"/>
      <c r="X16" s="1"/>
      <c r="Y16" s="1"/>
      <c r="Z16" s="1"/>
      <c r="AA16" s="1"/>
      <c r="AB16" s="1"/>
      <c r="AC16" s="1"/>
      <c r="AD16" s="1"/>
      <c r="AE16" s="1"/>
      <c r="AF16" s="1"/>
      <c r="AG16" s="1"/>
      <c r="AH16" s="1"/>
      <c r="AI16" s="1"/>
      <c r="AJ16" s="1"/>
    </row>
    <row r="17" spans="1:36" x14ac:dyDescent="0.25">
      <c r="A17" s="79" t="str">
        <f>'Data shares'!B12</f>
        <v>Finance</v>
      </c>
      <c r="B17" s="79" t="str">
        <f>'Data shares'!C12</f>
        <v>ANGELONE</v>
      </c>
      <c r="C17" s="4">
        <f>VLOOKUP($B17,'Data shares'!$C:$FB,7)</f>
        <v>2814.3</v>
      </c>
      <c r="D17" s="82">
        <f>VLOOKUP($B17,'Data shares'!$C:$FB,98)</f>
        <v>9034250</v>
      </c>
      <c r="E17" s="165">
        <f>VLOOKUP(B17,'Snapshot (Volume)'!$A$7:$G$168,7,0)</f>
        <v>9074750</v>
      </c>
      <c r="F17" s="165">
        <f t="shared" si="2"/>
        <v>-40500</v>
      </c>
      <c r="G17" s="166">
        <f t="shared" si="3"/>
        <v>-4.4629328631642746E-3</v>
      </c>
      <c r="H17" s="165">
        <f>VLOOKUP($B17,'Data shares'!$C:$FB,66)</f>
        <v>17311000</v>
      </c>
      <c r="I17" s="165">
        <f>VLOOKUP($B17,'Data shares'!$C:$FB,67)</f>
        <v>12190000</v>
      </c>
      <c r="J17" s="81">
        <f t="shared" si="4"/>
        <v>42.009844134536507</v>
      </c>
      <c r="K17" s="5">
        <f>VLOOKUP($B17,'Data Vlaue (Cr)'!$C:$FB,99)</f>
        <v>2540</v>
      </c>
      <c r="L17" s="81">
        <f>VLOOKUP(B17,'OI(Value)'!$A$7:$C$209,3,0)</f>
        <v>-11</v>
      </c>
      <c r="M17" s="33">
        <f t="shared" si="0"/>
        <v>-0.43307086614173229</v>
      </c>
      <c r="N17" s="5">
        <f>VLOOKUP($B17,'Data Vlaue (Cr)'!$C:$FB,67)</f>
        <v>4867</v>
      </c>
      <c r="O17" s="5">
        <f>VLOOKUP($B17,'Data Vlaue (Cr)'!$C:$FB,68)</f>
        <v>3427</v>
      </c>
      <c r="P17" s="5">
        <f t="shared" si="1"/>
        <v>29.587014588041917</v>
      </c>
      <c r="Q17" s="1"/>
      <c r="R17" s="1"/>
      <c r="S17" s="1"/>
      <c r="T17" s="1"/>
      <c r="U17" s="1"/>
      <c r="V17" s="1"/>
      <c r="W17" s="1"/>
      <c r="X17" s="1"/>
      <c r="Y17" s="1"/>
      <c r="Z17" s="1"/>
      <c r="AA17" s="1"/>
      <c r="AB17" s="1"/>
      <c r="AC17" s="1"/>
      <c r="AD17" s="1"/>
      <c r="AE17" s="1"/>
      <c r="AF17" s="1"/>
      <c r="AG17" s="1"/>
      <c r="AH17" s="1"/>
      <c r="AI17" s="1"/>
      <c r="AJ17" s="1"/>
    </row>
    <row r="18" spans="1:36" x14ac:dyDescent="0.25">
      <c r="A18" s="79" t="str">
        <f>'Data shares'!B13</f>
        <v>Metals</v>
      </c>
      <c r="B18" s="79" t="str">
        <f>'Data shares'!C13</f>
        <v>APLAPOLLO</v>
      </c>
      <c r="C18" s="4">
        <f>VLOOKUP($B18,'Data shares'!$C:$FB,7)</f>
        <v>1721.2</v>
      </c>
      <c r="D18" s="82">
        <f>VLOOKUP($B18,'Data shares'!$C:$FB,98)</f>
        <v>11475100</v>
      </c>
      <c r="E18" s="165">
        <f>VLOOKUP(B18,'Snapshot (Volume)'!$A$7:$G$168,7,0)</f>
        <v>11135950</v>
      </c>
      <c r="F18" s="165">
        <f t="shared" si="2"/>
        <v>339150</v>
      </c>
      <c r="G18" s="166">
        <f t="shared" si="3"/>
        <v>3.0455416915485433E-2</v>
      </c>
      <c r="H18" s="165">
        <f>VLOOKUP($B18,'Data shares'!$C:$FB,66)</f>
        <v>8299900</v>
      </c>
      <c r="I18" s="165">
        <f>VLOOKUP($B18,'Data shares'!$C:$FB,67)</f>
        <v>5110700</v>
      </c>
      <c r="J18" s="81">
        <f t="shared" si="4"/>
        <v>62.402410628681004</v>
      </c>
      <c r="K18" s="5">
        <f>VLOOKUP($B18,'Data Vlaue (Cr)'!$C:$FB,99)</f>
        <v>1976</v>
      </c>
      <c r="L18" s="81">
        <f>VLOOKUP(B18,'OI(Value)'!$A$7:$C$209,3,0)</f>
        <v>58</v>
      </c>
      <c r="M18" s="33">
        <f t="shared" si="0"/>
        <v>2.9352226720647772</v>
      </c>
      <c r="N18" s="5">
        <f>VLOOKUP($B18,'Data Vlaue (Cr)'!$C:$FB,67)</f>
        <v>1429</v>
      </c>
      <c r="O18" s="5">
        <f>VLOOKUP($B18,'Data Vlaue (Cr)'!$C:$FB,68)</f>
        <v>880</v>
      </c>
      <c r="P18" s="5">
        <f t="shared" si="1"/>
        <v>38.418474457662697</v>
      </c>
      <c r="Q18" s="1"/>
      <c r="R18" s="1"/>
      <c r="S18" s="1"/>
      <c r="T18" s="1"/>
      <c r="U18" s="1"/>
      <c r="V18" s="1"/>
      <c r="W18" s="1"/>
      <c r="X18" s="1"/>
      <c r="Y18" s="1"/>
      <c r="Z18" s="1"/>
      <c r="AA18" s="1"/>
      <c r="AB18" s="1"/>
      <c r="AC18" s="1"/>
      <c r="AD18" s="1"/>
      <c r="AE18" s="1"/>
      <c r="AF18" s="1"/>
      <c r="AG18" s="1"/>
      <c r="AH18" s="1"/>
      <c r="AI18" s="1"/>
      <c r="AJ18" s="1"/>
    </row>
    <row r="19" spans="1:36" x14ac:dyDescent="0.25">
      <c r="A19" s="79" t="str">
        <f>'Data shares'!B14</f>
        <v>Pharma</v>
      </c>
      <c r="B19" s="79" t="str">
        <f>'Data shares'!C14</f>
        <v>APOLLOHOSP</v>
      </c>
      <c r="C19" s="4">
        <f>VLOOKUP($B19,'Data shares'!$C:$FB,7)</f>
        <v>7423</v>
      </c>
      <c r="D19" s="82">
        <f>VLOOKUP($B19,'Data shares'!$C:$FB,98)</f>
        <v>6108000</v>
      </c>
      <c r="E19" s="165">
        <f>VLOOKUP(B19,'Snapshot (Volume)'!$A$7:$G$168,7,0)</f>
        <v>6263625</v>
      </c>
      <c r="F19" s="165">
        <f t="shared" si="2"/>
        <v>-155625</v>
      </c>
      <c r="G19" s="166">
        <f t="shared" si="3"/>
        <v>-2.4845836077351375E-2</v>
      </c>
      <c r="H19" s="165">
        <f>VLOOKUP($B19,'Data shares'!$C:$FB,66)</f>
        <v>4865625</v>
      </c>
      <c r="I19" s="165">
        <f>VLOOKUP($B19,'Data shares'!$C:$FB,67)</f>
        <v>7328625</v>
      </c>
      <c r="J19" s="81">
        <f t="shared" si="4"/>
        <v>-33.607941462416214</v>
      </c>
      <c r="K19" s="5">
        <f>VLOOKUP($B19,'Data Vlaue (Cr)'!$C:$FB,99)</f>
        <v>4540</v>
      </c>
      <c r="L19" s="81">
        <f>VLOOKUP(B19,'OI(Value)'!$A$7:$C$209,3,0)</f>
        <v>-116</v>
      </c>
      <c r="M19" s="33">
        <f t="shared" si="0"/>
        <v>-2.5550660792951541</v>
      </c>
      <c r="N19" s="5">
        <f>VLOOKUP($B19,'Data Vlaue (Cr)'!$C:$FB,67)</f>
        <v>3617</v>
      </c>
      <c r="O19" s="5">
        <f>VLOOKUP($B19,'Data Vlaue (Cr)'!$C:$FB,68)</f>
        <v>5448</v>
      </c>
      <c r="P19" s="5">
        <f t="shared" si="1"/>
        <v>-50.622062482720487</v>
      </c>
      <c r="Q19" s="1"/>
      <c r="R19" s="1"/>
      <c r="S19" s="1"/>
      <c r="T19" s="1"/>
      <c r="U19" s="1"/>
      <c r="V19" s="1"/>
      <c r="W19" s="1"/>
      <c r="X19" s="1"/>
      <c r="Y19" s="1"/>
      <c r="Z19" s="1"/>
      <c r="AA19" s="1"/>
      <c r="AB19" s="1"/>
      <c r="AC19" s="1"/>
      <c r="AD19" s="1"/>
      <c r="AE19" s="1"/>
      <c r="AF19" s="1"/>
      <c r="AG19" s="1"/>
      <c r="AH19" s="1"/>
      <c r="AI19" s="1"/>
      <c r="AJ19" s="1"/>
    </row>
    <row r="20" spans="1:36" x14ac:dyDescent="0.25">
      <c r="A20" s="79" t="str">
        <f>'Data shares'!B15</f>
        <v>Automobile</v>
      </c>
      <c r="B20" s="79" t="str">
        <f>'Data shares'!C15</f>
        <v>ASHOKLEY</v>
      </c>
      <c r="C20" s="4">
        <f>VLOOKUP($B20,'Data shares'!$C:$FB,7)</f>
        <v>146.24</v>
      </c>
      <c r="D20" s="82">
        <f>VLOOKUP($B20,'Data shares'!$C:$FB,98)</f>
        <v>251490000</v>
      </c>
      <c r="E20" s="165">
        <f>VLOOKUP(B20,'Snapshot (Volume)'!$A$7:$G$168,7,0)</f>
        <v>282980000</v>
      </c>
      <c r="F20" s="165">
        <f t="shared" si="2"/>
        <v>-31490000</v>
      </c>
      <c r="G20" s="166">
        <f t="shared" si="3"/>
        <v>-0.11127994911301152</v>
      </c>
      <c r="H20" s="165">
        <f>VLOOKUP($B20,'Data shares'!$C:$FB,66)</f>
        <v>250760000</v>
      </c>
      <c r="I20" s="165">
        <f>VLOOKUP($B20,'Data shares'!$C:$FB,67)</f>
        <v>147800000</v>
      </c>
      <c r="J20" s="81">
        <f t="shared" si="4"/>
        <v>69.661705006765899</v>
      </c>
      <c r="K20" s="5">
        <f>VLOOKUP($B20,'Data Vlaue (Cr)'!$C:$FB,99)</f>
        <v>3688</v>
      </c>
      <c r="L20" s="81">
        <f>VLOOKUP(B20,'OI(Value)'!$A$7:$C$209,3,0)</f>
        <v>-462</v>
      </c>
      <c r="M20" s="33">
        <f t="shared" si="0"/>
        <v>-12.527114967462039</v>
      </c>
      <c r="N20" s="5">
        <f>VLOOKUP($B20,'Data Vlaue (Cr)'!$C:$FB,67)</f>
        <v>3678</v>
      </c>
      <c r="O20" s="5">
        <f>VLOOKUP($B20,'Data Vlaue (Cr)'!$C:$FB,68)</f>
        <v>2168</v>
      </c>
      <c r="P20" s="5">
        <f t="shared" si="1"/>
        <v>41.054921152800432</v>
      </c>
      <c r="Q20" s="1"/>
      <c r="R20" s="1"/>
      <c r="S20" s="1"/>
      <c r="T20" s="1"/>
      <c r="U20" s="1"/>
      <c r="V20" s="1"/>
      <c r="W20" s="1"/>
      <c r="X20" s="1"/>
      <c r="Y20" s="1"/>
      <c r="Z20" s="1"/>
      <c r="AA20" s="1"/>
      <c r="AB20" s="1"/>
      <c r="AC20" s="1"/>
      <c r="AD20" s="1"/>
      <c r="AE20" s="1"/>
      <c r="AF20" s="1"/>
      <c r="AG20" s="1"/>
      <c r="AH20" s="1"/>
      <c r="AI20" s="1"/>
      <c r="AJ20" s="1"/>
    </row>
    <row r="21" spans="1:36" x14ac:dyDescent="0.25">
      <c r="A21" s="79" t="str">
        <f>'Data shares'!B16</f>
        <v>FMCG</v>
      </c>
      <c r="B21" s="79" t="str">
        <f>'Data shares'!C16</f>
        <v>ASIANPAINT</v>
      </c>
      <c r="C21" s="4">
        <f>VLOOKUP($B21,'Data shares'!$C:$FB,7)</f>
        <v>2859.8</v>
      </c>
      <c r="D21" s="82">
        <f>VLOOKUP($B21,'Data shares'!$C:$FB,98)</f>
        <v>33533000</v>
      </c>
      <c r="E21" s="165">
        <f>VLOOKUP(B21,'Snapshot (Volume)'!$A$7:$G$168,7,0)</f>
        <v>36836000</v>
      </c>
      <c r="F21" s="165">
        <f t="shared" si="2"/>
        <v>-3303000</v>
      </c>
      <c r="G21" s="166">
        <f t="shared" si="3"/>
        <v>-8.9667716364426109E-2</v>
      </c>
      <c r="H21" s="165">
        <f>VLOOKUP($B21,'Data shares'!$C:$FB,66)</f>
        <v>39493000</v>
      </c>
      <c r="I21" s="165">
        <f>VLOOKUP($B21,'Data shares'!$C:$FB,67)</f>
        <v>25545000</v>
      </c>
      <c r="J21" s="81">
        <f t="shared" si="4"/>
        <v>54.601683303973381</v>
      </c>
      <c r="K21" s="5">
        <f>VLOOKUP($B21,'Data Vlaue (Cr)'!$C:$FB,99)</f>
        <v>9590</v>
      </c>
      <c r="L21" s="81">
        <f>VLOOKUP(B21,'OI(Value)'!$A$7:$C$209,3,0)</f>
        <v>-945</v>
      </c>
      <c r="M21" s="33">
        <f t="shared" si="0"/>
        <v>-9.8540145985401466</v>
      </c>
      <c r="N21" s="5">
        <f>VLOOKUP($B21,'Data Vlaue (Cr)'!$C:$FB,67)</f>
        <v>11295</v>
      </c>
      <c r="O21" s="5">
        <f>VLOOKUP($B21,'Data Vlaue (Cr)'!$C:$FB,68)</f>
        <v>7306</v>
      </c>
      <c r="P21" s="5">
        <f t="shared" si="1"/>
        <v>35.316511730854359</v>
      </c>
      <c r="Q21" s="1"/>
      <c r="R21" s="1"/>
      <c r="S21" s="1"/>
      <c r="T21" s="1"/>
      <c r="U21" s="1"/>
      <c r="V21" s="1"/>
      <c r="W21" s="1"/>
      <c r="X21" s="1"/>
      <c r="Y21" s="1"/>
      <c r="Z21" s="1"/>
      <c r="AA21" s="1"/>
      <c r="AB21" s="1"/>
      <c r="AC21" s="1"/>
      <c r="AD21" s="1"/>
      <c r="AE21" s="1"/>
      <c r="AF21" s="1"/>
      <c r="AG21" s="1"/>
      <c r="AH21" s="1"/>
      <c r="AI21" s="1"/>
      <c r="AJ21" s="1"/>
    </row>
    <row r="22" spans="1:36" x14ac:dyDescent="0.25">
      <c r="A22" s="79" t="str">
        <f>'Data shares'!B17</f>
        <v>Capital_Goods</v>
      </c>
      <c r="B22" s="79" t="str">
        <f>'Data shares'!C17</f>
        <v>ASTRAL</v>
      </c>
      <c r="C22" s="4">
        <f>VLOOKUP($B22,'Data shares'!$C:$FB,7)</f>
        <v>1462.4</v>
      </c>
      <c r="D22" s="82">
        <f>VLOOKUP($B22,'Data shares'!$C:$FB,98)</f>
        <v>15899250</v>
      </c>
      <c r="E22" s="165">
        <f>VLOOKUP(B22,'Snapshot (Volume)'!$A$7:$G$168,7,0)</f>
        <v>17546125</v>
      </c>
      <c r="F22" s="165">
        <f t="shared" si="2"/>
        <v>-1646875</v>
      </c>
      <c r="G22" s="166">
        <f t="shared" si="3"/>
        <v>-9.3859755359089261E-2</v>
      </c>
      <c r="H22" s="165">
        <f>VLOOKUP($B22,'Data shares'!$C:$FB,66)</f>
        <v>13968475</v>
      </c>
      <c r="I22" s="165">
        <f>VLOOKUP($B22,'Data shares'!$C:$FB,67)</f>
        <v>10616925</v>
      </c>
      <c r="J22" s="81">
        <f t="shared" si="4"/>
        <v>31.56799167367199</v>
      </c>
      <c r="K22" s="5">
        <f>VLOOKUP($B22,'Data Vlaue (Cr)'!$C:$FB,99)</f>
        <v>2330</v>
      </c>
      <c r="L22" s="81">
        <f>VLOOKUP(B22,'OI(Value)'!$A$7:$C$209,3,0)</f>
        <v>-241</v>
      </c>
      <c r="M22" s="33">
        <f t="shared" si="0"/>
        <v>-10.343347639484978</v>
      </c>
      <c r="N22" s="5">
        <f>VLOOKUP($B22,'Data Vlaue (Cr)'!$C:$FB,67)</f>
        <v>2047</v>
      </c>
      <c r="O22" s="5">
        <f>VLOOKUP($B22,'Data Vlaue (Cr)'!$C:$FB,68)</f>
        <v>1556</v>
      </c>
      <c r="P22" s="5">
        <f t="shared" si="1"/>
        <v>23.986321446018565</v>
      </c>
      <c r="Q22" s="1"/>
      <c r="R22" s="1"/>
      <c r="S22" s="1"/>
      <c r="T22" s="1"/>
      <c r="U22" s="1"/>
      <c r="V22" s="1"/>
      <c r="W22" s="1"/>
      <c r="X22" s="1"/>
      <c r="Y22" s="1"/>
      <c r="Z22" s="1"/>
      <c r="AA22" s="1"/>
      <c r="AB22" s="1"/>
      <c r="AC22" s="1"/>
      <c r="AD22" s="1"/>
      <c r="AE22" s="1"/>
      <c r="AF22" s="1"/>
      <c r="AG22" s="1"/>
      <c r="AH22" s="1"/>
      <c r="AI22" s="1"/>
      <c r="AJ22" s="1"/>
    </row>
    <row r="23" spans="1:36" x14ac:dyDescent="0.25">
      <c r="A23" s="79" t="str">
        <f>'Data shares'!B18</f>
        <v>Banking</v>
      </c>
      <c r="B23" s="79" t="str">
        <f>'Data shares'!C18</f>
        <v>AUBANK</v>
      </c>
      <c r="C23" s="4">
        <f>VLOOKUP($B23,'Data shares'!$C:$FB,7)</f>
        <v>919.3</v>
      </c>
      <c r="D23" s="82">
        <f>VLOOKUP($B23,'Data shares'!$C:$FB,98)</f>
        <v>30119000</v>
      </c>
      <c r="E23" s="165">
        <f>VLOOKUP(B23,'Snapshot (Volume)'!$A$7:$G$168,7,0)</f>
        <v>30594000</v>
      </c>
      <c r="F23" s="165">
        <f t="shared" si="2"/>
        <v>-475000</v>
      </c>
      <c r="G23" s="166">
        <f t="shared" si="3"/>
        <v>-1.552592011505524E-2</v>
      </c>
      <c r="H23" s="165">
        <f>VLOOKUP($B23,'Data shares'!$C:$FB,66)</f>
        <v>23260000</v>
      </c>
      <c r="I23" s="165">
        <f>VLOOKUP($B23,'Data shares'!$C:$FB,67)</f>
        <v>29591000</v>
      </c>
      <c r="J23" s="81">
        <f>(H23-I23)/I23*100</f>
        <v>-21.395018755702747</v>
      </c>
      <c r="K23" s="5">
        <f>VLOOKUP($B23,'Data Vlaue (Cr)'!$C:$FB,99)</f>
        <v>2772</v>
      </c>
      <c r="L23" s="81">
        <f>VLOOKUP(B23,'OI(Value)'!$A$7:$C$209,3,0)</f>
        <v>-44</v>
      </c>
      <c r="M23" s="33">
        <f t="shared" si="0"/>
        <v>-1.5873015873015872</v>
      </c>
      <c r="N23" s="5">
        <f>VLOOKUP($B23,'Data Vlaue (Cr)'!$C:$FB,67)</f>
        <v>2141</v>
      </c>
      <c r="O23" s="5">
        <f>VLOOKUP($B23,'Data Vlaue (Cr)'!$C:$FB,68)</f>
        <v>2723</v>
      </c>
      <c r="P23" s="5">
        <f t="shared" si="1"/>
        <v>-27.183559084539933</v>
      </c>
      <c r="Q23" s="1"/>
      <c r="R23" s="1"/>
      <c r="S23" s="1"/>
      <c r="T23" s="1"/>
      <c r="U23" s="1"/>
      <c r="V23" s="1"/>
      <c r="W23" s="1"/>
      <c r="X23" s="1"/>
      <c r="Y23" s="1"/>
      <c r="Z23" s="1"/>
      <c r="AA23" s="1"/>
      <c r="AB23" s="1"/>
      <c r="AC23" s="1"/>
      <c r="AD23" s="1"/>
      <c r="AE23" s="1"/>
      <c r="AF23" s="1"/>
      <c r="AG23" s="1"/>
      <c r="AH23" s="1"/>
      <c r="AI23" s="1"/>
      <c r="AJ23" s="1"/>
    </row>
    <row r="24" spans="1:36" x14ac:dyDescent="0.25">
      <c r="A24" s="79" t="str">
        <f>'Data shares'!B19</f>
        <v>Pharma</v>
      </c>
      <c r="B24" s="79" t="str">
        <f>'Data shares'!C19</f>
        <v>AUROPHARMA</v>
      </c>
      <c r="C24" s="79">
        <f>VLOOKUP($B24,'Data shares'!$C:$FB,7)</f>
        <v>1207.7</v>
      </c>
      <c r="D24" s="80">
        <f>VLOOKUP($B24,'Data shares'!$C:$FB,98)</f>
        <v>33058850</v>
      </c>
      <c r="E24" s="165">
        <f>VLOOKUP(B24,'Snapshot (Volume)'!$A$7:$G$168,7,0)</f>
        <v>33519750</v>
      </c>
      <c r="F24" s="165">
        <f t="shared" ref="F24:F36" si="5">D24-E24</f>
        <v>-460900</v>
      </c>
      <c r="G24" s="166">
        <f t="shared" ref="G24:G36" si="6">F24/E24</f>
        <v>-1.3750102551480844E-2</v>
      </c>
      <c r="H24" s="165">
        <f>VLOOKUP($B24,'Data shares'!$C:$FB,66)</f>
        <v>30149900</v>
      </c>
      <c r="I24" s="165">
        <f>VLOOKUP($B24,'Data shares'!$C:$FB,67)</f>
        <v>13697200</v>
      </c>
      <c r="J24" s="81">
        <f t="shared" ref="J24:J36" si="7">(H24-I24)/I24*100</f>
        <v>120.11725024092515</v>
      </c>
      <c r="K24" s="81">
        <f>VLOOKUP($B24,'Data Vlaue (Cr)'!$C:$FB,99)</f>
        <v>3996</v>
      </c>
      <c r="L24" s="81">
        <f>VLOOKUP(B24,'OI(Value)'!$A$7:$C$209,3,0)</f>
        <v>-56</v>
      </c>
      <c r="M24" s="81">
        <f t="shared" si="0"/>
        <v>-1.4014014014014013</v>
      </c>
      <c r="N24" s="81">
        <f>VLOOKUP($B24,'Data Vlaue (Cr)'!$C:$FB,67)</f>
        <v>3644</v>
      </c>
      <c r="O24" s="81">
        <f>VLOOKUP($B24,'Data Vlaue (Cr)'!$C:$FB,68)</f>
        <v>1656</v>
      </c>
      <c r="P24" s="81">
        <f t="shared" ref="P24:P36" si="8">(N24-O24)/N24*100</f>
        <v>54.555433589462133</v>
      </c>
      <c r="Q24" s="1"/>
      <c r="R24" s="1"/>
      <c r="S24" s="1"/>
      <c r="T24" s="1"/>
      <c r="U24" s="1"/>
      <c r="V24" s="1"/>
      <c r="W24" s="1"/>
      <c r="X24" s="1"/>
      <c r="Y24" s="1"/>
      <c r="Z24" s="1"/>
      <c r="AA24" s="1"/>
      <c r="AB24" s="1"/>
      <c r="AC24" s="1"/>
      <c r="AD24" s="1"/>
      <c r="AE24" s="1"/>
      <c r="AF24" s="1"/>
      <c r="AG24" s="1"/>
      <c r="AH24" s="1"/>
      <c r="AI24" s="1"/>
      <c r="AJ24" s="1"/>
    </row>
    <row r="25" spans="1:36" x14ac:dyDescent="0.25">
      <c r="A25" s="79" t="str">
        <f>'Data shares'!B20</f>
        <v>Banking</v>
      </c>
      <c r="B25" s="79" t="str">
        <f>'Data shares'!C20</f>
        <v>AXISBANK</v>
      </c>
      <c r="C25" s="4">
        <f>VLOOKUP($B25,'Data shares'!$C:$FB,7)</f>
        <v>1285.2</v>
      </c>
      <c r="D25" s="82">
        <f>VLOOKUP($B25,'Data shares'!$C:$FB,98)</f>
        <v>107127500</v>
      </c>
      <c r="E25" s="165">
        <f>VLOOKUP(B25,'Snapshot (Volume)'!$A$7:$G$168,7,0)</f>
        <v>108760000</v>
      </c>
      <c r="F25" s="165">
        <f t="shared" si="5"/>
        <v>-1632500</v>
      </c>
      <c r="G25" s="166">
        <f t="shared" si="6"/>
        <v>-1.5010114012504598E-2</v>
      </c>
      <c r="H25" s="165">
        <f>VLOOKUP($B25,'Data shares'!$C:$FB,66)</f>
        <v>186382500</v>
      </c>
      <c r="I25" s="165">
        <f>VLOOKUP($B25,'Data shares'!$C:$FB,67)</f>
        <v>85191875</v>
      </c>
      <c r="J25" s="81">
        <f t="shared" si="7"/>
        <v>118.77966648814808</v>
      </c>
      <c r="K25" s="5">
        <f>VLOOKUP($B25,'Data Vlaue (Cr)'!$C:$FB,99)</f>
        <v>13752</v>
      </c>
      <c r="L25" s="81">
        <f>VLOOKUP(B25,'OI(Value)'!$A$7:$C$209,3,0)</f>
        <v>-210</v>
      </c>
      <c r="M25" s="33">
        <f t="shared" si="0"/>
        <v>-1.5270506108202444</v>
      </c>
      <c r="N25" s="5">
        <f>VLOOKUP($B25,'Data Vlaue (Cr)'!$C:$FB,67)</f>
        <v>23926</v>
      </c>
      <c r="O25" s="5">
        <f>VLOOKUP($B25,'Data Vlaue (Cr)'!$C:$FB,68)</f>
        <v>10936</v>
      </c>
      <c r="P25" s="5">
        <f t="shared" si="8"/>
        <v>54.292401571512158</v>
      </c>
      <c r="Q25" s="1"/>
      <c r="R25" s="1"/>
      <c r="S25" s="1"/>
      <c r="T25" s="1"/>
      <c r="U25" s="1"/>
      <c r="V25" s="1"/>
      <c r="W25" s="1"/>
      <c r="X25" s="1"/>
      <c r="Y25" s="1"/>
      <c r="Z25" s="1"/>
      <c r="AA25" s="1"/>
      <c r="AB25" s="1"/>
      <c r="AC25" s="1"/>
      <c r="AD25" s="1"/>
      <c r="AE25" s="1"/>
      <c r="AF25" s="1"/>
      <c r="AG25" s="1"/>
      <c r="AH25" s="1"/>
      <c r="AI25" s="1"/>
      <c r="AJ25" s="1"/>
    </row>
    <row r="26" spans="1:36" x14ac:dyDescent="0.25">
      <c r="A26" s="79" t="str">
        <f>'Data shares'!B21</f>
        <v>Automobile</v>
      </c>
      <c r="B26" s="79" t="str">
        <f>'Data shares'!C21</f>
        <v>BAJAJ-AUTO</v>
      </c>
      <c r="C26" s="4">
        <f>VLOOKUP($B26,'Data shares'!$C:$FB,7)</f>
        <v>8979.5</v>
      </c>
      <c r="D26" s="82">
        <f>VLOOKUP($B26,'Data shares'!$C:$FB,98)</f>
        <v>6636075</v>
      </c>
      <c r="E26" s="165">
        <f>VLOOKUP(B26,'Snapshot (Volume)'!$A$7:$G$168,7,0)</f>
        <v>7227675</v>
      </c>
      <c r="F26" s="165">
        <f t="shared" si="5"/>
        <v>-591600</v>
      </c>
      <c r="G26" s="166">
        <f t="shared" si="6"/>
        <v>-8.1852047857713578E-2</v>
      </c>
      <c r="H26" s="165">
        <f>VLOOKUP($B26,'Data shares'!$C:$FB,66)</f>
        <v>10457250</v>
      </c>
      <c r="I26" s="165">
        <f>VLOOKUP($B26,'Data shares'!$C:$FB,67)</f>
        <v>4331475</v>
      </c>
      <c r="J26" s="81">
        <f t="shared" si="7"/>
        <v>141.42468789500114</v>
      </c>
      <c r="K26" s="5">
        <f>VLOOKUP($B26,'Data Vlaue (Cr)'!$C:$FB,99)</f>
        <v>5961</v>
      </c>
      <c r="L26" s="81">
        <f>VLOOKUP(B26,'OI(Value)'!$A$7:$C$209,3,0)</f>
        <v>-531</v>
      </c>
      <c r="M26" s="33">
        <f t="shared" si="0"/>
        <v>-8.9079013588324116</v>
      </c>
      <c r="N26" s="5">
        <f>VLOOKUP($B26,'Data Vlaue (Cr)'!$C:$FB,67)</f>
        <v>9393</v>
      </c>
      <c r="O26" s="5">
        <f>VLOOKUP($B26,'Data Vlaue (Cr)'!$C:$FB,68)</f>
        <v>3891</v>
      </c>
      <c r="P26" s="5">
        <f t="shared" si="8"/>
        <v>58.575534972852125</v>
      </c>
      <c r="Q26" s="1"/>
      <c r="R26" s="1"/>
      <c r="S26" s="1"/>
      <c r="T26" s="1"/>
      <c r="U26" s="1"/>
      <c r="V26" s="1"/>
      <c r="W26" s="1"/>
      <c r="X26" s="1"/>
      <c r="Y26" s="1"/>
      <c r="Z26" s="1"/>
      <c r="AA26" s="1"/>
      <c r="AB26" s="1"/>
      <c r="AC26" s="1"/>
      <c r="AD26" s="1"/>
      <c r="AE26" s="1"/>
      <c r="AF26" s="1"/>
      <c r="AG26" s="1"/>
      <c r="AH26" s="1"/>
      <c r="AI26" s="1"/>
      <c r="AJ26" s="1"/>
    </row>
    <row r="27" spans="1:36" x14ac:dyDescent="0.25">
      <c r="A27" s="79" t="str">
        <f>'Data shares'!B22</f>
        <v>Finance</v>
      </c>
      <c r="B27" s="79" t="str">
        <f>'Data shares'!C22</f>
        <v>BAJAJFINSV</v>
      </c>
      <c r="C27" s="4">
        <f>VLOOKUP($B27,'Data shares'!$C:$FB,7)</f>
        <v>2095.6</v>
      </c>
      <c r="D27" s="82">
        <f>VLOOKUP($B27,'Data shares'!$C:$FB,98)</f>
        <v>30717500</v>
      </c>
      <c r="E27" s="165">
        <f>VLOOKUP(B27,'Snapshot (Volume)'!$A$7:$G$168,7,0)</f>
        <v>30862750</v>
      </c>
      <c r="F27" s="165">
        <f t="shared" si="5"/>
        <v>-145250</v>
      </c>
      <c r="G27" s="166">
        <f t="shared" si="6"/>
        <v>-4.7063207264420705E-3</v>
      </c>
      <c r="H27" s="165">
        <f>VLOOKUP($B27,'Data shares'!$C:$FB,66)</f>
        <v>46338250</v>
      </c>
      <c r="I27" s="165">
        <f>VLOOKUP($B27,'Data shares'!$C:$FB,67)</f>
        <v>16991250</v>
      </c>
      <c r="J27" s="81">
        <f t="shared" si="7"/>
        <v>172.71831089531375</v>
      </c>
      <c r="K27" s="5">
        <f>VLOOKUP($B27,'Data Vlaue (Cr)'!$C:$FB,99)</f>
        <v>6449</v>
      </c>
      <c r="L27" s="81">
        <f>VLOOKUP(B27,'OI(Value)'!$A$7:$C$209,3,0)</f>
        <v>-30</v>
      </c>
      <c r="M27" s="33">
        <f t="shared" si="0"/>
        <v>-0.46518840130252753</v>
      </c>
      <c r="N27" s="5">
        <f>VLOOKUP($B27,'Data Vlaue (Cr)'!$C:$FB,67)</f>
        <v>9728</v>
      </c>
      <c r="O27" s="5">
        <f>VLOOKUP($B27,'Data Vlaue (Cr)'!$C:$FB,68)</f>
        <v>3567</v>
      </c>
      <c r="P27" s="5">
        <f t="shared" si="8"/>
        <v>63.332648026315788</v>
      </c>
      <c r="Q27" s="1"/>
      <c r="R27" s="1"/>
      <c r="S27" s="1"/>
      <c r="T27" s="1"/>
      <c r="U27" s="1"/>
      <c r="V27" s="1"/>
      <c r="W27" s="1"/>
      <c r="X27" s="1"/>
      <c r="Y27" s="1"/>
      <c r="Z27" s="1"/>
      <c r="AA27" s="1"/>
      <c r="AB27" s="1"/>
      <c r="AC27" s="1"/>
      <c r="AD27" s="1"/>
      <c r="AE27" s="1"/>
      <c r="AF27" s="1"/>
      <c r="AG27" s="1"/>
      <c r="AH27" s="1"/>
      <c r="AI27" s="1"/>
      <c r="AJ27" s="1"/>
    </row>
    <row r="28" spans="1:36" x14ac:dyDescent="0.25">
      <c r="A28" s="79" t="str">
        <f>'Data shares'!B23</f>
        <v>Finance</v>
      </c>
      <c r="B28" s="79" t="str">
        <f>'Data shares'!C23</f>
        <v>BAJFINANCE</v>
      </c>
      <c r="C28" s="4">
        <f>VLOOKUP($B28,'Data shares'!$C:$FB,7)</f>
        <v>1028.5999999999999</v>
      </c>
      <c r="D28" s="82">
        <f>VLOOKUP($B28,'Data shares'!$C:$FB,98)</f>
        <v>137913750</v>
      </c>
      <c r="E28" s="165">
        <f>VLOOKUP(B28,'Snapshot (Volume)'!$A$7:$G$168,7,0)</f>
        <v>146283750</v>
      </c>
      <c r="F28" s="165">
        <f t="shared" si="5"/>
        <v>-8370000</v>
      </c>
      <c r="G28" s="166">
        <f t="shared" si="6"/>
        <v>-5.7217565177266783E-2</v>
      </c>
      <c r="H28" s="165">
        <f>VLOOKUP($B28,'Data shares'!$C:$FB,66)</f>
        <v>141645750</v>
      </c>
      <c r="I28" s="165">
        <f>VLOOKUP($B28,'Data shares'!$C:$FB,67)</f>
        <v>64251750</v>
      </c>
      <c r="J28" s="81">
        <f t="shared" si="7"/>
        <v>120.45430669203563</v>
      </c>
      <c r="K28" s="5">
        <f>VLOOKUP($B28,'Data Vlaue (Cr)'!$C:$FB,99)</f>
        <v>14206</v>
      </c>
      <c r="L28" s="81">
        <f>VLOOKUP(B28,'OI(Value)'!$A$7:$C$209,3,0)</f>
        <v>-862</v>
      </c>
      <c r="M28" s="33">
        <f t="shared" si="0"/>
        <v>-6.0678586512741095</v>
      </c>
      <c r="N28" s="5">
        <f>VLOOKUP($B28,'Data Vlaue (Cr)'!$C:$FB,67)</f>
        <v>14591</v>
      </c>
      <c r="O28" s="5">
        <f>VLOOKUP($B28,'Data Vlaue (Cr)'!$C:$FB,68)</f>
        <v>6619</v>
      </c>
      <c r="P28" s="5">
        <f t="shared" si="8"/>
        <v>54.636419710780615</v>
      </c>
      <c r="Q28" s="1"/>
      <c r="R28" s="1"/>
      <c r="S28" s="1"/>
      <c r="T28" s="1"/>
      <c r="U28" s="1"/>
      <c r="V28" s="1"/>
      <c r="W28" s="1"/>
      <c r="X28" s="1"/>
      <c r="Y28" s="1"/>
      <c r="Z28" s="1"/>
      <c r="AA28" s="1"/>
      <c r="AB28" s="1"/>
      <c r="AC28" s="1"/>
      <c r="AD28" s="1"/>
      <c r="AE28" s="1"/>
      <c r="AF28" s="1"/>
      <c r="AG28" s="1"/>
      <c r="AH28" s="1"/>
      <c r="AI28" s="1"/>
      <c r="AJ28" s="1"/>
    </row>
    <row r="29" spans="1:36" x14ac:dyDescent="0.25">
      <c r="A29" s="79" t="str">
        <f>'Data shares'!B24</f>
        <v>Banking</v>
      </c>
      <c r="B29" s="79" t="str">
        <f>'Data shares'!C24</f>
        <v>BANDHANBNK</v>
      </c>
      <c r="C29" s="4">
        <f>VLOOKUP($B29,'Data shares'!$C:$FB,7)</f>
        <v>151.22</v>
      </c>
      <c r="D29" s="82">
        <f>VLOOKUP($B29,'Data shares'!$C:$FB,98)</f>
        <v>259405200</v>
      </c>
      <c r="E29" s="165">
        <f>VLOOKUP(B29,'Snapshot (Volume)'!$A$7:$G$168,7,0)</f>
        <v>265374000</v>
      </c>
      <c r="F29" s="165">
        <f t="shared" si="5"/>
        <v>-5968800</v>
      </c>
      <c r="G29" s="166">
        <f t="shared" si="6"/>
        <v>-2.2492030115987247E-2</v>
      </c>
      <c r="H29" s="165">
        <f>VLOOKUP($B29,'Data shares'!$C:$FB,66)</f>
        <v>104983200</v>
      </c>
      <c r="I29" s="165">
        <f>VLOOKUP($B29,'Data shares'!$C:$FB,67)</f>
        <v>86220000</v>
      </c>
      <c r="J29" s="81">
        <f t="shared" si="7"/>
        <v>21.762004175365345</v>
      </c>
      <c r="K29" s="5">
        <f>VLOOKUP($B29,'Data Vlaue (Cr)'!$C:$FB,99)</f>
        <v>3927</v>
      </c>
      <c r="L29" s="81">
        <f>VLOOKUP(B29,'OI(Value)'!$A$7:$C$209,3,0)</f>
        <v>-90</v>
      </c>
      <c r="M29" s="33">
        <f t="shared" si="0"/>
        <v>-2.2918258212375862</v>
      </c>
      <c r="N29" s="5">
        <f>VLOOKUP($B29,'Data Vlaue (Cr)'!$C:$FB,67)</f>
        <v>1589</v>
      </c>
      <c r="O29" s="5">
        <f>VLOOKUP($B29,'Data Vlaue (Cr)'!$C:$FB,68)</f>
        <v>1305</v>
      </c>
      <c r="P29" s="5">
        <f t="shared" si="8"/>
        <v>17.87287602265576</v>
      </c>
      <c r="Q29" s="1"/>
      <c r="R29" s="1"/>
      <c r="S29" s="1"/>
      <c r="T29" s="1"/>
      <c r="U29" s="1"/>
      <c r="V29" s="1"/>
      <c r="W29" s="1"/>
      <c r="X29" s="1"/>
      <c r="Y29" s="1"/>
      <c r="Z29" s="1"/>
      <c r="AA29" s="1"/>
      <c r="AB29" s="1"/>
      <c r="AC29" s="1"/>
      <c r="AD29" s="1"/>
      <c r="AE29" s="1"/>
      <c r="AF29" s="1"/>
      <c r="AG29" s="1"/>
      <c r="AH29" s="1"/>
      <c r="AI29" s="1"/>
      <c r="AJ29" s="1"/>
    </row>
    <row r="30" spans="1:36" x14ac:dyDescent="0.25">
      <c r="A30" s="79" t="str">
        <f>'Data shares'!B25</f>
        <v>Banking</v>
      </c>
      <c r="B30" s="79" t="str">
        <f>'Data shares'!C25</f>
        <v>BANKBARODA</v>
      </c>
      <c r="C30" s="4">
        <f>VLOOKUP($B30,'Data shares'!$C:$FB,7)</f>
        <v>288.25</v>
      </c>
      <c r="D30" s="82">
        <f>VLOOKUP($B30,'Data shares'!$C:$FB,98)</f>
        <v>192078900</v>
      </c>
      <c r="E30" s="165">
        <f>VLOOKUP(B30,'Snapshot (Volume)'!$A$7:$G$168,7,0)</f>
        <v>191359350</v>
      </c>
      <c r="F30" s="165">
        <f t="shared" si="5"/>
        <v>719550</v>
      </c>
      <c r="G30" s="166">
        <f t="shared" si="6"/>
        <v>3.7602029898199381E-3</v>
      </c>
      <c r="H30" s="165">
        <f>VLOOKUP($B30,'Data shares'!$C:$FB,66)</f>
        <v>129586275</v>
      </c>
      <c r="I30" s="165">
        <f>VLOOKUP($B30,'Data shares'!$C:$FB,67)</f>
        <v>199739475</v>
      </c>
      <c r="J30" s="81">
        <f t="shared" si="7"/>
        <v>-35.122351252800684</v>
      </c>
      <c r="K30" s="5">
        <f>VLOOKUP($B30,'Data Vlaue (Cr)'!$C:$FB,99)</f>
        <v>5543</v>
      </c>
      <c r="L30" s="81">
        <f>VLOOKUP(B30,'OI(Value)'!$A$7:$C$209,3,0)</f>
        <v>21</v>
      </c>
      <c r="M30" s="33">
        <f t="shared" si="0"/>
        <v>0.37885621504600397</v>
      </c>
      <c r="N30" s="5">
        <f>VLOOKUP($B30,'Data Vlaue (Cr)'!$C:$FB,67)</f>
        <v>3740</v>
      </c>
      <c r="O30" s="5">
        <f>VLOOKUP($B30,'Data Vlaue (Cr)'!$C:$FB,68)</f>
        <v>5764</v>
      </c>
      <c r="P30" s="5">
        <f t="shared" si="8"/>
        <v>-54.117647058823529</v>
      </c>
      <c r="Q30" s="1"/>
      <c r="R30" s="1"/>
      <c r="S30" s="1"/>
      <c r="T30" s="1"/>
      <c r="U30" s="1"/>
      <c r="V30" s="1"/>
      <c r="W30" s="1"/>
      <c r="X30" s="1"/>
      <c r="Y30" s="1"/>
      <c r="Z30" s="1"/>
      <c r="AA30" s="1"/>
      <c r="AB30" s="1"/>
      <c r="AC30" s="1"/>
      <c r="AD30" s="1"/>
      <c r="AE30" s="1"/>
      <c r="AF30" s="1"/>
      <c r="AG30" s="1"/>
      <c r="AH30" s="1"/>
      <c r="AI30" s="1"/>
      <c r="AJ30" s="1"/>
    </row>
    <row r="31" spans="1:36" x14ac:dyDescent="0.25">
      <c r="A31" s="79" t="str">
        <f>'Data shares'!B26</f>
        <v>Banking</v>
      </c>
      <c r="B31" s="79" t="str">
        <f>'Data shares'!C26</f>
        <v>BANKINDIA</v>
      </c>
      <c r="C31" s="4">
        <f>VLOOKUP($B31,'Data shares'!$C:$FB,7)</f>
        <v>147.72</v>
      </c>
      <c r="D31" s="82">
        <f>VLOOKUP($B31,'Data shares'!$C:$FB,98)</f>
        <v>108253600</v>
      </c>
      <c r="E31" s="165">
        <f>VLOOKUP(B31,'Snapshot (Volume)'!$A$7:$G$168,7,0)</f>
        <v>109293600</v>
      </c>
      <c r="F31" s="165">
        <f t="shared" si="5"/>
        <v>-1040000</v>
      </c>
      <c r="G31" s="166">
        <f t="shared" si="6"/>
        <v>-9.5156532495955844E-3</v>
      </c>
      <c r="H31" s="165">
        <f>VLOOKUP($B31,'Data shares'!$C:$FB,66)</f>
        <v>56836000</v>
      </c>
      <c r="I31" s="165">
        <f>VLOOKUP($B31,'Data shares'!$C:$FB,67)</f>
        <v>54641600</v>
      </c>
      <c r="J31" s="81">
        <f t="shared" si="7"/>
        <v>4.01598781880472</v>
      </c>
      <c r="K31" s="5">
        <f>VLOOKUP($B31,'Data Vlaue (Cr)'!$C:$FB,99)</f>
        <v>1597</v>
      </c>
      <c r="L31" s="81">
        <f>VLOOKUP(B31,'OI(Value)'!$A$7:$C$209,3,0)</f>
        <v>-15</v>
      </c>
      <c r="M31" s="33">
        <f t="shared" si="0"/>
        <v>-0.93926111458985595</v>
      </c>
      <c r="N31" s="5">
        <f>VLOOKUP($B31,'Data Vlaue (Cr)'!$C:$FB,67)</f>
        <v>839</v>
      </c>
      <c r="O31" s="5">
        <f>VLOOKUP($B31,'Data Vlaue (Cr)'!$C:$FB,68)</f>
        <v>806</v>
      </c>
      <c r="P31" s="5">
        <f t="shared" si="8"/>
        <v>3.9332538736591176</v>
      </c>
      <c r="Q31" s="1"/>
      <c r="R31" s="1"/>
      <c r="S31" s="1"/>
      <c r="T31" s="1"/>
      <c r="U31" s="1"/>
      <c r="V31" s="1"/>
      <c r="W31" s="1"/>
      <c r="X31" s="1"/>
      <c r="Y31" s="1"/>
      <c r="Z31" s="1"/>
      <c r="AA31" s="1"/>
      <c r="AB31" s="1"/>
      <c r="AC31" s="1"/>
      <c r="AD31" s="1"/>
      <c r="AE31" s="1"/>
      <c r="AF31" s="1"/>
      <c r="AG31" s="1"/>
      <c r="AH31" s="1"/>
      <c r="AI31" s="1"/>
      <c r="AJ31" s="1"/>
    </row>
    <row r="32" spans="1:36" x14ac:dyDescent="0.25">
      <c r="A32" s="79" t="str">
        <f>'Data shares'!B27</f>
        <v>Index</v>
      </c>
      <c r="B32" s="79" t="str">
        <f>'Data shares'!C27</f>
        <v>BANKNIFTY</v>
      </c>
      <c r="C32" s="4">
        <f>VLOOKUP($B32,'Data shares'!$C:$FB,7)</f>
        <v>59347.7</v>
      </c>
      <c r="D32" s="82">
        <f>VLOOKUP($B32,'Data shares'!$C:$FB,98)</f>
        <v>46506090</v>
      </c>
      <c r="E32" s="165">
        <f>VLOOKUP(B32,'Snapshot (Volume)'!$A$7:$G$168,7,0)</f>
        <v>45019450</v>
      </c>
      <c r="F32" s="165">
        <f t="shared" si="5"/>
        <v>1486640</v>
      </c>
      <c r="G32" s="166">
        <f t="shared" si="6"/>
        <v>3.3022171528083975E-2</v>
      </c>
      <c r="H32" s="165">
        <f>VLOOKUP($B32,'Data shares'!$C:$FB,66)</f>
        <v>178418695</v>
      </c>
      <c r="I32" s="165">
        <f>VLOOKUP($B32,'Data shares'!$C:$FB,67)</f>
        <v>195246555</v>
      </c>
      <c r="J32" s="81">
        <f t="shared" si="7"/>
        <v>-8.6187743491812192</v>
      </c>
      <c r="K32" s="5">
        <f>VLOOKUP($B32,'Data Vlaue (Cr)'!$C:$FB,99)</f>
        <v>276242</v>
      </c>
      <c r="L32" s="81">
        <f>VLOOKUP(B32,'OI(Value)'!$A$7:$C$209,3,0)</f>
        <v>8830</v>
      </c>
      <c r="M32" s="33">
        <f t="shared" si="0"/>
        <v>3.196472658031726</v>
      </c>
      <c r="N32" s="5">
        <f>VLOOKUP($B32,'Data Vlaue (Cr)'!$C:$FB,67)</f>
        <v>1059789</v>
      </c>
      <c r="O32" s="5">
        <f>VLOOKUP($B32,'Data Vlaue (Cr)'!$C:$FB,68)</f>
        <v>1159745</v>
      </c>
      <c r="P32" s="5">
        <f t="shared" si="8"/>
        <v>-9.431688760687269</v>
      </c>
      <c r="Q32" s="1"/>
      <c r="R32" s="1"/>
      <c r="S32" s="1"/>
      <c r="T32" s="1"/>
      <c r="U32" s="1"/>
      <c r="V32" s="1"/>
      <c r="W32" s="1"/>
      <c r="X32" s="1"/>
      <c r="Y32" s="1"/>
      <c r="Z32" s="1"/>
      <c r="AA32" s="1"/>
      <c r="AB32" s="1"/>
      <c r="AC32" s="1"/>
      <c r="AD32" s="1"/>
      <c r="AE32" s="1"/>
      <c r="AF32" s="1"/>
      <c r="AG32" s="1"/>
      <c r="AH32" s="1"/>
      <c r="AI32" s="1"/>
      <c r="AJ32" s="1"/>
    </row>
    <row r="33" spans="1:36" x14ac:dyDescent="0.25">
      <c r="A33" s="79" t="str">
        <f>'Data shares'!B28</f>
        <v>Capital_Goods</v>
      </c>
      <c r="B33" s="79" t="str">
        <f>'Data shares'!C28</f>
        <v>BDL</v>
      </c>
      <c r="C33" s="4">
        <f>VLOOKUP($B33,'Data shares'!$C:$FB,7)</f>
        <v>1557</v>
      </c>
      <c r="D33" s="82">
        <f>VLOOKUP($B33,'Data shares'!$C:$FB,98)</f>
        <v>13693450</v>
      </c>
      <c r="E33" s="165">
        <f>VLOOKUP(B33,'Snapshot (Volume)'!$A$7:$G$168,7,0)</f>
        <v>13939525</v>
      </c>
      <c r="F33" s="165">
        <f t="shared" si="5"/>
        <v>-246075</v>
      </c>
      <c r="G33" s="166">
        <f t="shared" si="6"/>
        <v>-1.7653040544781836E-2</v>
      </c>
      <c r="H33" s="165">
        <f>VLOOKUP($B33,'Data shares'!$C:$FB,66)</f>
        <v>23894325</v>
      </c>
      <c r="I33" s="165">
        <f>VLOOKUP($B33,'Data shares'!$C:$FB,67)</f>
        <v>14909700</v>
      </c>
      <c r="J33" s="81">
        <f t="shared" si="7"/>
        <v>60.260266806173156</v>
      </c>
      <c r="K33" s="5">
        <f>VLOOKUP($B33,'Data Vlaue (Cr)'!$C:$FB,99)</f>
        <v>2132</v>
      </c>
      <c r="L33" s="81">
        <f>VLOOKUP(B33,'OI(Value)'!$A$7:$C$209,3,0)</f>
        <v>-38</v>
      </c>
      <c r="M33" s="33">
        <f t="shared" si="0"/>
        <v>-1.7823639774859286</v>
      </c>
      <c r="N33" s="5">
        <f>VLOOKUP($B33,'Data Vlaue (Cr)'!$C:$FB,67)</f>
        <v>3721</v>
      </c>
      <c r="O33" s="5">
        <f>VLOOKUP($B33,'Data Vlaue (Cr)'!$C:$FB,68)</f>
        <v>2322</v>
      </c>
      <c r="P33" s="5">
        <f t="shared" si="8"/>
        <v>37.59742004837409</v>
      </c>
      <c r="Q33" s="1"/>
      <c r="R33" s="1"/>
      <c r="S33" s="1"/>
      <c r="T33" s="1"/>
      <c r="U33" s="1"/>
      <c r="V33" s="1"/>
      <c r="W33" s="1"/>
      <c r="X33" s="1"/>
      <c r="Y33" s="1"/>
      <c r="Z33" s="1"/>
      <c r="AA33" s="1"/>
      <c r="AB33" s="1"/>
      <c r="AC33" s="1"/>
      <c r="AD33" s="1"/>
      <c r="AE33" s="1"/>
      <c r="AF33" s="1"/>
      <c r="AG33" s="1"/>
      <c r="AH33" s="1"/>
      <c r="AI33" s="1"/>
      <c r="AJ33" s="1"/>
    </row>
    <row r="34" spans="1:36" x14ac:dyDescent="0.25">
      <c r="A34" s="79" t="str">
        <f>'Data shares'!B29</f>
        <v>Capital_Goods</v>
      </c>
      <c r="B34" s="79" t="str">
        <f>'Data shares'!C29</f>
        <v>BEL</v>
      </c>
      <c r="C34" s="4">
        <f>VLOOKUP($B34,'Data shares'!$C:$FB,7)</f>
        <v>423</v>
      </c>
      <c r="D34" s="82">
        <f>VLOOKUP($B34,'Data shares'!$C:$FB,98)</f>
        <v>216743925</v>
      </c>
      <c r="E34" s="165">
        <f>VLOOKUP(B34,'Snapshot (Volume)'!$A$7:$G$168,7,0)</f>
        <v>235043775</v>
      </c>
      <c r="F34" s="165">
        <f t="shared" si="5"/>
        <v>-18299850</v>
      </c>
      <c r="G34" s="166">
        <f t="shared" si="6"/>
        <v>-7.7857199153647014E-2</v>
      </c>
      <c r="H34" s="165">
        <f>VLOOKUP($B34,'Data shares'!$C:$FB,66)</f>
        <v>225004650</v>
      </c>
      <c r="I34" s="165">
        <f>VLOOKUP($B34,'Data shares'!$C:$FB,67)</f>
        <v>209432250</v>
      </c>
      <c r="J34" s="81">
        <f t="shared" si="7"/>
        <v>7.4355310607606997</v>
      </c>
      <c r="K34" s="5">
        <f>VLOOKUP($B34,'Data Vlaue (Cr)'!$C:$FB,99)</f>
        <v>9181</v>
      </c>
      <c r="L34" s="81">
        <f>VLOOKUP(B34,'OI(Value)'!$A$7:$C$209,3,0)</f>
        <v>-775</v>
      </c>
      <c r="M34" s="33">
        <f t="shared" si="0"/>
        <v>-8.4413462585774965</v>
      </c>
      <c r="N34" s="5">
        <f>VLOOKUP($B34,'Data Vlaue (Cr)'!$C:$FB,67)</f>
        <v>9531</v>
      </c>
      <c r="O34" s="5">
        <f>VLOOKUP($B34,'Data Vlaue (Cr)'!$C:$FB,68)</f>
        <v>8872</v>
      </c>
      <c r="P34" s="5">
        <f t="shared" si="8"/>
        <v>6.9142797188122964</v>
      </c>
      <c r="Q34" s="1"/>
      <c r="R34" s="1"/>
      <c r="S34" s="1"/>
      <c r="T34" s="1"/>
      <c r="U34" s="1"/>
      <c r="V34" s="1"/>
      <c r="W34" s="1"/>
      <c r="X34" s="1"/>
      <c r="Y34" s="1"/>
      <c r="Z34" s="1"/>
      <c r="AA34" s="1"/>
      <c r="AB34" s="1"/>
      <c r="AC34" s="1"/>
      <c r="AD34" s="1"/>
      <c r="AE34" s="1"/>
      <c r="AF34" s="1"/>
      <c r="AG34" s="1"/>
      <c r="AH34" s="1"/>
      <c r="AI34" s="1"/>
      <c r="AJ34" s="1"/>
    </row>
    <row r="35" spans="1:36" x14ac:dyDescent="0.25">
      <c r="A35" s="79" t="str">
        <f>'Data shares'!B30</f>
        <v>Automobile</v>
      </c>
      <c r="B35" s="79" t="str">
        <f>'Data shares'!C30</f>
        <v>BHARATFORG</v>
      </c>
      <c r="C35" s="4">
        <f>VLOOKUP($B35,'Data shares'!$C:$FB,7)</f>
        <v>1435.4</v>
      </c>
      <c r="D35" s="82">
        <f>VLOOKUP($B35,'Data shares'!$C:$FB,98)</f>
        <v>17314000</v>
      </c>
      <c r="E35" s="165">
        <f>VLOOKUP(B35,'Snapshot (Volume)'!$A$7:$G$168,7,0)</f>
        <v>18390000</v>
      </c>
      <c r="F35" s="165">
        <f t="shared" si="5"/>
        <v>-1076000</v>
      </c>
      <c r="G35" s="166">
        <f t="shared" si="6"/>
        <v>-5.8510059815116915E-2</v>
      </c>
      <c r="H35" s="165">
        <f>VLOOKUP($B35,'Data shares'!$C:$FB,66)</f>
        <v>24961500</v>
      </c>
      <c r="I35" s="165">
        <f>VLOOKUP($B35,'Data shares'!$C:$FB,67)</f>
        <v>53616500</v>
      </c>
      <c r="J35" s="81">
        <f t="shared" si="7"/>
        <v>-53.444368804379252</v>
      </c>
      <c r="K35" s="5">
        <f>VLOOKUP($B35,'Data Vlaue (Cr)'!$C:$FB,99)</f>
        <v>2486</v>
      </c>
      <c r="L35" s="81">
        <f>VLOOKUP(B35,'OI(Value)'!$A$7:$C$209,3,0)</f>
        <v>-155</v>
      </c>
      <c r="M35" s="33">
        <f t="shared" si="0"/>
        <v>-6.2349155269509255</v>
      </c>
      <c r="N35" s="5">
        <f>VLOOKUP($B35,'Data Vlaue (Cr)'!$C:$FB,67)</f>
        <v>3584</v>
      </c>
      <c r="O35" s="5">
        <f>VLOOKUP($B35,'Data Vlaue (Cr)'!$C:$FB,68)</f>
        <v>7699</v>
      </c>
      <c r="P35" s="5">
        <f t="shared" si="8"/>
        <v>-114.81584821428572</v>
      </c>
      <c r="Q35" s="1"/>
      <c r="R35" s="1"/>
      <c r="S35" s="1"/>
      <c r="T35" s="1"/>
      <c r="U35" s="1"/>
      <c r="V35" s="1"/>
      <c r="W35" s="1"/>
      <c r="X35" s="1"/>
      <c r="Y35" s="1"/>
      <c r="Z35" s="1"/>
      <c r="AA35" s="1"/>
      <c r="AB35" s="1"/>
      <c r="AC35" s="1"/>
      <c r="AD35" s="1"/>
      <c r="AE35" s="1"/>
      <c r="AF35" s="1"/>
      <c r="AG35" s="1"/>
      <c r="AH35" s="1"/>
      <c r="AI35" s="1"/>
      <c r="AJ35" s="1"/>
    </row>
    <row r="36" spans="1:36" x14ac:dyDescent="0.25">
      <c r="A36" s="79" t="str">
        <f>'Data shares'!B31</f>
        <v>Telecom</v>
      </c>
      <c r="B36" s="79" t="str">
        <f>'Data shares'!C31</f>
        <v>BHARTIARTL</v>
      </c>
      <c r="C36" s="4">
        <f>VLOOKUP($B36,'Data shares'!$C:$FB,7)</f>
        <v>2158.3000000000002</v>
      </c>
      <c r="D36" s="82">
        <f>VLOOKUP($B36,'Data shares'!$C:$FB,98)</f>
        <v>76407075</v>
      </c>
      <c r="E36" s="165">
        <f>VLOOKUP(B36,'Snapshot (Volume)'!$A$7:$G$168,7,0)</f>
        <v>77492925</v>
      </c>
      <c r="F36" s="165">
        <f t="shared" si="5"/>
        <v>-1085850</v>
      </c>
      <c r="G36" s="166">
        <f t="shared" si="6"/>
        <v>-1.4012246924477299E-2</v>
      </c>
      <c r="H36" s="165">
        <f>VLOOKUP($B36,'Data shares'!$C:$FB,66)</f>
        <v>88499625</v>
      </c>
      <c r="I36" s="165">
        <f>VLOOKUP($B36,'Data shares'!$C:$FB,67)</f>
        <v>61981325</v>
      </c>
      <c r="J36" s="81">
        <f t="shared" si="7"/>
        <v>42.784338669752543</v>
      </c>
      <c r="K36" s="5">
        <f>VLOOKUP($B36,'Data Vlaue (Cr)'!$C:$FB,99)</f>
        <v>16496</v>
      </c>
      <c r="L36" s="81">
        <f>VLOOKUP(B36,'OI(Value)'!$A$7:$C$209,3,0)</f>
        <v>-234</v>
      </c>
      <c r="M36" s="33">
        <f t="shared" si="0"/>
        <v>-1.4185257032007759</v>
      </c>
      <c r="N36" s="5">
        <f>VLOOKUP($B36,'Data Vlaue (Cr)'!$C:$FB,67)</f>
        <v>19106</v>
      </c>
      <c r="O36" s="5">
        <f>VLOOKUP($B36,'Data Vlaue (Cr)'!$C:$FB,68)</f>
        <v>13381</v>
      </c>
      <c r="P36" s="5">
        <f t="shared" si="8"/>
        <v>29.964409086150944</v>
      </c>
      <c r="Q36" s="1"/>
      <c r="R36" s="1"/>
      <c r="S36" s="1"/>
      <c r="T36" s="1"/>
      <c r="U36" s="1"/>
      <c r="V36" s="1"/>
      <c r="W36" s="1"/>
      <c r="X36" s="1"/>
      <c r="Y36" s="1"/>
      <c r="Z36" s="1"/>
      <c r="AA36" s="1"/>
      <c r="AB36" s="1"/>
      <c r="AC36" s="1"/>
      <c r="AD36" s="1"/>
      <c r="AE36" s="1"/>
      <c r="AF36" s="1"/>
      <c r="AG36" s="1"/>
      <c r="AH36" s="1"/>
      <c r="AI36" s="1"/>
      <c r="AJ36" s="1"/>
    </row>
    <row r="37" spans="1:36" x14ac:dyDescent="0.25">
      <c r="A37" s="79" t="str">
        <f>'Data shares'!B32</f>
        <v>Capital_Goods</v>
      </c>
      <c r="B37" s="79" t="str">
        <f>'Data shares'!C32</f>
        <v>BHEL</v>
      </c>
      <c r="C37" s="4">
        <f>VLOOKUP($B37,'Data shares'!$C:$FB,7)</f>
        <v>285.25</v>
      </c>
      <c r="D37" s="82">
        <f>VLOOKUP($B37,'Data shares'!$C:$FB,98)</f>
        <v>154410375</v>
      </c>
      <c r="E37" s="165">
        <f>VLOOKUP(B37,'Snapshot (Volume)'!$A$7:$G$168,7,0)</f>
        <v>161025375</v>
      </c>
      <c r="F37" s="165">
        <f t="shared" ref="F37:F43" si="9">D37-E37</f>
        <v>-6615000</v>
      </c>
      <c r="G37" s="166">
        <f t="shared" ref="G37:G43" si="10">F37/E37</f>
        <v>-4.1080481880573172E-2</v>
      </c>
      <c r="H37" s="165">
        <f>VLOOKUP($B37,'Data shares'!$C:$FB,66)</f>
        <v>183295875</v>
      </c>
      <c r="I37" s="165">
        <f>VLOOKUP($B37,'Data shares'!$C:$FB,67)</f>
        <v>237935250</v>
      </c>
      <c r="J37" s="81">
        <f t="shared" ref="J37:J43" si="11">(H37-I37)/I37*100</f>
        <v>-22.963968138390591</v>
      </c>
      <c r="K37" s="5">
        <f>VLOOKUP($B37,'Data Vlaue (Cr)'!$C:$FB,99)</f>
        <v>4412</v>
      </c>
      <c r="L37" s="81">
        <f>VLOOKUP(B37,'OI(Value)'!$A$7:$C$209,3,0)</f>
        <v>-189</v>
      </c>
      <c r="M37" s="33">
        <f t="shared" ref="M37:M65" si="12">L37/K37*100</f>
        <v>-4.2837715321849501</v>
      </c>
      <c r="N37" s="5">
        <f>VLOOKUP($B37,'Data Vlaue (Cr)'!$C:$FB,67)</f>
        <v>5238</v>
      </c>
      <c r="O37" s="5">
        <f>VLOOKUP($B37,'Data Vlaue (Cr)'!$C:$FB,68)</f>
        <v>6799</v>
      </c>
      <c r="P37" s="5">
        <f t="shared" ref="P37:P43" si="13">(N37-O37)/N37*100</f>
        <v>-29.80145093547155</v>
      </c>
      <c r="Q37" s="1"/>
      <c r="R37" s="1"/>
      <c r="S37" s="1"/>
      <c r="T37" s="1"/>
      <c r="U37" s="1"/>
      <c r="V37" s="1"/>
      <c r="W37" s="1"/>
      <c r="X37" s="1"/>
      <c r="Y37" s="1"/>
      <c r="Z37" s="1"/>
      <c r="AA37" s="1"/>
      <c r="AB37" s="1"/>
      <c r="AC37" s="1"/>
      <c r="AD37" s="1"/>
      <c r="AE37" s="1"/>
      <c r="AF37" s="1"/>
      <c r="AG37" s="1"/>
      <c r="AH37" s="1"/>
      <c r="AI37" s="1"/>
      <c r="AJ37" s="1"/>
    </row>
    <row r="38" spans="1:36" x14ac:dyDescent="0.25">
      <c r="A38" s="79" t="str">
        <f>'Data shares'!B33</f>
        <v>Pharma</v>
      </c>
      <c r="B38" s="79" t="str">
        <f>'Data shares'!C33</f>
        <v>BIOCON</v>
      </c>
      <c r="C38" s="4">
        <f>VLOOKUP($B38,'Data shares'!$C:$FB,7)</f>
        <v>395.15</v>
      </c>
      <c r="D38" s="82">
        <f>VLOOKUP($B38,'Data shares'!$C:$FB,98)</f>
        <v>113605000</v>
      </c>
      <c r="E38" s="165">
        <f>VLOOKUP(B38,'Snapshot (Volume)'!$A$7:$G$168,7,0)</f>
        <v>103852500</v>
      </c>
      <c r="F38" s="165">
        <f t="shared" si="9"/>
        <v>9752500</v>
      </c>
      <c r="G38" s="166">
        <f t="shared" si="10"/>
        <v>9.3907224188151464E-2</v>
      </c>
      <c r="H38" s="165">
        <f>VLOOKUP($B38,'Data shares'!$C:$FB,66)</f>
        <v>269440000</v>
      </c>
      <c r="I38" s="165">
        <f>VLOOKUP($B38,'Data shares'!$C:$FB,67)</f>
        <v>149485000</v>
      </c>
      <c r="J38" s="81">
        <f t="shared" si="11"/>
        <v>80.245509582901292</v>
      </c>
      <c r="K38" s="5">
        <f>VLOOKUP($B38,'Data Vlaue (Cr)'!$C:$FB,99)</f>
        <v>4491</v>
      </c>
      <c r="L38" s="81">
        <f>VLOOKUP(B38,'OI(Value)'!$A$7:$C$209,3,0)</f>
        <v>386</v>
      </c>
      <c r="M38" s="33">
        <f t="shared" si="12"/>
        <v>8.594967713204186</v>
      </c>
      <c r="N38" s="5">
        <f>VLOOKUP($B38,'Data Vlaue (Cr)'!$C:$FB,67)</f>
        <v>10651</v>
      </c>
      <c r="O38" s="5">
        <f>VLOOKUP($B38,'Data Vlaue (Cr)'!$C:$FB,68)</f>
        <v>5909</v>
      </c>
      <c r="P38" s="5">
        <f t="shared" si="13"/>
        <v>44.521641160454415</v>
      </c>
      <c r="Q38" s="1"/>
      <c r="R38" s="1"/>
      <c r="S38" s="1"/>
      <c r="T38" s="1"/>
      <c r="U38" s="1"/>
      <c r="V38" s="1"/>
      <c r="W38" s="1"/>
      <c r="X38" s="1"/>
      <c r="Y38" s="1"/>
      <c r="Z38" s="1"/>
      <c r="AA38" s="1"/>
      <c r="AB38" s="1"/>
      <c r="AC38" s="1"/>
      <c r="AD38" s="1"/>
      <c r="AE38" s="1"/>
      <c r="AF38" s="1"/>
      <c r="AG38" s="1"/>
      <c r="AH38" s="1"/>
      <c r="AI38" s="1"/>
      <c r="AJ38" s="1"/>
    </row>
    <row r="39" spans="1:36" x14ac:dyDescent="0.25">
      <c r="A39" s="79" t="str">
        <f>'Data shares'!B34</f>
        <v>Capital_Goods</v>
      </c>
      <c r="B39" s="79" t="str">
        <f>'Data shares'!C34</f>
        <v>BLUESTARCO</v>
      </c>
      <c r="C39" s="4">
        <f>VLOOKUP($B39,'Data shares'!$C:$FB,7)</f>
        <v>1794.6</v>
      </c>
      <c r="D39" s="82">
        <f>VLOOKUP($B39,'Data shares'!$C:$FB,98)</f>
        <v>4761900</v>
      </c>
      <c r="E39" s="165">
        <f>VLOOKUP(B39,'Snapshot (Volume)'!$A$7:$G$168,7,0)</f>
        <v>5467150</v>
      </c>
      <c r="F39" s="165">
        <f t="shared" si="9"/>
        <v>-705250</v>
      </c>
      <c r="G39" s="166">
        <f t="shared" si="10"/>
        <v>-0.12899774105338246</v>
      </c>
      <c r="H39" s="165">
        <f>VLOOKUP($B39,'Data shares'!$C:$FB,66)</f>
        <v>4813900</v>
      </c>
      <c r="I39" s="165">
        <f>VLOOKUP($B39,'Data shares'!$C:$FB,67)</f>
        <v>5066425</v>
      </c>
      <c r="J39" s="81">
        <f t="shared" si="11"/>
        <v>-4.9842837898518182</v>
      </c>
      <c r="K39" s="5">
        <f>VLOOKUP($B39,'Data Vlaue (Cr)'!$C:$FB,99)</f>
        <v>855</v>
      </c>
      <c r="L39" s="81">
        <f>VLOOKUP(B39,'OI(Value)'!$A$7:$C$209,3,0)</f>
        <v>-127</v>
      </c>
      <c r="M39" s="33">
        <f t="shared" si="12"/>
        <v>-14.853801169590644</v>
      </c>
      <c r="N39" s="5">
        <f>VLOOKUP($B39,'Data Vlaue (Cr)'!$C:$FB,67)</f>
        <v>864</v>
      </c>
      <c r="O39" s="5">
        <f>VLOOKUP($B39,'Data Vlaue (Cr)'!$C:$FB,68)</f>
        <v>910</v>
      </c>
      <c r="P39" s="5">
        <f t="shared" si="13"/>
        <v>-5.3240740740740744</v>
      </c>
      <c r="Q39" s="1"/>
      <c r="R39" s="1"/>
      <c r="S39" s="1"/>
      <c r="T39" s="1"/>
      <c r="U39" s="1"/>
      <c r="V39" s="1"/>
      <c r="W39" s="1"/>
      <c r="X39" s="1"/>
      <c r="Y39" s="1"/>
      <c r="Z39" s="1"/>
      <c r="AA39" s="1"/>
      <c r="AB39" s="1"/>
      <c r="AC39" s="1"/>
      <c r="AD39" s="1"/>
      <c r="AE39" s="1"/>
      <c r="AF39" s="1"/>
      <c r="AG39" s="1"/>
      <c r="AH39" s="1"/>
      <c r="AI39" s="1"/>
      <c r="AJ39" s="1"/>
    </row>
    <row r="40" spans="1:36" x14ac:dyDescent="0.25">
      <c r="A40" s="79" t="str">
        <f>'Data shares'!B35</f>
        <v>Automobile</v>
      </c>
      <c r="B40" s="79" t="str">
        <f>'Data shares'!C35</f>
        <v>BOSCHLTD</v>
      </c>
      <c r="C40" s="4">
        <f>VLOOKUP($B40,'Data shares'!$C:$FB,7)</f>
        <v>37050</v>
      </c>
      <c r="D40" s="82">
        <f>VLOOKUP($B40,'Data shares'!$C:$FB,98)</f>
        <v>485900</v>
      </c>
      <c r="E40" s="165">
        <f>VLOOKUP(B40,'Snapshot (Volume)'!$A$7:$G$168,7,0)</f>
        <v>524600</v>
      </c>
      <c r="F40" s="165">
        <f t="shared" si="9"/>
        <v>-38700</v>
      </c>
      <c r="G40" s="166">
        <f t="shared" si="10"/>
        <v>-7.3770491803278687E-2</v>
      </c>
      <c r="H40" s="165">
        <f>VLOOKUP($B40,'Data shares'!$C:$FB,66)</f>
        <v>480875</v>
      </c>
      <c r="I40" s="165">
        <f>VLOOKUP($B40,'Data shares'!$C:$FB,67)</f>
        <v>421275</v>
      </c>
      <c r="J40" s="81">
        <f t="shared" si="11"/>
        <v>14.147528336597235</v>
      </c>
      <c r="K40" s="5">
        <f>VLOOKUP($B40,'Data Vlaue (Cr)'!$C:$FB,99)</f>
        <v>1799</v>
      </c>
      <c r="L40" s="81">
        <f>VLOOKUP(B40,'OI(Value)'!$A$7:$C$209,3,0)</f>
        <v>-143</v>
      </c>
      <c r="M40" s="33">
        <f t="shared" si="12"/>
        <v>-7.9488604780433567</v>
      </c>
      <c r="N40" s="5">
        <f>VLOOKUP($B40,'Data Vlaue (Cr)'!$C:$FB,67)</f>
        <v>1780</v>
      </c>
      <c r="O40" s="5">
        <f>VLOOKUP($B40,'Data Vlaue (Cr)'!$C:$FB,68)</f>
        <v>1560</v>
      </c>
      <c r="P40" s="5">
        <f t="shared" si="13"/>
        <v>12.359550561797752</v>
      </c>
      <c r="Q40" s="1"/>
      <c r="R40" s="1"/>
      <c r="S40" s="1"/>
      <c r="T40" s="1"/>
      <c r="U40" s="1"/>
      <c r="V40" s="1"/>
      <c r="W40" s="1"/>
      <c r="X40" s="1"/>
      <c r="Y40" s="1"/>
      <c r="Z40" s="1"/>
      <c r="AA40" s="1"/>
      <c r="AB40" s="1"/>
      <c r="AC40" s="1"/>
      <c r="AD40" s="1"/>
      <c r="AE40" s="1"/>
      <c r="AF40" s="1"/>
      <c r="AG40" s="1"/>
      <c r="AH40" s="1"/>
      <c r="AI40" s="1"/>
      <c r="AJ40" s="1"/>
    </row>
    <row r="41" spans="1:36" x14ac:dyDescent="0.25">
      <c r="A41" s="79" t="str">
        <f>'Data shares'!B36</f>
        <v>Oil_Gas</v>
      </c>
      <c r="B41" s="79" t="str">
        <f>'Data shares'!C36</f>
        <v>BPCL</v>
      </c>
      <c r="C41" s="4">
        <f>VLOOKUP($B41,'Data shares'!$C:$FB,7)</f>
        <v>365.05</v>
      </c>
      <c r="D41" s="82">
        <f>VLOOKUP($B41,'Data shares'!$C:$FB,98)</f>
        <v>71605600</v>
      </c>
      <c r="E41" s="165">
        <f>VLOOKUP(B41,'Snapshot (Volume)'!$A$7:$G$168,7,0)</f>
        <v>65943275</v>
      </c>
      <c r="F41" s="165">
        <f t="shared" si="9"/>
        <v>5662325</v>
      </c>
      <c r="G41" s="166">
        <f t="shared" si="10"/>
        <v>8.5866602773368481E-2</v>
      </c>
      <c r="H41" s="165">
        <f>VLOOKUP($B41,'Data shares'!$C:$FB,66)</f>
        <v>62492950</v>
      </c>
      <c r="I41" s="165">
        <f>VLOOKUP($B41,'Data shares'!$C:$FB,67)</f>
        <v>46722575</v>
      </c>
      <c r="J41" s="81">
        <f t="shared" si="11"/>
        <v>33.753223147482778</v>
      </c>
      <c r="K41" s="5">
        <f>VLOOKUP($B41,'Data Vlaue (Cr)'!$C:$FB,99)</f>
        <v>2620</v>
      </c>
      <c r="L41" s="81">
        <f>VLOOKUP(B41,'OI(Value)'!$A$7:$C$209,3,0)</f>
        <v>207</v>
      </c>
      <c r="M41" s="33">
        <f t="shared" si="12"/>
        <v>7.9007633587786259</v>
      </c>
      <c r="N41" s="5">
        <f>VLOOKUP($B41,'Data Vlaue (Cr)'!$C:$FB,67)</f>
        <v>2287</v>
      </c>
      <c r="O41" s="5">
        <f>VLOOKUP($B41,'Data Vlaue (Cr)'!$C:$FB,68)</f>
        <v>1710</v>
      </c>
      <c r="P41" s="5">
        <f t="shared" si="13"/>
        <v>25.229558373414957</v>
      </c>
      <c r="Q41" s="1"/>
      <c r="R41" s="1"/>
      <c r="S41" s="1"/>
      <c r="T41" s="1"/>
      <c r="U41" s="1"/>
      <c r="V41" s="1"/>
      <c r="W41" s="1"/>
      <c r="X41" s="1"/>
      <c r="Y41" s="1"/>
      <c r="Z41" s="1"/>
      <c r="AA41" s="1"/>
      <c r="AB41" s="1"/>
      <c r="AC41" s="1"/>
      <c r="AD41" s="1"/>
      <c r="AE41" s="1"/>
      <c r="AF41" s="1"/>
      <c r="AG41" s="1"/>
      <c r="AH41" s="1"/>
      <c r="AI41" s="1"/>
      <c r="AJ41" s="1"/>
    </row>
    <row r="42" spans="1:36" x14ac:dyDescent="0.25">
      <c r="A42" s="79" t="str">
        <f>'Data shares'!B37</f>
        <v>FMCG</v>
      </c>
      <c r="B42" s="79" t="str">
        <f>'Data shares'!C37</f>
        <v>BRITANNIA</v>
      </c>
      <c r="C42" s="4">
        <f>VLOOKUP($B42,'Data shares'!$C:$FB,7)</f>
        <v>5819</v>
      </c>
      <c r="D42" s="82">
        <f>VLOOKUP($B42,'Data shares'!$C:$FB,98)</f>
        <v>6500750</v>
      </c>
      <c r="E42" s="165">
        <f>VLOOKUP(B42,'Snapshot (Volume)'!$A$7:$G$168,7,0)</f>
        <v>6608250</v>
      </c>
      <c r="F42" s="165">
        <f t="shared" si="9"/>
        <v>-107500</v>
      </c>
      <c r="G42" s="166">
        <f t="shared" si="10"/>
        <v>-1.6267544357431999E-2</v>
      </c>
      <c r="H42" s="165">
        <f>VLOOKUP($B42,'Data shares'!$C:$FB,66)</f>
        <v>8740500</v>
      </c>
      <c r="I42" s="165">
        <f>VLOOKUP($B42,'Data shares'!$C:$FB,67)</f>
        <v>4046125</v>
      </c>
      <c r="J42" s="81">
        <f t="shared" si="11"/>
        <v>116.02150205443481</v>
      </c>
      <c r="K42" s="5">
        <f>VLOOKUP($B42,'Data Vlaue (Cr)'!$C:$FB,99)</f>
        <v>3781</v>
      </c>
      <c r="L42" s="81">
        <f>VLOOKUP(B42,'OI(Value)'!$A$7:$C$209,3,0)</f>
        <v>-63</v>
      </c>
      <c r="M42" s="33">
        <f t="shared" si="12"/>
        <v>-1.6662258661729701</v>
      </c>
      <c r="N42" s="5">
        <f>VLOOKUP($B42,'Data Vlaue (Cr)'!$C:$FB,67)</f>
        <v>5084</v>
      </c>
      <c r="O42" s="5">
        <f>VLOOKUP($B42,'Data Vlaue (Cr)'!$C:$FB,68)</f>
        <v>2354</v>
      </c>
      <c r="P42" s="5">
        <f t="shared" si="13"/>
        <v>53.697875688434301</v>
      </c>
      <c r="Q42" s="1"/>
      <c r="R42" s="1"/>
      <c r="S42" s="1"/>
      <c r="T42" s="1"/>
      <c r="U42" s="1"/>
      <c r="V42" s="1"/>
      <c r="W42" s="1"/>
      <c r="X42" s="1"/>
      <c r="Y42" s="1"/>
      <c r="Z42" s="1"/>
      <c r="AA42" s="1"/>
      <c r="AB42" s="1"/>
      <c r="AC42" s="1"/>
      <c r="AD42" s="1"/>
      <c r="AE42" s="1"/>
      <c r="AF42" s="1"/>
      <c r="AG42" s="1"/>
      <c r="AH42" s="1"/>
      <c r="AI42" s="1"/>
      <c r="AJ42" s="1"/>
    </row>
    <row r="43" spans="1:36" x14ac:dyDescent="0.25">
      <c r="A43" s="79" t="str">
        <f>'Data shares'!B38</f>
        <v>Finance</v>
      </c>
      <c r="B43" s="79" t="str">
        <f>'Data shares'!C38</f>
        <v>BSE</v>
      </c>
      <c r="C43" s="4">
        <f>VLOOKUP($B43,'Data shares'!$C:$FB,7)</f>
        <v>2895.5</v>
      </c>
      <c r="D43" s="82">
        <f>VLOOKUP($B43,'Data shares'!$C:$FB,98)</f>
        <v>32949750</v>
      </c>
      <c r="E43" s="165">
        <f>VLOOKUP(B43,'Snapshot (Volume)'!$A$7:$G$168,7,0)</f>
        <v>33203250</v>
      </c>
      <c r="F43" s="165">
        <f t="shared" si="9"/>
        <v>-253500</v>
      </c>
      <c r="G43" s="166">
        <f t="shared" si="10"/>
        <v>-7.6347947866549212E-3</v>
      </c>
      <c r="H43" s="165">
        <f>VLOOKUP($B43,'Data shares'!$C:$FB,66)</f>
        <v>95888625</v>
      </c>
      <c r="I43" s="165">
        <f>VLOOKUP($B43,'Data shares'!$C:$FB,67)</f>
        <v>64296000</v>
      </c>
      <c r="J43" s="81">
        <f t="shared" si="11"/>
        <v>49.136221537887273</v>
      </c>
      <c r="K43" s="5">
        <f>VLOOKUP($B43,'Data Vlaue (Cr)'!$C:$FB,99)</f>
        <v>9536</v>
      </c>
      <c r="L43" s="81">
        <f>VLOOKUP(B43,'OI(Value)'!$A$7:$C$209,3,0)</f>
        <v>-73</v>
      </c>
      <c r="M43" s="33">
        <f t="shared" si="12"/>
        <v>-0.76552013422818799</v>
      </c>
      <c r="N43" s="5">
        <f>VLOOKUP($B43,'Data Vlaue (Cr)'!$C:$FB,67)</f>
        <v>27751</v>
      </c>
      <c r="O43" s="5">
        <f>VLOOKUP($B43,'Data Vlaue (Cr)'!$C:$FB,68)</f>
        <v>18608</v>
      </c>
      <c r="P43" s="5">
        <f t="shared" si="13"/>
        <v>32.946560484306872</v>
      </c>
      <c r="Q43" s="1"/>
      <c r="R43" s="1"/>
      <c r="S43" s="1"/>
      <c r="T43" s="1"/>
      <c r="U43" s="1"/>
      <c r="V43" s="1"/>
      <c r="W43" s="1"/>
      <c r="X43" s="1"/>
      <c r="Y43" s="1"/>
      <c r="Z43" s="1"/>
      <c r="AA43" s="1"/>
      <c r="AB43" s="1"/>
      <c r="AC43" s="1"/>
      <c r="AD43" s="1"/>
      <c r="AE43" s="1"/>
      <c r="AF43" s="1"/>
      <c r="AG43" s="1"/>
      <c r="AH43" s="1"/>
      <c r="AI43" s="1"/>
      <c r="AJ43" s="1"/>
    </row>
    <row r="44" spans="1:36" x14ac:dyDescent="0.25">
      <c r="A44" s="79" t="str">
        <f>'Data shares'!B39</f>
        <v>Finance</v>
      </c>
      <c r="B44" s="79" t="str">
        <f>'Data shares'!C39</f>
        <v>CAMS</v>
      </c>
      <c r="C44" s="79">
        <f>VLOOKUP($B44,'Data shares'!$C:$FB,7)</f>
        <v>4014.5</v>
      </c>
      <c r="D44" s="165">
        <f>VLOOKUP($B44,'Data shares'!$C:$FB,98)</f>
        <v>4670550</v>
      </c>
      <c r="E44" s="165">
        <f>VLOOKUP(B44,'Snapshot (Volume)'!$A$7:$G$168,7,0)</f>
        <v>4858050</v>
      </c>
      <c r="F44" s="165">
        <f t="shared" ref="F44:F49" si="14">D44-E44</f>
        <v>-187500</v>
      </c>
      <c r="G44" s="166">
        <f t="shared" ref="G44:G49" si="15">F44/E44</f>
        <v>-3.8595732855775465E-2</v>
      </c>
      <c r="H44" s="165">
        <f>VLOOKUP($B44,'Data shares'!$C:$FB,66)</f>
        <v>17621100</v>
      </c>
      <c r="I44" s="165">
        <f>VLOOKUP($B44,'Data shares'!$C:$FB,67)</f>
        <v>2942100</v>
      </c>
      <c r="J44" s="81">
        <f t="shared" ref="J44:J49" si="16">(H44-I44)/I44*100</f>
        <v>498.92933618843688</v>
      </c>
      <c r="K44" s="81">
        <f>VLOOKUP($B44,'Data Vlaue (Cr)'!$C:$FB,99)</f>
        <v>1874</v>
      </c>
      <c r="L44" s="81">
        <f>VLOOKUP(B44,'OI(Value)'!$A$7:$C$209,3,0)</f>
        <v>-75</v>
      </c>
      <c r="M44" s="81">
        <f t="shared" si="12"/>
        <v>-4.0021344717182492</v>
      </c>
      <c r="N44" s="81">
        <f>VLOOKUP($B44,'Data Vlaue (Cr)'!$C:$FB,67)</f>
        <v>7070</v>
      </c>
      <c r="O44" s="81">
        <f>VLOOKUP($B44,'Data Vlaue (Cr)'!$C:$FB,68)</f>
        <v>1180</v>
      </c>
      <c r="P44" s="81">
        <f t="shared" ref="P44:P49" si="17">(N44-O44)/N44*100</f>
        <v>83.309759547383308</v>
      </c>
      <c r="Q44" s="1"/>
      <c r="R44" s="1"/>
      <c r="S44" s="1"/>
      <c r="T44" s="1"/>
      <c r="U44" s="1"/>
      <c r="V44" s="1"/>
      <c r="W44" s="1"/>
      <c r="X44" s="1"/>
      <c r="Y44" s="1"/>
      <c r="Z44" s="1"/>
      <c r="AA44" s="1"/>
      <c r="AB44" s="1"/>
      <c r="AC44" s="1"/>
      <c r="AD44" s="1"/>
      <c r="AE44" s="1"/>
      <c r="AF44" s="1"/>
      <c r="AG44" s="1"/>
      <c r="AH44" s="1"/>
      <c r="AI44" s="1"/>
      <c r="AJ44" s="1"/>
    </row>
    <row r="45" spans="1:36" x14ac:dyDescent="0.25">
      <c r="A45" s="79" t="str">
        <f>'Data shares'!B40</f>
        <v>Banking</v>
      </c>
      <c r="B45" s="79" t="str">
        <f>'Data shares'!C40</f>
        <v>CANBK</v>
      </c>
      <c r="C45" s="4">
        <f>VLOOKUP($B45,'Data shares'!$C:$FB,7)</f>
        <v>147.94</v>
      </c>
      <c r="D45" s="82">
        <f>VLOOKUP($B45,'Data shares'!$C:$FB,98)</f>
        <v>425493000</v>
      </c>
      <c r="E45" s="165">
        <f>VLOOKUP(B45,'Snapshot (Volume)'!$A$7:$G$168,7,0)</f>
        <v>443110500</v>
      </c>
      <c r="F45" s="165">
        <f t="shared" si="14"/>
        <v>-17617500</v>
      </c>
      <c r="G45" s="166">
        <f t="shared" si="15"/>
        <v>-3.9758705785577185E-2</v>
      </c>
      <c r="H45" s="165">
        <f>VLOOKUP($B45,'Data shares'!$C:$FB,66)</f>
        <v>412033500</v>
      </c>
      <c r="I45" s="165">
        <f>VLOOKUP($B45,'Data shares'!$C:$FB,67)</f>
        <v>412391250</v>
      </c>
      <c r="J45" s="81">
        <f t="shared" si="16"/>
        <v>-8.6750143219576081E-2</v>
      </c>
      <c r="K45" s="5">
        <f>VLOOKUP($B45,'Data Vlaue (Cr)'!$C:$FB,99)</f>
        <v>6296</v>
      </c>
      <c r="L45" s="81">
        <f>VLOOKUP(B45,'OI(Value)'!$A$7:$C$209,3,0)</f>
        <v>-261</v>
      </c>
      <c r="M45" s="33">
        <f t="shared" si="12"/>
        <v>-4.1454891994917409</v>
      </c>
      <c r="N45" s="5">
        <f>VLOOKUP($B45,'Data Vlaue (Cr)'!$C:$FB,67)</f>
        <v>6097</v>
      </c>
      <c r="O45" s="5">
        <f>VLOOKUP($B45,'Data Vlaue (Cr)'!$C:$FB,68)</f>
        <v>6103</v>
      </c>
      <c r="P45" s="5">
        <f t="shared" si="17"/>
        <v>-9.8409053632934229E-2</v>
      </c>
      <c r="Q45" s="1"/>
      <c r="R45" s="1"/>
      <c r="S45" s="1"/>
      <c r="T45" s="1"/>
      <c r="U45" s="1"/>
      <c r="V45" s="1"/>
      <c r="W45" s="1"/>
      <c r="X45" s="1"/>
      <c r="Y45" s="1"/>
      <c r="Z45" s="1"/>
      <c r="AA45" s="1"/>
      <c r="AB45" s="1"/>
      <c r="AC45" s="1"/>
      <c r="AD45" s="1"/>
      <c r="AE45" s="1"/>
      <c r="AF45" s="1"/>
      <c r="AG45" s="1"/>
      <c r="AH45" s="1"/>
      <c r="AI45" s="1"/>
      <c r="AJ45" s="1"/>
    </row>
    <row r="46" spans="1:36" x14ac:dyDescent="0.25">
      <c r="A46" s="79" t="str">
        <f>'Data shares'!B41</f>
        <v>Finance</v>
      </c>
      <c r="B46" s="79" t="str">
        <f>'Data shares'!C41</f>
        <v>CDSL</v>
      </c>
      <c r="C46" s="4">
        <f>VLOOKUP($B46,'Data shares'!$C:$FB,7)</f>
        <v>1640.1</v>
      </c>
      <c r="D46" s="82">
        <f>VLOOKUP($B46,'Data shares'!$C:$FB,98)</f>
        <v>23677800</v>
      </c>
      <c r="E46" s="165">
        <f>VLOOKUP(B46,'Snapshot (Volume)'!$A$7:$G$168,7,0)</f>
        <v>24381275</v>
      </c>
      <c r="F46" s="165">
        <f t="shared" si="14"/>
        <v>-703475</v>
      </c>
      <c r="G46" s="166">
        <f t="shared" si="15"/>
        <v>-2.8853085000681875E-2</v>
      </c>
      <c r="H46" s="165">
        <f>VLOOKUP($B46,'Data shares'!$C:$FB,66)</f>
        <v>96555625</v>
      </c>
      <c r="I46" s="165">
        <f>VLOOKUP($B46,'Data shares'!$C:$FB,67)</f>
        <v>31067850</v>
      </c>
      <c r="J46" s="81">
        <f t="shared" si="16"/>
        <v>210.78953001253709</v>
      </c>
      <c r="K46" s="5">
        <f>VLOOKUP($B46,'Data Vlaue (Cr)'!$C:$FB,99)</f>
        <v>3891</v>
      </c>
      <c r="L46" s="81">
        <f>VLOOKUP(B46,'OI(Value)'!$A$7:$C$209,3,0)</f>
        <v>-116</v>
      </c>
      <c r="M46" s="33">
        <f t="shared" si="12"/>
        <v>-2.9812387561038296</v>
      </c>
      <c r="N46" s="5">
        <f>VLOOKUP($B46,'Data Vlaue (Cr)'!$C:$FB,67)</f>
        <v>15868</v>
      </c>
      <c r="O46" s="5">
        <f>VLOOKUP($B46,'Data Vlaue (Cr)'!$C:$FB,68)</f>
        <v>5106</v>
      </c>
      <c r="P46" s="5">
        <f t="shared" si="17"/>
        <v>67.822031762036801</v>
      </c>
      <c r="Q46" s="1"/>
      <c r="R46" s="1"/>
      <c r="S46" s="1"/>
      <c r="T46" s="1"/>
      <c r="U46" s="1"/>
      <c r="V46" s="1"/>
      <c r="W46" s="1"/>
      <c r="X46" s="1"/>
      <c r="Y46" s="1"/>
      <c r="Z46" s="1"/>
      <c r="AA46" s="1"/>
      <c r="AB46" s="1"/>
      <c r="AC46" s="1"/>
      <c r="AD46" s="1"/>
      <c r="AE46" s="1"/>
      <c r="AF46" s="1"/>
      <c r="AG46" s="1"/>
      <c r="AH46" s="1"/>
      <c r="AI46" s="1"/>
      <c r="AJ46" s="1"/>
    </row>
    <row r="47" spans="1:36" x14ac:dyDescent="0.25">
      <c r="A47" s="79" t="str">
        <f>'Data shares'!B42</f>
        <v>Power</v>
      </c>
      <c r="B47" s="79" t="str">
        <f>'Data shares'!C42</f>
        <v>CGPOWER</v>
      </c>
      <c r="C47" s="4">
        <f>VLOOKUP($B47,'Data shares'!$C:$FB,7)</f>
        <v>721.25</v>
      </c>
      <c r="D47" s="82">
        <f>VLOOKUP($B47,'Data shares'!$C:$FB,98)</f>
        <v>27897850</v>
      </c>
      <c r="E47" s="165">
        <f>VLOOKUP(B47,'Snapshot (Volume)'!$A$7:$G$168,7,0)</f>
        <v>28177500</v>
      </c>
      <c r="F47" s="165">
        <f t="shared" si="14"/>
        <v>-279650</v>
      </c>
      <c r="G47" s="166">
        <f t="shared" si="15"/>
        <v>-9.9245852187028662E-3</v>
      </c>
      <c r="H47" s="165">
        <f>VLOOKUP($B47,'Data shares'!$C:$FB,66)</f>
        <v>20781650</v>
      </c>
      <c r="I47" s="165">
        <f>VLOOKUP($B47,'Data shares'!$C:$FB,67)</f>
        <v>14102350</v>
      </c>
      <c r="J47" s="81">
        <f t="shared" si="16"/>
        <v>47.36302814779097</v>
      </c>
      <c r="K47" s="5">
        <f>VLOOKUP($B47,'Data Vlaue (Cr)'!$C:$FB,99)</f>
        <v>2016</v>
      </c>
      <c r="L47" s="81">
        <f>VLOOKUP(B47,'OI(Value)'!$A$7:$C$209,3,0)</f>
        <v>-20</v>
      </c>
      <c r="M47" s="33">
        <f t="shared" si="12"/>
        <v>-0.99206349206349198</v>
      </c>
      <c r="N47" s="5">
        <f>VLOOKUP($B47,'Data Vlaue (Cr)'!$C:$FB,67)</f>
        <v>1502</v>
      </c>
      <c r="O47" s="5">
        <f>VLOOKUP($B47,'Data Vlaue (Cr)'!$C:$FB,68)</f>
        <v>1019</v>
      </c>
      <c r="P47" s="5">
        <f t="shared" si="17"/>
        <v>32.157123834886818</v>
      </c>
      <c r="Q47" s="1"/>
      <c r="R47" s="1"/>
      <c r="S47" s="1"/>
      <c r="T47" s="1"/>
      <c r="U47" s="1"/>
      <c r="V47" s="1"/>
      <c r="W47" s="1"/>
      <c r="X47" s="1"/>
      <c r="Y47" s="1"/>
      <c r="Z47" s="1"/>
      <c r="AA47" s="1"/>
      <c r="AB47" s="1"/>
      <c r="AC47" s="1"/>
      <c r="AD47" s="1"/>
      <c r="AE47" s="1"/>
      <c r="AF47" s="1"/>
      <c r="AG47" s="1"/>
      <c r="AH47" s="1"/>
      <c r="AI47" s="1"/>
      <c r="AJ47" s="1"/>
    </row>
    <row r="48" spans="1:36" x14ac:dyDescent="0.25">
      <c r="A48" s="79" t="str">
        <f>'Data shares'!B43</f>
        <v>Finance</v>
      </c>
      <c r="B48" s="79" t="str">
        <f>'Data shares'!C43</f>
        <v>CHOLAFIN</v>
      </c>
      <c r="C48" s="4">
        <f>VLOOKUP($B48,'Data shares'!$C:$FB,7)</f>
        <v>1703.2</v>
      </c>
      <c r="D48" s="82">
        <f>VLOOKUP($B48,'Data shares'!$C:$FB,98)</f>
        <v>21682500</v>
      </c>
      <c r="E48" s="165">
        <f>VLOOKUP(B48,'Snapshot (Volume)'!$A$7:$G$168,7,0)</f>
        <v>24564375</v>
      </c>
      <c r="F48" s="165">
        <f t="shared" si="14"/>
        <v>-2881875</v>
      </c>
      <c r="G48" s="166">
        <f t="shared" si="15"/>
        <v>-0.11731928860392336</v>
      </c>
      <c r="H48" s="165">
        <f>VLOOKUP($B48,'Data shares'!$C:$FB,66)</f>
        <v>23281250</v>
      </c>
      <c r="I48" s="165">
        <f>VLOOKUP($B48,'Data shares'!$C:$FB,67)</f>
        <v>15461250</v>
      </c>
      <c r="J48" s="81">
        <f t="shared" si="16"/>
        <v>50.578058048346676</v>
      </c>
      <c r="K48" s="5">
        <f>VLOOKUP($B48,'Data Vlaue (Cr)'!$C:$FB,99)</f>
        <v>3702</v>
      </c>
      <c r="L48" s="81">
        <f>VLOOKUP(B48,'OI(Value)'!$A$7:$C$209,3,0)</f>
        <v>-492</v>
      </c>
      <c r="M48" s="33">
        <f t="shared" si="12"/>
        <v>-13.290113452188008</v>
      </c>
      <c r="N48" s="5">
        <f>VLOOKUP($B48,'Data Vlaue (Cr)'!$C:$FB,67)</f>
        <v>3975</v>
      </c>
      <c r="O48" s="5">
        <f>VLOOKUP($B48,'Data Vlaue (Cr)'!$C:$FB,68)</f>
        <v>2640</v>
      </c>
      <c r="P48" s="5">
        <f t="shared" si="17"/>
        <v>33.584905660377359</v>
      </c>
      <c r="Q48" s="1"/>
      <c r="R48" s="1"/>
      <c r="S48" s="1"/>
      <c r="T48" s="1"/>
      <c r="U48" s="1"/>
      <c r="V48" s="1"/>
      <c r="W48" s="1"/>
      <c r="X48" s="1"/>
      <c r="Y48" s="1"/>
      <c r="Z48" s="1"/>
      <c r="AA48" s="1"/>
      <c r="AB48" s="1"/>
      <c r="AC48" s="1"/>
      <c r="AD48" s="1"/>
      <c r="AE48" s="1"/>
      <c r="AF48" s="1"/>
      <c r="AG48" s="1"/>
      <c r="AH48" s="1"/>
      <c r="AI48" s="1"/>
      <c r="AJ48" s="1"/>
    </row>
    <row r="49" spans="1:36" x14ac:dyDescent="0.25">
      <c r="A49" s="79" t="str">
        <f>'Data shares'!B44</f>
        <v>Pharma</v>
      </c>
      <c r="B49" s="79" t="str">
        <f>'Data shares'!C44</f>
        <v>CIPLA</v>
      </c>
      <c r="C49" s="4">
        <f>VLOOKUP($B49,'Data shares'!$C:$FB,7)</f>
        <v>1529.2</v>
      </c>
      <c r="D49" s="82">
        <f>VLOOKUP($B49,'Data shares'!$C:$FB,98)</f>
        <v>28321500</v>
      </c>
      <c r="E49" s="165">
        <f>VLOOKUP(B49,'Snapshot (Volume)'!$A$7:$G$168,7,0)</f>
        <v>29697375</v>
      </c>
      <c r="F49" s="165">
        <f t="shared" si="14"/>
        <v>-1375875</v>
      </c>
      <c r="G49" s="166">
        <f t="shared" si="15"/>
        <v>-4.6329852385943199E-2</v>
      </c>
      <c r="H49" s="165">
        <f>VLOOKUP($B49,'Data shares'!$C:$FB,66)</f>
        <v>17790000</v>
      </c>
      <c r="I49" s="165">
        <f>VLOOKUP($B49,'Data shares'!$C:$FB,67)</f>
        <v>15349875</v>
      </c>
      <c r="J49" s="81">
        <f t="shared" si="16"/>
        <v>15.896709256590039</v>
      </c>
      <c r="K49" s="5">
        <f>VLOOKUP($B49,'Data Vlaue (Cr)'!$C:$FB,99)</f>
        <v>4333</v>
      </c>
      <c r="L49" s="81">
        <f>VLOOKUP(B49,'OI(Value)'!$A$7:$C$209,3,0)</f>
        <v>-211</v>
      </c>
      <c r="M49" s="33">
        <f t="shared" si="12"/>
        <v>-4.8696053542580202</v>
      </c>
      <c r="N49" s="5">
        <f>VLOOKUP($B49,'Data Vlaue (Cr)'!$C:$FB,67)</f>
        <v>2722</v>
      </c>
      <c r="O49" s="5">
        <f>VLOOKUP($B49,'Data Vlaue (Cr)'!$C:$FB,68)</f>
        <v>2349</v>
      </c>
      <c r="P49" s="5">
        <f t="shared" si="17"/>
        <v>13.703159441587069</v>
      </c>
      <c r="Q49" s="1"/>
      <c r="R49" s="1"/>
      <c r="S49" s="1"/>
      <c r="T49" s="1"/>
      <c r="U49" s="1"/>
      <c r="V49" s="1"/>
      <c r="W49" s="1"/>
      <c r="X49" s="1"/>
      <c r="Y49" s="1"/>
      <c r="Z49" s="1"/>
      <c r="AA49" s="1"/>
      <c r="AB49" s="1"/>
      <c r="AC49" s="1"/>
      <c r="AD49" s="1"/>
      <c r="AE49" s="1"/>
      <c r="AF49" s="1"/>
      <c r="AG49" s="1"/>
      <c r="AH49" s="1"/>
      <c r="AI49" s="1"/>
      <c r="AJ49" s="1"/>
    </row>
    <row r="50" spans="1:36" x14ac:dyDescent="0.25">
      <c r="A50" s="79" t="str">
        <f>'Data shares'!B45</f>
        <v>Metals</v>
      </c>
      <c r="B50" s="79" t="str">
        <f>'Data shares'!C45</f>
        <v>COALINDIA</v>
      </c>
      <c r="C50" s="4">
        <f>VLOOKUP($B50,'Data shares'!$C:$FB,7)</f>
        <v>379.65</v>
      </c>
      <c r="D50" s="82">
        <f>VLOOKUP($B50,'Data shares'!$C:$FB,98)</f>
        <v>110236950</v>
      </c>
      <c r="E50" s="165">
        <f>VLOOKUP(B50,'Snapshot (Volume)'!$A$7:$G$168,7,0)</f>
        <v>110956500</v>
      </c>
      <c r="F50" s="165">
        <f>D50-E50</f>
        <v>-719550</v>
      </c>
      <c r="G50" s="166">
        <f>F50/E50</f>
        <v>-6.4849738410998909E-3</v>
      </c>
      <c r="H50" s="165">
        <f>VLOOKUP($B50,'Data shares'!$C:$FB,66)</f>
        <v>53377650</v>
      </c>
      <c r="I50" s="165">
        <f>VLOOKUP($B50,'Data shares'!$C:$FB,67)</f>
        <v>41077800</v>
      </c>
      <c r="J50" s="81">
        <f>(H50-I50)/I50*100</f>
        <v>29.942815827527276</v>
      </c>
      <c r="K50" s="5">
        <f>VLOOKUP($B50,'Data Vlaue (Cr)'!$C:$FB,99)</f>
        <v>4195</v>
      </c>
      <c r="L50" s="81">
        <f>VLOOKUP(B50,'OI(Value)'!$A$7:$C$209,3,0)</f>
        <v>-27</v>
      </c>
      <c r="M50" s="33">
        <f t="shared" si="12"/>
        <v>-0.64362336114421936</v>
      </c>
      <c r="N50" s="5">
        <f>VLOOKUP($B50,'Data Vlaue (Cr)'!$C:$FB,67)</f>
        <v>2031</v>
      </c>
      <c r="O50" s="5">
        <f>VLOOKUP($B50,'Data Vlaue (Cr)'!$C:$FB,68)</f>
        <v>1563</v>
      </c>
      <c r="P50" s="5">
        <f>(N50-O50)/N50*100</f>
        <v>23.042836041358935</v>
      </c>
      <c r="Q50" s="1"/>
      <c r="R50" s="1"/>
      <c r="S50" s="1"/>
      <c r="T50" s="1"/>
      <c r="U50" s="1"/>
      <c r="V50" s="1"/>
      <c r="W50" s="1"/>
      <c r="X50" s="1"/>
      <c r="Y50" s="1"/>
      <c r="Z50" s="1"/>
      <c r="AA50" s="1"/>
      <c r="AB50" s="1"/>
      <c r="AC50" s="1"/>
      <c r="AD50" s="1"/>
      <c r="AE50" s="1"/>
      <c r="AF50" s="1"/>
      <c r="AG50" s="1"/>
      <c r="AH50" s="1"/>
      <c r="AI50" s="1"/>
      <c r="AJ50" s="1"/>
    </row>
    <row r="51" spans="1:36" x14ac:dyDescent="0.25">
      <c r="A51" s="79" t="str">
        <f>'Data shares'!B46</f>
        <v>Technology</v>
      </c>
      <c r="B51" s="79" t="str">
        <f>'Data shares'!C46</f>
        <v>COFORGE</v>
      </c>
      <c r="C51" s="4">
        <f>VLOOKUP($B51,'Data shares'!$C:$FB,7)</f>
        <v>1846.1</v>
      </c>
      <c r="D51" s="82">
        <f>VLOOKUP($B51,'Data shares'!$C:$FB,98)</f>
        <v>21657000</v>
      </c>
      <c r="E51" s="165">
        <f>VLOOKUP(B51,'Snapshot (Volume)'!$A$7:$G$168,7,0)</f>
        <v>22201500</v>
      </c>
      <c r="F51" s="165">
        <f>D51-E51</f>
        <v>-544500</v>
      </c>
      <c r="G51" s="166">
        <f>F51/E51</f>
        <v>-2.4525369907438685E-2</v>
      </c>
      <c r="H51" s="165">
        <f>VLOOKUP($B51,'Data shares'!$C:$FB,66)</f>
        <v>38726625</v>
      </c>
      <c r="I51" s="165">
        <f>VLOOKUP($B51,'Data shares'!$C:$FB,67)</f>
        <v>44969625</v>
      </c>
      <c r="J51" s="81">
        <f>(H51-I51)/I51*100</f>
        <v>-13.882704158640417</v>
      </c>
      <c r="K51" s="5">
        <f>VLOOKUP($B51,'Data Vlaue (Cr)'!$C:$FB,99)</f>
        <v>4006</v>
      </c>
      <c r="L51" s="81">
        <f>VLOOKUP(B51,'OI(Value)'!$A$7:$C$209,3,0)</f>
        <v>-101</v>
      </c>
      <c r="M51" s="33">
        <f t="shared" si="12"/>
        <v>-2.5212181727408889</v>
      </c>
      <c r="N51" s="5">
        <f>VLOOKUP($B51,'Data Vlaue (Cr)'!$C:$FB,67)</f>
        <v>7163</v>
      </c>
      <c r="O51" s="5">
        <f>VLOOKUP($B51,'Data Vlaue (Cr)'!$C:$FB,68)</f>
        <v>8318</v>
      </c>
      <c r="P51" s="5">
        <f>(N51-O51)/N51*100</f>
        <v>-16.12452882870306</v>
      </c>
      <c r="Q51" s="1"/>
      <c r="R51" s="1"/>
      <c r="S51" s="1"/>
      <c r="T51" s="1"/>
      <c r="U51" s="1"/>
      <c r="V51" s="1"/>
      <c r="W51" s="1"/>
      <c r="X51" s="1"/>
      <c r="Y51" s="1"/>
      <c r="Z51" s="1"/>
      <c r="AA51" s="1"/>
      <c r="AB51" s="1"/>
      <c r="AC51" s="1"/>
      <c r="AD51" s="1"/>
      <c r="AE51" s="1"/>
      <c r="AF51" s="1"/>
      <c r="AG51" s="1"/>
      <c r="AH51" s="1"/>
      <c r="AI51" s="1"/>
      <c r="AJ51" s="1"/>
    </row>
    <row r="52" spans="1:36" x14ac:dyDescent="0.25">
      <c r="A52" s="79" t="str">
        <f>'Data shares'!B47</f>
        <v>FMCG</v>
      </c>
      <c r="B52" s="79" t="str">
        <f>'Data shares'!C47</f>
        <v>COLPAL</v>
      </c>
      <c r="C52" s="79">
        <f>VLOOKUP($B52,'Data shares'!$C:$FB,7)</f>
        <v>2179.6999999999998</v>
      </c>
      <c r="D52" s="80">
        <f>VLOOKUP($B52,'Data shares'!$C:$FB,98)</f>
        <v>11130525</v>
      </c>
      <c r="E52" s="165">
        <f>VLOOKUP(B52,'Snapshot (Volume)'!$A$7:$G$168,7,0)</f>
        <v>11662875</v>
      </c>
      <c r="F52" s="165">
        <f t="shared" ref="F52:F68" si="18">D52-E52</f>
        <v>-532350</v>
      </c>
      <c r="G52" s="166">
        <f t="shared" ref="G52:G68" si="19">F52/E52</f>
        <v>-4.5644834571235651E-2</v>
      </c>
      <c r="H52" s="165">
        <f>VLOOKUP($B52,'Data shares'!$C:$FB,66)</f>
        <v>13662225</v>
      </c>
      <c r="I52" s="165">
        <f>VLOOKUP($B52,'Data shares'!$C:$FB,67)</f>
        <v>2890575</v>
      </c>
      <c r="J52" s="81">
        <f t="shared" ref="J52:J68" si="20">(H52-I52)/I52*100</f>
        <v>372.64731065618435</v>
      </c>
      <c r="K52" s="81">
        <f>VLOOKUP($B52,'Data Vlaue (Cr)'!$C:$FB,99)</f>
        <v>2432</v>
      </c>
      <c r="L52" s="81">
        <f>VLOOKUP(B52,'OI(Value)'!$A$7:$C$209,3,0)</f>
        <v>-116</v>
      </c>
      <c r="M52" s="81">
        <f t="shared" si="12"/>
        <v>-4.7697368421052637</v>
      </c>
      <c r="N52" s="81">
        <f>VLOOKUP($B52,'Data Vlaue (Cr)'!$C:$FB,67)</f>
        <v>2985</v>
      </c>
      <c r="O52" s="81">
        <f>VLOOKUP($B52,'Data Vlaue (Cr)'!$C:$FB,68)</f>
        <v>632</v>
      </c>
      <c r="P52" s="81">
        <f t="shared" ref="P52:P68" si="21">(N52-O52)/N52*100</f>
        <v>78.827470686767171</v>
      </c>
      <c r="Q52" s="1"/>
      <c r="R52" s="1"/>
      <c r="S52" s="1"/>
      <c r="T52" s="1"/>
      <c r="U52" s="1"/>
      <c r="V52" s="1"/>
      <c r="W52" s="1"/>
      <c r="X52" s="1"/>
      <c r="Y52" s="1"/>
      <c r="Z52" s="1"/>
      <c r="AA52" s="1"/>
      <c r="AB52" s="1"/>
      <c r="AC52" s="1"/>
      <c r="AD52" s="1"/>
      <c r="AE52" s="1"/>
      <c r="AF52" s="1"/>
      <c r="AG52" s="1"/>
      <c r="AH52" s="1"/>
      <c r="AI52" s="1"/>
      <c r="AJ52" s="1"/>
    </row>
    <row r="53" spans="1:36" x14ac:dyDescent="0.25">
      <c r="A53" s="79" t="str">
        <f>'Data shares'!B48</f>
        <v>Infrastructure</v>
      </c>
      <c r="B53" s="79" t="str">
        <f>'Data shares'!C48</f>
        <v>CONCOR</v>
      </c>
      <c r="C53" s="4">
        <f>VLOOKUP($B53,'Data shares'!$C:$FB,7)</f>
        <v>515.4</v>
      </c>
      <c r="D53" s="82">
        <f>VLOOKUP($B53,'Data shares'!$C:$FB,98)</f>
        <v>68085000</v>
      </c>
      <c r="E53" s="165">
        <f>VLOOKUP(B53,'Snapshot (Volume)'!$A$7:$G$168,7,0)</f>
        <v>69292500</v>
      </c>
      <c r="F53" s="165">
        <f t="shared" si="18"/>
        <v>-1207500</v>
      </c>
      <c r="G53" s="166">
        <f t="shared" si="19"/>
        <v>-1.7426128368871089E-2</v>
      </c>
      <c r="H53" s="165">
        <f>VLOOKUP($B53,'Data shares'!$C:$FB,66)</f>
        <v>45182500</v>
      </c>
      <c r="I53" s="165">
        <f>VLOOKUP($B53,'Data shares'!$C:$FB,67)</f>
        <v>38693750</v>
      </c>
      <c r="J53" s="81">
        <f t="shared" si="20"/>
        <v>16.769504118882246</v>
      </c>
      <c r="K53" s="5">
        <f>VLOOKUP($B53,'Data Vlaue (Cr)'!$C:$FB,99)</f>
        <v>3513</v>
      </c>
      <c r="L53" s="81">
        <f>VLOOKUP(B53,'OI(Value)'!$A$7:$C$209,3,0)</f>
        <v>-62</v>
      </c>
      <c r="M53" s="33">
        <f t="shared" si="12"/>
        <v>-1.7648733276401936</v>
      </c>
      <c r="N53" s="5">
        <f>VLOOKUP($B53,'Data Vlaue (Cr)'!$C:$FB,67)</f>
        <v>2331</v>
      </c>
      <c r="O53" s="5">
        <f>VLOOKUP($B53,'Data Vlaue (Cr)'!$C:$FB,68)</f>
        <v>1997</v>
      </c>
      <c r="P53" s="5">
        <f t="shared" si="21"/>
        <v>14.328614328614329</v>
      </c>
      <c r="Q53" s="1"/>
      <c r="R53" s="1"/>
      <c r="S53" s="1"/>
      <c r="T53" s="1"/>
      <c r="U53" s="1"/>
      <c r="V53" s="1"/>
      <c r="W53" s="1"/>
      <c r="X53" s="1"/>
      <c r="Y53" s="1"/>
      <c r="Z53" s="1"/>
      <c r="AA53" s="1"/>
      <c r="AB53" s="1"/>
      <c r="AC53" s="1"/>
      <c r="AD53" s="1"/>
      <c r="AE53" s="1"/>
      <c r="AF53" s="1"/>
      <c r="AG53" s="1"/>
      <c r="AH53" s="1"/>
      <c r="AI53" s="1"/>
      <c r="AJ53" s="1"/>
    </row>
    <row r="54" spans="1:36" x14ac:dyDescent="0.25">
      <c r="A54" s="79" t="str">
        <f>'Data shares'!B49</f>
        <v>Capital_Goods</v>
      </c>
      <c r="B54" s="79" t="str">
        <f>'Data shares'!C49</f>
        <v>CROMPTON</v>
      </c>
      <c r="C54" s="4">
        <f>VLOOKUP($B54,'Data shares'!$C:$FB,7)</f>
        <v>270</v>
      </c>
      <c r="D54" s="82">
        <f>VLOOKUP($B54,'Data shares'!$C:$FB,98)</f>
        <v>97356600</v>
      </c>
      <c r="E54" s="165">
        <f>VLOOKUP(B54,'Snapshot (Volume)'!$A$7:$G$168,7,0)</f>
        <v>97574400</v>
      </c>
      <c r="F54" s="165">
        <f t="shared" si="18"/>
        <v>-217800</v>
      </c>
      <c r="G54" s="166">
        <f t="shared" si="19"/>
        <v>-2.232142857142857E-3</v>
      </c>
      <c r="H54" s="165">
        <f>VLOOKUP($B54,'Data shares'!$C:$FB,66)</f>
        <v>46134000</v>
      </c>
      <c r="I54" s="165">
        <f>VLOOKUP($B54,'Data shares'!$C:$FB,67)</f>
        <v>23490000</v>
      </c>
      <c r="J54" s="81">
        <f t="shared" si="20"/>
        <v>96.398467432950198</v>
      </c>
      <c r="K54" s="5">
        <f>VLOOKUP($B54,'Data Vlaue (Cr)'!$C:$FB,99)</f>
        <v>2628</v>
      </c>
      <c r="L54" s="81">
        <f>VLOOKUP(B54,'OI(Value)'!$A$7:$C$209,3,0)</f>
        <v>-6</v>
      </c>
      <c r="M54" s="33">
        <f t="shared" si="12"/>
        <v>-0.22831050228310501</v>
      </c>
      <c r="N54" s="5">
        <f>VLOOKUP($B54,'Data Vlaue (Cr)'!$C:$FB,67)</f>
        <v>1245</v>
      </c>
      <c r="O54" s="5">
        <f>VLOOKUP($B54,'Data Vlaue (Cr)'!$C:$FB,68)</f>
        <v>634</v>
      </c>
      <c r="P54" s="5">
        <f t="shared" si="21"/>
        <v>49.076305220883533</v>
      </c>
      <c r="Q54" s="1"/>
      <c r="R54" s="1"/>
      <c r="S54" s="1"/>
      <c r="T54" s="1"/>
      <c r="U54" s="1"/>
      <c r="V54" s="1"/>
      <c r="W54" s="1"/>
      <c r="X54" s="1"/>
      <c r="Y54" s="1"/>
      <c r="Z54" s="1"/>
      <c r="AA54" s="1"/>
      <c r="AB54" s="1"/>
      <c r="AC54" s="1"/>
      <c r="AD54" s="1"/>
      <c r="AE54" s="1"/>
      <c r="AF54" s="1"/>
      <c r="AG54" s="1"/>
      <c r="AH54" s="1"/>
      <c r="AI54" s="1"/>
      <c r="AJ54" s="1"/>
    </row>
    <row r="55" spans="1:36" x14ac:dyDescent="0.25">
      <c r="A55" s="79" t="str">
        <f>'Data shares'!B50</f>
        <v>Capital_Goods</v>
      </c>
      <c r="B55" s="79" t="str">
        <f>'Data shares'!C50</f>
        <v>CUMMINSIND</v>
      </c>
      <c r="C55" s="4">
        <f>VLOOKUP($B55,'Data shares'!$C:$FB,7)</f>
        <v>4375.7</v>
      </c>
      <c r="D55" s="82">
        <f>VLOOKUP($B55,'Data shares'!$C:$FB,98)</f>
        <v>5956000</v>
      </c>
      <c r="E55" s="165">
        <f>VLOOKUP(B55,'Snapshot (Volume)'!$A$7:$G$168,7,0)</f>
        <v>5850600</v>
      </c>
      <c r="F55" s="165">
        <f t="shared" si="18"/>
        <v>105400</v>
      </c>
      <c r="G55" s="166">
        <f t="shared" si="19"/>
        <v>1.8015246299524834E-2</v>
      </c>
      <c r="H55" s="165">
        <f>VLOOKUP($B55,'Data shares'!$C:$FB,66)</f>
        <v>21533400</v>
      </c>
      <c r="I55" s="165">
        <f>VLOOKUP($B55,'Data shares'!$C:$FB,67)</f>
        <v>7650200</v>
      </c>
      <c r="J55" s="81">
        <f t="shared" si="20"/>
        <v>181.47499411780083</v>
      </c>
      <c r="K55" s="5">
        <f>VLOOKUP($B55,'Data Vlaue (Cr)'!$C:$FB,99)</f>
        <v>2609</v>
      </c>
      <c r="L55" s="81">
        <f>VLOOKUP(B55,'OI(Value)'!$A$7:$C$209,3,0)</f>
        <v>46</v>
      </c>
      <c r="M55" s="33">
        <f t="shared" si="12"/>
        <v>1.7631276351092371</v>
      </c>
      <c r="N55" s="5">
        <f>VLOOKUP($B55,'Data Vlaue (Cr)'!$C:$FB,67)</f>
        <v>9433</v>
      </c>
      <c r="O55" s="5">
        <f>VLOOKUP($B55,'Data Vlaue (Cr)'!$C:$FB,68)</f>
        <v>3351</v>
      </c>
      <c r="P55" s="5">
        <f t="shared" si="21"/>
        <v>64.475776529205973</v>
      </c>
      <c r="Q55" s="1"/>
      <c r="R55" s="1"/>
      <c r="S55" s="1"/>
      <c r="T55" s="1"/>
      <c r="U55" s="1"/>
      <c r="V55" s="1"/>
      <c r="W55" s="1"/>
      <c r="X55" s="1"/>
      <c r="Y55" s="1"/>
      <c r="Z55" s="1"/>
      <c r="AA55" s="1"/>
      <c r="AB55" s="1"/>
      <c r="AC55" s="1"/>
      <c r="AD55" s="1"/>
      <c r="AE55" s="1"/>
      <c r="AF55" s="1"/>
      <c r="AG55" s="1"/>
      <c r="AH55" s="1"/>
      <c r="AI55" s="1"/>
      <c r="AJ55" s="1"/>
    </row>
    <row r="56" spans="1:36" x14ac:dyDescent="0.25">
      <c r="A56" s="79" t="str">
        <f>'Data shares'!B51</f>
        <v>Technology</v>
      </c>
      <c r="B56" s="79" t="str">
        <f>'Data shares'!C51</f>
        <v>CYIENT</v>
      </c>
      <c r="C56" s="4">
        <f>VLOOKUP($B56,'Data shares'!$C:$FB,7)</f>
        <v>1148.9000000000001</v>
      </c>
      <c r="D56" s="82">
        <f>VLOOKUP($B56,'Data shares'!$C:$FB,98)</f>
        <v>8384400</v>
      </c>
      <c r="E56" s="165">
        <f>VLOOKUP(B56,'Snapshot (Volume)'!$A$7:$G$168,7,0)</f>
        <v>8643650</v>
      </c>
      <c r="F56" s="165">
        <f t="shared" si="18"/>
        <v>-259250</v>
      </c>
      <c r="G56" s="166">
        <f t="shared" si="19"/>
        <v>-2.9993116333956141E-2</v>
      </c>
      <c r="H56" s="165">
        <f>VLOOKUP($B56,'Data shares'!$C:$FB,66)</f>
        <v>4470150</v>
      </c>
      <c r="I56" s="165">
        <f>VLOOKUP($B56,'Data shares'!$C:$FB,67)</f>
        <v>8834050</v>
      </c>
      <c r="J56" s="81">
        <f t="shared" si="20"/>
        <v>-49.398633695756757</v>
      </c>
      <c r="K56" s="5">
        <f>VLOOKUP($B56,'Data Vlaue (Cr)'!$C:$FB,99)</f>
        <v>963</v>
      </c>
      <c r="L56" s="81">
        <f>VLOOKUP(B56,'OI(Value)'!$A$7:$C$209,3,0)</f>
        <v>-30</v>
      </c>
      <c r="M56" s="33">
        <f t="shared" si="12"/>
        <v>-3.1152647975077881</v>
      </c>
      <c r="N56" s="5">
        <f>VLOOKUP($B56,'Data Vlaue (Cr)'!$C:$FB,67)</f>
        <v>513</v>
      </c>
      <c r="O56" s="5">
        <f>VLOOKUP($B56,'Data Vlaue (Cr)'!$C:$FB,68)</f>
        <v>1014</v>
      </c>
      <c r="P56" s="5">
        <f t="shared" si="21"/>
        <v>-97.660818713450297</v>
      </c>
      <c r="Q56" s="1"/>
      <c r="R56" s="1"/>
      <c r="S56" s="1"/>
      <c r="T56" s="1"/>
      <c r="U56" s="1"/>
      <c r="V56" s="1"/>
      <c r="W56" s="1"/>
      <c r="X56" s="1"/>
      <c r="Y56" s="1"/>
      <c r="Z56" s="1"/>
      <c r="AA56" s="1"/>
      <c r="AB56" s="1"/>
      <c r="AC56" s="1"/>
      <c r="AD56" s="1"/>
      <c r="AE56" s="1"/>
      <c r="AF56" s="1"/>
      <c r="AG56" s="1"/>
      <c r="AH56" s="1"/>
      <c r="AI56" s="1"/>
      <c r="AJ56" s="1"/>
    </row>
    <row r="57" spans="1:36" x14ac:dyDescent="0.25">
      <c r="A57" s="79" t="str">
        <f>'Data shares'!B52</f>
        <v>FMCG</v>
      </c>
      <c r="B57" s="79" t="str">
        <f>'Data shares'!C52</f>
        <v>DABUR</v>
      </c>
      <c r="C57" s="4">
        <f>VLOOKUP($B57,'Data shares'!$C:$FB,7)</f>
        <v>525.04999999999995</v>
      </c>
      <c r="D57" s="82">
        <f>VLOOKUP($B57,'Data shares'!$C:$FB,98)</f>
        <v>51571250</v>
      </c>
      <c r="E57" s="165">
        <f>VLOOKUP(B57,'Snapshot (Volume)'!$A$7:$G$168,7,0)</f>
        <v>54447500</v>
      </c>
      <c r="F57" s="165">
        <f t="shared" si="18"/>
        <v>-2876250</v>
      </c>
      <c r="G57" s="166">
        <f t="shared" si="19"/>
        <v>-5.2826116901602459E-2</v>
      </c>
      <c r="H57" s="165">
        <f>VLOOKUP($B57,'Data shares'!$C:$FB,66)</f>
        <v>44393750</v>
      </c>
      <c r="I57" s="165">
        <f>VLOOKUP($B57,'Data shares'!$C:$FB,67)</f>
        <v>28993750</v>
      </c>
      <c r="J57" s="81">
        <f t="shared" si="20"/>
        <v>53.114895451605946</v>
      </c>
      <c r="K57" s="5">
        <f>VLOOKUP($B57,'Data Vlaue (Cr)'!$C:$FB,99)</f>
        <v>2705</v>
      </c>
      <c r="L57" s="81">
        <f>VLOOKUP(B57,'OI(Value)'!$A$7:$C$209,3,0)</f>
        <v>-151</v>
      </c>
      <c r="M57" s="33">
        <f t="shared" si="12"/>
        <v>-5.5822550831792972</v>
      </c>
      <c r="N57" s="5">
        <f>VLOOKUP($B57,'Data Vlaue (Cr)'!$C:$FB,67)</f>
        <v>2329</v>
      </c>
      <c r="O57" s="5">
        <f>VLOOKUP($B57,'Data Vlaue (Cr)'!$C:$FB,68)</f>
        <v>1521</v>
      </c>
      <c r="P57" s="5">
        <f t="shared" si="21"/>
        <v>34.693001288106487</v>
      </c>
      <c r="Q57" s="1"/>
      <c r="R57" s="1"/>
      <c r="S57" s="1"/>
      <c r="T57" s="1"/>
      <c r="U57" s="1"/>
      <c r="V57" s="1"/>
      <c r="W57" s="1"/>
      <c r="X57" s="1"/>
      <c r="Y57" s="1"/>
      <c r="Z57" s="1"/>
      <c r="AA57" s="1"/>
      <c r="AB57" s="1"/>
      <c r="AC57" s="1"/>
      <c r="AD57" s="1"/>
      <c r="AE57" s="1"/>
      <c r="AF57" s="1"/>
      <c r="AG57" s="1"/>
      <c r="AH57" s="1"/>
      <c r="AI57" s="1"/>
      <c r="AJ57" s="1"/>
    </row>
    <row r="58" spans="1:36" x14ac:dyDescent="0.25">
      <c r="A58" s="79" t="str">
        <f>'Data shares'!B53</f>
        <v>Cement</v>
      </c>
      <c r="B58" s="79" t="str">
        <f>'Data shares'!C53</f>
        <v>DALBHARAT</v>
      </c>
      <c r="C58" s="4">
        <f>VLOOKUP($B58,'Data shares'!$C:$FB,7)</f>
        <v>2012.1</v>
      </c>
      <c r="D58" s="82">
        <f>VLOOKUP($B58,'Data shares'!$C:$FB,98)</f>
        <v>4920500</v>
      </c>
      <c r="E58" s="165">
        <f>VLOOKUP(B58,'Snapshot (Volume)'!$A$7:$G$168,7,0)</f>
        <v>5093075</v>
      </c>
      <c r="F58" s="165">
        <f t="shared" si="18"/>
        <v>-172575</v>
      </c>
      <c r="G58" s="166">
        <f t="shared" si="19"/>
        <v>-3.3884244783357796E-2</v>
      </c>
      <c r="H58" s="165">
        <f>VLOOKUP($B58,'Data shares'!$C:$FB,66)</f>
        <v>2062125</v>
      </c>
      <c r="I58" s="165">
        <f>VLOOKUP($B58,'Data shares'!$C:$FB,67)</f>
        <v>4466150</v>
      </c>
      <c r="J58" s="81">
        <f t="shared" si="20"/>
        <v>-53.827681560180473</v>
      </c>
      <c r="K58" s="5">
        <f>VLOOKUP($B58,'Data Vlaue (Cr)'!$C:$FB,99)</f>
        <v>992</v>
      </c>
      <c r="L58" s="81">
        <f>VLOOKUP(B58,'OI(Value)'!$A$7:$C$209,3,0)</f>
        <v>-35</v>
      </c>
      <c r="M58" s="33">
        <f t="shared" si="12"/>
        <v>-3.5282258064516134</v>
      </c>
      <c r="N58" s="5">
        <f>VLOOKUP($B58,'Data Vlaue (Cr)'!$C:$FB,67)</f>
        <v>416</v>
      </c>
      <c r="O58" s="5">
        <f>VLOOKUP($B58,'Data Vlaue (Cr)'!$C:$FB,68)</f>
        <v>901</v>
      </c>
      <c r="P58" s="5">
        <f t="shared" si="21"/>
        <v>-116.58653846153845</v>
      </c>
      <c r="Q58" s="1"/>
      <c r="R58" s="1"/>
      <c r="S58" s="1"/>
      <c r="T58" s="1"/>
      <c r="U58" s="1"/>
      <c r="V58" s="1"/>
      <c r="W58" s="1"/>
      <c r="X58" s="1"/>
      <c r="Y58" s="1"/>
      <c r="Z58" s="1"/>
      <c r="AA58" s="1"/>
      <c r="AB58" s="1"/>
      <c r="AC58" s="1"/>
      <c r="AD58" s="1"/>
      <c r="AE58" s="1"/>
      <c r="AF58" s="1"/>
      <c r="AG58" s="1"/>
      <c r="AH58" s="1"/>
      <c r="AI58" s="1"/>
      <c r="AJ58" s="1"/>
    </row>
    <row r="59" spans="1:36" x14ac:dyDescent="0.25">
      <c r="A59" s="79" t="str">
        <f>'Data shares'!B54</f>
        <v>New_Age</v>
      </c>
      <c r="B59" s="79" t="str">
        <f>'Data shares'!C54</f>
        <v>DELHIVERY</v>
      </c>
      <c r="C59" s="4">
        <f>VLOOKUP($B59,'Data shares'!$C:$FB,7)</f>
        <v>426</v>
      </c>
      <c r="D59" s="82">
        <f>VLOOKUP($B59,'Data shares'!$C:$FB,98)</f>
        <v>53867000</v>
      </c>
      <c r="E59" s="165">
        <f>VLOOKUP(B59,'Snapshot (Volume)'!$A$7:$G$168,7,0)</f>
        <v>58587625</v>
      </c>
      <c r="F59" s="165">
        <f t="shared" si="18"/>
        <v>-4720625</v>
      </c>
      <c r="G59" s="166">
        <f t="shared" si="19"/>
        <v>-8.057375597662475E-2</v>
      </c>
      <c r="H59" s="165">
        <f>VLOOKUP($B59,'Data shares'!$C:$FB,66)</f>
        <v>51491125</v>
      </c>
      <c r="I59" s="165">
        <f>VLOOKUP($B59,'Data shares'!$C:$FB,67)</f>
        <v>52553525</v>
      </c>
      <c r="J59" s="81">
        <f t="shared" si="20"/>
        <v>-2.0215580210842186</v>
      </c>
      <c r="K59" s="5">
        <f>VLOOKUP($B59,'Data Vlaue (Cr)'!$C:$FB,99)</f>
        <v>2299</v>
      </c>
      <c r="L59" s="81">
        <f>VLOOKUP(B59,'OI(Value)'!$A$7:$C$209,3,0)</f>
        <v>-201</v>
      </c>
      <c r="M59" s="33">
        <f t="shared" si="12"/>
        <v>-8.7429317094388868</v>
      </c>
      <c r="N59" s="5">
        <f>VLOOKUP($B59,'Data Vlaue (Cr)'!$C:$FB,67)</f>
        <v>2197</v>
      </c>
      <c r="O59" s="5">
        <f>VLOOKUP($B59,'Data Vlaue (Cr)'!$C:$FB,68)</f>
        <v>2242</v>
      </c>
      <c r="P59" s="5">
        <f t="shared" si="21"/>
        <v>-2.0482476103777878</v>
      </c>
      <c r="Q59" s="1"/>
      <c r="R59" s="1"/>
      <c r="S59" s="1"/>
      <c r="T59" s="1"/>
      <c r="U59" s="1"/>
      <c r="V59" s="1"/>
      <c r="W59" s="1"/>
      <c r="X59" s="1"/>
      <c r="Y59" s="1"/>
      <c r="Z59" s="1"/>
      <c r="AA59" s="1"/>
      <c r="AB59" s="1"/>
      <c r="AC59" s="1"/>
      <c r="AD59" s="1"/>
      <c r="AE59" s="1"/>
      <c r="AF59" s="1"/>
      <c r="AG59" s="1"/>
      <c r="AH59" s="1"/>
      <c r="AI59" s="1"/>
      <c r="AJ59" s="1"/>
    </row>
    <row r="60" spans="1:36" x14ac:dyDescent="0.25">
      <c r="A60" s="79" t="str">
        <f>'Data shares'!B55</f>
        <v>Pharma</v>
      </c>
      <c r="B60" s="79" t="str">
        <f>'Data shares'!C55</f>
        <v>DIVISLAB</v>
      </c>
      <c r="C60" s="4">
        <f>VLOOKUP($B60,'Data shares'!$C:$FB,7)</f>
        <v>6462.5</v>
      </c>
      <c r="D60" s="82">
        <f>VLOOKUP($B60,'Data shares'!$C:$FB,98)</f>
        <v>7023000</v>
      </c>
      <c r="E60" s="165">
        <f>VLOOKUP(B60,'Snapshot (Volume)'!$A$7:$G$168,7,0)</f>
        <v>7342800</v>
      </c>
      <c r="F60" s="165">
        <f t="shared" si="18"/>
        <v>-319800</v>
      </c>
      <c r="G60" s="166">
        <f t="shared" si="19"/>
        <v>-4.3552868115705183E-2</v>
      </c>
      <c r="H60" s="165">
        <f>VLOOKUP($B60,'Data shares'!$C:$FB,66)</f>
        <v>3558900</v>
      </c>
      <c r="I60" s="165">
        <f>VLOOKUP($B60,'Data shares'!$C:$FB,67)</f>
        <v>3440200</v>
      </c>
      <c r="J60" s="81">
        <f t="shared" si="20"/>
        <v>3.4503807918144296</v>
      </c>
      <c r="K60" s="5">
        <f>VLOOKUP($B60,'Data Vlaue (Cr)'!$C:$FB,99)</f>
        <v>4536</v>
      </c>
      <c r="L60" s="81">
        <f>VLOOKUP(B60,'OI(Value)'!$A$7:$C$209,3,0)</f>
        <v>-207</v>
      </c>
      <c r="M60" s="33">
        <f t="shared" si="12"/>
        <v>-4.5634920634920633</v>
      </c>
      <c r="N60" s="5">
        <f>VLOOKUP($B60,'Data Vlaue (Cr)'!$C:$FB,67)</f>
        <v>2299</v>
      </c>
      <c r="O60" s="5">
        <f>VLOOKUP($B60,'Data Vlaue (Cr)'!$C:$FB,68)</f>
        <v>2222</v>
      </c>
      <c r="P60" s="5">
        <f t="shared" si="21"/>
        <v>3.3492822966507179</v>
      </c>
      <c r="Q60" s="1"/>
      <c r="R60" s="1"/>
      <c r="S60" s="1"/>
      <c r="T60" s="1"/>
      <c r="U60" s="1"/>
      <c r="V60" s="1"/>
      <c r="W60" s="1"/>
      <c r="X60" s="1"/>
      <c r="Y60" s="1"/>
      <c r="Z60" s="1"/>
      <c r="AA60" s="1"/>
      <c r="AB60" s="1"/>
      <c r="AC60" s="1"/>
      <c r="AD60" s="1"/>
      <c r="AE60" s="1"/>
      <c r="AF60" s="1"/>
      <c r="AG60" s="1"/>
      <c r="AH60" s="1"/>
      <c r="AI60" s="1"/>
      <c r="AJ60" s="1"/>
    </row>
    <row r="61" spans="1:36" x14ac:dyDescent="0.25">
      <c r="A61" s="79" t="str">
        <f>'Data shares'!B56</f>
        <v>Capital_Goods</v>
      </c>
      <c r="B61" s="79" t="str">
        <f>'Data shares'!C56</f>
        <v>DIXON</v>
      </c>
      <c r="C61" s="4">
        <f>VLOOKUP($B61,'Data shares'!$C:$FB,7)</f>
        <v>15313</v>
      </c>
      <c r="D61" s="82">
        <f>VLOOKUP($B61,'Data shares'!$C:$FB,98)</f>
        <v>4918250</v>
      </c>
      <c r="E61" s="165">
        <f>VLOOKUP(B61,'Snapshot (Volume)'!$A$7:$G$168,7,0)</f>
        <v>5127800</v>
      </c>
      <c r="F61" s="165">
        <f t="shared" si="18"/>
        <v>-209550</v>
      </c>
      <c r="G61" s="166">
        <f t="shared" si="19"/>
        <v>-4.0865478372791447E-2</v>
      </c>
      <c r="H61" s="165">
        <f>VLOOKUP($B61,'Data shares'!$C:$FB,66)</f>
        <v>6478000</v>
      </c>
      <c r="I61" s="165">
        <f>VLOOKUP($B61,'Data shares'!$C:$FB,67)</f>
        <v>4572100</v>
      </c>
      <c r="J61" s="81">
        <f t="shared" si="20"/>
        <v>41.685439951007197</v>
      </c>
      <c r="K61" s="5">
        <f>VLOOKUP($B61,'Data Vlaue (Cr)'!$C:$FB,99)</f>
        <v>7528</v>
      </c>
      <c r="L61" s="81">
        <f>VLOOKUP(B61,'OI(Value)'!$A$7:$C$209,3,0)</f>
        <v>-321</v>
      </c>
      <c r="M61" s="33">
        <f t="shared" si="12"/>
        <v>-4.2640807651434649</v>
      </c>
      <c r="N61" s="5">
        <f>VLOOKUP($B61,'Data Vlaue (Cr)'!$C:$FB,67)</f>
        <v>9916</v>
      </c>
      <c r="O61" s="5">
        <f>VLOOKUP($B61,'Data Vlaue (Cr)'!$C:$FB,68)</f>
        <v>6999</v>
      </c>
      <c r="P61" s="5">
        <f t="shared" si="21"/>
        <v>29.417103670835015</v>
      </c>
      <c r="Q61" s="1"/>
      <c r="R61" s="1"/>
      <c r="S61" s="1"/>
      <c r="T61" s="1"/>
      <c r="U61" s="1"/>
      <c r="V61" s="1"/>
      <c r="W61" s="1"/>
      <c r="X61" s="1"/>
      <c r="Y61" s="1"/>
      <c r="Z61" s="1"/>
      <c r="AA61" s="1"/>
      <c r="AB61" s="1"/>
      <c r="AC61" s="1"/>
      <c r="AD61" s="1"/>
      <c r="AE61" s="1"/>
      <c r="AF61" s="1"/>
      <c r="AG61" s="1"/>
      <c r="AH61" s="1"/>
      <c r="AI61" s="1"/>
      <c r="AJ61" s="1"/>
    </row>
    <row r="62" spans="1:36" x14ac:dyDescent="0.25">
      <c r="A62" s="79" t="str">
        <f>'Data shares'!B57</f>
        <v>Realty</v>
      </c>
      <c r="B62" s="79" t="str">
        <f>'Data shares'!C57</f>
        <v>DLF</v>
      </c>
      <c r="C62" s="4">
        <f>VLOOKUP($B62,'Data shares'!$C:$FB,7)</f>
        <v>741.1</v>
      </c>
      <c r="D62" s="82">
        <f>VLOOKUP($B62,'Data shares'!$C:$FB,98)</f>
        <v>68400750</v>
      </c>
      <c r="E62" s="165">
        <f>VLOOKUP(B62,'Snapshot (Volume)'!$A$7:$G$168,7,0)</f>
        <v>68170575</v>
      </c>
      <c r="F62" s="165">
        <f t="shared" si="18"/>
        <v>230175</v>
      </c>
      <c r="G62" s="166"/>
      <c r="H62" s="165">
        <f>VLOOKUP($B62,'Data shares'!$C:$FB,66)</f>
        <v>43717575</v>
      </c>
      <c r="I62" s="165">
        <f>VLOOKUP($B62,'Data shares'!$C:$FB,67)</f>
        <v>43233300</v>
      </c>
      <c r="J62" s="81"/>
      <c r="K62" s="5">
        <f>VLOOKUP($B62,'Data Vlaue (Cr)'!$C:$FB,99)</f>
        <v>5080</v>
      </c>
      <c r="L62" s="81">
        <f>VLOOKUP(B62,'OI(Value)'!$A$7:$C$209,3,0)</f>
        <v>17</v>
      </c>
      <c r="M62" s="33"/>
      <c r="N62" s="5">
        <f>VLOOKUP($B62,'Data Vlaue (Cr)'!$C:$FB,67)</f>
        <v>3247</v>
      </c>
      <c r="O62" s="5">
        <f>VLOOKUP($B62,'Data Vlaue (Cr)'!$C:$FB,68)</f>
        <v>3211</v>
      </c>
      <c r="P62" s="5"/>
      <c r="Q62" s="1"/>
      <c r="R62" s="1"/>
      <c r="S62" s="1"/>
      <c r="T62" s="1"/>
      <c r="U62" s="1"/>
      <c r="V62" s="1"/>
      <c r="W62" s="1"/>
      <c r="X62" s="1"/>
      <c r="Y62" s="1"/>
      <c r="Z62" s="1"/>
      <c r="AA62" s="1"/>
      <c r="AB62" s="1"/>
      <c r="AC62" s="1"/>
      <c r="AD62" s="1"/>
      <c r="AE62" s="1"/>
      <c r="AF62" s="1"/>
      <c r="AG62" s="1"/>
      <c r="AH62" s="1"/>
      <c r="AI62" s="1"/>
      <c r="AJ62" s="1"/>
    </row>
    <row r="63" spans="1:36" x14ac:dyDescent="0.25">
      <c r="A63" s="79" t="str">
        <f>'Data shares'!B58</f>
        <v>New_Age</v>
      </c>
      <c r="B63" s="79" t="str">
        <f>'Data shares'!C58</f>
        <v>DMART</v>
      </c>
      <c r="C63" s="4">
        <f>VLOOKUP($B63,'Data shares'!$C:$FB,7)</f>
        <v>4085</v>
      </c>
      <c r="D63" s="82">
        <f>VLOOKUP($B63,'Data shares'!$C:$FB,98)</f>
        <v>9387900</v>
      </c>
      <c r="E63" s="165">
        <f>VLOOKUP(B63,'Snapshot (Volume)'!$A$7:$G$168,7,0)</f>
        <v>10389600</v>
      </c>
      <c r="F63" s="165">
        <f t="shared" si="18"/>
        <v>-1001700</v>
      </c>
      <c r="G63" s="166">
        <f t="shared" si="19"/>
        <v>-9.6413721413721412E-2</v>
      </c>
      <c r="H63" s="165">
        <f>VLOOKUP($B63,'Data shares'!$C:$FB,66)</f>
        <v>13114350</v>
      </c>
      <c r="I63" s="165">
        <f>VLOOKUP($B63,'Data shares'!$C:$FB,67)</f>
        <v>4847100</v>
      </c>
      <c r="J63" s="81">
        <f t="shared" si="20"/>
        <v>170.56074766355141</v>
      </c>
      <c r="K63" s="5">
        <f>VLOOKUP($B63,'Data Vlaue (Cr)'!$C:$FB,99)</f>
        <v>3847</v>
      </c>
      <c r="L63" s="81">
        <f>VLOOKUP(B63,'OI(Value)'!$A$7:$C$209,3,0)</f>
        <v>-410</v>
      </c>
      <c r="M63" s="33">
        <f t="shared" si="12"/>
        <v>-10.657655315830517</v>
      </c>
      <c r="N63" s="5">
        <f>VLOOKUP($B63,'Data Vlaue (Cr)'!$C:$FB,67)</f>
        <v>5374</v>
      </c>
      <c r="O63" s="5">
        <f>VLOOKUP($B63,'Data Vlaue (Cr)'!$C:$FB,68)</f>
        <v>1986</v>
      </c>
      <c r="P63" s="5">
        <f t="shared" si="21"/>
        <v>63.044287309266842</v>
      </c>
      <c r="Q63" s="1"/>
      <c r="R63" s="1"/>
      <c r="S63" s="1"/>
      <c r="T63" s="1"/>
      <c r="U63" s="1"/>
      <c r="V63" s="1"/>
      <c r="W63" s="1"/>
      <c r="X63" s="1"/>
      <c r="Y63" s="1"/>
      <c r="Z63" s="1"/>
      <c r="AA63" s="1"/>
      <c r="AB63" s="1"/>
      <c r="AC63" s="1"/>
      <c r="AD63" s="1"/>
      <c r="AE63" s="1"/>
      <c r="AF63" s="1"/>
      <c r="AG63" s="1"/>
      <c r="AH63" s="1"/>
      <c r="AI63" s="1"/>
      <c r="AJ63" s="1"/>
    </row>
    <row r="64" spans="1:36" x14ac:dyDescent="0.25">
      <c r="A64" s="79" t="str">
        <f>'Data shares'!B59</f>
        <v>Pharma</v>
      </c>
      <c r="B64" s="79" t="str">
        <f>'Data shares'!C59</f>
        <v>DRREDDY</v>
      </c>
      <c r="C64" s="4">
        <f>VLOOKUP($B64,'Data shares'!$C:$FB,7)</f>
        <v>1248.5999999999999</v>
      </c>
      <c r="D64" s="82">
        <f>VLOOKUP($B64,'Data shares'!$C:$FB,98)</f>
        <v>31025000</v>
      </c>
      <c r="E64" s="165">
        <f>VLOOKUP(B64,'Snapshot (Volume)'!$A$7:$G$168,7,0)</f>
        <v>33071250</v>
      </c>
      <c r="F64" s="165">
        <f t="shared" si="18"/>
        <v>-2046250</v>
      </c>
      <c r="G64" s="166">
        <f t="shared" si="19"/>
        <v>-6.1873984200778623E-2</v>
      </c>
      <c r="H64" s="165">
        <f>VLOOKUP($B64,'Data shares'!$C:$FB,66)</f>
        <v>22773750</v>
      </c>
      <c r="I64" s="165">
        <f>VLOOKUP($B64,'Data shares'!$C:$FB,67)</f>
        <v>13061875</v>
      </c>
      <c r="J64" s="81">
        <f t="shared" si="20"/>
        <v>74.352839848796592</v>
      </c>
      <c r="K64" s="5">
        <f>VLOOKUP($B64,'Data Vlaue (Cr)'!$C:$FB,99)</f>
        <v>3871</v>
      </c>
      <c r="L64" s="81">
        <f>VLOOKUP(B64,'OI(Value)'!$A$7:$C$209,3,0)</f>
        <v>-255</v>
      </c>
      <c r="M64" s="33">
        <f t="shared" si="12"/>
        <v>-6.5874451046241278</v>
      </c>
      <c r="N64" s="5">
        <f>VLOOKUP($B64,'Data Vlaue (Cr)'!$C:$FB,67)</f>
        <v>2841</v>
      </c>
      <c r="O64" s="5">
        <f>VLOOKUP($B64,'Data Vlaue (Cr)'!$C:$FB,68)</f>
        <v>1630</v>
      </c>
      <c r="P64" s="5">
        <f t="shared" si="21"/>
        <v>42.625835973248854</v>
      </c>
      <c r="Q64" s="1"/>
      <c r="R64" s="1"/>
      <c r="S64" s="1"/>
      <c r="T64" s="1"/>
      <c r="U64" s="1"/>
      <c r="V64" s="1"/>
      <c r="W64" s="1"/>
      <c r="X64" s="1"/>
      <c r="Y64" s="1"/>
      <c r="Z64" s="1"/>
      <c r="AA64" s="1"/>
      <c r="AB64" s="1"/>
      <c r="AC64" s="1"/>
      <c r="AD64" s="1"/>
      <c r="AE64" s="1"/>
      <c r="AF64" s="1"/>
      <c r="AG64" s="1"/>
      <c r="AH64" s="1"/>
      <c r="AI64" s="1"/>
      <c r="AJ64" s="1"/>
    </row>
    <row r="65" spans="1:36" x14ac:dyDescent="0.25">
      <c r="A65" s="79" t="str">
        <f>'Data shares'!B60</f>
        <v>Automobile</v>
      </c>
      <c r="B65" s="79" t="str">
        <f>'Data shares'!C60</f>
        <v>EICHERMOT</v>
      </c>
      <c r="C65" s="4">
        <f>VLOOKUP($B65,'Data shares'!$C:$FB,7)</f>
        <v>7125.5</v>
      </c>
      <c r="D65" s="82">
        <f>VLOOKUP($B65,'Data shares'!$C:$FB,98)</f>
        <v>8298225</v>
      </c>
      <c r="E65" s="165">
        <f>VLOOKUP(B65,'Snapshot (Volume)'!$A$7:$G$168,7,0)</f>
        <v>7269975</v>
      </c>
      <c r="F65" s="165">
        <f t="shared" si="18"/>
        <v>1028250</v>
      </c>
      <c r="G65" s="166">
        <f t="shared" si="19"/>
        <v>0.14143790040543469</v>
      </c>
      <c r="H65" s="165">
        <f>VLOOKUP($B65,'Data shares'!$C:$FB,66)</f>
        <v>42444325</v>
      </c>
      <c r="I65" s="165">
        <f>VLOOKUP($B65,'Data shares'!$C:$FB,67)</f>
        <v>8484525</v>
      </c>
      <c r="J65" s="81">
        <f t="shared" si="20"/>
        <v>400.25575975084047</v>
      </c>
      <c r="K65" s="5">
        <f>VLOOKUP($B65,'Data Vlaue (Cr)'!$C:$FB,99)</f>
        <v>5903</v>
      </c>
      <c r="L65" s="81">
        <f>VLOOKUP(B65,'OI(Value)'!$A$7:$C$209,3,0)</f>
        <v>731</v>
      </c>
      <c r="M65" s="33">
        <f t="shared" si="12"/>
        <v>12.383533796374726</v>
      </c>
      <c r="N65" s="5">
        <f>VLOOKUP($B65,'Data Vlaue (Cr)'!$C:$FB,67)</f>
        <v>30193</v>
      </c>
      <c r="O65" s="5">
        <f>VLOOKUP($B65,'Data Vlaue (Cr)'!$C:$FB,68)</f>
        <v>6035</v>
      </c>
      <c r="P65" s="5">
        <f t="shared" si="21"/>
        <v>80.011923293478631</v>
      </c>
      <c r="Q65" s="1"/>
      <c r="R65" s="1"/>
      <c r="S65" s="1"/>
      <c r="T65" s="1"/>
      <c r="U65" s="1"/>
      <c r="V65" s="1"/>
      <c r="W65" s="1"/>
      <c r="X65" s="1"/>
      <c r="Y65" s="1"/>
      <c r="Z65" s="1"/>
      <c r="AA65" s="1"/>
      <c r="AB65" s="1"/>
      <c r="AC65" s="1"/>
      <c r="AD65" s="1"/>
      <c r="AE65" s="1"/>
      <c r="AF65" s="1"/>
      <c r="AG65" s="1"/>
      <c r="AH65" s="1"/>
      <c r="AI65" s="1"/>
      <c r="AJ65" s="1"/>
    </row>
    <row r="66" spans="1:36" x14ac:dyDescent="0.25">
      <c r="A66" s="79" t="str">
        <f>'Data shares'!B61</f>
        <v>New_Age</v>
      </c>
      <c r="B66" s="79" t="str">
        <f>'Data shares'!C61</f>
        <v>ETERNAL</v>
      </c>
      <c r="C66" s="4">
        <f>VLOOKUP($B66,'Data shares'!$C:$FB,7)</f>
        <v>306.89999999999998</v>
      </c>
      <c r="D66" s="82">
        <f>VLOOKUP($B66,'Data shares'!$C:$FB,98)</f>
        <v>464263825</v>
      </c>
      <c r="E66" s="165">
        <f>VLOOKUP(B66,'Snapshot (Volume)'!$A$7:$G$168,7,0)</f>
        <v>472714950</v>
      </c>
      <c r="F66" s="165">
        <f t="shared" si="18"/>
        <v>-8451125</v>
      </c>
      <c r="G66" s="166">
        <f t="shared" si="19"/>
        <v>-1.7877845835000565E-2</v>
      </c>
      <c r="H66" s="165">
        <f>VLOOKUP($B66,'Data shares'!$C:$FB,66)</f>
        <v>299938550</v>
      </c>
      <c r="I66" s="165">
        <f>VLOOKUP($B66,'Data shares'!$C:$FB,67)</f>
        <v>148824675</v>
      </c>
      <c r="J66" s="81">
        <f t="shared" si="20"/>
        <v>101.53818578807581</v>
      </c>
      <c r="K66" s="5">
        <f>VLOOKUP($B66,'Data Vlaue (Cr)'!$C:$FB,99)</f>
        <v>14241</v>
      </c>
      <c r="L66" s="81">
        <f>VLOOKUP(B66,'OI(Value)'!$A$7:$C$209,3,0)</f>
        <v>-259</v>
      </c>
      <c r="M66" s="33">
        <f t="shared" ref="M66:M93" si="22">L66/K66*100</f>
        <v>-1.8186925075486273</v>
      </c>
      <c r="N66" s="5">
        <f>VLOOKUP($B66,'Data Vlaue (Cr)'!$C:$FB,67)</f>
        <v>9201</v>
      </c>
      <c r="O66" s="5">
        <f>VLOOKUP($B66,'Data Vlaue (Cr)'!$C:$FB,68)</f>
        <v>4565</v>
      </c>
      <c r="P66" s="5">
        <f t="shared" si="21"/>
        <v>50.385827627431802</v>
      </c>
      <c r="Q66" s="1"/>
      <c r="R66" s="1"/>
      <c r="S66" s="1"/>
      <c r="T66" s="1"/>
      <c r="U66" s="1"/>
      <c r="V66" s="1"/>
      <c r="W66" s="1"/>
      <c r="X66" s="1"/>
      <c r="Y66" s="1"/>
      <c r="Z66" s="1"/>
      <c r="AA66" s="1"/>
      <c r="AB66" s="1"/>
      <c r="AC66" s="1"/>
      <c r="AD66" s="1"/>
      <c r="AE66" s="1"/>
      <c r="AF66" s="1"/>
      <c r="AG66" s="1"/>
      <c r="AH66" s="1"/>
      <c r="AI66" s="1"/>
      <c r="AJ66" s="1"/>
    </row>
    <row r="67" spans="1:36" x14ac:dyDescent="0.25">
      <c r="A67" s="79" t="str">
        <f>'Data shares'!B62</f>
        <v>Automobile</v>
      </c>
      <c r="B67" s="79" t="str">
        <f>'Data shares'!C62</f>
        <v>EXIDEIND</v>
      </c>
      <c r="C67" s="4">
        <f>VLOOKUP($B67,'Data shares'!$C:$FB,7)</f>
        <v>380.8</v>
      </c>
      <c r="D67" s="82">
        <f>VLOOKUP($B67,'Data shares'!$C:$FB,98)</f>
        <v>65622600</v>
      </c>
      <c r="E67" s="165">
        <f>VLOOKUP(B67,'Snapshot (Volume)'!$A$7:$G$168,7,0)</f>
        <v>66893400</v>
      </c>
      <c r="F67" s="165">
        <f t="shared" si="18"/>
        <v>-1270800</v>
      </c>
      <c r="G67" s="166">
        <f t="shared" si="19"/>
        <v>-1.8997389877028228E-2</v>
      </c>
      <c r="H67" s="165">
        <f>VLOOKUP($B67,'Data shares'!$C:$FB,66)</f>
        <v>31469400</v>
      </c>
      <c r="I67" s="165">
        <f>VLOOKUP($B67,'Data shares'!$C:$FB,67)</f>
        <v>39738600</v>
      </c>
      <c r="J67" s="81">
        <f t="shared" si="20"/>
        <v>-20.80898672826924</v>
      </c>
      <c r="K67" s="5">
        <f>VLOOKUP($B67,'Data Vlaue (Cr)'!$C:$FB,99)</f>
        <v>2503</v>
      </c>
      <c r="L67" s="81">
        <f>VLOOKUP(B67,'OI(Value)'!$A$7:$C$209,3,0)</f>
        <v>-48</v>
      </c>
      <c r="M67" s="33">
        <f t="shared" si="22"/>
        <v>-1.9176987614862164</v>
      </c>
      <c r="N67" s="5">
        <f>VLOOKUP($B67,'Data Vlaue (Cr)'!$C:$FB,67)</f>
        <v>1200</v>
      </c>
      <c r="O67" s="5">
        <f>VLOOKUP($B67,'Data Vlaue (Cr)'!$C:$FB,68)</f>
        <v>1516</v>
      </c>
      <c r="P67" s="5">
        <f t="shared" si="21"/>
        <v>-26.333333333333332</v>
      </c>
      <c r="Q67" s="1"/>
      <c r="R67" s="1"/>
      <c r="S67" s="1"/>
      <c r="T67" s="1"/>
      <c r="U67" s="1"/>
      <c r="V67" s="1"/>
      <c r="W67" s="1"/>
      <c r="X67" s="1"/>
      <c r="Y67" s="1"/>
      <c r="Z67" s="1"/>
      <c r="AA67" s="1"/>
      <c r="AB67" s="1"/>
      <c r="AC67" s="1"/>
      <c r="AD67" s="1"/>
      <c r="AE67" s="1"/>
      <c r="AF67" s="1"/>
      <c r="AG67" s="1"/>
      <c r="AH67" s="1"/>
      <c r="AI67" s="1"/>
      <c r="AJ67" s="1"/>
    </row>
    <row r="68" spans="1:36" x14ac:dyDescent="0.25">
      <c r="A68" s="79" t="str">
        <f>'Data shares'!B63</f>
        <v>Banking</v>
      </c>
      <c r="B68" s="79" t="str">
        <f>'Data shares'!C63</f>
        <v>FEDERALBNK</v>
      </c>
      <c r="C68" s="4">
        <f>VLOOKUP($B68,'Data shares'!$C:$FB,7)</f>
        <v>244.93</v>
      </c>
      <c r="D68" s="82">
        <f>VLOOKUP($B68,'Data shares'!$C:$FB,98)</f>
        <v>147865000</v>
      </c>
      <c r="E68" s="165">
        <f>VLOOKUP(B68,'Snapshot (Volume)'!$A$7:$G$168,7,0)</f>
        <v>161470000</v>
      </c>
      <c r="F68" s="165">
        <f t="shared" si="18"/>
        <v>-13605000</v>
      </c>
      <c r="G68" s="166">
        <f t="shared" si="19"/>
        <v>-8.4257137548770664E-2</v>
      </c>
      <c r="H68" s="165">
        <f>VLOOKUP($B68,'Data shares'!$C:$FB,66)</f>
        <v>129680000</v>
      </c>
      <c r="I68" s="165">
        <f>VLOOKUP($B68,'Data shares'!$C:$FB,67)</f>
        <v>221570000</v>
      </c>
      <c r="J68" s="81">
        <f t="shared" si="20"/>
        <v>-41.472220968542672</v>
      </c>
      <c r="K68" s="5">
        <f>VLOOKUP($B68,'Data Vlaue (Cr)'!$C:$FB,99)</f>
        <v>3620</v>
      </c>
      <c r="L68" s="81">
        <f>VLOOKUP(B68,'OI(Value)'!$A$7:$C$209,3,0)</f>
        <v>-333</v>
      </c>
      <c r="M68" s="33">
        <f t="shared" si="22"/>
        <v>-9.1988950276243102</v>
      </c>
      <c r="N68" s="5">
        <f>VLOOKUP($B68,'Data Vlaue (Cr)'!$C:$FB,67)</f>
        <v>3174</v>
      </c>
      <c r="O68" s="5">
        <f>VLOOKUP($B68,'Data Vlaue (Cr)'!$C:$FB,68)</f>
        <v>5424</v>
      </c>
      <c r="P68" s="5">
        <f t="shared" si="21"/>
        <v>-70.888468809073728</v>
      </c>
      <c r="Q68" s="1"/>
      <c r="R68" s="1"/>
      <c r="S68" s="1"/>
      <c r="T68" s="1"/>
      <c r="U68" s="1"/>
      <c r="V68" s="1"/>
      <c r="W68" s="1"/>
      <c r="X68" s="1"/>
      <c r="Y68" s="1"/>
      <c r="Z68" s="1"/>
      <c r="AA68" s="1"/>
      <c r="AB68" s="1"/>
      <c r="AC68" s="1"/>
      <c r="AD68" s="1"/>
      <c r="AE68" s="1"/>
      <c r="AF68" s="1"/>
      <c r="AG68" s="1"/>
      <c r="AH68" s="1"/>
      <c r="AI68" s="1"/>
      <c r="AJ68" s="1"/>
    </row>
    <row r="69" spans="1:36" x14ac:dyDescent="0.25">
      <c r="A69" s="79" t="str">
        <f>'Data shares'!B64</f>
        <v>Index</v>
      </c>
      <c r="B69" s="79" t="str">
        <f>'Data shares'!C64</f>
        <v>FINNIFTY</v>
      </c>
      <c r="C69" s="79">
        <f>VLOOKUP($B69,'Data shares'!$C:$FB,7)</f>
        <v>27861.35</v>
      </c>
      <c r="D69" s="165">
        <f>VLOOKUP($B69,'Data shares'!$C:$FB,98)</f>
        <v>2620010</v>
      </c>
      <c r="E69" s="165">
        <f>VLOOKUP(B69,'Snapshot (Volume)'!$A$7:$G$168,7,0)</f>
        <v>2779390</v>
      </c>
      <c r="F69" s="165">
        <f t="shared" ref="F69:F85" si="23">D69-E69</f>
        <v>-159380</v>
      </c>
      <c r="G69" s="166">
        <f t="shared" ref="G69:G85" si="24">F69/E69</f>
        <v>-5.7343517822255961E-2</v>
      </c>
      <c r="H69" s="165">
        <f>VLOOKUP($B69,'Data shares'!$C:$FB,66)</f>
        <v>15095080</v>
      </c>
      <c r="I69" s="165">
        <f>VLOOKUP($B69,'Data shares'!$C:$FB,67)</f>
        <v>12885860</v>
      </c>
      <c r="J69" s="81">
        <f t="shared" ref="J69:J85" si="25">(H69-I69)/I69*100</f>
        <v>17.144528964306613</v>
      </c>
      <c r="K69" s="81">
        <f>VLOOKUP($B69,'Data Vlaue (Cr)'!$C:$FB,99)</f>
        <v>7306</v>
      </c>
      <c r="L69" s="81">
        <f>VLOOKUP(B69,'OI(Value)'!$A$7:$C$209,3,0)</f>
        <v>-444</v>
      </c>
      <c r="M69" s="81">
        <f t="shared" si="22"/>
        <v>-6.0771968245277854</v>
      </c>
      <c r="N69" s="81">
        <f>VLOOKUP($B69,'Data Vlaue (Cr)'!$C:$FB,67)</f>
        <v>42094</v>
      </c>
      <c r="O69" s="81">
        <f>VLOOKUP($B69,'Data Vlaue (Cr)'!$C:$FB,68)</f>
        <v>35933</v>
      </c>
      <c r="P69" s="81">
        <f t="shared" ref="P69:P85" si="26">(N69-O69)/N69*100</f>
        <v>14.636290207630543</v>
      </c>
      <c r="Q69" s="1"/>
      <c r="R69" s="1"/>
      <c r="S69" s="1"/>
      <c r="T69" s="1"/>
      <c r="U69" s="1"/>
      <c r="V69" s="1"/>
      <c r="W69" s="1"/>
      <c r="X69" s="1"/>
      <c r="Y69" s="1"/>
      <c r="Z69" s="1"/>
      <c r="AA69" s="1"/>
      <c r="AB69" s="1"/>
      <c r="AC69" s="1"/>
      <c r="AD69" s="1"/>
      <c r="AE69" s="1"/>
      <c r="AF69" s="1"/>
      <c r="AG69" s="1"/>
      <c r="AH69" s="1"/>
      <c r="AI69" s="1"/>
      <c r="AJ69" s="1"/>
    </row>
    <row r="70" spans="1:36" x14ac:dyDescent="0.25">
      <c r="A70" s="79" t="str">
        <f>'Data shares'!B65</f>
        <v>Pharma</v>
      </c>
      <c r="B70" s="79" t="str">
        <f>'Data shares'!C65</f>
        <v>FORTIS</v>
      </c>
      <c r="C70" s="79">
        <f>VLOOKUP($B70,'Data shares'!$C:$FB,7)</f>
        <v>935.4</v>
      </c>
      <c r="D70" s="165">
        <f>VLOOKUP($B70,'Data shares'!$C:$FB,98)</f>
        <v>26732850</v>
      </c>
      <c r="E70" s="165">
        <f>VLOOKUP(B70,'Snapshot (Volume)'!$A$7:$G$168,7,0)</f>
        <v>28234025</v>
      </c>
      <c r="F70" s="165">
        <f t="shared" si="23"/>
        <v>-1501175</v>
      </c>
      <c r="G70" s="166">
        <f t="shared" si="24"/>
        <v>-5.3169004419313222E-2</v>
      </c>
      <c r="H70" s="165">
        <f>VLOOKUP($B70,'Data shares'!$C:$FB,66)</f>
        <v>26045425</v>
      </c>
      <c r="I70" s="165">
        <f>VLOOKUP($B70,'Data shares'!$C:$FB,67)</f>
        <v>24150550</v>
      </c>
      <c r="J70" s="81">
        <f t="shared" si="25"/>
        <v>7.8460946024003597</v>
      </c>
      <c r="K70" s="81">
        <f>VLOOKUP($B70,'Data Vlaue (Cr)'!$C:$FB,99)</f>
        <v>2493</v>
      </c>
      <c r="L70" s="81">
        <f>VLOOKUP(B70,'OI(Value)'!$A$7:$C$209,3,0)</f>
        <v>-140</v>
      </c>
      <c r="M70" s="81">
        <f t="shared" si="22"/>
        <v>-5.6157240272763742</v>
      </c>
      <c r="N70" s="81">
        <f>VLOOKUP($B70,'Data Vlaue (Cr)'!$C:$FB,67)</f>
        <v>2428</v>
      </c>
      <c r="O70" s="81">
        <f>VLOOKUP($B70,'Data Vlaue (Cr)'!$C:$FB,68)</f>
        <v>2252</v>
      </c>
      <c r="P70" s="81">
        <f t="shared" si="26"/>
        <v>7.2487644151565069</v>
      </c>
      <c r="Q70" s="1"/>
      <c r="R70" s="1"/>
      <c r="S70" s="1"/>
      <c r="T70" s="1"/>
      <c r="U70" s="1"/>
      <c r="V70" s="1"/>
      <c r="W70" s="1"/>
      <c r="X70" s="1"/>
      <c r="Y70" s="1"/>
      <c r="Z70" s="1"/>
      <c r="AA70" s="1"/>
      <c r="AB70" s="1"/>
      <c r="AC70" s="1"/>
      <c r="AD70" s="1"/>
      <c r="AE70" s="1"/>
      <c r="AF70" s="1"/>
      <c r="AG70" s="1"/>
      <c r="AH70" s="1"/>
      <c r="AI70" s="1"/>
      <c r="AJ70" s="1"/>
    </row>
    <row r="71" spans="1:36" x14ac:dyDescent="0.25">
      <c r="A71" s="79" t="str">
        <f>'Data shares'!B66</f>
        <v>Oil_Gas</v>
      </c>
      <c r="B71" s="79" t="str">
        <f>'Data shares'!C66</f>
        <v>GAIL</v>
      </c>
      <c r="C71" s="4">
        <f>VLOOKUP($B71,'Data shares'!$C:$FB,7)</f>
        <v>184.31</v>
      </c>
      <c r="D71" s="82">
        <f>VLOOKUP($B71,'Data shares'!$C:$FB,98)</f>
        <v>147190050</v>
      </c>
      <c r="E71" s="165">
        <f>VLOOKUP(B71,'Snapshot (Volume)'!$A$7:$G$168,7,0)</f>
        <v>151877250</v>
      </c>
      <c r="F71" s="165">
        <f t="shared" si="23"/>
        <v>-4687200</v>
      </c>
      <c r="G71" s="166">
        <f t="shared" si="24"/>
        <v>-3.0861765010888727E-2</v>
      </c>
      <c r="H71" s="165">
        <f>VLOOKUP($B71,'Data shares'!$C:$FB,66)</f>
        <v>89261550</v>
      </c>
      <c r="I71" s="165">
        <f>VLOOKUP($B71,'Data shares'!$C:$FB,67)</f>
        <v>35910000</v>
      </c>
      <c r="J71" s="81">
        <f t="shared" si="25"/>
        <v>148.57017543859649</v>
      </c>
      <c r="K71" s="5">
        <f>VLOOKUP($B71,'Data Vlaue (Cr)'!$C:$FB,99)</f>
        <v>2711</v>
      </c>
      <c r="L71" s="81">
        <f>VLOOKUP(B71,'OI(Value)'!$A$7:$C$209,3,0)</f>
        <v>-86</v>
      </c>
      <c r="M71" s="33">
        <f t="shared" si="22"/>
        <v>-3.1722611582441904</v>
      </c>
      <c r="N71" s="5">
        <f>VLOOKUP($B71,'Data Vlaue (Cr)'!$C:$FB,67)</f>
        <v>1644</v>
      </c>
      <c r="O71" s="5">
        <f>VLOOKUP($B71,'Data Vlaue (Cr)'!$C:$FB,68)</f>
        <v>661</v>
      </c>
      <c r="P71" s="5">
        <f t="shared" si="26"/>
        <v>59.793187347931877</v>
      </c>
      <c r="Q71" s="1"/>
      <c r="R71" s="1"/>
      <c r="S71" s="1"/>
      <c r="T71" s="1"/>
      <c r="U71" s="1"/>
      <c r="V71" s="1"/>
      <c r="W71" s="1"/>
      <c r="X71" s="1"/>
      <c r="Y71" s="1"/>
      <c r="Z71" s="1"/>
      <c r="AA71" s="1"/>
      <c r="AB71" s="1"/>
      <c r="AC71" s="1"/>
      <c r="AD71" s="1"/>
      <c r="AE71" s="1"/>
      <c r="AF71" s="1"/>
      <c r="AG71" s="1"/>
      <c r="AH71" s="1"/>
      <c r="AI71" s="1"/>
      <c r="AJ71" s="1"/>
    </row>
    <row r="72" spans="1:36" x14ac:dyDescent="0.25">
      <c r="A72" s="79" t="str">
        <f>'Data shares'!B67</f>
        <v>Pharma</v>
      </c>
      <c r="B72" s="79" t="str">
        <f>'Data shares'!C67</f>
        <v>GLENMARK</v>
      </c>
      <c r="C72" s="4">
        <f>VLOOKUP($B72,'Data shares'!$C:$FB,7)</f>
        <v>1878</v>
      </c>
      <c r="D72" s="82">
        <f>VLOOKUP($B72,'Data shares'!$C:$FB,98)</f>
        <v>26897625</v>
      </c>
      <c r="E72" s="165">
        <f>VLOOKUP(B72,'Snapshot (Volume)'!$A$7:$G$168,7,0)</f>
        <v>29733750</v>
      </c>
      <c r="F72" s="165">
        <f t="shared" si="23"/>
        <v>-2836125</v>
      </c>
      <c r="G72" s="166">
        <f t="shared" si="24"/>
        <v>-9.5384033295497536E-2</v>
      </c>
      <c r="H72" s="165">
        <f>VLOOKUP($B72,'Data shares'!$C:$FB,66)</f>
        <v>45263625</v>
      </c>
      <c r="I72" s="165">
        <f>VLOOKUP($B72,'Data shares'!$C:$FB,67)</f>
        <v>31548000</v>
      </c>
      <c r="J72" s="81">
        <f t="shared" si="25"/>
        <v>43.47541841004184</v>
      </c>
      <c r="K72" s="5">
        <f>VLOOKUP($B72,'Data Vlaue (Cr)'!$C:$FB,99)</f>
        <v>5067</v>
      </c>
      <c r="L72" s="81">
        <f>VLOOKUP(B72,'OI(Value)'!$A$7:$C$209,3,0)</f>
        <v>-534</v>
      </c>
      <c r="M72" s="33">
        <f t="shared" si="22"/>
        <v>-10.538780343398461</v>
      </c>
      <c r="N72" s="5">
        <f>VLOOKUP($B72,'Data Vlaue (Cr)'!$C:$FB,67)</f>
        <v>8527</v>
      </c>
      <c r="O72" s="5">
        <f>VLOOKUP($B72,'Data Vlaue (Cr)'!$C:$FB,68)</f>
        <v>5943</v>
      </c>
      <c r="P72" s="5">
        <f t="shared" si="26"/>
        <v>30.303741057816346</v>
      </c>
      <c r="Q72" s="1"/>
      <c r="R72" s="1"/>
      <c r="S72" s="1"/>
      <c r="T72" s="1"/>
      <c r="U72" s="1"/>
      <c r="V72" s="1"/>
      <c r="W72" s="1"/>
      <c r="X72" s="1"/>
      <c r="Y72" s="1"/>
      <c r="Z72" s="1"/>
      <c r="AA72" s="1"/>
      <c r="AB72" s="1"/>
      <c r="AC72" s="1"/>
      <c r="AD72" s="1"/>
      <c r="AE72" s="1"/>
      <c r="AF72" s="1"/>
      <c r="AG72" s="1"/>
      <c r="AH72" s="1"/>
      <c r="AI72" s="1"/>
      <c r="AJ72" s="1"/>
    </row>
    <row r="73" spans="1:36" x14ac:dyDescent="0.25">
      <c r="A73" s="79" t="str">
        <f>'Data shares'!B68</f>
        <v>Infrastructure</v>
      </c>
      <c r="B73" s="79" t="str">
        <f>'Data shares'!C68</f>
        <v>GMRAIRPORT</v>
      </c>
      <c r="C73" s="4">
        <f>VLOOKUP($B73,'Data shares'!$C:$FB,7)</f>
        <v>103.27</v>
      </c>
      <c r="D73" s="82">
        <f>VLOOKUP($B73,'Data shares'!$C:$FB,98)</f>
        <v>475667100</v>
      </c>
      <c r="E73" s="165">
        <f>VLOOKUP(B73,'Snapshot (Volume)'!$A$7:$G$168,7,0)</f>
        <v>489121875</v>
      </c>
      <c r="F73" s="165">
        <f t="shared" si="23"/>
        <v>-13454775</v>
      </c>
      <c r="G73" s="166">
        <f t="shared" si="24"/>
        <v>-2.7508021390374331E-2</v>
      </c>
      <c r="H73" s="165">
        <f>VLOOKUP($B73,'Data shares'!$C:$FB,66)</f>
        <v>334130400</v>
      </c>
      <c r="I73" s="165">
        <f>VLOOKUP($B73,'Data shares'!$C:$FB,67)</f>
        <v>472381875</v>
      </c>
      <c r="J73" s="81">
        <f t="shared" si="25"/>
        <v>-29.266888150609084</v>
      </c>
      <c r="K73" s="5">
        <f>VLOOKUP($B73,'Data Vlaue (Cr)'!$C:$FB,99)</f>
        <v>4909</v>
      </c>
      <c r="L73" s="81">
        <f>VLOOKUP(B73,'OI(Value)'!$A$7:$C$209,3,0)</f>
        <v>-139</v>
      </c>
      <c r="M73" s="33">
        <f t="shared" si="22"/>
        <v>-2.8315339172947649</v>
      </c>
      <c r="N73" s="5">
        <f>VLOOKUP($B73,'Data Vlaue (Cr)'!$C:$FB,67)</f>
        <v>3448</v>
      </c>
      <c r="O73" s="5">
        <f>VLOOKUP($B73,'Data Vlaue (Cr)'!$C:$FB,68)</f>
        <v>4875</v>
      </c>
      <c r="P73" s="5">
        <f t="shared" si="26"/>
        <v>-41.386310904872389</v>
      </c>
      <c r="Q73" s="1"/>
      <c r="R73" s="1"/>
      <c r="S73" s="1"/>
      <c r="T73" s="1"/>
      <c r="U73" s="1"/>
      <c r="V73" s="1"/>
      <c r="W73" s="1"/>
      <c r="X73" s="1"/>
      <c r="Y73" s="1"/>
      <c r="Z73" s="1"/>
      <c r="AA73" s="1"/>
      <c r="AB73" s="1"/>
      <c r="AC73" s="1"/>
      <c r="AD73" s="1"/>
      <c r="AE73" s="1"/>
      <c r="AF73" s="1"/>
      <c r="AG73" s="1"/>
      <c r="AH73" s="1"/>
      <c r="AI73" s="1"/>
      <c r="AJ73" s="1"/>
    </row>
    <row r="74" spans="1:36" x14ac:dyDescent="0.25">
      <c r="A74" s="79" t="str">
        <f>'Data shares'!B69</f>
        <v>FMCG</v>
      </c>
      <c r="B74" s="79" t="str">
        <f>'Data shares'!C69</f>
        <v>GODREJCP</v>
      </c>
      <c r="C74" s="4">
        <f>VLOOKUP($B74,'Data shares'!$C:$FB,7)</f>
        <v>1127.3</v>
      </c>
      <c r="D74" s="82">
        <f>VLOOKUP($B74,'Data shares'!$C:$FB,98)</f>
        <v>14639000</v>
      </c>
      <c r="E74" s="165">
        <f>VLOOKUP(B74,'Snapshot (Volume)'!$A$7:$G$168,7,0)</f>
        <v>14276000</v>
      </c>
      <c r="F74" s="165">
        <f t="shared" si="23"/>
        <v>363000</v>
      </c>
      <c r="G74" s="166">
        <f t="shared" si="24"/>
        <v>2.5427290557579155E-2</v>
      </c>
      <c r="H74" s="165">
        <f>VLOOKUP($B74,'Data shares'!$C:$FB,66)</f>
        <v>10058000</v>
      </c>
      <c r="I74" s="165">
        <f>VLOOKUP($B74,'Data shares'!$C:$FB,67)</f>
        <v>6129500</v>
      </c>
      <c r="J74" s="81">
        <f t="shared" si="25"/>
        <v>64.091687739619871</v>
      </c>
      <c r="K74" s="5">
        <f>VLOOKUP($B74,'Data Vlaue (Cr)'!$C:$FB,99)</f>
        <v>1653</v>
      </c>
      <c r="L74" s="81">
        <f>VLOOKUP(B74,'OI(Value)'!$A$7:$C$209,3,0)</f>
        <v>41</v>
      </c>
      <c r="M74" s="33">
        <f t="shared" si="22"/>
        <v>2.4803387779794313</v>
      </c>
      <c r="N74" s="5">
        <f>VLOOKUP($B74,'Data Vlaue (Cr)'!$C:$FB,67)</f>
        <v>1136</v>
      </c>
      <c r="O74" s="5">
        <f>VLOOKUP($B74,'Data Vlaue (Cr)'!$C:$FB,68)</f>
        <v>692</v>
      </c>
      <c r="P74" s="5">
        <f t="shared" si="26"/>
        <v>39.08450704225352</v>
      </c>
      <c r="Q74" s="1"/>
      <c r="R74" s="1"/>
      <c r="S74" s="1"/>
      <c r="T74" s="1"/>
      <c r="U74" s="1"/>
      <c r="V74" s="1"/>
      <c r="W74" s="1"/>
      <c r="X74" s="1"/>
      <c r="Y74" s="1"/>
      <c r="Z74" s="1"/>
      <c r="AA74" s="1"/>
      <c r="AB74" s="1"/>
      <c r="AC74" s="1"/>
      <c r="AD74" s="1"/>
      <c r="AE74" s="1"/>
      <c r="AF74" s="1"/>
      <c r="AG74" s="1"/>
      <c r="AH74" s="1"/>
      <c r="AI74" s="1"/>
      <c r="AJ74" s="1"/>
    </row>
    <row r="75" spans="1:36" x14ac:dyDescent="0.25">
      <c r="A75" s="79" t="str">
        <f>'Data shares'!B70</f>
        <v>Realty</v>
      </c>
      <c r="B75" s="79" t="str">
        <f>'Data shares'!C70</f>
        <v>GODREJPROP</v>
      </c>
      <c r="C75" s="4">
        <f>VLOOKUP($B75,'Data shares'!$C:$FB,7)</f>
        <v>2123.8000000000002</v>
      </c>
      <c r="D75" s="82">
        <f>VLOOKUP($B75,'Data shares'!$C:$FB,98)</f>
        <v>12924175</v>
      </c>
      <c r="E75" s="165">
        <f>VLOOKUP(B75,'Snapshot (Volume)'!$A$7:$G$168,7,0)</f>
        <v>12915925</v>
      </c>
      <c r="F75" s="165">
        <f t="shared" si="23"/>
        <v>8250</v>
      </c>
      <c r="G75" s="166">
        <f t="shared" si="24"/>
        <v>6.3874635382289691E-4</v>
      </c>
      <c r="H75" s="165">
        <f>VLOOKUP($B75,'Data shares'!$C:$FB,66)</f>
        <v>7585875</v>
      </c>
      <c r="I75" s="165">
        <f>VLOOKUP($B75,'Data shares'!$C:$FB,67)</f>
        <v>7515750</v>
      </c>
      <c r="J75" s="81">
        <f t="shared" si="25"/>
        <v>0.93304061470911082</v>
      </c>
      <c r="K75" s="5">
        <f>VLOOKUP($B75,'Data Vlaue (Cr)'!$C:$FB,99)</f>
        <v>2747</v>
      </c>
      <c r="L75" s="81">
        <f>VLOOKUP(B75,'OI(Value)'!$A$7:$C$209,3,0)</f>
        <v>2</v>
      </c>
      <c r="M75" s="33">
        <f t="shared" si="22"/>
        <v>7.2806698216235893E-2</v>
      </c>
      <c r="N75" s="5">
        <f>VLOOKUP($B75,'Data Vlaue (Cr)'!$C:$FB,67)</f>
        <v>1613</v>
      </c>
      <c r="O75" s="5">
        <f>VLOOKUP($B75,'Data Vlaue (Cr)'!$C:$FB,68)</f>
        <v>1598</v>
      </c>
      <c r="P75" s="5">
        <f t="shared" si="26"/>
        <v>0.92994420334779915</v>
      </c>
      <c r="Q75" s="1"/>
      <c r="R75" s="1"/>
      <c r="S75" s="1"/>
      <c r="T75" s="1"/>
      <c r="U75" s="1"/>
      <c r="V75" s="1"/>
      <c r="W75" s="1"/>
      <c r="X75" s="1"/>
      <c r="Y75" s="1"/>
      <c r="Z75" s="1"/>
      <c r="AA75" s="1"/>
      <c r="AB75" s="1"/>
      <c r="AC75" s="1"/>
      <c r="AD75" s="1"/>
      <c r="AE75" s="1"/>
      <c r="AF75" s="1"/>
      <c r="AG75" s="1"/>
      <c r="AH75" s="1"/>
      <c r="AI75" s="1"/>
      <c r="AJ75" s="1"/>
    </row>
    <row r="76" spans="1:36" x14ac:dyDescent="0.25">
      <c r="A76" s="79" t="str">
        <f>'Data shares'!B71</f>
        <v>Cement</v>
      </c>
      <c r="B76" s="79" t="str">
        <f>'Data shares'!C71</f>
        <v>GRASIM</v>
      </c>
      <c r="C76" s="4">
        <f>VLOOKUP($B76,'Data shares'!$C:$FB,7)</f>
        <v>2748.6</v>
      </c>
      <c r="D76" s="82">
        <f>VLOOKUP($B76,'Data shares'!$C:$FB,98)</f>
        <v>23405000</v>
      </c>
      <c r="E76" s="165">
        <f>VLOOKUP(B76,'Snapshot (Volume)'!$A$7:$G$168,7,0)</f>
        <v>23731500</v>
      </c>
      <c r="F76" s="165">
        <f t="shared" si="23"/>
        <v>-326500</v>
      </c>
      <c r="G76" s="166">
        <f t="shared" si="24"/>
        <v>-1.3758085245349008E-2</v>
      </c>
      <c r="H76" s="165">
        <f>VLOOKUP($B76,'Data shares'!$C:$FB,66)</f>
        <v>12046750</v>
      </c>
      <c r="I76" s="165">
        <f>VLOOKUP($B76,'Data shares'!$C:$FB,67)</f>
        <v>12924500</v>
      </c>
      <c r="J76" s="81">
        <f t="shared" si="25"/>
        <v>-6.7913652365662118</v>
      </c>
      <c r="K76" s="5">
        <f>VLOOKUP($B76,'Data Vlaue (Cr)'!$C:$FB,99)</f>
        <v>6441</v>
      </c>
      <c r="L76" s="81">
        <f>VLOOKUP(B76,'OI(Value)'!$A$7:$C$209,3,0)</f>
        <v>-90</v>
      </c>
      <c r="M76" s="33">
        <f t="shared" si="22"/>
        <v>-1.3972985561248252</v>
      </c>
      <c r="N76" s="5">
        <f>VLOOKUP($B76,'Data Vlaue (Cr)'!$C:$FB,67)</f>
        <v>3315</v>
      </c>
      <c r="O76" s="5">
        <f>VLOOKUP($B76,'Data Vlaue (Cr)'!$C:$FB,68)</f>
        <v>3557</v>
      </c>
      <c r="P76" s="5">
        <f t="shared" si="26"/>
        <v>-7.300150829562595</v>
      </c>
      <c r="Q76" s="1"/>
      <c r="R76" s="1"/>
      <c r="S76" s="1"/>
      <c r="T76" s="1"/>
      <c r="U76" s="1"/>
      <c r="V76" s="1"/>
      <c r="W76" s="1"/>
      <c r="X76" s="1"/>
      <c r="Y76" s="1"/>
      <c r="Z76" s="1"/>
      <c r="AA76" s="1"/>
      <c r="AB76" s="1"/>
      <c r="AC76" s="1"/>
      <c r="AD76" s="1"/>
      <c r="AE76" s="1"/>
      <c r="AF76" s="1"/>
      <c r="AG76" s="1"/>
      <c r="AH76" s="1"/>
      <c r="AI76" s="1"/>
      <c r="AJ76" s="1"/>
    </row>
    <row r="77" spans="1:36" x14ac:dyDescent="0.25">
      <c r="A77" s="79" t="str">
        <f>'Data shares'!B72</f>
        <v>Capital_Goods</v>
      </c>
      <c r="B77" s="79" t="str">
        <f>'Data shares'!C72</f>
        <v>HAL</v>
      </c>
      <c r="C77" s="4">
        <f>VLOOKUP($B77,'Data shares'!$C:$FB,7)</f>
        <v>4716.6000000000004</v>
      </c>
      <c r="D77" s="82">
        <f>VLOOKUP($B77,'Data shares'!$C:$FB,98)</f>
        <v>20617200</v>
      </c>
      <c r="E77" s="165">
        <f>VLOOKUP(B77,'Snapshot (Volume)'!$A$7:$G$168,7,0)</f>
        <v>21042600</v>
      </c>
      <c r="F77" s="165">
        <f t="shared" si="23"/>
        <v>-425400</v>
      </c>
      <c r="G77" s="166">
        <f t="shared" si="24"/>
        <v>-2.021613298736848E-2</v>
      </c>
      <c r="H77" s="165">
        <f>VLOOKUP($B77,'Data shares'!$C:$FB,66)</f>
        <v>24296400</v>
      </c>
      <c r="I77" s="165">
        <f>VLOOKUP($B77,'Data shares'!$C:$FB,67)</f>
        <v>19688550</v>
      </c>
      <c r="J77" s="81">
        <f t="shared" si="25"/>
        <v>23.403704183395931</v>
      </c>
      <c r="K77" s="5">
        <f>VLOOKUP($B77,'Data Vlaue (Cr)'!$C:$FB,99)</f>
        <v>9725</v>
      </c>
      <c r="L77" s="81">
        <f>VLOOKUP(B77,'OI(Value)'!$A$7:$C$209,3,0)</f>
        <v>-201</v>
      </c>
      <c r="M77" s="33">
        <f t="shared" si="22"/>
        <v>-2.0668380462724936</v>
      </c>
      <c r="N77" s="5">
        <f>VLOOKUP($B77,'Data Vlaue (Cr)'!$C:$FB,67)</f>
        <v>11460</v>
      </c>
      <c r="O77" s="5">
        <f>VLOOKUP($B77,'Data Vlaue (Cr)'!$C:$FB,68)</f>
        <v>9287</v>
      </c>
      <c r="P77" s="5">
        <f t="shared" si="26"/>
        <v>18.961605584642232</v>
      </c>
      <c r="Q77" s="1"/>
      <c r="R77" s="1"/>
      <c r="S77" s="1"/>
      <c r="T77" s="1"/>
      <c r="U77" s="1"/>
      <c r="V77" s="1"/>
      <c r="W77" s="1"/>
      <c r="X77" s="1"/>
      <c r="Y77" s="1"/>
      <c r="Z77" s="1"/>
      <c r="AA77" s="1"/>
      <c r="AB77" s="1"/>
      <c r="AC77" s="1"/>
      <c r="AD77" s="1"/>
      <c r="AE77" s="1"/>
      <c r="AF77" s="1"/>
      <c r="AG77" s="1"/>
      <c r="AH77" s="1"/>
      <c r="AI77" s="1"/>
      <c r="AJ77" s="1"/>
    </row>
    <row r="78" spans="1:36" x14ac:dyDescent="0.25">
      <c r="A78" s="79" t="str">
        <f>'Data shares'!B73</f>
        <v>Capital_Goods</v>
      </c>
      <c r="B78" s="79" t="str">
        <f>'Data shares'!C73</f>
        <v>HAVELLS</v>
      </c>
      <c r="C78" s="4">
        <f>VLOOKUP($B78,'Data shares'!$C:$FB,7)</f>
        <v>1448.5</v>
      </c>
      <c r="D78" s="82">
        <f>VLOOKUP($B78,'Data shares'!$C:$FB,98)</f>
        <v>13527000</v>
      </c>
      <c r="E78" s="165">
        <f>VLOOKUP(B78,'Snapshot (Volume)'!$A$7:$G$168,7,0)</f>
        <v>13927500</v>
      </c>
      <c r="F78" s="165">
        <f t="shared" si="23"/>
        <v>-400500</v>
      </c>
      <c r="G78" s="166">
        <f t="shared" si="24"/>
        <v>-2.8756058158319872E-2</v>
      </c>
      <c r="H78" s="165">
        <f>VLOOKUP($B78,'Data shares'!$C:$FB,66)</f>
        <v>8811500</v>
      </c>
      <c r="I78" s="165">
        <f>VLOOKUP($B78,'Data shares'!$C:$FB,67)</f>
        <v>6448500</v>
      </c>
      <c r="J78" s="81">
        <f t="shared" si="25"/>
        <v>36.644180817244319</v>
      </c>
      <c r="K78" s="5">
        <f>VLOOKUP($B78,'Data Vlaue (Cr)'!$C:$FB,99)</f>
        <v>1959</v>
      </c>
      <c r="L78" s="81">
        <f>VLOOKUP(B78,'OI(Value)'!$A$7:$C$209,3,0)</f>
        <v>-58</v>
      </c>
      <c r="M78" s="33">
        <f t="shared" si="22"/>
        <v>-2.9606942317508933</v>
      </c>
      <c r="N78" s="5">
        <f>VLOOKUP($B78,'Data Vlaue (Cr)'!$C:$FB,67)</f>
        <v>1276</v>
      </c>
      <c r="O78" s="5">
        <f>VLOOKUP($B78,'Data Vlaue (Cr)'!$C:$FB,68)</f>
        <v>934</v>
      </c>
      <c r="P78" s="5">
        <f t="shared" si="26"/>
        <v>26.802507836990596</v>
      </c>
      <c r="Q78" s="1"/>
      <c r="R78" s="1"/>
      <c r="S78" s="1"/>
      <c r="T78" s="1"/>
      <c r="U78" s="1"/>
      <c r="V78" s="1"/>
      <c r="W78" s="1"/>
      <c r="X78" s="1"/>
      <c r="Y78" s="1"/>
      <c r="Z78" s="1"/>
      <c r="AA78" s="1"/>
      <c r="AB78" s="1"/>
      <c r="AC78" s="1"/>
      <c r="AD78" s="1"/>
      <c r="AE78" s="1"/>
      <c r="AF78" s="1"/>
      <c r="AG78" s="1"/>
      <c r="AH78" s="1"/>
      <c r="AI78" s="1"/>
      <c r="AJ78" s="1"/>
    </row>
    <row r="79" spans="1:36" x14ac:dyDescent="0.25">
      <c r="A79" s="79" t="str">
        <f>'Data shares'!B74</f>
        <v>Technology</v>
      </c>
      <c r="B79" s="79" t="str">
        <f>'Data shares'!C74</f>
        <v>HCLTECH</v>
      </c>
      <c r="C79" s="4">
        <f>VLOOKUP($B79,'Data shares'!$C:$FB,7)</f>
        <v>1645.4</v>
      </c>
      <c r="D79" s="82">
        <f>VLOOKUP($B79,'Data shares'!$C:$FB,98)</f>
        <v>28318500</v>
      </c>
      <c r="E79" s="165">
        <f>VLOOKUP(B79,'Snapshot (Volume)'!$A$7:$G$168,7,0)</f>
        <v>29006600</v>
      </c>
      <c r="F79" s="165">
        <f t="shared" si="23"/>
        <v>-688100</v>
      </c>
      <c r="G79" s="166">
        <f t="shared" si="24"/>
        <v>-2.3722187364255031E-2</v>
      </c>
      <c r="H79" s="165">
        <f>VLOOKUP($B79,'Data shares'!$C:$FB,66)</f>
        <v>40168800</v>
      </c>
      <c r="I79" s="165">
        <f>VLOOKUP($B79,'Data shares'!$C:$FB,67)</f>
        <v>102140500</v>
      </c>
      <c r="J79" s="81">
        <f t="shared" si="25"/>
        <v>-60.672994551622516</v>
      </c>
      <c r="K79" s="5">
        <f>VLOOKUP($B79,'Data Vlaue (Cr)'!$C:$FB,99)</f>
        <v>4666</v>
      </c>
      <c r="L79" s="81">
        <f>VLOOKUP(B79,'OI(Value)'!$A$7:$C$209,3,0)</f>
        <v>-113</v>
      </c>
      <c r="M79" s="33">
        <f t="shared" si="22"/>
        <v>-2.4217745392198888</v>
      </c>
      <c r="N79" s="5">
        <f>VLOOKUP($B79,'Data Vlaue (Cr)'!$C:$FB,67)</f>
        <v>6618</v>
      </c>
      <c r="O79" s="5">
        <f>VLOOKUP($B79,'Data Vlaue (Cr)'!$C:$FB,68)</f>
        <v>16829</v>
      </c>
      <c r="P79" s="5">
        <f t="shared" si="26"/>
        <v>-154.29132668479903</v>
      </c>
      <c r="Q79" s="1"/>
      <c r="R79" s="1"/>
      <c r="S79" s="1"/>
      <c r="T79" s="1"/>
      <c r="U79" s="1"/>
      <c r="V79" s="1"/>
      <c r="W79" s="1"/>
      <c r="X79" s="1"/>
      <c r="Y79" s="1"/>
      <c r="Z79" s="1"/>
      <c r="AA79" s="1"/>
      <c r="AB79" s="1"/>
      <c r="AC79" s="1"/>
      <c r="AD79" s="1"/>
      <c r="AE79" s="1"/>
      <c r="AF79" s="1"/>
      <c r="AG79" s="1"/>
      <c r="AH79" s="1"/>
      <c r="AI79" s="1"/>
      <c r="AJ79" s="1"/>
    </row>
    <row r="80" spans="1:36" x14ac:dyDescent="0.25">
      <c r="A80" s="79" t="str">
        <f>'Data shares'!B75</f>
        <v>Finance</v>
      </c>
      <c r="B80" s="79" t="str">
        <f>'Data shares'!C75</f>
        <v>HDFCAMC</v>
      </c>
      <c r="C80" s="4">
        <f>VLOOKUP($B80,'Data shares'!$C:$FB,7)</f>
        <v>5399</v>
      </c>
      <c r="D80" s="82">
        <f>VLOOKUP($B80,'Data shares'!$C:$FB,98)</f>
        <v>5052450</v>
      </c>
      <c r="E80" s="165">
        <f>VLOOKUP(B80,'Snapshot (Volume)'!$A$7:$G$168,7,0)</f>
        <v>5174250</v>
      </c>
      <c r="F80" s="165">
        <f t="shared" si="23"/>
        <v>-121800</v>
      </c>
      <c r="G80" s="166">
        <f t="shared" si="24"/>
        <v>-2.3539643426583563E-2</v>
      </c>
      <c r="H80" s="165">
        <f>VLOOKUP($B80,'Data shares'!$C:$FB,66)</f>
        <v>3429300</v>
      </c>
      <c r="I80" s="165">
        <f>VLOOKUP($B80,'Data shares'!$C:$FB,67)</f>
        <v>2880750</v>
      </c>
      <c r="J80" s="81">
        <f t="shared" si="25"/>
        <v>19.04191616766467</v>
      </c>
      <c r="K80" s="5">
        <f>VLOOKUP($B80,'Data Vlaue (Cr)'!$C:$FB,99)</f>
        <v>2731</v>
      </c>
      <c r="L80" s="81">
        <f>VLOOKUP(B80,'OI(Value)'!$A$7:$C$209,3,0)</f>
        <v>-66</v>
      </c>
      <c r="M80" s="33">
        <f t="shared" si="22"/>
        <v>-2.4166971805199564</v>
      </c>
      <c r="N80" s="5">
        <f>VLOOKUP($B80,'Data Vlaue (Cr)'!$C:$FB,67)</f>
        <v>1854</v>
      </c>
      <c r="O80" s="5">
        <f>VLOOKUP($B80,'Data Vlaue (Cr)'!$C:$FB,68)</f>
        <v>1557</v>
      </c>
      <c r="P80" s="5">
        <f t="shared" si="26"/>
        <v>16.019417475728158</v>
      </c>
      <c r="Q80" s="1"/>
      <c r="R80" s="1"/>
      <c r="S80" s="1"/>
      <c r="T80" s="1"/>
      <c r="U80" s="1"/>
      <c r="V80" s="1"/>
      <c r="W80" s="1"/>
      <c r="X80" s="1"/>
      <c r="Y80" s="1"/>
      <c r="Z80" s="1"/>
      <c r="AA80" s="1"/>
      <c r="AB80" s="1"/>
      <c r="AC80" s="1"/>
      <c r="AD80" s="1"/>
      <c r="AE80" s="1"/>
      <c r="AF80" s="1"/>
      <c r="AG80" s="1"/>
      <c r="AH80" s="1"/>
      <c r="AI80" s="1"/>
      <c r="AJ80" s="1"/>
    </row>
    <row r="81" spans="1:36" x14ac:dyDescent="0.25">
      <c r="A81" s="79" t="str">
        <f>'Data shares'!B76</f>
        <v>Banking</v>
      </c>
      <c r="B81" s="79" t="str">
        <f>'Data shares'!C76</f>
        <v>HDFCBANK</v>
      </c>
      <c r="C81" s="4">
        <f>VLOOKUP($B81,'Data shares'!$C:$FB,7)</f>
        <v>1008.85</v>
      </c>
      <c r="D81" s="82">
        <f>VLOOKUP($B81,'Data shares'!$C:$FB,98)</f>
        <v>274744800</v>
      </c>
      <c r="E81" s="165">
        <f>VLOOKUP(B81,'Snapshot (Volume)'!$A$7:$G$168,7,0)</f>
        <v>279468750</v>
      </c>
      <c r="F81" s="165">
        <f t="shared" si="23"/>
        <v>-4723950</v>
      </c>
      <c r="G81" s="166">
        <f t="shared" si="24"/>
        <v>-1.6903321033210333E-2</v>
      </c>
      <c r="H81" s="165">
        <f>VLOOKUP($B81,'Data shares'!$C:$FB,66)</f>
        <v>286645700</v>
      </c>
      <c r="I81" s="165">
        <f>VLOOKUP($B81,'Data shares'!$C:$FB,67)</f>
        <v>126755750</v>
      </c>
      <c r="J81" s="81">
        <f t="shared" si="25"/>
        <v>126.14019482350901</v>
      </c>
      <c r="K81" s="5">
        <f>VLOOKUP($B81,'Data Vlaue (Cr)'!$C:$FB,99)</f>
        <v>27751</v>
      </c>
      <c r="L81" s="81">
        <f>VLOOKUP(B81,'OI(Value)'!$A$7:$C$209,3,0)</f>
        <v>-477</v>
      </c>
      <c r="M81" s="33">
        <f t="shared" si="22"/>
        <v>-1.7188569781269143</v>
      </c>
      <c r="N81" s="5">
        <f>VLOOKUP($B81,'Data Vlaue (Cr)'!$C:$FB,67)</f>
        <v>28953</v>
      </c>
      <c r="O81" s="5">
        <f>VLOOKUP($B81,'Data Vlaue (Cr)'!$C:$FB,68)</f>
        <v>12803</v>
      </c>
      <c r="P81" s="5">
        <f t="shared" si="26"/>
        <v>55.780057334300416</v>
      </c>
      <c r="Q81" s="1"/>
      <c r="R81" s="1"/>
      <c r="S81" s="1"/>
      <c r="T81" s="1"/>
      <c r="U81" s="1"/>
      <c r="V81" s="1"/>
      <c r="W81" s="1"/>
      <c r="X81" s="1"/>
      <c r="Y81" s="1"/>
      <c r="Z81" s="1"/>
      <c r="AA81" s="1"/>
      <c r="AB81" s="1"/>
      <c r="AC81" s="1"/>
      <c r="AD81" s="1"/>
      <c r="AE81" s="1"/>
      <c r="AF81" s="1"/>
      <c r="AG81" s="1"/>
      <c r="AH81" s="1"/>
      <c r="AI81" s="1"/>
      <c r="AJ81" s="1"/>
    </row>
    <row r="82" spans="1:36" x14ac:dyDescent="0.25">
      <c r="A82" s="79" t="str">
        <f>'Data shares'!B77</f>
        <v>Finance</v>
      </c>
      <c r="B82" s="79" t="str">
        <f>'Data shares'!C77</f>
        <v>HDFCLIFE</v>
      </c>
      <c r="C82" s="4">
        <f>VLOOKUP($B82,'Data shares'!$C:$FB,7)</f>
        <v>762.2</v>
      </c>
      <c r="D82" s="82">
        <f>VLOOKUP($B82,'Data shares'!$C:$FB,98)</f>
        <v>47650900</v>
      </c>
      <c r="E82" s="165">
        <f>VLOOKUP(B82,'Snapshot (Volume)'!$A$7:$G$168,7,0)</f>
        <v>47230700</v>
      </c>
      <c r="F82" s="165">
        <f t="shared" si="23"/>
        <v>420200</v>
      </c>
      <c r="G82" s="166">
        <f t="shared" si="24"/>
        <v>8.896755711856906E-3</v>
      </c>
      <c r="H82" s="165">
        <f>VLOOKUP($B82,'Data shares'!$C:$FB,66)</f>
        <v>43008900</v>
      </c>
      <c r="I82" s="165">
        <f>VLOOKUP($B82,'Data shares'!$C:$FB,67)</f>
        <v>17185300</v>
      </c>
      <c r="J82" s="81">
        <f t="shared" si="25"/>
        <v>150.26563400115214</v>
      </c>
      <c r="K82" s="5">
        <f>VLOOKUP($B82,'Data Vlaue (Cr)'!$C:$FB,99)</f>
        <v>3634</v>
      </c>
      <c r="L82" s="81">
        <f>VLOOKUP(B82,'OI(Value)'!$A$7:$C$209,3,0)</f>
        <v>32</v>
      </c>
      <c r="M82" s="33">
        <f t="shared" si="22"/>
        <v>0.88057237204182714</v>
      </c>
      <c r="N82" s="5">
        <f>VLOOKUP($B82,'Data Vlaue (Cr)'!$C:$FB,67)</f>
        <v>3280</v>
      </c>
      <c r="O82" s="5">
        <f>VLOOKUP($B82,'Data Vlaue (Cr)'!$C:$FB,68)</f>
        <v>1311</v>
      </c>
      <c r="P82" s="5">
        <f t="shared" si="26"/>
        <v>60.030487804878049</v>
      </c>
      <c r="Q82" s="1"/>
      <c r="R82" s="1"/>
      <c r="S82" s="1"/>
      <c r="T82" s="1"/>
      <c r="U82" s="1"/>
      <c r="V82" s="1"/>
      <c r="W82" s="1"/>
      <c r="X82" s="1"/>
      <c r="Y82" s="1"/>
      <c r="Z82" s="1"/>
      <c r="AA82" s="1"/>
      <c r="AB82" s="1"/>
      <c r="AC82" s="1"/>
      <c r="AD82" s="1"/>
      <c r="AE82" s="1"/>
      <c r="AF82" s="1"/>
      <c r="AG82" s="1"/>
      <c r="AH82" s="1"/>
      <c r="AI82" s="1"/>
      <c r="AJ82" s="1"/>
    </row>
    <row r="83" spans="1:36" x14ac:dyDescent="0.25">
      <c r="A83" s="79" t="str">
        <f>'Data shares'!B78</f>
        <v>Automobile</v>
      </c>
      <c r="B83" s="79" t="str">
        <f>'Data shares'!C78</f>
        <v>HEROMOTOCO</v>
      </c>
      <c r="C83" s="4">
        <f>VLOOKUP($B83,'Data shares'!$C:$FB,7)</f>
        <v>5999.5</v>
      </c>
      <c r="D83" s="82">
        <f>VLOOKUP($B83,'Data shares'!$C:$FB,98)</f>
        <v>13916400</v>
      </c>
      <c r="E83" s="165">
        <f>VLOOKUP(B83,'Snapshot (Volume)'!$A$7:$G$168,7,0)</f>
        <v>13183050</v>
      </c>
      <c r="F83" s="165">
        <f t="shared" si="23"/>
        <v>733350</v>
      </c>
      <c r="G83" s="166">
        <f t="shared" si="24"/>
        <v>5.5628249911818584E-2</v>
      </c>
      <c r="H83" s="165">
        <f>VLOOKUP($B83,'Data shares'!$C:$FB,66)</f>
        <v>48506250</v>
      </c>
      <c r="I83" s="165">
        <f>VLOOKUP($B83,'Data shares'!$C:$FB,67)</f>
        <v>24623250</v>
      </c>
      <c r="J83" s="81">
        <f t="shared" si="25"/>
        <v>96.993694983399834</v>
      </c>
      <c r="K83" s="5">
        <f>VLOOKUP($B83,'Data Vlaue (Cr)'!$C:$FB,99)</f>
        <v>8357</v>
      </c>
      <c r="L83" s="81">
        <f>VLOOKUP(B83,'OI(Value)'!$A$7:$C$209,3,0)</f>
        <v>440</v>
      </c>
      <c r="M83" s="33">
        <f t="shared" si="22"/>
        <v>5.2650472657652267</v>
      </c>
      <c r="N83" s="5">
        <f>VLOOKUP($B83,'Data Vlaue (Cr)'!$C:$FB,67)</f>
        <v>29128</v>
      </c>
      <c r="O83" s="5">
        <f>VLOOKUP($B83,'Data Vlaue (Cr)'!$C:$FB,68)</f>
        <v>14786</v>
      </c>
      <c r="P83" s="5">
        <f t="shared" si="26"/>
        <v>49.237846745399615</v>
      </c>
      <c r="Q83" s="1"/>
      <c r="R83" s="1"/>
      <c r="S83" s="1"/>
      <c r="T83" s="1"/>
      <c r="U83" s="1"/>
      <c r="V83" s="1"/>
      <c r="W83" s="1"/>
      <c r="X83" s="1"/>
      <c r="Y83" s="1"/>
      <c r="Z83" s="1"/>
      <c r="AA83" s="1"/>
      <c r="AB83" s="1"/>
      <c r="AC83" s="1"/>
      <c r="AD83" s="1"/>
      <c r="AE83" s="1"/>
      <c r="AF83" s="1"/>
      <c r="AG83" s="1"/>
      <c r="AH83" s="1"/>
      <c r="AI83" s="1"/>
      <c r="AJ83" s="1"/>
    </row>
    <row r="84" spans="1:36" x14ac:dyDescent="0.25">
      <c r="A84" s="79" t="str">
        <f>'Data shares'!B79</f>
        <v>Technology</v>
      </c>
      <c r="B84" s="79" t="str">
        <f>'Data shares'!C79</f>
        <v>HFCL</v>
      </c>
      <c r="C84" s="4">
        <f>VLOOKUP($B84,'Data shares'!$C:$FB,7)</f>
        <v>73.400000000000006</v>
      </c>
      <c r="D84" s="82">
        <f>VLOOKUP($B84,'Data shares'!$C:$FB,98)</f>
        <v>205239000</v>
      </c>
      <c r="E84" s="165">
        <f>VLOOKUP(B84,'Snapshot (Volume)'!$A$7:$G$168,7,0)</f>
        <v>206064600</v>
      </c>
      <c r="F84" s="165">
        <f t="shared" si="23"/>
        <v>-825600</v>
      </c>
      <c r="G84" s="166">
        <f t="shared" si="24"/>
        <v>-4.0065105796919997E-3</v>
      </c>
      <c r="H84" s="165">
        <f>VLOOKUP($B84,'Data shares'!$C:$FB,66)</f>
        <v>99252600</v>
      </c>
      <c r="I84" s="165">
        <f>VLOOKUP($B84,'Data shares'!$C:$FB,67)</f>
        <v>89990400</v>
      </c>
      <c r="J84" s="81">
        <f t="shared" si="25"/>
        <v>10.292431192660551</v>
      </c>
      <c r="K84" s="5">
        <f>VLOOKUP($B84,'Data Vlaue (Cr)'!$C:$FB,99)</f>
        <v>1506</v>
      </c>
      <c r="L84" s="81">
        <f>VLOOKUP(B84,'OI(Value)'!$A$7:$C$209,3,0)</f>
        <v>-6</v>
      </c>
      <c r="M84" s="33">
        <f t="shared" si="22"/>
        <v>-0.39840637450199201</v>
      </c>
      <c r="N84" s="5">
        <f>VLOOKUP($B84,'Data Vlaue (Cr)'!$C:$FB,67)</f>
        <v>728</v>
      </c>
      <c r="O84" s="5">
        <f>VLOOKUP($B84,'Data Vlaue (Cr)'!$C:$FB,68)</f>
        <v>660</v>
      </c>
      <c r="P84" s="5">
        <f t="shared" si="26"/>
        <v>9.3406593406593412</v>
      </c>
      <c r="Q84" s="1"/>
      <c r="R84" s="1"/>
      <c r="S84" s="1"/>
      <c r="T84" s="1"/>
      <c r="U84" s="1"/>
      <c r="V84" s="1"/>
      <c r="W84" s="1"/>
      <c r="X84" s="1"/>
      <c r="Y84" s="1"/>
      <c r="Z84" s="1"/>
      <c r="AA84" s="1"/>
      <c r="AB84" s="1"/>
      <c r="AC84" s="1"/>
      <c r="AD84" s="1"/>
      <c r="AE84" s="1"/>
      <c r="AF84" s="1"/>
      <c r="AG84" s="1"/>
      <c r="AH84" s="1"/>
      <c r="AI84" s="1"/>
      <c r="AJ84" s="1"/>
    </row>
    <row r="85" spans="1:36" x14ac:dyDescent="0.25">
      <c r="A85" s="79" t="str">
        <f>'Data shares'!B80</f>
        <v>Metals</v>
      </c>
      <c r="B85" s="79" t="str">
        <f>'Data shares'!C80</f>
        <v>HINDALCO</v>
      </c>
      <c r="C85" s="4">
        <f>VLOOKUP($B85,'Data shares'!$C:$FB,7)</f>
        <v>799.8</v>
      </c>
      <c r="D85" s="82">
        <f>VLOOKUP($B85,'Data shares'!$C:$FB,98)</f>
        <v>122616900</v>
      </c>
      <c r="E85" s="165">
        <f>VLOOKUP(B85,'Snapshot (Volume)'!$A$7:$G$168,7,0)</f>
        <v>123737600</v>
      </c>
      <c r="F85" s="165">
        <f t="shared" si="23"/>
        <v>-1120700</v>
      </c>
      <c r="G85" s="166">
        <f t="shared" si="24"/>
        <v>-9.0570691527878354E-3</v>
      </c>
      <c r="H85" s="165">
        <f>VLOOKUP($B85,'Data shares'!$C:$FB,66)</f>
        <v>107504600</v>
      </c>
      <c r="I85" s="165">
        <f>VLOOKUP($B85,'Data shares'!$C:$FB,67)</f>
        <v>84147700</v>
      </c>
      <c r="J85" s="81">
        <f t="shared" si="25"/>
        <v>27.757027227125636</v>
      </c>
      <c r="K85" s="5">
        <f>VLOOKUP($B85,'Data Vlaue (Cr)'!$C:$FB,99)</f>
        <v>9815</v>
      </c>
      <c r="L85" s="81">
        <f>VLOOKUP(B85,'OI(Value)'!$A$7:$C$209,3,0)</f>
        <v>-90</v>
      </c>
      <c r="M85" s="33">
        <f t="shared" si="22"/>
        <v>-0.91696383087111566</v>
      </c>
      <c r="N85" s="5">
        <f>VLOOKUP($B85,'Data Vlaue (Cr)'!$C:$FB,67)</f>
        <v>8605</v>
      </c>
      <c r="O85" s="5">
        <f>VLOOKUP($B85,'Data Vlaue (Cr)'!$C:$FB,68)</f>
        <v>6736</v>
      </c>
      <c r="P85" s="5">
        <f t="shared" si="26"/>
        <v>21.719930273097038</v>
      </c>
      <c r="Q85" s="1"/>
      <c r="R85" s="1"/>
      <c r="S85" s="1"/>
      <c r="T85" s="1"/>
      <c r="U85" s="1"/>
      <c r="V85" s="1"/>
      <c r="W85" s="1"/>
      <c r="X85" s="1"/>
      <c r="Y85" s="1"/>
      <c r="Z85" s="1"/>
      <c r="AA85" s="1"/>
      <c r="AB85" s="1"/>
      <c r="AC85" s="1"/>
      <c r="AD85" s="1"/>
      <c r="AE85" s="1"/>
      <c r="AF85" s="1"/>
      <c r="AG85" s="1"/>
      <c r="AH85" s="1"/>
      <c r="AI85" s="1"/>
      <c r="AJ85" s="1"/>
    </row>
    <row r="86" spans="1:36" x14ac:dyDescent="0.25">
      <c r="A86" s="79" t="str">
        <f>'Data shares'!B81</f>
        <v>Oil_Gas</v>
      </c>
      <c r="B86" s="79" t="str">
        <f>'Data shares'!C81</f>
        <v>HINDPETRO</v>
      </c>
      <c r="C86" s="4">
        <f>VLOOKUP($B86,'Data shares'!$C:$FB,7)</f>
        <v>477.9</v>
      </c>
      <c r="D86" s="82">
        <f>VLOOKUP($B86,'Data shares'!$C:$FB,98)</f>
        <v>64563075</v>
      </c>
      <c r="E86" s="165">
        <f>VLOOKUP(B86,'Snapshot (Volume)'!$A$7:$G$168,7,0)</f>
        <v>65174625</v>
      </c>
      <c r="F86" s="165">
        <f t="shared" ref="F86:F96" si="27">D86-E86</f>
        <v>-611550</v>
      </c>
      <c r="G86" s="166">
        <f t="shared" ref="G86:G96" si="28">F86/E86</f>
        <v>-9.3832530681994715E-3</v>
      </c>
      <c r="H86" s="165">
        <f>VLOOKUP($B86,'Data shares'!$C:$FB,66)</f>
        <v>46107225</v>
      </c>
      <c r="I86" s="165">
        <f>VLOOKUP($B86,'Data shares'!$C:$FB,67)</f>
        <v>33957225</v>
      </c>
      <c r="J86" s="81">
        <f t="shared" ref="J86:J96" si="29">(H86-I86)/I86*100</f>
        <v>35.780308903333527</v>
      </c>
      <c r="K86" s="5">
        <f>VLOOKUP($B86,'Data Vlaue (Cr)'!$C:$FB,99)</f>
        <v>3090</v>
      </c>
      <c r="L86" s="81">
        <f>VLOOKUP(B86,'OI(Value)'!$A$7:$C$209,3,0)</f>
        <v>-29</v>
      </c>
      <c r="M86" s="33">
        <f t="shared" si="22"/>
        <v>-0.93851132686084138</v>
      </c>
      <c r="N86" s="5">
        <f>VLOOKUP($B86,'Data Vlaue (Cr)'!$C:$FB,67)</f>
        <v>2207</v>
      </c>
      <c r="O86" s="5">
        <f>VLOOKUP($B86,'Data Vlaue (Cr)'!$C:$FB,68)</f>
        <v>1625</v>
      </c>
      <c r="P86" s="5">
        <f t="shared" ref="P86:P96" si="30">(N86-O86)/N86*100</f>
        <v>26.370638876302671</v>
      </c>
      <c r="Q86" s="1"/>
      <c r="R86" s="1"/>
      <c r="S86" s="1"/>
      <c r="T86" s="1"/>
      <c r="U86" s="1"/>
      <c r="V86" s="1"/>
      <c r="W86" s="1"/>
      <c r="X86" s="1"/>
      <c r="Y86" s="1"/>
      <c r="Z86" s="1"/>
      <c r="AA86" s="1"/>
      <c r="AB86" s="1"/>
      <c r="AC86" s="1"/>
      <c r="AD86" s="1"/>
      <c r="AE86" s="1"/>
      <c r="AF86" s="1"/>
      <c r="AG86" s="1"/>
      <c r="AH86" s="1"/>
      <c r="AI86" s="1"/>
      <c r="AJ86" s="1"/>
    </row>
    <row r="87" spans="1:36" x14ac:dyDescent="0.25">
      <c r="A87" s="79" t="str">
        <f>'Data shares'!B82</f>
        <v>FMCG</v>
      </c>
      <c r="B87" s="79" t="str">
        <f>'Data shares'!C82</f>
        <v>HINDUNILVR</v>
      </c>
      <c r="C87" s="4">
        <f>VLOOKUP($B87,'Data shares'!$C:$FB,7)</f>
        <v>2428.4</v>
      </c>
      <c r="D87" s="82">
        <f>VLOOKUP($B87,'Data shares'!$C:$FB,98)</f>
        <v>34950600</v>
      </c>
      <c r="E87" s="165">
        <f>VLOOKUP(B87,'Snapshot (Volume)'!$A$7:$G$168,7,0)</f>
        <v>37496100</v>
      </c>
      <c r="F87" s="165">
        <f t="shared" si="27"/>
        <v>-2545500</v>
      </c>
      <c r="G87" s="166">
        <f t="shared" si="28"/>
        <v>-6.788706025426644E-2</v>
      </c>
      <c r="H87" s="165">
        <f>VLOOKUP($B87,'Data shares'!$C:$FB,66)</f>
        <v>34668900</v>
      </c>
      <c r="I87" s="165">
        <f>VLOOKUP($B87,'Data shares'!$C:$FB,67)</f>
        <v>45661500</v>
      </c>
      <c r="J87" s="81">
        <f t="shared" si="29"/>
        <v>-24.074110574554055</v>
      </c>
      <c r="K87" s="5">
        <f>VLOOKUP($B87,'Data Vlaue (Cr)'!$C:$FB,99)</f>
        <v>8503</v>
      </c>
      <c r="L87" s="81">
        <f>VLOOKUP(B87,'OI(Value)'!$A$7:$C$209,3,0)</f>
        <v>-619</v>
      </c>
      <c r="M87" s="33">
        <f t="shared" si="22"/>
        <v>-7.2797836057861929</v>
      </c>
      <c r="N87" s="5">
        <f>VLOOKUP($B87,'Data Vlaue (Cr)'!$C:$FB,67)</f>
        <v>8434</v>
      </c>
      <c r="O87" s="5">
        <f>VLOOKUP($B87,'Data Vlaue (Cr)'!$C:$FB,68)</f>
        <v>11109</v>
      </c>
      <c r="P87" s="5">
        <f t="shared" si="30"/>
        <v>-31.716860327246859</v>
      </c>
      <c r="Q87" s="1"/>
      <c r="R87" s="1"/>
      <c r="S87" s="1"/>
      <c r="T87" s="1"/>
      <c r="U87" s="1"/>
      <c r="V87" s="1"/>
      <c r="W87" s="1"/>
      <c r="X87" s="1"/>
      <c r="Y87" s="1"/>
      <c r="Z87" s="1"/>
      <c r="AA87" s="1"/>
      <c r="AB87" s="1"/>
      <c r="AC87" s="1"/>
      <c r="AD87" s="1"/>
      <c r="AE87" s="1"/>
      <c r="AF87" s="1"/>
      <c r="AG87" s="1"/>
      <c r="AH87" s="1"/>
      <c r="AI87" s="1"/>
      <c r="AJ87" s="1"/>
    </row>
    <row r="88" spans="1:36" x14ac:dyDescent="0.25">
      <c r="A88" s="79" t="str">
        <f>'Data shares'!B83</f>
        <v>Metals</v>
      </c>
      <c r="B88" s="79" t="str">
        <f>'Data shares'!C83</f>
        <v>HINDZINC</v>
      </c>
      <c r="C88" s="4">
        <f>VLOOKUP($B88,'Data shares'!$C:$FB,7)</f>
        <v>472.15</v>
      </c>
      <c r="D88" s="82">
        <f>VLOOKUP($B88,'Data shares'!$C:$FB,98)</f>
        <v>80243625</v>
      </c>
      <c r="E88" s="165">
        <f>VLOOKUP(B88,'Snapshot (Volume)'!$A$7:$G$168,7,0)</f>
        <v>81866750</v>
      </c>
      <c r="F88" s="165">
        <f t="shared" si="27"/>
        <v>-1623125</v>
      </c>
      <c r="G88" s="166">
        <f t="shared" si="28"/>
        <v>-1.9826425258117612E-2</v>
      </c>
      <c r="H88" s="165">
        <f>VLOOKUP($B88,'Data shares'!$C:$FB,66)</f>
        <v>38509100</v>
      </c>
      <c r="I88" s="165">
        <f>VLOOKUP($B88,'Data shares'!$C:$FB,67)</f>
        <v>35809200</v>
      </c>
      <c r="J88" s="81">
        <f t="shared" si="29"/>
        <v>7.5396825396825395</v>
      </c>
      <c r="K88" s="5">
        <f>VLOOKUP($B88,'Data Vlaue (Cr)'!$C:$FB,99)</f>
        <v>3788</v>
      </c>
      <c r="L88" s="81">
        <f>VLOOKUP(B88,'OI(Value)'!$A$7:$C$209,3,0)</f>
        <v>-77</v>
      </c>
      <c r="M88" s="33">
        <f t="shared" si="22"/>
        <v>-2.0327349524815208</v>
      </c>
      <c r="N88" s="5">
        <f>VLOOKUP($B88,'Data Vlaue (Cr)'!$C:$FB,67)</f>
        <v>1818</v>
      </c>
      <c r="O88" s="5">
        <f>VLOOKUP($B88,'Data Vlaue (Cr)'!$C:$FB,68)</f>
        <v>1690</v>
      </c>
      <c r="P88" s="5">
        <f t="shared" si="30"/>
        <v>7.04070407040704</v>
      </c>
      <c r="Q88" s="1"/>
      <c r="R88" s="1"/>
      <c r="S88" s="1"/>
      <c r="T88" s="1"/>
      <c r="U88" s="1"/>
      <c r="V88" s="1"/>
      <c r="W88" s="1"/>
      <c r="X88" s="1"/>
      <c r="Y88" s="1"/>
      <c r="Z88" s="1"/>
      <c r="AA88" s="1"/>
      <c r="AB88" s="1"/>
      <c r="AC88" s="1"/>
      <c r="AD88" s="1"/>
      <c r="AE88" s="1"/>
      <c r="AF88" s="1"/>
      <c r="AG88" s="1"/>
      <c r="AH88" s="1"/>
      <c r="AI88" s="1"/>
      <c r="AJ88" s="1"/>
    </row>
    <row r="89" spans="1:36" x14ac:dyDescent="0.25">
      <c r="A89" s="79" t="str">
        <f>'Data shares'!B84</f>
        <v>Realty</v>
      </c>
      <c r="B89" s="79" t="str">
        <f>'Data shares'!C84</f>
        <v>HUDCO</v>
      </c>
      <c r="C89" s="4">
        <f>VLOOKUP($B89,'Data shares'!$C:$FB,7)</f>
        <v>237.1</v>
      </c>
      <c r="D89" s="82">
        <f>VLOOKUP($B89,'Data shares'!$C:$FB,98)</f>
        <v>86116575</v>
      </c>
      <c r="E89" s="165">
        <f>VLOOKUP(B89,'Snapshot (Volume)'!$A$7:$G$168,7,0)</f>
        <v>87959175</v>
      </c>
      <c r="F89" s="165">
        <f t="shared" si="27"/>
        <v>-1842600</v>
      </c>
      <c r="G89" s="166">
        <f t="shared" si="28"/>
        <v>-2.0948354733886489E-2</v>
      </c>
      <c r="H89" s="165">
        <f>VLOOKUP($B89,'Data shares'!$C:$FB,66)</f>
        <v>122840925</v>
      </c>
      <c r="I89" s="165">
        <f>VLOOKUP($B89,'Data shares'!$C:$FB,67)</f>
        <v>99547575</v>
      </c>
      <c r="J89" s="81">
        <f t="shared" si="29"/>
        <v>23.399213893457475</v>
      </c>
      <c r="K89" s="5">
        <f>VLOOKUP($B89,'Data Vlaue (Cr)'!$C:$FB,99)</f>
        <v>2048</v>
      </c>
      <c r="L89" s="81">
        <f>VLOOKUP(B89,'OI(Value)'!$A$7:$C$209,3,0)</f>
        <v>-44</v>
      </c>
      <c r="M89" s="33">
        <f t="shared" si="22"/>
        <v>-2.1484375</v>
      </c>
      <c r="N89" s="5">
        <f>VLOOKUP($B89,'Data Vlaue (Cr)'!$C:$FB,67)</f>
        <v>2921</v>
      </c>
      <c r="O89" s="5">
        <f>VLOOKUP($B89,'Data Vlaue (Cr)'!$C:$FB,68)</f>
        <v>2367</v>
      </c>
      <c r="P89" s="5">
        <f t="shared" si="30"/>
        <v>18.966107497432386</v>
      </c>
      <c r="Q89" s="1"/>
      <c r="R89" s="1"/>
      <c r="S89" s="1"/>
      <c r="T89" s="1"/>
      <c r="U89" s="1"/>
      <c r="V89" s="1"/>
      <c r="W89" s="1"/>
      <c r="X89" s="1"/>
      <c r="Y89" s="1"/>
      <c r="Z89" s="1"/>
      <c r="AA89" s="1"/>
      <c r="AB89" s="1"/>
      <c r="AC89" s="1"/>
      <c r="AD89" s="1"/>
      <c r="AE89" s="1"/>
      <c r="AF89" s="1"/>
      <c r="AG89" s="1"/>
      <c r="AH89" s="1"/>
      <c r="AI89" s="1"/>
      <c r="AJ89" s="1"/>
    </row>
    <row r="90" spans="1:36" x14ac:dyDescent="0.25">
      <c r="A90" s="79" t="str">
        <f>'Data shares'!B85</f>
        <v>Banking</v>
      </c>
      <c r="B90" s="79" t="str">
        <f>'Data shares'!C85</f>
        <v>ICICIBANK</v>
      </c>
      <c r="C90" s="4">
        <f>VLOOKUP($B90,'Data shares'!$C:$FB,7)</f>
        <v>1383</v>
      </c>
      <c r="D90" s="82">
        <f>VLOOKUP($B90,'Data shares'!$C:$FB,98)</f>
        <v>174922300</v>
      </c>
      <c r="E90" s="165">
        <f>VLOOKUP(B90,'Snapshot (Volume)'!$A$7:$G$168,7,0)</f>
        <v>174505800</v>
      </c>
      <c r="F90" s="165">
        <f t="shared" si="27"/>
        <v>416500</v>
      </c>
      <c r="G90" s="166">
        <f t="shared" si="28"/>
        <v>2.3867401541954481E-3</v>
      </c>
      <c r="H90" s="165">
        <f>VLOOKUP($B90,'Data shares'!$C:$FB,66)</f>
        <v>130966500</v>
      </c>
      <c r="I90" s="165">
        <f>VLOOKUP($B90,'Data shares'!$C:$FB,67)</f>
        <v>77550200</v>
      </c>
      <c r="J90" s="81">
        <f t="shared" si="29"/>
        <v>68.879641832000431</v>
      </c>
      <c r="K90" s="5">
        <f>VLOOKUP($B90,'Data Vlaue (Cr)'!$C:$FB,99)</f>
        <v>24223</v>
      </c>
      <c r="L90" s="81">
        <f>VLOOKUP(B90,'OI(Value)'!$A$7:$C$209,3,0)</f>
        <v>58</v>
      </c>
      <c r="M90" s="33">
        <f t="shared" si="22"/>
        <v>0.23944185278454364</v>
      </c>
      <c r="N90" s="5">
        <f>VLOOKUP($B90,'Data Vlaue (Cr)'!$C:$FB,67)</f>
        <v>18136</v>
      </c>
      <c r="O90" s="5">
        <f>VLOOKUP($B90,'Data Vlaue (Cr)'!$C:$FB,68)</f>
        <v>10739</v>
      </c>
      <c r="P90" s="5">
        <f t="shared" si="30"/>
        <v>40.786281429201587</v>
      </c>
      <c r="Q90" s="1"/>
      <c r="R90" s="1"/>
      <c r="S90" s="1"/>
      <c r="T90" s="1"/>
      <c r="U90" s="1"/>
      <c r="V90" s="1"/>
      <c r="W90" s="1"/>
      <c r="X90" s="1"/>
      <c r="Y90" s="1"/>
      <c r="Z90" s="1"/>
      <c r="AA90" s="1"/>
      <c r="AB90" s="1"/>
      <c r="AC90" s="1"/>
      <c r="AD90" s="1"/>
      <c r="AE90" s="1"/>
      <c r="AF90" s="1"/>
      <c r="AG90" s="1"/>
      <c r="AH90" s="1"/>
      <c r="AI90" s="1"/>
      <c r="AJ90" s="1"/>
    </row>
    <row r="91" spans="1:36" x14ac:dyDescent="0.25">
      <c r="A91" s="79" t="str">
        <f>'Data shares'!B86</f>
        <v>Finance</v>
      </c>
      <c r="B91" s="79" t="str">
        <f>'Data shares'!C86</f>
        <v>ICICIGI</v>
      </c>
      <c r="C91" s="4">
        <f>VLOOKUP($B91,'Data shares'!$C:$FB,7)</f>
        <v>2037.6</v>
      </c>
      <c r="D91" s="82">
        <f>VLOOKUP($B91,'Data shares'!$C:$FB,98)</f>
        <v>8385975</v>
      </c>
      <c r="E91" s="165">
        <f>VLOOKUP(B91,'Snapshot (Volume)'!$A$7:$G$168,7,0)</f>
        <v>8587150</v>
      </c>
      <c r="F91" s="165">
        <f t="shared" si="27"/>
        <v>-201175</v>
      </c>
      <c r="G91" s="166">
        <f t="shared" si="28"/>
        <v>-2.3427446824615849E-2</v>
      </c>
      <c r="H91" s="165">
        <f>VLOOKUP($B91,'Data shares'!$C:$FB,66)</f>
        <v>5300100</v>
      </c>
      <c r="I91" s="165">
        <f>VLOOKUP($B91,'Data shares'!$C:$FB,67)</f>
        <v>3297450</v>
      </c>
      <c r="J91" s="81">
        <f t="shared" si="29"/>
        <v>60.733293908929632</v>
      </c>
      <c r="K91" s="5">
        <f>VLOOKUP($B91,'Data Vlaue (Cr)'!$C:$FB,99)</f>
        <v>1707</v>
      </c>
      <c r="L91" s="81">
        <f>VLOOKUP(B91,'OI(Value)'!$A$7:$C$209,3,0)</f>
        <v>-41</v>
      </c>
      <c r="M91" s="33">
        <f t="shared" si="22"/>
        <v>-2.4018746338605741</v>
      </c>
      <c r="N91" s="5">
        <f>VLOOKUP($B91,'Data Vlaue (Cr)'!$C:$FB,67)</f>
        <v>1079</v>
      </c>
      <c r="O91" s="5">
        <f>VLOOKUP($B91,'Data Vlaue (Cr)'!$C:$FB,68)</f>
        <v>671</v>
      </c>
      <c r="P91" s="5">
        <f t="shared" si="30"/>
        <v>37.812789620018535</v>
      </c>
      <c r="Q91" s="1"/>
      <c r="R91" s="1"/>
      <c r="S91" s="1"/>
      <c r="T91" s="1"/>
      <c r="U91" s="1"/>
      <c r="V91" s="1"/>
      <c r="W91" s="1"/>
      <c r="X91" s="1"/>
      <c r="Y91" s="1"/>
      <c r="Z91" s="1"/>
      <c r="AA91" s="1"/>
      <c r="AB91" s="1"/>
      <c r="AC91" s="1"/>
      <c r="AD91" s="1"/>
      <c r="AE91" s="1"/>
      <c r="AF91" s="1"/>
      <c r="AG91" s="1"/>
      <c r="AH91" s="1"/>
      <c r="AI91" s="1"/>
      <c r="AJ91" s="1"/>
    </row>
    <row r="92" spans="1:36" x14ac:dyDescent="0.25">
      <c r="A92" s="79" t="str">
        <f>'Data shares'!B87</f>
        <v>Finance</v>
      </c>
      <c r="B92" s="79" t="str">
        <f>'Data shares'!C87</f>
        <v>ICICIPRULI</v>
      </c>
      <c r="C92" s="4">
        <f>VLOOKUP($B92,'Data shares'!$C:$FB,7)</f>
        <v>618.4</v>
      </c>
      <c r="D92" s="82">
        <f>VLOOKUP($B92,'Data shares'!$C:$FB,98)</f>
        <v>20358325</v>
      </c>
      <c r="E92" s="165">
        <f>VLOOKUP(B92,'Snapshot (Volume)'!$A$7:$G$168,7,0)</f>
        <v>20210325</v>
      </c>
      <c r="F92" s="165">
        <f t="shared" si="27"/>
        <v>148000</v>
      </c>
      <c r="G92" s="166">
        <f t="shared" si="28"/>
        <v>7.3229896105084904E-3</v>
      </c>
      <c r="H92" s="165">
        <f>VLOOKUP($B92,'Data shares'!$C:$FB,66)</f>
        <v>18902375</v>
      </c>
      <c r="I92" s="165">
        <f>VLOOKUP($B92,'Data shares'!$C:$FB,67)</f>
        <v>10412725</v>
      </c>
      <c r="J92" s="81">
        <f t="shared" si="29"/>
        <v>81.531491516389792</v>
      </c>
      <c r="K92" s="5">
        <f>VLOOKUP($B92,'Data Vlaue (Cr)'!$C:$FB,99)</f>
        <v>1260</v>
      </c>
      <c r="L92" s="81">
        <f>VLOOKUP(B92,'OI(Value)'!$A$7:$C$209,3,0)</f>
        <v>9</v>
      </c>
      <c r="M92" s="33">
        <f t="shared" si="22"/>
        <v>0.7142857142857143</v>
      </c>
      <c r="N92" s="5">
        <f>VLOOKUP($B92,'Data Vlaue (Cr)'!$C:$FB,67)</f>
        <v>1170</v>
      </c>
      <c r="O92" s="5">
        <f>VLOOKUP($B92,'Data Vlaue (Cr)'!$C:$FB,68)</f>
        <v>645</v>
      </c>
      <c r="P92" s="5">
        <f t="shared" si="30"/>
        <v>44.871794871794876</v>
      </c>
      <c r="Q92" s="1"/>
      <c r="R92" s="1"/>
      <c r="S92" s="1"/>
      <c r="T92" s="1"/>
      <c r="U92" s="1"/>
      <c r="V92" s="1"/>
      <c r="W92" s="1"/>
      <c r="X92" s="1"/>
      <c r="Y92" s="1"/>
      <c r="Z92" s="1"/>
      <c r="AA92" s="1"/>
      <c r="AB92" s="1"/>
      <c r="AC92" s="1"/>
      <c r="AD92" s="1"/>
      <c r="AE92" s="1"/>
      <c r="AF92" s="1"/>
      <c r="AG92" s="1"/>
      <c r="AH92" s="1"/>
      <c r="AI92" s="1"/>
      <c r="AJ92" s="1"/>
    </row>
    <row r="93" spans="1:36" x14ac:dyDescent="0.25">
      <c r="A93" s="79" t="str">
        <f>'Data shares'!B88</f>
        <v>Telecom</v>
      </c>
      <c r="B93" s="79" t="str">
        <f>'Data shares'!C88</f>
        <v>IDEA</v>
      </c>
      <c r="C93" s="4">
        <f>VLOOKUP($B93,'Data shares'!$C:$FB,7)</f>
        <v>10.17</v>
      </c>
      <c r="D93" s="82">
        <f>VLOOKUP($B93,'Data shares'!$C:$FB,98)</f>
        <v>10323491625</v>
      </c>
      <c r="E93" s="165">
        <f>VLOOKUP(B93,'Snapshot (Volume)'!$A$7:$G$168,7,0)</f>
        <v>10478306475</v>
      </c>
      <c r="F93" s="165">
        <f t="shared" si="27"/>
        <v>-154814850</v>
      </c>
      <c r="G93" s="166">
        <f t="shared" si="28"/>
        <v>-1.4774796897701926E-2</v>
      </c>
      <c r="H93" s="165">
        <f>VLOOKUP($B93,'Data shares'!$C:$FB,66)</f>
        <v>6783835200</v>
      </c>
      <c r="I93" s="165">
        <f>VLOOKUP($B93,'Data shares'!$C:$FB,67)</f>
        <v>4679825625</v>
      </c>
      <c r="J93" s="81">
        <f t="shared" si="29"/>
        <v>44.959144711722033</v>
      </c>
      <c r="K93" s="5">
        <f>VLOOKUP($B93,'Data Vlaue (Cr)'!$C:$FB,99)</f>
        <v>10499</v>
      </c>
      <c r="L93" s="81">
        <f>VLOOKUP(B93,'OI(Value)'!$A$7:$C$209,3,0)</f>
        <v>-157</v>
      </c>
      <c r="M93" s="33">
        <f t="shared" si="22"/>
        <v>-1.4953805124297552</v>
      </c>
      <c r="N93" s="5">
        <f>VLOOKUP($B93,'Data Vlaue (Cr)'!$C:$FB,67)</f>
        <v>6899</v>
      </c>
      <c r="O93" s="5">
        <f>VLOOKUP($B93,'Data Vlaue (Cr)'!$C:$FB,68)</f>
        <v>4759</v>
      </c>
      <c r="P93" s="5">
        <f t="shared" si="30"/>
        <v>31.018988259167994</v>
      </c>
      <c r="Q93" s="1"/>
      <c r="R93" s="1"/>
      <c r="S93" s="1"/>
      <c r="T93" s="1"/>
      <c r="U93" s="1"/>
      <c r="V93" s="1"/>
      <c r="W93" s="1"/>
      <c r="X93" s="1"/>
      <c r="Y93" s="1"/>
      <c r="Z93" s="1"/>
      <c r="AA93" s="1"/>
      <c r="AB93" s="1"/>
      <c r="AC93" s="1"/>
      <c r="AD93" s="1"/>
      <c r="AE93" s="1"/>
      <c r="AF93" s="1"/>
      <c r="AG93" s="1"/>
      <c r="AH93" s="1"/>
      <c r="AI93" s="1"/>
      <c r="AJ93" s="1"/>
    </row>
    <row r="94" spans="1:36" x14ac:dyDescent="0.25">
      <c r="A94" s="79" t="str">
        <f>'Data shares'!B89</f>
        <v>Banking</v>
      </c>
      <c r="B94" s="79" t="str">
        <f>'Data shares'!C89</f>
        <v>IDFCFIRSTB</v>
      </c>
      <c r="C94" s="4">
        <f>VLOOKUP($B94,'Data shares'!$C:$FB,7)</f>
        <v>78.930000000000007</v>
      </c>
      <c r="D94" s="82">
        <f>VLOOKUP($B94,'Data shares'!$C:$FB,98)</f>
        <v>668217375</v>
      </c>
      <c r="E94" s="165">
        <f>VLOOKUP(B94,'Snapshot (Volume)'!$A$7:$G$168,7,0)</f>
        <v>681100350</v>
      </c>
      <c r="F94" s="165">
        <f t="shared" si="27"/>
        <v>-12882975</v>
      </c>
      <c r="G94" s="166">
        <f t="shared" si="28"/>
        <v>-1.8914944031375114E-2</v>
      </c>
      <c r="H94" s="165">
        <f>VLOOKUP($B94,'Data shares'!$C:$FB,66)</f>
        <v>413702100</v>
      </c>
      <c r="I94" s="165">
        <f>VLOOKUP($B94,'Data shares'!$C:$FB,67)</f>
        <v>382009425</v>
      </c>
      <c r="J94" s="81">
        <f t="shared" si="29"/>
        <v>8.2963070871877047</v>
      </c>
      <c r="K94" s="5">
        <f>VLOOKUP($B94,'Data Vlaue (Cr)'!$C:$FB,99)</f>
        <v>5280</v>
      </c>
      <c r="L94" s="81">
        <f>VLOOKUP(B94,'OI(Value)'!$A$7:$C$209,3,0)</f>
        <v>-102</v>
      </c>
      <c r="M94" s="33">
        <f t="shared" ref="M94:M122" si="31">L94/K94*100</f>
        <v>-1.9318181818181817</v>
      </c>
      <c r="N94" s="5">
        <f>VLOOKUP($B94,'Data Vlaue (Cr)'!$C:$FB,67)</f>
        <v>3269</v>
      </c>
      <c r="O94" s="5">
        <f>VLOOKUP($B94,'Data Vlaue (Cr)'!$C:$FB,68)</f>
        <v>3019</v>
      </c>
      <c r="P94" s="5">
        <f t="shared" si="30"/>
        <v>7.6475986540226373</v>
      </c>
      <c r="Q94" s="1"/>
      <c r="R94" s="1"/>
      <c r="S94" s="1"/>
      <c r="T94" s="1"/>
      <c r="U94" s="1"/>
      <c r="V94" s="1"/>
      <c r="W94" s="1"/>
      <c r="X94" s="1"/>
      <c r="Y94" s="1"/>
      <c r="Z94" s="1"/>
      <c r="AA94" s="1"/>
      <c r="AB94" s="1"/>
      <c r="AC94" s="1"/>
      <c r="AD94" s="1"/>
      <c r="AE94" s="1"/>
      <c r="AF94" s="1"/>
      <c r="AG94" s="1"/>
      <c r="AH94" s="1"/>
      <c r="AI94" s="1"/>
      <c r="AJ94" s="1"/>
    </row>
    <row r="95" spans="1:36" x14ac:dyDescent="0.25">
      <c r="A95" s="79" t="str">
        <f>'Data shares'!B90</f>
        <v>Power</v>
      </c>
      <c r="B95" s="79" t="str">
        <f>'Data shares'!C90</f>
        <v>IEX</v>
      </c>
      <c r="C95" s="4">
        <f>VLOOKUP($B95,'Data shares'!$C:$FB,7)</f>
        <v>143.13</v>
      </c>
      <c r="D95" s="82">
        <f>VLOOKUP($B95,'Data shares'!$C:$FB,98)</f>
        <v>161347500</v>
      </c>
      <c r="E95" s="165">
        <f>VLOOKUP(B95,'Snapshot (Volume)'!$A$7:$G$168,7,0)</f>
        <v>166275000</v>
      </c>
      <c r="F95" s="165">
        <f t="shared" si="27"/>
        <v>-4927500</v>
      </c>
      <c r="G95" s="166">
        <f t="shared" si="28"/>
        <v>-2.963464140730717E-2</v>
      </c>
      <c r="H95" s="165">
        <f>VLOOKUP($B95,'Data shares'!$C:$FB,66)</f>
        <v>360502500</v>
      </c>
      <c r="I95" s="165">
        <f>VLOOKUP($B95,'Data shares'!$C:$FB,67)</f>
        <v>58605000</v>
      </c>
      <c r="J95" s="81">
        <f t="shared" si="29"/>
        <v>515.13949321730229</v>
      </c>
      <c r="K95" s="5">
        <f>VLOOKUP($B95,'Data Vlaue (Cr)'!$C:$FB,99)</f>
        <v>2308</v>
      </c>
      <c r="L95" s="81">
        <f>VLOOKUP(B95,'OI(Value)'!$A$7:$C$209,3,0)</f>
        <v>-70</v>
      </c>
      <c r="M95" s="33">
        <f t="shared" si="31"/>
        <v>-3.0329289428076258</v>
      </c>
      <c r="N95" s="5">
        <f>VLOOKUP($B95,'Data Vlaue (Cr)'!$C:$FB,67)</f>
        <v>5157</v>
      </c>
      <c r="O95" s="5">
        <f>VLOOKUP($B95,'Data Vlaue (Cr)'!$C:$FB,68)</f>
        <v>838</v>
      </c>
      <c r="P95" s="5">
        <f t="shared" si="30"/>
        <v>83.750242388985839</v>
      </c>
      <c r="Q95" s="1"/>
      <c r="R95" s="1"/>
      <c r="S95" s="1"/>
      <c r="T95" s="1"/>
      <c r="U95" s="1"/>
      <c r="V95" s="1"/>
      <c r="W95" s="1"/>
      <c r="X95" s="1"/>
      <c r="Y95" s="1"/>
      <c r="Z95" s="1"/>
      <c r="AA95" s="1"/>
      <c r="AB95" s="1"/>
      <c r="AC95" s="1"/>
      <c r="AD95" s="1"/>
      <c r="AE95" s="1"/>
      <c r="AF95" s="1"/>
      <c r="AG95" s="1"/>
      <c r="AH95" s="1"/>
      <c r="AI95" s="1"/>
      <c r="AJ95" s="1"/>
    </row>
    <row r="96" spans="1:36" x14ac:dyDescent="0.25">
      <c r="A96" s="79" t="str">
        <f>'Data shares'!B91</f>
        <v>Oil_Gas</v>
      </c>
      <c r="B96" s="79" t="str">
        <f>'Data shares'!C91</f>
        <v>IGL</v>
      </c>
      <c r="C96" s="4">
        <f>VLOOKUP($B96,'Data shares'!$C:$FB,7)</f>
        <v>204.06</v>
      </c>
      <c r="D96" s="82">
        <f>VLOOKUP($B96,'Data shares'!$C:$FB,98)</f>
        <v>34941500</v>
      </c>
      <c r="E96" s="165">
        <f>VLOOKUP(B96,'Snapshot (Volume)'!$A$7:$G$168,7,0)</f>
        <v>36828000</v>
      </c>
      <c r="F96" s="165">
        <f t="shared" si="27"/>
        <v>-1886500</v>
      </c>
      <c r="G96" s="166">
        <f t="shared" si="28"/>
        <v>-5.1224611708482679E-2</v>
      </c>
      <c r="H96" s="165">
        <f>VLOOKUP($B96,'Data shares'!$C:$FB,66)</f>
        <v>19387500</v>
      </c>
      <c r="I96" s="165">
        <f>VLOOKUP($B96,'Data shares'!$C:$FB,67)</f>
        <v>25366000</v>
      </c>
      <c r="J96" s="81">
        <f t="shared" si="29"/>
        <v>-23.56895056374675</v>
      </c>
      <c r="K96" s="5">
        <f>VLOOKUP($B96,'Data Vlaue (Cr)'!$C:$FB,99)</f>
        <v>715</v>
      </c>
      <c r="L96" s="81">
        <f>VLOOKUP(B96,'OI(Value)'!$A$7:$C$209,3,0)</f>
        <v>-39</v>
      </c>
      <c r="M96" s="33">
        <f t="shared" si="31"/>
        <v>-5.4545454545454541</v>
      </c>
      <c r="N96" s="5">
        <f>VLOOKUP($B96,'Data Vlaue (Cr)'!$C:$FB,67)</f>
        <v>397</v>
      </c>
      <c r="O96" s="5">
        <f>VLOOKUP($B96,'Data Vlaue (Cr)'!$C:$FB,68)</f>
        <v>519</v>
      </c>
      <c r="P96" s="5">
        <f t="shared" si="30"/>
        <v>-30.730478589420656</v>
      </c>
      <c r="Q96" s="1"/>
      <c r="R96" s="1"/>
      <c r="S96" s="1"/>
      <c r="T96" s="1"/>
      <c r="U96" s="1"/>
      <c r="V96" s="1"/>
      <c r="W96" s="1"/>
      <c r="X96" s="1"/>
      <c r="Y96" s="1"/>
      <c r="Z96" s="1"/>
      <c r="AA96" s="1"/>
      <c r="AB96" s="1"/>
      <c r="AC96" s="1"/>
      <c r="AD96" s="1"/>
      <c r="AE96" s="1"/>
      <c r="AF96" s="1"/>
      <c r="AG96" s="1"/>
      <c r="AH96" s="1"/>
      <c r="AI96" s="1"/>
      <c r="AJ96" s="1"/>
    </row>
    <row r="97" spans="1:36" x14ac:dyDescent="0.25">
      <c r="A97" s="79" t="str">
        <f>'Data shares'!B92</f>
        <v>Finance</v>
      </c>
      <c r="B97" s="79" t="str">
        <f>'Data shares'!C92</f>
        <v>IIFL</v>
      </c>
      <c r="C97" s="4">
        <f>VLOOKUP($B97,'Data shares'!$C:$FB,7)</f>
        <v>544.75</v>
      </c>
      <c r="D97" s="82">
        <f>VLOOKUP($B97,'Data shares'!$C:$FB,98)</f>
        <v>29079600</v>
      </c>
      <c r="E97" s="165">
        <f>VLOOKUP(B97,'Snapshot (Volume)'!$A$7:$G$168,7,0)</f>
        <v>30381450</v>
      </c>
      <c r="F97" s="165">
        <f t="shared" ref="F97:F105" si="32">D97-E97</f>
        <v>-1301850</v>
      </c>
      <c r="G97" s="166">
        <f t="shared" ref="G97:G105" si="33">F97/E97</f>
        <v>-4.2850160212893063E-2</v>
      </c>
      <c r="H97" s="165">
        <f>VLOOKUP($B97,'Data shares'!$C:$FB,66)</f>
        <v>28988850</v>
      </c>
      <c r="I97" s="165">
        <f>VLOOKUP($B97,'Data shares'!$C:$FB,67)</f>
        <v>17321700</v>
      </c>
      <c r="J97" s="81">
        <f t="shared" ref="J97:J105" si="34">(H97-I97)/I97*100</f>
        <v>67.355686797485234</v>
      </c>
      <c r="K97" s="5">
        <f>VLOOKUP($B97,'Data Vlaue (Cr)'!$C:$FB,99)</f>
        <v>1586</v>
      </c>
      <c r="L97" s="81">
        <f>VLOOKUP(B97,'OI(Value)'!$A$7:$C$209,3,0)</f>
        <v>-71</v>
      </c>
      <c r="M97" s="33">
        <f t="shared" si="31"/>
        <v>-4.4766708701134927</v>
      </c>
      <c r="N97" s="5">
        <f>VLOOKUP($B97,'Data Vlaue (Cr)'!$C:$FB,67)</f>
        <v>1581</v>
      </c>
      <c r="O97" s="5">
        <f>VLOOKUP($B97,'Data Vlaue (Cr)'!$C:$FB,68)</f>
        <v>945</v>
      </c>
      <c r="P97" s="5">
        <f t="shared" ref="P97:P105" si="35">(N97-O97)/N97*100</f>
        <v>40.227703984819733</v>
      </c>
      <c r="Q97" s="1"/>
      <c r="R97" s="1"/>
      <c r="S97" s="1"/>
      <c r="T97" s="1"/>
      <c r="U97" s="1"/>
      <c r="V97" s="1"/>
      <c r="W97" s="1"/>
      <c r="X97" s="1"/>
      <c r="Y97" s="1"/>
      <c r="Z97" s="1"/>
      <c r="AA97" s="1"/>
      <c r="AB97" s="1"/>
      <c r="AC97" s="1"/>
      <c r="AD97" s="1"/>
      <c r="AE97" s="1"/>
      <c r="AF97" s="1"/>
      <c r="AG97" s="1"/>
      <c r="AH97" s="1"/>
      <c r="AI97" s="1"/>
      <c r="AJ97" s="1"/>
    </row>
    <row r="98" spans="1:36" x14ac:dyDescent="0.25">
      <c r="A98" s="79" t="str">
        <f>'Data shares'!B93</f>
        <v>Realty</v>
      </c>
      <c r="B98" s="79" t="str">
        <f>'Data shares'!C93</f>
        <v>INDHOTEL</v>
      </c>
      <c r="C98" s="4">
        <f>VLOOKUP($B98,'Data shares'!$C:$FB,7)</f>
        <v>733.35</v>
      </c>
      <c r="D98" s="82">
        <f>VLOOKUP($B98,'Data shares'!$C:$FB,98)</f>
        <v>49870000</v>
      </c>
      <c r="E98" s="165">
        <f>VLOOKUP(B98,'Snapshot (Volume)'!$A$7:$G$168,7,0)</f>
        <v>51530000</v>
      </c>
      <c r="F98" s="165">
        <f t="shared" si="32"/>
        <v>-1660000</v>
      </c>
      <c r="G98" s="166">
        <f t="shared" si="33"/>
        <v>-3.2214244129633224E-2</v>
      </c>
      <c r="H98" s="165">
        <f>VLOOKUP($B98,'Data shares'!$C:$FB,66)</f>
        <v>85208000</v>
      </c>
      <c r="I98" s="165">
        <f>VLOOKUP($B98,'Data shares'!$C:$FB,67)</f>
        <v>26081000</v>
      </c>
      <c r="J98" s="81">
        <f t="shared" si="34"/>
        <v>226.70526436869753</v>
      </c>
      <c r="K98" s="5">
        <f>VLOOKUP($B98,'Data Vlaue (Cr)'!$C:$FB,99)</f>
        <v>3660</v>
      </c>
      <c r="L98" s="81">
        <f>VLOOKUP(B98,'OI(Value)'!$A$7:$C$209,3,0)</f>
        <v>-122</v>
      </c>
      <c r="M98" s="33">
        <f t="shared" si="31"/>
        <v>-3.3333333333333335</v>
      </c>
      <c r="N98" s="5">
        <f>VLOOKUP($B98,'Data Vlaue (Cr)'!$C:$FB,67)</f>
        <v>6254</v>
      </c>
      <c r="O98" s="5">
        <f>VLOOKUP($B98,'Data Vlaue (Cr)'!$C:$FB,68)</f>
        <v>1914</v>
      </c>
      <c r="P98" s="5">
        <f t="shared" si="35"/>
        <v>69.395586824432371</v>
      </c>
      <c r="Q98" s="1"/>
      <c r="R98" s="1"/>
      <c r="S98" s="1"/>
      <c r="T98" s="1"/>
      <c r="U98" s="1"/>
      <c r="V98" s="1"/>
      <c r="W98" s="1"/>
      <c r="X98" s="1"/>
      <c r="Y98" s="1"/>
      <c r="Z98" s="1"/>
      <c r="AA98" s="1"/>
      <c r="AB98" s="1"/>
      <c r="AC98" s="1"/>
      <c r="AD98" s="1"/>
      <c r="AE98" s="1"/>
      <c r="AF98" s="1"/>
      <c r="AG98" s="1"/>
      <c r="AH98" s="1"/>
      <c r="AI98" s="1"/>
      <c r="AJ98" s="1"/>
    </row>
    <row r="99" spans="1:36" x14ac:dyDescent="0.25">
      <c r="A99" s="79" t="str">
        <f>'Data shares'!B94</f>
        <v>Banking</v>
      </c>
      <c r="B99" s="79" t="str">
        <f>'Data shares'!C94</f>
        <v>INDIANB</v>
      </c>
      <c r="C99" s="4">
        <f>VLOOKUP($B99,'Data shares'!$C:$FB,7)</f>
        <v>882.35</v>
      </c>
      <c r="D99" s="82">
        <f>VLOOKUP($B99,'Data shares'!$C:$FB,98)</f>
        <v>22973000</v>
      </c>
      <c r="E99" s="165">
        <f>VLOOKUP(B99,'Snapshot (Volume)'!$A$7:$G$168,7,0)</f>
        <v>24554000</v>
      </c>
      <c r="F99" s="165">
        <f t="shared" si="32"/>
        <v>-1581000</v>
      </c>
      <c r="G99" s="166">
        <f t="shared" si="33"/>
        <v>-6.4388694306426658E-2</v>
      </c>
      <c r="H99" s="165">
        <f>VLOOKUP($B99,'Data shares'!$C:$FB,66)</f>
        <v>16250000</v>
      </c>
      <c r="I99" s="165">
        <f>VLOOKUP($B99,'Data shares'!$C:$FB,67)</f>
        <v>13938000</v>
      </c>
      <c r="J99" s="81">
        <f t="shared" si="34"/>
        <v>16.587745731094849</v>
      </c>
      <c r="K99" s="5">
        <f>VLOOKUP($B99,'Data Vlaue (Cr)'!$C:$FB,99)</f>
        <v>2023</v>
      </c>
      <c r="L99" s="81">
        <f>VLOOKUP(B99,'OI(Value)'!$A$7:$C$209,3,0)</f>
        <v>-139</v>
      </c>
      <c r="M99" s="33">
        <f t="shared" si="31"/>
        <v>-6.870983687592684</v>
      </c>
      <c r="N99" s="5">
        <f>VLOOKUP($B99,'Data Vlaue (Cr)'!$C:$FB,67)</f>
        <v>1431</v>
      </c>
      <c r="O99" s="5">
        <f>VLOOKUP($B99,'Data Vlaue (Cr)'!$C:$FB,68)</f>
        <v>1227</v>
      </c>
      <c r="P99" s="5">
        <f t="shared" si="35"/>
        <v>14.255765199161424</v>
      </c>
      <c r="Q99" s="1"/>
      <c r="R99" s="1"/>
      <c r="S99" s="1"/>
      <c r="T99" s="1"/>
      <c r="U99" s="1"/>
      <c r="V99" s="1"/>
      <c r="W99" s="1"/>
      <c r="X99" s="1"/>
      <c r="Y99" s="1"/>
      <c r="Z99" s="1"/>
      <c r="AA99" s="1"/>
      <c r="AB99" s="1"/>
      <c r="AC99" s="1"/>
      <c r="AD99" s="1"/>
      <c r="AE99" s="1"/>
      <c r="AF99" s="1"/>
      <c r="AG99" s="1"/>
      <c r="AH99" s="1"/>
      <c r="AI99" s="1"/>
      <c r="AJ99" s="1"/>
    </row>
    <row r="100" spans="1:36" x14ac:dyDescent="0.25">
      <c r="A100" s="79" t="str">
        <f>'Data shares'!B95</f>
        <v>Index</v>
      </c>
      <c r="B100" s="79" t="str">
        <f>'Data shares'!C95</f>
        <v>INDIAVIX</v>
      </c>
      <c r="C100" s="4">
        <f>VLOOKUP($B100,'Data shares'!$C:$FB,7)</f>
        <v>12.13</v>
      </c>
      <c r="D100" s="82">
        <f>VLOOKUP($B100,'Data shares'!$C:$FB,98)</f>
        <v>0</v>
      </c>
      <c r="E100" s="165">
        <f>VLOOKUP(B100,'Snapshot (Volume)'!$A$7:$G$168,7,0)</f>
        <v>0</v>
      </c>
      <c r="F100" s="165">
        <f t="shared" si="32"/>
        <v>0</v>
      </c>
      <c r="G100" s="166" t="e">
        <f t="shared" si="33"/>
        <v>#DIV/0!</v>
      </c>
      <c r="H100" s="165">
        <f>VLOOKUP($B100,'Data shares'!$C:$FB,66)</f>
        <v>0</v>
      </c>
      <c r="I100" s="165">
        <f>VLOOKUP($B100,'Data shares'!$C:$FB,67)</f>
        <v>0</v>
      </c>
      <c r="J100" s="81" t="e">
        <f t="shared" si="34"/>
        <v>#DIV/0!</v>
      </c>
      <c r="K100" s="5">
        <f>VLOOKUP($B100,'Data Vlaue (Cr)'!$C:$FB,99)</f>
        <v>0</v>
      </c>
      <c r="L100" s="81">
        <f>VLOOKUP(B100,'OI(Value)'!$A$7:$C$209,3,0)</f>
        <v>0</v>
      </c>
      <c r="M100" s="33" t="e">
        <f t="shared" si="31"/>
        <v>#DIV/0!</v>
      </c>
      <c r="N100" s="5">
        <f>VLOOKUP($B100,'Data Vlaue (Cr)'!$C:$FB,67)</f>
        <v>0</v>
      </c>
      <c r="O100" s="5">
        <f>VLOOKUP($B100,'Data Vlaue (Cr)'!$C:$FB,68)</f>
        <v>0</v>
      </c>
      <c r="P100" s="5" t="e">
        <f t="shared" si="35"/>
        <v>#DIV/0!</v>
      </c>
      <c r="Q100" s="1"/>
      <c r="R100" s="1"/>
      <c r="S100" s="1"/>
      <c r="T100" s="1"/>
      <c r="U100" s="1"/>
      <c r="V100" s="1"/>
      <c r="W100" s="1"/>
      <c r="X100" s="1"/>
      <c r="Y100" s="1"/>
      <c r="Z100" s="1"/>
      <c r="AA100" s="1"/>
      <c r="AB100" s="1"/>
      <c r="AC100" s="1"/>
      <c r="AD100" s="1"/>
      <c r="AE100" s="1"/>
      <c r="AF100" s="1"/>
      <c r="AG100" s="1"/>
      <c r="AH100" s="1"/>
      <c r="AI100" s="1"/>
      <c r="AJ100" s="1"/>
    </row>
    <row r="101" spans="1:36" x14ac:dyDescent="0.25">
      <c r="A101" s="79" t="str">
        <f>'Data shares'!B96</f>
        <v>Infrastructure</v>
      </c>
      <c r="B101" s="79" t="str">
        <f>'Data shares'!C96</f>
        <v>INDIGO</v>
      </c>
      <c r="C101" s="4">
        <f>VLOOKUP($B101,'Data shares'!$C:$FB,7)</f>
        <v>5785.5</v>
      </c>
      <c r="D101" s="82">
        <f>VLOOKUP($B101,'Data shares'!$C:$FB,98)</f>
        <v>13776750</v>
      </c>
      <c r="E101" s="165">
        <f>VLOOKUP(B101,'Snapshot (Volume)'!$A$7:$G$168,7,0)</f>
        <v>13962300</v>
      </c>
      <c r="F101" s="165">
        <f t="shared" si="32"/>
        <v>-185550</v>
      </c>
      <c r="G101" s="166">
        <f t="shared" si="33"/>
        <v>-1.3289357770567887E-2</v>
      </c>
      <c r="H101" s="165">
        <f>VLOOKUP($B101,'Data shares'!$C:$FB,66)</f>
        <v>15125250</v>
      </c>
      <c r="I101" s="165">
        <f>VLOOKUP($B101,'Data shares'!$C:$FB,67)</f>
        <v>12312750</v>
      </c>
      <c r="J101" s="81">
        <f t="shared" si="34"/>
        <v>22.842175793384907</v>
      </c>
      <c r="K101" s="5">
        <f>VLOOKUP($B101,'Data Vlaue (Cr)'!$C:$FB,99)</f>
        <v>7974</v>
      </c>
      <c r="L101" s="81">
        <f>VLOOKUP(B101,'OI(Value)'!$A$7:$C$209,3,0)</f>
        <v>-107</v>
      </c>
      <c r="M101" s="33">
        <f t="shared" si="31"/>
        <v>-1.3418610484073237</v>
      </c>
      <c r="N101" s="5">
        <f>VLOOKUP($B101,'Data Vlaue (Cr)'!$C:$FB,67)</f>
        <v>8754</v>
      </c>
      <c r="O101" s="5">
        <f>VLOOKUP($B101,'Data Vlaue (Cr)'!$C:$FB,68)</f>
        <v>7127</v>
      </c>
      <c r="P101" s="5">
        <f t="shared" si="35"/>
        <v>18.585789353438429</v>
      </c>
      <c r="Q101" s="1"/>
      <c r="R101" s="1"/>
      <c r="S101" s="1"/>
      <c r="T101" s="1"/>
      <c r="U101" s="1"/>
      <c r="V101" s="1"/>
      <c r="W101" s="1"/>
      <c r="X101" s="1"/>
      <c r="Y101" s="1"/>
      <c r="Z101" s="1"/>
      <c r="AA101" s="1"/>
      <c r="AB101" s="1"/>
      <c r="AC101" s="1"/>
      <c r="AD101" s="1"/>
      <c r="AE101" s="1"/>
      <c r="AF101" s="1"/>
      <c r="AG101" s="1"/>
      <c r="AH101" s="1"/>
      <c r="AI101" s="1"/>
      <c r="AJ101" s="1"/>
    </row>
    <row r="102" spans="1:36" x14ac:dyDescent="0.25">
      <c r="A102" s="79" t="str">
        <f>'Data shares'!B97</f>
        <v>Banking</v>
      </c>
      <c r="B102" s="79" t="str">
        <f>'Data shares'!C97</f>
        <v>INDUSINDBK</v>
      </c>
      <c r="C102" s="4">
        <f>VLOOKUP($B102,'Data shares'!$C:$FB,7)</f>
        <v>829.4</v>
      </c>
      <c r="D102" s="82">
        <f>VLOOKUP($B102,'Data shares'!$C:$FB,98)</f>
        <v>80395700</v>
      </c>
      <c r="E102" s="165">
        <f>VLOOKUP(B102,'Snapshot (Volume)'!$A$7:$G$168,7,0)</f>
        <v>79342200</v>
      </c>
      <c r="F102" s="165">
        <f t="shared" si="32"/>
        <v>1053500</v>
      </c>
      <c r="G102" s="166">
        <f t="shared" si="33"/>
        <v>1.3277927761014946E-2</v>
      </c>
      <c r="H102" s="165">
        <f>VLOOKUP($B102,'Data shares'!$C:$FB,66)</f>
        <v>65928100</v>
      </c>
      <c r="I102" s="165">
        <f>VLOOKUP($B102,'Data shares'!$C:$FB,67)</f>
        <v>53382000</v>
      </c>
      <c r="J102" s="81">
        <f t="shared" si="34"/>
        <v>23.502491476527666</v>
      </c>
      <c r="K102" s="5">
        <f>VLOOKUP($B102,'Data Vlaue (Cr)'!$C:$FB,99)</f>
        <v>6673</v>
      </c>
      <c r="L102" s="81">
        <f>VLOOKUP(B102,'OI(Value)'!$A$7:$C$209,3,0)</f>
        <v>87</v>
      </c>
      <c r="M102" s="33">
        <f t="shared" si="31"/>
        <v>1.3037614266446875</v>
      </c>
      <c r="N102" s="5">
        <f>VLOOKUP($B102,'Data Vlaue (Cr)'!$C:$FB,67)</f>
        <v>5472</v>
      </c>
      <c r="O102" s="5">
        <f>VLOOKUP($B102,'Data Vlaue (Cr)'!$C:$FB,68)</f>
        <v>4431</v>
      </c>
      <c r="P102" s="5">
        <f t="shared" si="35"/>
        <v>19.024122807017545</v>
      </c>
      <c r="Q102" s="1"/>
      <c r="R102" s="1"/>
      <c r="S102" s="1"/>
      <c r="T102" s="1"/>
      <c r="U102" s="1"/>
      <c r="V102" s="1"/>
      <c r="W102" s="1"/>
      <c r="X102" s="1"/>
      <c r="Y102" s="1"/>
      <c r="Z102" s="1"/>
      <c r="AA102" s="1"/>
      <c r="AB102" s="1"/>
      <c r="AC102" s="1"/>
      <c r="AD102" s="1"/>
      <c r="AE102" s="1"/>
      <c r="AF102" s="1"/>
      <c r="AG102" s="1"/>
      <c r="AH102" s="1"/>
      <c r="AI102" s="1"/>
      <c r="AJ102" s="1"/>
    </row>
    <row r="103" spans="1:36" x14ac:dyDescent="0.25">
      <c r="A103" s="79" t="str">
        <f>'Data shares'!B98</f>
        <v>Telecom</v>
      </c>
      <c r="B103" s="79" t="str">
        <f>'Data shares'!C98</f>
        <v>INDUSTOWER</v>
      </c>
      <c r="C103" s="4">
        <f>VLOOKUP($B103,'Data shares'!$C:$FB,7)</f>
        <v>400.5</v>
      </c>
      <c r="D103" s="82">
        <f>VLOOKUP($B103,'Data shares'!$C:$FB,98)</f>
        <v>141071100</v>
      </c>
      <c r="E103" s="165">
        <f>VLOOKUP(B103,'Snapshot (Volume)'!$A$7:$G$168,7,0)</f>
        <v>142845900</v>
      </c>
      <c r="F103" s="165">
        <f t="shared" si="32"/>
        <v>-1774800</v>
      </c>
      <c r="G103" s="166">
        <f t="shared" si="33"/>
        <v>-1.2424577814273984E-2</v>
      </c>
      <c r="H103" s="165">
        <f>VLOOKUP($B103,'Data shares'!$C:$FB,66)</f>
        <v>69893800</v>
      </c>
      <c r="I103" s="165">
        <f>VLOOKUP($B103,'Data shares'!$C:$FB,67)</f>
        <v>52875100</v>
      </c>
      <c r="J103" s="81">
        <f t="shared" si="34"/>
        <v>32.186605793653342</v>
      </c>
      <c r="K103" s="5">
        <f>VLOOKUP($B103,'Data Vlaue (Cr)'!$C:$FB,99)</f>
        <v>5653</v>
      </c>
      <c r="L103" s="81">
        <f>VLOOKUP(B103,'OI(Value)'!$A$7:$C$209,3,0)</f>
        <v>-71</v>
      </c>
      <c r="M103" s="33">
        <f t="shared" si="31"/>
        <v>-1.2559702812665841</v>
      </c>
      <c r="N103" s="5">
        <f>VLOOKUP($B103,'Data Vlaue (Cr)'!$C:$FB,67)</f>
        <v>2801</v>
      </c>
      <c r="O103" s="5">
        <f>VLOOKUP($B103,'Data Vlaue (Cr)'!$C:$FB,68)</f>
        <v>2119</v>
      </c>
      <c r="P103" s="5">
        <f t="shared" si="35"/>
        <v>24.348446983220278</v>
      </c>
      <c r="Q103" s="1"/>
      <c r="R103" s="1"/>
      <c r="S103" s="1"/>
      <c r="T103" s="1"/>
      <c r="U103" s="1"/>
      <c r="V103" s="1"/>
      <c r="W103" s="1"/>
      <c r="X103" s="1"/>
      <c r="Y103" s="1"/>
      <c r="Z103" s="1"/>
      <c r="AA103" s="1"/>
      <c r="AB103" s="1"/>
      <c r="AC103" s="1"/>
      <c r="AD103" s="1"/>
      <c r="AE103" s="1"/>
      <c r="AF103" s="1"/>
      <c r="AG103" s="1"/>
      <c r="AH103" s="1"/>
      <c r="AI103" s="1"/>
      <c r="AJ103" s="1"/>
    </row>
    <row r="104" spans="1:36" x14ac:dyDescent="0.25">
      <c r="A104" s="79" t="str">
        <f>'Data shares'!B99</f>
        <v>Technology</v>
      </c>
      <c r="B104" s="79" t="str">
        <f>'Data shares'!C99</f>
        <v>INFY</v>
      </c>
      <c r="C104" s="4">
        <f>VLOOKUP($B104,'Data shares'!$C:$FB,7)</f>
        <v>1536.5</v>
      </c>
      <c r="D104" s="82">
        <f>VLOOKUP($B104,'Data shares'!$C:$FB,98)</f>
        <v>119996000</v>
      </c>
      <c r="E104" s="165">
        <f>VLOOKUP(B104,'Snapshot (Volume)'!$A$7:$G$168,7,0)</f>
        <v>118982800</v>
      </c>
      <c r="F104" s="165">
        <f t="shared" si="32"/>
        <v>1013200</v>
      </c>
      <c r="G104" s="166">
        <f t="shared" si="33"/>
        <v>8.5155165284394041E-3</v>
      </c>
      <c r="H104" s="165">
        <f>VLOOKUP($B104,'Data shares'!$C:$FB,66)</f>
        <v>121854400</v>
      </c>
      <c r="I104" s="165">
        <f>VLOOKUP($B104,'Data shares'!$C:$FB,67)</f>
        <v>213904000</v>
      </c>
      <c r="J104" s="81">
        <f t="shared" si="34"/>
        <v>-43.033136360236369</v>
      </c>
      <c r="K104" s="5">
        <f>VLOOKUP($B104,'Data Vlaue (Cr)'!$C:$FB,99)</f>
        <v>18470</v>
      </c>
      <c r="L104" s="81">
        <f>VLOOKUP(B104,'OI(Value)'!$A$7:$C$209,3,0)</f>
        <v>156</v>
      </c>
      <c r="M104" s="33">
        <f t="shared" si="31"/>
        <v>0.84461288576069304</v>
      </c>
      <c r="N104" s="5">
        <f>VLOOKUP($B104,'Data Vlaue (Cr)'!$C:$FB,67)</f>
        <v>18756</v>
      </c>
      <c r="O104" s="5">
        <f>VLOOKUP($B104,'Data Vlaue (Cr)'!$C:$FB,68)</f>
        <v>32924</v>
      </c>
      <c r="P104" s="5">
        <f t="shared" si="35"/>
        <v>-75.538494348475155</v>
      </c>
      <c r="Q104" s="1"/>
      <c r="R104" s="1"/>
      <c r="S104" s="1"/>
      <c r="T104" s="1"/>
      <c r="U104" s="1"/>
      <c r="V104" s="1"/>
      <c r="W104" s="1"/>
      <c r="X104" s="1"/>
      <c r="Y104" s="1"/>
      <c r="Z104" s="1"/>
      <c r="AA104" s="1"/>
      <c r="AB104" s="1"/>
      <c r="AC104" s="1"/>
      <c r="AD104" s="1"/>
      <c r="AE104" s="1"/>
      <c r="AF104" s="1"/>
      <c r="AG104" s="1"/>
      <c r="AH104" s="1"/>
      <c r="AI104" s="1"/>
      <c r="AJ104" s="1"/>
    </row>
    <row r="105" spans="1:36" x14ac:dyDescent="0.25">
      <c r="A105" s="79" t="str">
        <f>'Data shares'!B100</f>
        <v>Power</v>
      </c>
      <c r="B105" s="79" t="str">
        <f>'Data shares'!C100</f>
        <v>INOXWIND</v>
      </c>
      <c r="C105" s="4">
        <f>VLOOKUP($B105,'Data shares'!$C:$FB,7)</f>
        <v>138.08000000000001</v>
      </c>
      <c r="D105" s="82">
        <f>VLOOKUP($B105,'Data shares'!$C:$FB,98)</f>
        <v>149585314</v>
      </c>
      <c r="E105" s="165">
        <f>VLOOKUP(B105,'Snapshot (Volume)'!$A$7:$G$168,7,0)</f>
        <v>154927579</v>
      </c>
      <c r="F105" s="165">
        <f t="shared" si="32"/>
        <v>-5342265</v>
      </c>
      <c r="G105" s="166">
        <f t="shared" si="33"/>
        <v>-3.4482337066662615E-2</v>
      </c>
      <c r="H105" s="165">
        <f>VLOOKUP($B105,'Data shares'!$C:$FB,66)</f>
        <v>107285608</v>
      </c>
      <c r="I105" s="165">
        <f>VLOOKUP($B105,'Data shares'!$C:$FB,67)</f>
        <v>96108456</v>
      </c>
      <c r="J105" s="81">
        <f t="shared" si="34"/>
        <v>11.62972798147959</v>
      </c>
      <c r="K105" s="5">
        <f>VLOOKUP($B105,'Data Vlaue (Cr)'!$C:$FB,99)</f>
        <v>2070</v>
      </c>
      <c r="L105" s="81">
        <f>VLOOKUP(B105,'OI(Value)'!$A$7:$C$209,3,0)</f>
        <v>-74</v>
      </c>
      <c r="M105" s="33">
        <f t="shared" si="31"/>
        <v>-3.5748792270531404</v>
      </c>
      <c r="N105" s="5">
        <f>VLOOKUP($B105,'Data Vlaue (Cr)'!$C:$FB,67)</f>
        <v>1485</v>
      </c>
      <c r="O105" s="5">
        <f>VLOOKUP($B105,'Data Vlaue (Cr)'!$C:$FB,68)</f>
        <v>1330</v>
      </c>
      <c r="P105" s="5">
        <f t="shared" si="35"/>
        <v>10.437710437710438</v>
      </c>
      <c r="Q105" s="1"/>
      <c r="R105" s="1"/>
      <c r="S105" s="1"/>
      <c r="T105" s="1"/>
      <c r="U105" s="1"/>
      <c r="V105" s="1"/>
      <c r="W105" s="1"/>
      <c r="X105" s="1"/>
      <c r="Y105" s="1"/>
      <c r="Z105" s="1"/>
      <c r="AA105" s="1"/>
      <c r="AB105" s="1"/>
      <c r="AC105" s="1"/>
      <c r="AD105" s="1"/>
      <c r="AE105" s="1"/>
      <c r="AF105" s="1"/>
      <c r="AG105" s="1"/>
      <c r="AH105" s="1"/>
      <c r="AI105" s="1"/>
      <c r="AJ105" s="1"/>
    </row>
    <row r="106" spans="1:36" x14ac:dyDescent="0.25">
      <c r="A106" s="79" t="str">
        <f>'Data shares'!B101</f>
        <v>Oil_Gas</v>
      </c>
      <c r="B106" s="79" t="str">
        <f>'Data shares'!C101</f>
        <v>IOC</v>
      </c>
      <c r="C106" s="79">
        <f>VLOOKUP($B106,'Data shares'!$C:$FB,7)</f>
        <v>168.7</v>
      </c>
      <c r="D106" s="80">
        <f>VLOOKUP($B106,'Data shares'!$C:$FB,98)</f>
        <v>209800500</v>
      </c>
      <c r="E106" s="165">
        <f>VLOOKUP(B106,'Snapshot (Volume)'!$A$7:$G$168,7,0)</f>
        <v>213593250</v>
      </c>
      <c r="F106" s="165">
        <f t="shared" ref="F106:F114" si="36">D106-E106</f>
        <v>-3792750</v>
      </c>
      <c r="G106" s="166">
        <f t="shared" ref="G106:G114" si="37">F106/E106</f>
        <v>-1.7756881362121696E-2</v>
      </c>
      <c r="H106" s="165">
        <f>VLOOKUP($B106,'Data shares'!$C:$FB,66)</f>
        <v>149838000</v>
      </c>
      <c r="I106" s="165">
        <f>VLOOKUP($B106,'Data shares'!$C:$FB,67)</f>
        <v>112368750</v>
      </c>
      <c r="J106" s="81">
        <f t="shared" ref="J106:J114" si="38">(H106-I106)/I106*100</f>
        <v>33.344902386117134</v>
      </c>
      <c r="K106" s="81">
        <f>VLOOKUP($B106,'Data Vlaue (Cr)'!$C:$FB,99)</f>
        <v>3537</v>
      </c>
      <c r="L106" s="81">
        <f>VLOOKUP(B106,'OI(Value)'!$A$7:$C$209,3,0)</f>
        <v>-64</v>
      </c>
      <c r="M106" s="81">
        <f t="shared" si="31"/>
        <v>-1.8094430308170766</v>
      </c>
      <c r="N106" s="81">
        <f>VLOOKUP($B106,'Data Vlaue (Cr)'!$C:$FB,67)</f>
        <v>2526</v>
      </c>
      <c r="O106" s="81">
        <f>VLOOKUP($B106,'Data Vlaue (Cr)'!$C:$FB,68)</f>
        <v>1894</v>
      </c>
      <c r="P106" s="81">
        <f t="shared" ref="P106:P114" si="39">(N106-O106)/N106*100</f>
        <v>25.01979414093428</v>
      </c>
      <c r="Q106" s="1"/>
      <c r="R106" s="1"/>
      <c r="S106" s="1"/>
      <c r="T106" s="1"/>
      <c r="U106" s="1"/>
      <c r="V106" s="1"/>
      <c r="W106" s="1"/>
      <c r="X106" s="1"/>
      <c r="Y106" s="1"/>
      <c r="Z106" s="1"/>
      <c r="AA106" s="1"/>
      <c r="AB106" s="1"/>
      <c r="AC106" s="1"/>
      <c r="AD106" s="1"/>
      <c r="AE106" s="1"/>
      <c r="AF106" s="1"/>
      <c r="AG106" s="1"/>
      <c r="AH106" s="1"/>
      <c r="AI106" s="1"/>
      <c r="AJ106" s="1"/>
    </row>
    <row r="107" spans="1:36" x14ac:dyDescent="0.25">
      <c r="A107" s="79" t="str">
        <f>'Data shares'!B102</f>
        <v>Infrastructure</v>
      </c>
      <c r="B107" s="79" t="str">
        <f>'Data shares'!C102</f>
        <v>IRCTC</v>
      </c>
      <c r="C107" s="79">
        <f>VLOOKUP($B107,'Data shares'!$C:$FB,7)</f>
        <v>703</v>
      </c>
      <c r="D107" s="80">
        <f>VLOOKUP($B107,'Data shares'!$C:$FB,98)</f>
        <v>39287500</v>
      </c>
      <c r="E107" s="165">
        <f>VLOOKUP(B107,'Snapshot (Volume)'!$A$7:$G$168,7,0)</f>
        <v>40446000</v>
      </c>
      <c r="F107" s="165">
        <f t="shared" si="36"/>
        <v>-1158500</v>
      </c>
      <c r="G107" s="166">
        <f t="shared" si="37"/>
        <v>-2.864312911041883E-2</v>
      </c>
      <c r="H107" s="165">
        <f>VLOOKUP($B107,'Data shares'!$C:$FB,66)</f>
        <v>32567500</v>
      </c>
      <c r="I107" s="165">
        <f>VLOOKUP($B107,'Data shares'!$C:$FB,67)</f>
        <v>22462125</v>
      </c>
      <c r="J107" s="81">
        <f t="shared" si="38"/>
        <v>44.988508433641073</v>
      </c>
      <c r="K107" s="81">
        <f>VLOOKUP($B107,'Data Vlaue (Cr)'!$C:$FB,99)</f>
        <v>2746</v>
      </c>
      <c r="L107" s="81">
        <f>VLOOKUP(B107,'OI(Value)'!$A$7:$C$209,3,0)</f>
        <v>-81</v>
      </c>
      <c r="M107" s="81">
        <f t="shared" si="31"/>
        <v>-2.9497450837581938</v>
      </c>
      <c r="N107" s="81">
        <f>VLOOKUP($B107,'Data Vlaue (Cr)'!$C:$FB,67)</f>
        <v>2276</v>
      </c>
      <c r="O107" s="81">
        <f>VLOOKUP($B107,'Data Vlaue (Cr)'!$C:$FB,68)</f>
        <v>1570</v>
      </c>
      <c r="P107" s="81">
        <f t="shared" si="39"/>
        <v>31.019332161687167</v>
      </c>
      <c r="Q107" s="1"/>
      <c r="R107" s="1"/>
      <c r="S107" s="1"/>
      <c r="T107" s="1"/>
      <c r="U107" s="1"/>
      <c r="V107" s="1"/>
      <c r="W107" s="1"/>
      <c r="X107" s="1"/>
      <c r="Y107" s="1"/>
      <c r="Z107" s="1"/>
      <c r="AA107" s="1"/>
      <c r="AB107" s="1"/>
      <c r="AC107" s="1"/>
      <c r="AD107" s="1"/>
      <c r="AE107" s="1"/>
      <c r="AF107" s="1"/>
      <c r="AG107" s="1"/>
      <c r="AH107" s="1"/>
      <c r="AI107" s="1"/>
      <c r="AJ107" s="1"/>
    </row>
    <row r="108" spans="1:36" x14ac:dyDescent="0.25">
      <c r="A108" s="79" t="str">
        <f>'Data shares'!B103</f>
        <v>Finance</v>
      </c>
      <c r="B108" s="79" t="str">
        <f>'Data shares'!C103</f>
        <v>IREDA</v>
      </c>
      <c r="C108" s="4">
        <f>VLOOKUP($B108,'Data shares'!$C:$FB,7)</f>
        <v>146.63999999999999</v>
      </c>
      <c r="D108" s="82">
        <f>VLOOKUP($B108,'Data shares'!$C:$FB,98)</f>
        <v>88999650</v>
      </c>
      <c r="E108" s="165">
        <f>VLOOKUP(B108,'Snapshot (Volume)'!$A$7:$G$168,7,0)</f>
        <v>93564000</v>
      </c>
      <c r="F108" s="165">
        <f t="shared" si="36"/>
        <v>-4564350</v>
      </c>
      <c r="G108" s="166">
        <f t="shared" si="37"/>
        <v>-4.8783185840707961E-2</v>
      </c>
      <c r="H108" s="165">
        <f>VLOOKUP($B108,'Data shares'!$C:$FB,66)</f>
        <v>45460650</v>
      </c>
      <c r="I108" s="165">
        <f>VLOOKUP($B108,'Data shares'!$C:$FB,67)</f>
        <v>49138350</v>
      </c>
      <c r="J108" s="81">
        <f t="shared" si="38"/>
        <v>-7.4843782910903602</v>
      </c>
      <c r="K108" s="5">
        <f>VLOOKUP($B108,'Data Vlaue (Cr)'!$C:$FB,99)</f>
        <v>1306</v>
      </c>
      <c r="L108" s="81">
        <f>VLOOKUP(B108,'OI(Value)'!$A$7:$C$209,3,0)</f>
        <v>-67</v>
      </c>
      <c r="M108" s="33">
        <f t="shared" si="31"/>
        <v>-5.1301684532924963</v>
      </c>
      <c r="N108" s="5">
        <f>VLOOKUP($B108,'Data Vlaue (Cr)'!$C:$FB,67)</f>
        <v>667</v>
      </c>
      <c r="O108" s="5">
        <f>VLOOKUP($B108,'Data Vlaue (Cr)'!$C:$FB,68)</f>
        <v>721</v>
      </c>
      <c r="P108" s="5">
        <f t="shared" si="39"/>
        <v>-8.095952023988005</v>
      </c>
      <c r="Q108" s="1"/>
      <c r="R108" s="1"/>
      <c r="S108" s="1"/>
      <c r="T108" s="1"/>
      <c r="U108" s="1"/>
      <c r="V108" s="1"/>
      <c r="W108" s="1"/>
      <c r="X108" s="1"/>
      <c r="Y108" s="1"/>
      <c r="Z108" s="1"/>
      <c r="AA108" s="1"/>
      <c r="AB108" s="1"/>
      <c r="AC108" s="1"/>
      <c r="AD108" s="1"/>
      <c r="AE108" s="1"/>
      <c r="AF108" s="1"/>
      <c r="AG108" s="1"/>
      <c r="AH108" s="1"/>
      <c r="AI108" s="1"/>
      <c r="AJ108" s="1"/>
    </row>
    <row r="109" spans="1:36" x14ac:dyDescent="0.25">
      <c r="A109" s="79" t="str">
        <f>'Data shares'!B104</f>
        <v>Infrastructure</v>
      </c>
      <c r="B109" s="79" t="str">
        <f>'Data shares'!C104</f>
        <v>IRFC</v>
      </c>
      <c r="C109" s="4">
        <f>VLOOKUP($B109,'Data shares'!$C:$FB,7)</f>
        <v>120.08</v>
      </c>
      <c r="D109" s="82">
        <f>VLOOKUP($B109,'Data shares'!$C:$FB,98)</f>
        <v>101558000</v>
      </c>
      <c r="E109" s="165">
        <f>VLOOKUP(B109,'Snapshot (Volume)'!$A$7:$G$168,7,0)</f>
        <v>104469250</v>
      </c>
      <c r="F109" s="165">
        <f t="shared" si="36"/>
        <v>-2911250</v>
      </c>
      <c r="G109" s="166">
        <f t="shared" si="37"/>
        <v>-2.7867051787966314E-2</v>
      </c>
      <c r="H109" s="165">
        <f>VLOOKUP($B109,'Data shares'!$C:$FB,66)</f>
        <v>48577500</v>
      </c>
      <c r="I109" s="165">
        <f>VLOOKUP($B109,'Data shares'!$C:$FB,67)</f>
        <v>40681000</v>
      </c>
      <c r="J109" s="81">
        <f t="shared" si="38"/>
        <v>19.410781445883828</v>
      </c>
      <c r="K109" s="5">
        <f>VLOOKUP($B109,'Data Vlaue (Cr)'!$C:$FB,99)</f>
        <v>1219</v>
      </c>
      <c r="L109" s="81">
        <f>VLOOKUP(B109,'OI(Value)'!$A$7:$C$209,3,0)</f>
        <v>-35</v>
      </c>
      <c r="M109" s="33">
        <f t="shared" si="31"/>
        <v>-2.8712059064807218</v>
      </c>
      <c r="N109" s="5">
        <f>VLOOKUP($B109,'Data Vlaue (Cr)'!$C:$FB,67)</f>
        <v>583</v>
      </c>
      <c r="O109" s="5">
        <f>VLOOKUP($B109,'Data Vlaue (Cr)'!$C:$FB,68)</f>
        <v>488</v>
      </c>
      <c r="P109" s="5">
        <f t="shared" si="39"/>
        <v>16.295025728987994</v>
      </c>
      <c r="Q109" s="1"/>
      <c r="R109" s="1"/>
      <c r="S109" s="1"/>
      <c r="T109" s="1"/>
      <c r="U109" s="1"/>
      <c r="V109" s="1"/>
      <c r="W109" s="1"/>
      <c r="X109" s="1"/>
      <c r="Y109" s="1"/>
      <c r="Z109" s="1"/>
      <c r="AA109" s="1"/>
      <c r="AB109" s="1"/>
      <c r="AC109" s="1"/>
      <c r="AD109" s="1"/>
      <c r="AE109" s="1"/>
      <c r="AF109" s="1"/>
      <c r="AG109" s="1"/>
      <c r="AH109" s="1"/>
      <c r="AI109" s="1"/>
      <c r="AJ109" s="1"/>
    </row>
    <row r="110" spans="1:36" x14ac:dyDescent="0.25">
      <c r="A110" s="79" t="str">
        <f>'Data shares'!B105</f>
        <v>FMCG</v>
      </c>
      <c r="B110" s="79" t="str">
        <f>'Data shares'!C105</f>
        <v>ITC</v>
      </c>
      <c r="C110" s="4">
        <f>VLOOKUP($B110,'Data shares'!$C:$FB,7)</f>
        <v>405.45</v>
      </c>
      <c r="D110" s="82">
        <f>VLOOKUP($B110,'Data shares'!$C:$FB,98)</f>
        <v>276051200</v>
      </c>
      <c r="E110" s="165">
        <f>VLOOKUP(B110,'Snapshot (Volume)'!$A$7:$G$168,7,0)</f>
        <v>282923200</v>
      </c>
      <c r="F110" s="165">
        <f t="shared" si="36"/>
        <v>-6872000</v>
      </c>
      <c r="G110" s="166">
        <f t="shared" si="37"/>
        <v>-2.4289277090037156E-2</v>
      </c>
      <c r="H110" s="165">
        <f>VLOOKUP($B110,'Data shares'!$C:$FB,66)</f>
        <v>151296000</v>
      </c>
      <c r="I110" s="165">
        <f>VLOOKUP($B110,'Data shares'!$C:$FB,67)</f>
        <v>88155200</v>
      </c>
      <c r="J110" s="81">
        <f t="shared" si="38"/>
        <v>71.624589360582249</v>
      </c>
      <c r="K110" s="5">
        <f>VLOOKUP($B110,'Data Vlaue (Cr)'!$C:$FB,99)</f>
        <v>11204</v>
      </c>
      <c r="L110" s="81">
        <f>VLOOKUP(B110,'OI(Value)'!$A$7:$C$209,3,0)</f>
        <v>-279</v>
      </c>
      <c r="M110" s="33">
        <f t="shared" si="31"/>
        <v>-2.4901820778293464</v>
      </c>
      <c r="N110" s="5">
        <f>VLOOKUP($B110,'Data Vlaue (Cr)'!$C:$FB,67)</f>
        <v>6140</v>
      </c>
      <c r="O110" s="5">
        <f>VLOOKUP($B110,'Data Vlaue (Cr)'!$C:$FB,68)</f>
        <v>3578</v>
      </c>
      <c r="P110" s="5">
        <f t="shared" si="39"/>
        <v>41.726384364820845</v>
      </c>
      <c r="Q110" s="1"/>
      <c r="R110" s="1"/>
      <c r="S110" s="1"/>
      <c r="T110" s="1"/>
      <c r="U110" s="1"/>
      <c r="V110" s="1"/>
      <c r="W110" s="1"/>
      <c r="X110" s="1"/>
      <c r="Y110" s="1"/>
      <c r="Z110" s="1"/>
      <c r="AA110" s="1"/>
      <c r="AB110" s="1"/>
      <c r="AC110" s="1"/>
      <c r="AD110" s="1"/>
      <c r="AE110" s="1"/>
      <c r="AF110" s="1"/>
      <c r="AG110" s="1"/>
      <c r="AH110" s="1"/>
      <c r="AI110" s="1"/>
      <c r="AJ110" s="1"/>
    </row>
    <row r="111" spans="1:36" x14ac:dyDescent="0.25">
      <c r="A111" s="79" t="str">
        <f>'Data shares'!B106</f>
        <v>Metals</v>
      </c>
      <c r="B111" s="79" t="str">
        <f>'Data shares'!C106</f>
        <v>JINDALSTEL</v>
      </c>
      <c r="C111" s="4">
        <f>VLOOKUP($B111,'Data shares'!$C:$FB,7)</f>
        <v>1069.4000000000001</v>
      </c>
      <c r="D111" s="82">
        <f>VLOOKUP($B111,'Data shares'!$C:$FB,98)</f>
        <v>24088750</v>
      </c>
      <c r="E111" s="165">
        <f>VLOOKUP(B111,'Snapshot (Volume)'!$A$7:$G$168,7,0)</f>
        <v>25034375</v>
      </c>
      <c r="F111" s="165">
        <f t="shared" si="36"/>
        <v>-945625</v>
      </c>
      <c r="G111" s="166">
        <f t="shared" si="37"/>
        <v>-3.7773062039695417E-2</v>
      </c>
      <c r="H111" s="165">
        <f>VLOOKUP($B111,'Data shares'!$C:$FB,66)</f>
        <v>15306875</v>
      </c>
      <c r="I111" s="165">
        <f>VLOOKUP($B111,'Data shares'!$C:$FB,67)</f>
        <v>13951875</v>
      </c>
      <c r="J111" s="81">
        <f t="shared" si="38"/>
        <v>9.7119562782780093</v>
      </c>
      <c r="K111" s="5">
        <f>VLOOKUP($B111,'Data Vlaue (Cr)'!$C:$FB,99)</f>
        <v>2578</v>
      </c>
      <c r="L111" s="81">
        <f>VLOOKUP(B111,'OI(Value)'!$A$7:$C$209,3,0)</f>
        <v>-101</v>
      </c>
      <c r="M111" s="33">
        <f t="shared" si="31"/>
        <v>-3.9177657098525991</v>
      </c>
      <c r="N111" s="5">
        <f>VLOOKUP($B111,'Data Vlaue (Cr)'!$C:$FB,67)</f>
        <v>1638</v>
      </c>
      <c r="O111" s="5">
        <f>VLOOKUP($B111,'Data Vlaue (Cr)'!$C:$FB,68)</f>
        <v>1493</v>
      </c>
      <c r="P111" s="5">
        <f t="shared" si="39"/>
        <v>8.8522588522588528</v>
      </c>
      <c r="Q111" s="1"/>
      <c r="R111" s="1"/>
      <c r="S111" s="1"/>
      <c r="T111" s="1"/>
      <c r="U111" s="1"/>
      <c r="V111" s="1"/>
      <c r="W111" s="1"/>
      <c r="X111" s="1"/>
      <c r="Y111" s="1"/>
      <c r="Z111" s="1"/>
      <c r="AA111" s="1"/>
      <c r="AB111" s="1"/>
      <c r="AC111" s="1"/>
      <c r="AD111" s="1"/>
      <c r="AE111" s="1"/>
      <c r="AF111" s="1"/>
      <c r="AG111" s="1"/>
      <c r="AH111" s="1"/>
      <c r="AI111" s="1"/>
      <c r="AJ111" s="1"/>
    </row>
    <row r="112" spans="1:36" x14ac:dyDescent="0.25">
      <c r="A112" s="79" t="str">
        <f>'Data shares'!B107</f>
        <v>Finance</v>
      </c>
      <c r="B112" s="79" t="str">
        <f>'Data shares'!C107</f>
        <v>JIOFIN</v>
      </c>
      <c r="C112" s="4">
        <f>VLOOKUP($B112,'Data shares'!$C:$FB,7)</f>
        <v>308.35000000000002</v>
      </c>
      <c r="D112" s="82">
        <f>VLOOKUP($B112,'Data shares'!$C:$FB,98)</f>
        <v>268508650</v>
      </c>
      <c r="E112" s="165">
        <f>VLOOKUP(B112,'Snapshot (Volume)'!$A$7:$G$168,7,0)</f>
        <v>272797400</v>
      </c>
      <c r="F112" s="165">
        <f t="shared" si="36"/>
        <v>-4288750</v>
      </c>
      <c r="G112" s="166">
        <f t="shared" si="37"/>
        <v>-1.572137417731987E-2</v>
      </c>
      <c r="H112" s="165">
        <f>VLOOKUP($B112,'Data shares'!$C:$FB,66)</f>
        <v>164655100</v>
      </c>
      <c r="I112" s="165">
        <f>VLOOKUP($B112,'Data shares'!$C:$FB,67)</f>
        <v>116630500</v>
      </c>
      <c r="J112" s="81">
        <f t="shared" si="38"/>
        <v>41.176707636510173</v>
      </c>
      <c r="K112" s="5">
        <f>VLOOKUP($B112,'Data Vlaue (Cr)'!$C:$FB,99)</f>
        <v>8292</v>
      </c>
      <c r="L112" s="81">
        <f>VLOOKUP(B112,'OI(Value)'!$A$7:$C$209,3,0)</f>
        <v>-132</v>
      </c>
      <c r="M112" s="33">
        <f t="shared" si="31"/>
        <v>-1.5918958031837915</v>
      </c>
      <c r="N112" s="5">
        <f>VLOOKUP($B112,'Data Vlaue (Cr)'!$C:$FB,67)</f>
        <v>5085</v>
      </c>
      <c r="O112" s="5">
        <f>VLOOKUP($B112,'Data Vlaue (Cr)'!$C:$FB,68)</f>
        <v>3602</v>
      </c>
      <c r="P112" s="5">
        <f t="shared" si="39"/>
        <v>29.164208456243855</v>
      </c>
      <c r="Q112" s="1"/>
      <c r="R112" s="1"/>
      <c r="S112" s="1"/>
      <c r="T112" s="1"/>
      <c r="U112" s="1"/>
      <c r="V112" s="1"/>
      <c r="W112" s="1"/>
      <c r="X112" s="1"/>
      <c r="Y112" s="1"/>
      <c r="Z112" s="1"/>
      <c r="AA112" s="1"/>
      <c r="AB112" s="1"/>
      <c r="AC112" s="1"/>
      <c r="AD112" s="1"/>
      <c r="AE112" s="1"/>
      <c r="AF112" s="1"/>
      <c r="AG112" s="1"/>
      <c r="AH112" s="1"/>
      <c r="AI112" s="1"/>
      <c r="AJ112" s="1"/>
    </row>
    <row r="113" spans="1:36" x14ac:dyDescent="0.25">
      <c r="A113" s="79" t="str">
        <f>'Data shares'!B108</f>
        <v>Power</v>
      </c>
      <c r="B113" s="79" t="str">
        <f>'Data shares'!C108</f>
        <v>JSWENERGY</v>
      </c>
      <c r="C113" s="4">
        <f>VLOOKUP($B113,'Data shares'!$C:$FB,7)</f>
        <v>504.85</v>
      </c>
      <c r="D113" s="82">
        <f>VLOOKUP($B113,'Data shares'!$C:$FB,98)</f>
        <v>62673000</v>
      </c>
      <c r="E113" s="165">
        <f>VLOOKUP(B113,'Snapshot (Volume)'!$A$7:$G$168,7,0)</f>
        <v>60518000</v>
      </c>
      <c r="F113" s="165">
        <f t="shared" si="36"/>
        <v>2155000</v>
      </c>
      <c r="G113" s="166">
        <f t="shared" si="37"/>
        <v>3.5609240226048451E-2</v>
      </c>
      <c r="H113" s="165">
        <f>VLOOKUP($B113,'Data shares'!$C:$FB,66)</f>
        <v>44889000</v>
      </c>
      <c r="I113" s="165">
        <f>VLOOKUP($B113,'Data shares'!$C:$FB,67)</f>
        <v>29373000</v>
      </c>
      <c r="J113" s="81">
        <f t="shared" si="38"/>
        <v>52.824022061076505</v>
      </c>
      <c r="K113" s="5">
        <f>VLOOKUP($B113,'Data Vlaue (Cr)'!$C:$FB,99)</f>
        <v>3164</v>
      </c>
      <c r="L113" s="81">
        <f>VLOOKUP(B113,'OI(Value)'!$A$7:$C$209,3,0)</f>
        <v>109</v>
      </c>
      <c r="M113" s="33">
        <f t="shared" si="31"/>
        <v>3.4450063211125155</v>
      </c>
      <c r="N113" s="5">
        <f>VLOOKUP($B113,'Data Vlaue (Cr)'!$C:$FB,67)</f>
        <v>2266</v>
      </c>
      <c r="O113" s="5">
        <f>VLOOKUP($B113,'Data Vlaue (Cr)'!$C:$FB,68)</f>
        <v>1483</v>
      </c>
      <c r="P113" s="5">
        <f t="shared" si="39"/>
        <v>34.554280670785523</v>
      </c>
      <c r="Q113" s="1"/>
      <c r="R113" s="1"/>
      <c r="S113" s="1"/>
      <c r="T113" s="1"/>
      <c r="U113" s="1"/>
      <c r="V113" s="1"/>
      <c r="W113" s="1"/>
      <c r="X113" s="1"/>
      <c r="Y113" s="1"/>
      <c r="Z113" s="1"/>
      <c r="AA113" s="1"/>
      <c r="AB113" s="1"/>
      <c r="AC113" s="1"/>
      <c r="AD113" s="1"/>
      <c r="AE113" s="1"/>
      <c r="AF113" s="1"/>
      <c r="AG113" s="1"/>
      <c r="AH113" s="1"/>
      <c r="AI113" s="1"/>
      <c r="AJ113" s="1"/>
    </row>
    <row r="114" spans="1:36" x14ac:dyDescent="0.25">
      <c r="A114" s="79" t="str">
        <f>'Data shares'!B109</f>
        <v>Metals</v>
      </c>
      <c r="B114" s="79" t="str">
        <f>'Data shares'!C109</f>
        <v>JSWSTEEL</v>
      </c>
      <c r="C114" s="4">
        <f>VLOOKUP($B114,'Data shares'!$C:$FB,7)</f>
        <v>1170</v>
      </c>
      <c r="D114" s="82">
        <f>VLOOKUP($B114,'Data shares'!$C:$FB,98)</f>
        <v>58924800</v>
      </c>
      <c r="E114" s="165">
        <f>VLOOKUP(B114,'Snapshot (Volume)'!$A$7:$G$168,7,0)</f>
        <v>59371650</v>
      </c>
      <c r="F114" s="165">
        <f t="shared" si="36"/>
        <v>-446850</v>
      </c>
      <c r="G114" s="166">
        <f t="shared" si="37"/>
        <v>-7.5263193797039498E-3</v>
      </c>
      <c r="H114" s="165">
        <f>VLOOKUP($B114,'Data shares'!$C:$FB,66)</f>
        <v>36901575</v>
      </c>
      <c r="I114" s="165">
        <f>VLOOKUP($B114,'Data shares'!$C:$FB,67)</f>
        <v>17933400</v>
      </c>
      <c r="J114" s="81">
        <f t="shared" si="38"/>
        <v>105.77009936766035</v>
      </c>
      <c r="K114" s="5">
        <f>VLOOKUP($B114,'Data Vlaue (Cr)'!$C:$FB,99)</f>
        <v>6906</v>
      </c>
      <c r="L114" s="81">
        <f>VLOOKUP(B114,'OI(Value)'!$A$7:$C$209,3,0)</f>
        <v>-52</v>
      </c>
      <c r="M114" s="33">
        <f t="shared" si="31"/>
        <v>-0.75296843324645235</v>
      </c>
      <c r="N114" s="5">
        <f>VLOOKUP($B114,'Data Vlaue (Cr)'!$C:$FB,67)</f>
        <v>4325</v>
      </c>
      <c r="O114" s="5">
        <f>VLOOKUP($B114,'Data Vlaue (Cr)'!$C:$FB,68)</f>
        <v>2102</v>
      </c>
      <c r="P114" s="5">
        <f t="shared" si="39"/>
        <v>51.398843930635842</v>
      </c>
      <c r="Q114" s="1"/>
      <c r="R114" s="1"/>
      <c r="S114" s="1"/>
      <c r="T114" s="1"/>
      <c r="U114" s="1"/>
      <c r="V114" s="1"/>
      <c r="W114" s="1"/>
      <c r="X114" s="1"/>
      <c r="Y114" s="1"/>
      <c r="Z114" s="1"/>
      <c r="AA114" s="1"/>
      <c r="AB114" s="1"/>
      <c r="AC114" s="1"/>
      <c r="AD114" s="1"/>
      <c r="AE114" s="1"/>
      <c r="AF114" s="1"/>
      <c r="AG114" s="1"/>
      <c r="AH114" s="1"/>
      <c r="AI114" s="1"/>
      <c r="AJ114" s="1"/>
    </row>
    <row r="115" spans="1:36" x14ac:dyDescent="0.25">
      <c r="A115" s="79" t="str">
        <f>'Data shares'!B110</f>
        <v>FMCG</v>
      </c>
      <c r="B115" s="79" t="str">
        <f>'Data shares'!C110</f>
        <v>JUBLFOOD</v>
      </c>
      <c r="C115" s="79">
        <f>VLOOKUP($B115,'Data shares'!$C:$FB,7)</f>
        <v>591.15</v>
      </c>
      <c r="D115" s="80">
        <f>VLOOKUP($B115,'Data shares'!$C:$FB,98)</f>
        <v>42770000</v>
      </c>
      <c r="E115" s="165">
        <f>VLOOKUP(B115,'Snapshot (Volume)'!$A$7:$G$168,7,0)</f>
        <v>43915000</v>
      </c>
      <c r="F115" s="165">
        <f t="shared" ref="F115:F126" si="40">D115-E115</f>
        <v>-1145000</v>
      </c>
      <c r="G115" s="166">
        <f t="shared" ref="G115:G126" si="41">F115/E115</f>
        <v>-2.6073095753159511E-2</v>
      </c>
      <c r="H115" s="165">
        <f>VLOOKUP($B115,'Data shares'!$C:$FB,66)</f>
        <v>43021250</v>
      </c>
      <c r="I115" s="165">
        <f>VLOOKUP($B115,'Data shares'!$C:$FB,67)</f>
        <v>30077500</v>
      </c>
      <c r="J115" s="81">
        <f t="shared" ref="J115:J126" si="42">(H115-I115)/I115*100</f>
        <v>43.034660460477106</v>
      </c>
      <c r="K115" s="81">
        <f>VLOOKUP($B115,'Data Vlaue (Cr)'!$C:$FB,99)</f>
        <v>2532</v>
      </c>
      <c r="L115" s="81">
        <f>VLOOKUP(B115,'OI(Value)'!$A$7:$C$209,3,0)</f>
        <v>-68</v>
      </c>
      <c r="M115" s="81">
        <f t="shared" si="31"/>
        <v>-2.6856240126382307</v>
      </c>
      <c r="N115" s="81">
        <f>VLOOKUP($B115,'Data Vlaue (Cr)'!$C:$FB,67)</f>
        <v>2547</v>
      </c>
      <c r="O115" s="81">
        <f>VLOOKUP($B115,'Data Vlaue (Cr)'!$C:$FB,68)</f>
        <v>1781</v>
      </c>
      <c r="P115" s="81">
        <f t="shared" ref="P115:P126" si="43">(N115-O115)/N115*100</f>
        <v>30.074597565763643</v>
      </c>
      <c r="Q115" s="1"/>
      <c r="R115" s="1"/>
      <c r="S115" s="1"/>
      <c r="T115" s="1"/>
      <c r="U115" s="1"/>
      <c r="V115" s="1"/>
      <c r="W115" s="1"/>
      <c r="X115" s="1"/>
      <c r="Y115" s="1"/>
      <c r="Z115" s="1"/>
      <c r="AA115" s="1"/>
      <c r="AB115" s="1"/>
      <c r="AC115" s="1"/>
      <c r="AD115" s="1"/>
      <c r="AE115" s="1"/>
      <c r="AF115" s="1"/>
      <c r="AG115" s="1"/>
      <c r="AH115" s="1"/>
      <c r="AI115" s="1"/>
      <c r="AJ115" s="1"/>
    </row>
    <row r="116" spans="1:36" x14ac:dyDescent="0.25">
      <c r="A116" s="79" t="str">
        <f>'Data shares'!B111</f>
        <v>FMCG</v>
      </c>
      <c r="B116" s="79" t="str">
        <f>'Data shares'!C111</f>
        <v>KALYANKJIL</v>
      </c>
      <c r="C116" s="4">
        <f>VLOOKUP($B116,'Data shares'!$C:$FB,7)</f>
        <v>504.1</v>
      </c>
      <c r="D116" s="82">
        <f>VLOOKUP($B116,'Data shares'!$C:$FB,98)</f>
        <v>48700225</v>
      </c>
      <c r="E116" s="165">
        <f>VLOOKUP(B116,'Snapshot (Volume)'!$A$7:$G$168,7,0)</f>
        <v>51321650</v>
      </c>
      <c r="F116" s="165">
        <f t="shared" si="40"/>
        <v>-2621425</v>
      </c>
      <c r="G116" s="166">
        <f t="shared" si="41"/>
        <v>-5.1078346078117128E-2</v>
      </c>
      <c r="H116" s="165">
        <f>VLOOKUP($B116,'Data shares'!$C:$FB,66)</f>
        <v>72253100</v>
      </c>
      <c r="I116" s="165">
        <f>VLOOKUP($B116,'Data shares'!$C:$FB,67)</f>
        <v>39550500</v>
      </c>
      <c r="J116" s="81">
        <f t="shared" si="42"/>
        <v>82.685680332739153</v>
      </c>
      <c r="K116" s="5">
        <f>VLOOKUP($B116,'Data Vlaue (Cr)'!$C:$FB,99)</f>
        <v>2459</v>
      </c>
      <c r="L116" s="81">
        <f>VLOOKUP(B116,'OI(Value)'!$A$7:$C$209,3,0)</f>
        <v>-132</v>
      </c>
      <c r="M116" s="33">
        <f t="shared" si="31"/>
        <v>-5.3680357869052457</v>
      </c>
      <c r="N116" s="5">
        <f>VLOOKUP($B116,'Data Vlaue (Cr)'!$C:$FB,67)</f>
        <v>3648</v>
      </c>
      <c r="O116" s="5">
        <f>VLOOKUP($B116,'Data Vlaue (Cr)'!$C:$FB,68)</f>
        <v>1997</v>
      </c>
      <c r="P116" s="5">
        <f t="shared" si="43"/>
        <v>45.257675438596493</v>
      </c>
      <c r="Q116" s="1"/>
      <c r="R116" s="1"/>
      <c r="S116" s="1"/>
      <c r="T116" s="1"/>
      <c r="U116" s="1"/>
      <c r="V116" s="1"/>
      <c r="W116" s="1"/>
      <c r="X116" s="1"/>
      <c r="Y116" s="1"/>
      <c r="Z116" s="1"/>
      <c r="AA116" s="1"/>
      <c r="AB116" s="1"/>
      <c r="AC116" s="1"/>
      <c r="AD116" s="1"/>
      <c r="AE116" s="1"/>
      <c r="AF116" s="1"/>
      <c r="AG116" s="1"/>
      <c r="AH116" s="1"/>
      <c r="AI116" s="1"/>
      <c r="AJ116" s="1"/>
    </row>
    <row r="117" spans="1:36" x14ac:dyDescent="0.25">
      <c r="A117" s="79" t="str">
        <f>'Data shares'!B112</f>
        <v>Capital_Goods</v>
      </c>
      <c r="B117" s="79" t="str">
        <f>'Data shares'!C112</f>
        <v>KAYNES</v>
      </c>
      <c r="C117" s="4">
        <f>VLOOKUP($B117,'Data shares'!$C:$FB,7)</f>
        <v>5967.5</v>
      </c>
      <c r="D117" s="82">
        <f>VLOOKUP($B117,'Data shares'!$C:$FB,98)</f>
        <v>6874700</v>
      </c>
      <c r="E117" s="165">
        <f>VLOOKUP(B117,'Snapshot (Volume)'!$A$7:$G$168,7,0)</f>
        <v>7532300</v>
      </c>
      <c r="F117" s="165">
        <f t="shared" si="40"/>
        <v>-657600</v>
      </c>
      <c r="G117" s="166">
        <f t="shared" si="41"/>
        <v>-8.7304010727135131E-2</v>
      </c>
      <c r="H117" s="165">
        <f>VLOOKUP($B117,'Data shares'!$C:$FB,66)</f>
        <v>8495000</v>
      </c>
      <c r="I117" s="165">
        <f>VLOOKUP($B117,'Data shares'!$C:$FB,67)</f>
        <v>16007400</v>
      </c>
      <c r="J117" s="81">
        <f t="shared" si="42"/>
        <v>-46.930794507540263</v>
      </c>
      <c r="K117" s="5">
        <f>VLOOKUP($B117,'Data Vlaue (Cr)'!$C:$FB,99)</f>
        <v>4110</v>
      </c>
      <c r="L117" s="81">
        <f>VLOOKUP(B117,'OI(Value)'!$A$7:$C$209,3,0)</f>
        <v>-393</v>
      </c>
      <c r="M117" s="33">
        <f t="shared" si="31"/>
        <v>-9.562043795620438</v>
      </c>
      <c r="N117" s="5">
        <f>VLOOKUP($B117,'Data Vlaue (Cr)'!$C:$FB,67)</f>
        <v>5079</v>
      </c>
      <c r="O117" s="5">
        <f>VLOOKUP($B117,'Data Vlaue (Cr)'!$C:$FB,68)</f>
        <v>9570</v>
      </c>
      <c r="P117" s="5">
        <f t="shared" si="43"/>
        <v>-88.422917897223869</v>
      </c>
      <c r="Q117" s="1"/>
      <c r="R117" s="1"/>
      <c r="S117" s="1"/>
      <c r="T117" s="1"/>
      <c r="U117" s="1"/>
      <c r="V117" s="1"/>
      <c r="W117" s="1"/>
      <c r="X117" s="1"/>
      <c r="Y117" s="1"/>
      <c r="Z117" s="1"/>
      <c r="AA117" s="1"/>
      <c r="AB117" s="1"/>
      <c r="AC117" s="1"/>
      <c r="AD117" s="1"/>
      <c r="AE117" s="1"/>
      <c r="AF117" s="1"/>
      <c r="AG117" s="1"/>
      <c r="AH117" s="1"/>
      <c r="AI117" s="1"/>
      <c r="AJ117" s="1"/>
    </row>
    <row r="118" spans="1:36" x14ac:dyDescent="0.25">
      <c r="A118" s="79" t="str">
        <f>'Data shares'!B113</f>
        <v>Power</v>
      </c>
      <c r="B118" s="79" t="str">
        <f>'Data shares'!C113</f>
        <v>KEI</v>
      </c>
      <c r="C118" s="4">
        <f>VLOOKUP($B118,'Data shares'!$C:$FB,7)</f>
        <v>4167.3</v>
      </c>
      <c r="D118" s="82">
        <f>VLOOKUP($B118,'Data shares'!$C:$FB,98)</f>
        <v>2003925</v>
      </c>
      <c r="E118" s="165">
        <f>VLOOKUP(B118,'Snapshot (Volume)'!$A$7:$G$168,7,0)</f>
        <v>2105075</v>
      </c>
      <c r="F118" s="165">
        <f t="shared" si="40"/>
        <v>-101150</v>
      </c>
      <c r="G118" s="166">
        <f t="shared" si="41"/>
        <v>-4.8050544517416242E-2</v>
      </c>
      <c r="H118" s="165">
        <f>VLOOKUP($B118,'Data shares'!$C:$FB,66)</f>
        <v>2000075</v>
      </c>
      <c r="I118" s="165">
        <f>VLOOKUP($B118,'Data shares'!$C:$FB,67)</f>
        <v>736050</v>
      </c>
      <c r="J118" s="81">
        <f t="shared" si="42"/>
        <v>171.73086067522587</v>
      </c>
      <c r="K118" s="5">
        <f>VLOOKUP($B118,'Data Vlaue (Cr)'!$C:$FB,99)</f>
        <v>835</v>
      </c>
      <c r="L118" s="81">
        <f>VLOOKUP(B118,'OI(Value)'!$A$7:$C$209,3,0)</f>
        <v>-42</v>
      </c>
      <c r="M118" s="33">
        <f t="shared" si="31"/>
        <v>-5.0299401197604787</v>
      </c>
      <c r="N118" s="5">
        <f>VLOOKUP($B118,'Data Vlaue (Cr)'!$C:$FB,67)</f>
        <v>833</v>
      </c>
      <c r="O118" s="5">
        <f>VLOOKUP($B118,'Data Vlaue (Cr)'!$C:$FB,68)</f>
        <v>307</v>
      </c>
      <c r="P118" s="5">
        <f t="shared" si="43"/>
        <v>63.145258103241297</v>
      </c>
      <c r="Q118" s="1"/>
      <c r="R118" s="1"/>
      <c r="S118" s="1"/>
      <c r="T118" s="1"/>
      <c r="U118" s="1"/>
      <c r="V118" s="1"/>
      <c r="W118" s="1"/>
      <c r="X118" s="1"/>
      <c r="Y118" s="1"/>
      <c r="Z118" s="1"/>
      <c r="AA118" s="1"/>
      <c r="AB118" s="1"/>
      <c r="AC118" s="1"/>
      <c r="AD118" s="1"/>
      <c r="AE118" s="1"/>
      <c r="AF118" s="1"/>
      <c r="AG118" s="1"/>
      <c r="AH118" s="1"/>
      <c r="AI118" s="1"/>
      <c r="AJ118" s="1"/>
    </row>
    <row r="119" spans="1:36" x14ac:dyDescent="0.25">
      <c r="A119" s="79" t="str">
        <f>'Data shares'!B114</f>
        <v>Finance</v>
      </c>
      <c r="B119" s="79" t="str">
        <f>'Data shares'!C114</f>
        <v>KFINTECH</v>
      </c>
      <c r="C119" s="4">
        <f>VLOOKUP($B119,'Data shares'!$C:$FB,7)</f>
        <v>1080.4000000000001</v>
      </c>
      <c r="D119" s="82">
        <f>VLOOKUP($B119,'Data shares'!$C:$FB,98)</f>
        <v>10061350</v>
      </c>
      <c r="E119" s="165">
        <f>VLOOKUP(B119,'Snapshot (Volume)'!$A$7:$G$168,7,0)</f>
        <v>10831600</v>
      </c>
      <c r="F119" s="165">
        <f t="shared" si="40"/>
        <v>-770250</v>
      </c>
      <c r="G119" s="166">
        <f t="shared" si="41"/>
        <v>-7.1111377820451266E-2</v>
      </c>
      <c r="H119" s="165">
        <f>VLOOKUP($B119,'Data shares'!$C:$FB,66)</f>
        <v>7498350</v>
      </c>
      <c r="I119" s="165">
        <f>VLOOKUP($B119,'Data shares'!$C:$FB,67)</f>
        <v>5446800</v>
      </c>
      <c r="J119" s="81">
        <f t="shared" si="42"/>
        <v>37.665234633179111</v>
      </c>
      <c r="K119" s="5">
        <f>VLOOKUP($B119,'Data Vlaue (Cr)'!$C:$FB,99)</f>
        <v>1088</v>
      </c>
      <c r="L119" s="81">
        <f>VLOOKUP(B119,'OI(Value)'!$A$7:$C$209,3,0)</f>
        <v>-83</v>
      </c>
      <c r="M119" s="33">
        <f t="shared" si="31"/>
        <v>-7.6286764705882355</v>
      </c>
      <c r="N119" s="5">
        <f>VLOOKUP($B119,'Data Vlaue (Cr)'!$C:$FB,67)</f>
        <v>811</v>
      </c>
      <c r="O119" s="5">
        <f>VLOOKUP($B119,'Data Vlaue (Cr)'!$C:$FB,68)</f>
        <v>589</v>
      </c>
      <c r="P119" s="5">
        <f t="shared" si="43"/>
        <v>27.373612823674478</v>
      </c>
      <c r="Q119" s="1"/>
      <c r="R119" s="1"/>
      <c r="S119" s="1"/>
      <c r="T119" s="1"/>
      <c r="U119" s="1"/>
      <c r="V119" s="1"/>
      <c r="W119" s="1"/>
      <c r="X119" s="1"/>
      <c r="Y119" s="1"/>
      <c r="Z119" s="1"/>
      <c r="AA119" s="1"/>
      <c r="AB119" s="1"/>
      <c r="AC119" s="1"/>
      <c r="AD119" s="1"/>
      <c r="AE119" s="1"/>
      <c r="AF119" s="1"/>
      <c r="AG119" s="1"/>
      <c r="AH119" s="1"/>
      <c r="AI119" s="1"/>
      <c r="AJ119" s="1"/>
    </row>
    <row r="120" spans="1:36" x14ac:dyDescent="0.25">
      <c r="A120" s="79" t="str">
        <f>'Data shares'!B115</f>
        <v>Banking</v>
      </c>
      <c r="B120" s="79" t="str">
        <f>'Data shares'!C115</f>
        <v>KOTAKBANK</v>
      </c>
      <c r="C120" s="4">
        <f>VLOOKUP($B120,'Data shares'!$C:$FB,7)</f>
        <v>2098.6999999999998</v>
      </c>
      <c r="D120" s="82">
        <f>VLOOKUP($B120,'Data shares'!$C:$FB,98)</f>
        <v>57849600</v>
      </c>
      <c r="E120" s="165">
        <f>VLOOKUP(B120,'Snapshot (Volume)'!$A$7:$G$168,7,0)</f>
        <v>59034400</v>
      </c>
      <c r="F120" s="165">
        <f t="shared" si="40"/>
        <v>-1184800</v>
      </c>
      <c r="G120" s="166">
        <f t="shared" si="41"/>
        <v>-2.0069654303253696E-2</v>
      </c>
      <c r="H120" s="165">
        <f>VLOOKUP($B120,'Data shares'!$C:$FB,66)</f>
        <v>55280400</v>
      </c>
      <c r="I120" s="165">
        <f>VLOOKUP($B120,'Data shares'!$C:$FB,67)</f>
        <v>34021200</v>
      </c>
      <c r="J120" s="81">
        <f t="shared" si="42"/>
        <v>62.488095658001484</v>
      </c>
      <c r="K120" s="5">
        <f>VLOOKUP($B120,'Data Vlaue (Cr)'!$C:$FB,99)</f>
        <v>12132</v>
      </c>
      <c r="L120" s="81">
        <f>VLOOKUP(B120,'OI(Value)'!$A$7:$C$209,3,0)</f>
        <v>-248</v>
      </c>
      <c r="M120" s="33">
        <f t="shared" si="31"/>
        <v>-2.0441806791955162</v>
      </c>
      <c r="N120" s="5">
        <f>VLOOKUP($B120,'Data Vlaue (Cr)'!$C:$FB,67)</f>
        <v>11593</v>
      </c>
      <c r="O120" s="5">
        <f>VLOOKUP($B120,'Data Vlaue (Cr)'!$C:$FB,68)</f>
        <v>7135</v>
      </c>
      <c r="P120" s="5">
        <f t="shared" si="43"/>
        <v>38.454239627361339</v>
      </c>
      <c r="Q120" s="1"/>
      <c r="R120" s="1"/>
      <c r="S120" s="1"/>
      <c r="T120" s="1"/>
      <c r="U120" s="1"/>
      <c r="V120" s="1"/>
      <c r="W120" s="1"/>
      <c r="X120" s="1"/>
      <c r="Y120" s="1"/>
      <c r="Z120" s="1"/>
      <c r="AA120" s="1"/>
      <c r="AB120" s="1"/>
      <c r="AC120" s="1"/>
      <c r="AD120" s="1"/>
      <c r="AE120" s="1"/>
      <c r="AF120" s="1"/>
      <c r="AG120" s="1"/>
      <c r="AH120" s="1"/>
      <c r="AI120" s="1"/>
      <c r="AJ120" s="1"/>
    </row>
    <row r="121" spans="1:36" x14ac:dyDescent="0.25">
      <c r="A121" s="79" t="str">
        <f>'Data shares'!B116</f>
        <v>Technology</v>
      </c>
      <c r="B121" s="79" t="str">
        <f>'Data shares'!C116</f>
        <v>KPITTECH</v>
      </c>
      <c r="C121" s="4">
        <f>VLOOKUP($B121,'Data shares'!$C:$FB,7)</f>
        <v>1196.5999999999999</v>
      </c>
      <c r="D121" s="82">
        <f>VLOOKUP($B121,'Data shares'!$C:$FB,98)</f>
        <v>6972175</v>
      </c>
      <c r="E121" s="165">
        <f>VLOOKUP(B121,'Snapshot (Volume)'!$A$7:$G$168,7,0)</f>
        <v>7185000</v>
      </c>
      <c r="F121" s="165">
        <f t="shared" si="40"/>
        <v>-212825</v>
      </c>
      <c r="G121" s="166">
        <f t="shared" si="41"/>
        <v>-2.9620737647877524E-2</v>
      </c>
      <c r="H121" s="165">
        <f>VLOOKUP($B121,'Data shares'!$C:$FB,66)</f>
        <v>7856800</v>
      </c>
      <c r="I121" s="165">
        <f>VLOOKUP($B121,'Data shares'!$C:$FB,67)</f>
        <v>7132000</v>
      </c>
      <c r="J121" s="81">
        <f t="shared" si="42"/>
        <v>10.162647223780146</v>
      </c>
      <c r="K121" s="5">
        <f>VLOOKUP($B121,'Data Vlaue (Cr)'!$C:$FB,99)</f>
        <v>837</v>
      </c>
      <c r="L121" s="81">
        <f>VLOOKUP(B121,'OI(Value)'!$A$7:$C$209,3,0)</f>
        <v>-26</v>
      </c>
      <c r="M121" s="33">
        <f t="shared" si="31"/>
        <v>-3.106332138590203</v>
      </c>
      <c r="N121" s="5">
        <f>VLOOKUP($B121,'Data Vlaue (Cr)'!$C:$FB,67)</f>
        <v>943</v>
      </c>
      <c r="O121" s="5">
        <f>VLOOKUP($B121,'Data Vlaue (Cr)'!$C:$FB,68)</f>
        <v>856</v>
      </c>
      <c r="P121" s="5">
        <f t="shared" si="43"/>
        <v>9.2258748674443272</v>
      </c>
      <c r="Q121" s="1"/>
      <c r="R121" s="1"/>
      <c r="S121" s="1"/>
      <c r="T121" s="1"/>
      <c r="U121" s="1"/>
      <c r="V121" s="1"/>
      <c r="W121" s="1"/>
      <c r="X121" s="1"/>
      <c r="Y121" s="1"/>
      <c r="Z121" s="1"/>
      <c r="AA121" s="1"/>
      <c r="AB121" s="1"/>
      <c r="AC121" s="1"/>
      <c r="AD121" s="1"/>
      <c r="AE121" s="1"/>
      <c r="AF121" s="1"/>
      <c r="AG121" s="1"/>
      <c r="AH121" s="1"/>
      <c r="AI121" s="1"/>
      <c r="AJ121" s="1"/>
    </row>
    <row r="122" spans="1:36" x14ac:dyDescent="0.25">
      <c r="A122" s="79" t="str">
        <f>'Data shares'!B117</f>
        <v>Pharma</v>
      </c>
      <c r="B122" s="79" t="str">
        <f>'Data shares'!C117</f>
        <v>LAURUSLABS</v>
      </c>
      <c r="C122" s="4">
        <f>VLOOKUP($B122,'Data shares'!$C:$FB,7)</f>
        <v>987.1</v>
      </c>
      <c r="D122" s="82">
        <f>VLOOKUP($B122,'Data shares'!$C:$FB,98)</f>
        <v>37625250</v>
      </c>
      <c r="E122" s="165">
        <f>VLOOKUP(B122,'Snapshot (Volume)'!$A$7:$G$168,7,0)</f>
        <v>39175650</v>
      </c>
      <c r="F122" s="165">
        <f t="shared" si="40"/>
        <v>-1550400</v>
      </c>
      <c r="G122" s="166">
        <f t="shared" si="41"/>
        <v>-3.9575603723231143E-2</v>
      </c>
      <c r="H122" s="165">
        <f>VLOOKUP($B122,'Data shares'!$C:$FB,66)</f>
        <v>43942450</v>
      </c>
      <c r="I122" s="165">
        <f>VLOOKUP($B122,'Data shares'!$C:$FB,67)</f>
        <v>52827500</v>
      </c>
      <c r="J122" s="81">
        <f t="shared" si="42"/>
        <v>-16.818986323411103</v>
      </c>
      <c r="K122" s="5">
        <f>VLOOKUP($B122,'Data Vlaue (Cr)'!$C:$FB,99)</f>
        <v>3714</v>
      </c>
      <c r="L122" s="81">
        <f>VLOOKUP(B122,'OI(Value)'!$A$7:$C$209,3,0)</f>
        <v>-153</v>
      </c>
      <c r="M122" s="33">
        <f t="shared" si="31"/>
        <v>-4.1195476575121157</v>
      </c>
      <c r="N122" s="5">
        <f>VLOOKUP($B122,'Data Vlaue (Cr)'!$C:$FB,67)</f>
        <v>4338</v>
      </c>
      <c r="O122" s="5">
        <f>VLOOKUP($B122,'Data Vlaue (Cr)'!$C:$FB,68)</f>
        <v>5215</v>
      </c>
      <c r="P122" s="5">
        <f t="shared" si="43"/>
        <v>-20.216689718764407</v>
      </c>
      <c r="Q122" s="1"/>
      <c r="R122" s="1"/>
      <c r="S122" s="1"/>
      <c r="T122" s="1"/>
      <c r="U122" s="1"/>
      <c r="V122" s="1"/>
      <c r="W122" s="1"/>
      <c r="X122" s="1"/>
      <c r="Y122" s="1"/>
      <c r="Z122" s="1"/>
      <c r="AA122" s="1"/>
      <c r="AB122" s="1"/>
      <c r="AC122" s="1"/>
      <c r="AD122" s="1"/>
      <c r="AE122" s="1"/>
      <c r="AF122" s="1"/>
      <c r="AG122" s="1"/>
      <c r="AH122" s="1"/>
      <c r="AI122" s="1"/>
      <c r="AJ122" s="1"/>
    </row>
    <row r="123" spans="1:36" x14ac:dyDescent="0.25">
      <c r="A123" s="79" t="str">
        <f>'Data shares'!B118</f>
        <v>Finance</v>
      </c>
      <c r="B123" s="79" t="str">
        <f>'Data shares'!C118</f>
        <v>LICHSGFIN</v>
      </c>
      <c r="C123" s="4">
        <f>VLOOKUP($B123,'Data shares'!$C:$FB,7)</f>
        <v>554.79999999999995</v>
      </c>
      <c r="D123" s="82">
        <f>VLOOKUP($B123,'Data shares'!$C:$FB,98)</f>
        <v>55441000</v>
      </c>
      <c r="E123" s="165">
        <f>VLOOKUP(B123,'Snapshot (Volume)'!$A$7:$G$168,7,0)</f>
        <v>52949000</v>
      </c>
      <c r="F123" s="165">
        <f t="shared" si="40"/>
        <v>2492000</v>
      </c>
      <c r="G123" s="166">
        <f t="shared" si="41"/>
        <v>4.7064156074713405E-2</v>
      </c>
      <c r="H123" s="165">
        <f>VLOOKUP($B123,'Data shares'!$C:$FB,66)</f>
        <v>29037000</v>
      </c>
      <c r="I123" s="165">
        <f>VLOOKUP($B123,'Data shares'!$C:$FB,67)</f>
        <v>19324000</v>
      </c>
      <c r="J123" s="81">
        <f t="shared" si="42"/>
        <v>50.263920513351266</v>
      </c>
      <c r="K123" s="5">
        <f>VLOOKUP($B123,'Data Vlaue (Cr)'!$C:$FB,99)</f>
        <v>3079</v>
      </c>
      <c r="L123" s="81">
        <f>VLOOKUP(B123,'OI(Value)'!$A$7:$C$209,3,0)</f>
        <v>138</v>
      </c>
      <c r="M123" s="33">
        <f t="shared" ref="M123:M144" si="44">L123/K123*100</f>
        <v>4.481974667099708</v>
      </c>
      <c r="N123" s="5">
        <f>VLOOKUP($B123,'Data Vlaue (Cr)'!$C:$FB,67)</f>
        <v>1613</v>
      </c>
      <c r="O123" s="5">
        <f>VLOOKUP($B123,'Data Vlaue (Cr)'!$C:$FB,68)</f>
        <v>1073</v>
      </c>
      <c r="P123" s="5">
        <f t="shared" si="43"/>
        <v>33.477991320520765</v>
      </c>
      <c r="Q123" s="1"/>
      <c r="R123" s="1"/>
      <c r="S123" s="1"/>
      <c r="T123" s="1"/>
      <c r="U123" s="1"/>
      <c r="V123" s="1"/>
      <c r="W123" s="1"/>
      <c r="X123" s="1"/>
      <c r="Y123" s="1"/>
      <c r="Z123" s="1"/>
      <c r="AA123" s="1"/>
      <c r="AB123" s="1"/>
      <c r="AC123" s="1"/>
      <c r="AD123" s="1"/>
      <c r="AE123" s="1"/>
      <c r="AF123" s="1"/>
      <c r="AG123" s="1"/>
      <c r="AH123" s="1"/>
      <c r="AI123" s="1"/>
      <c r="AJ123" s="1"/>
    </row>
    <row r="124" spans="1:36" x14ac:dyDescent="0.25">
      <c r="A124" s="79" t="str">
        <f>'Data shares'!B119</f>
        <v>Finance</v>
      </c>
      <c r="B124" s="79" t="str">
        <f>'Data shares'!C119</f>
        <v>LICI</v>
      </c>
      <c r="C124" s="4">
        <f>VLOOKUP($B124,'Data shares'!$C:$FB,7)</f>
        <v>908.3</v>
      </c>
      <c r="D124" s="82">
        <f>VLOOKUP($B124,'Data shares'!$C:$FB,98)</f>
        <v>23296000</v>
      </c>
      <c r="E124" s="165">
        <f>VLOOKUP(B124,'Snapshot (Volume)'!$A$7:$G$168,7,0)</f>
        <v>24063200</v>
      </c>
      <c r="F124" s="165">
        <f t="shared" si="40"/>
        <v>-767200</v>
      </c>
      <c r="G124" s="166">
        <f t="shared" si="41"/>
        <v>-3.1882708866651149E-2</v>
      </c>
      <c r="H124" s="165">
        <f>VLOOKUP($B124,'Data shares'!$C:$FB,66)</f>
        <v>14479500</v>
      </c>
      <c r="I124" s="165">
        <f>VLOOKUP($B124,'Data shares'!$C:$FB,67)</f>
        <v>13930700</v>
      </c>
      <c r="J124" s="81">
        <f t="shared" si="42"/>
        <v>3.9395005276116777</v>
      </c>
      <c r="K124" s="5">
        <f>VLOOKUP($B124,'Data Vlaue (Cr)'!$C:$FB,99)</f>
        <v>2115</v>
      </c>
      <c r="L124" s="81">
        <f>VLOOKUP(B124,'OI(Value)'!$A$7:$C$209,3,0)</f>
        <v>-70</v>
      </c>
      <c r="M124" s="33">
        <f t="shared" si="44"/>
        <v>-3.3096926713947989</v>
      </c>
      <c r="N124" s="5">
        <f>VLOOKUP($B124,'Data Vlaue (Cr)'!$C:$FB,67)</f>
        <v>1315</v>
      </c>
      <c r="O124" s="5">
        <f>VLOOKUP($B124,'Data Vlaue (Cr)'!$C:$FB,68)</f>
        <v>1265</v>
      </c>
      <c r="P124" s="5">
        <f t="shared" si="43"/>
        <v>3.8022813688212929</v>
      </c>
      <c r="Q124" s="1"/>
      <c r="R124" s="1"/>
      <c r="S124" s="1"/>
      <c r="T124" s="1"/>
      <c r="U124" s="1"/>
      <c r="V124" s="1"/>
      <c r="W124" s="1"/>
      <c r="X124" s="1"/>
      <c r="Y124" s="1"/>
      <c r="Z124" s="1"/>
      <c r="AA124" s="1"/>
      <c r="AB124" s="1"/>
      <c r="AC124" s="1"/>
      <c r="AD124" s="1"/>
      <c r="AE124" s="1"/>
      <c r="AF124" s="1"/>
      <c r="AG124" s="1"/>
      <c r="AH124" s="1"/>
      <c r="AI124" s="1"/>
      <c r="AJ124" s="1"/>
    </row>
    <row r="125" spans="1:36" x14ac:dyDescent="0.25">
      <c r="A125" s="79" t="str">
        <f>'Data shares'!B120</f>
        <v>Realty</v>
      </c>
      <c r="B125" s="79" t="str">
        <f>'Data shares'!C120</f>
        <v>LODHA</v>
      </c>
      <c r="C125" s="4">
        <f>VLOOKUP($B125,'Data shares'!$C:$FB,7)</f>
        <v>1200.8</v>
      </c>
      <c r="D125" s="82">
        <f>VLOOKUP($B125,'Data shares'!$C:$FB,98)</f>
        <v>15213150</v>
      </c>
      <c r="E125" s="165">
        <f>VLOOKUP(B125,'Snapshot (Volume)'!$A$7:$G$168,7,0)</f>
        <v>14971950</v>
      </c>
      <c r="F125" s="165">
        <f t="shared" si="40"/>
        <v>241200</v>
      </c>
      <c r="G125" s="166">
        <f t="shared" si="41"/>
        <v>1.6110125935499382E-2</v>
      </c>
      <c r="H125" s="165">
        <f>VLOOKUP($B125,'Data shares'!$C:$FB,66)</f>
        <v>12071700</v>
      </c>
      <c r="I125" s="165">
        <f>VLOOKUP($B125,'Data shares'!$C:$FB,67)</f>
        <v>8443800</v>
      </c>
      <c r="J125" s="81">
        <f t="shared" si="42"/>
        <v>42.965252611383498</v>
      </c>
      <c r="K125" s="5">
        <f>VLOOKUP($B125,'Data Vlaue (Cr)'!$C:$FB,99)</f>
        <v>1831</v>
      </c>
      <c r="L125" s="81">
        <f>VLOOKUP(B125,'OI(Value)'!$A$7:$C$209,3,0)</f>
        <v>29</v>
      </c>
      <c r="M125" s="33">
        <f t="shared" si="44"/>
        <v>1.5838339705079192</v>
      </c>
      <c r="N125" s="5">
        <f>VLOOKUP($B125,'Data Vlaue (Cr)'!$C:$FB,67)</f>
        <v>1453</v>
      </c>
      <c r="O125" s="5">
        <f>VLOOKUP($B125,'Data Vlaue (Cr)'!$C:$FB,68)</f>
        <v>1016</v>
      </c>
      <c r="P125" s="5">
        <f t="shared" si="43"/>
        <v>30.075705437026841</v>
      </c>
      <c r="Q125" s="1"/>
      <c r="R125" s="1"/>
      <c r="S125" s="1"/>
      <c r="T125" s="1"/>
      <c r="U125" s="1"/>
      <c r="V125" s="1"/>
      <c r="W125" s="1"/>
      <c r="X125" s="1"/>
      <c r="Y125" s="1"/>
      <c r="Z125" s="1"/>
      <c r="AA125" s="1"/>
      <c r="AB125" s="1"/>
      <c r="AC125" s="1"/>
      <c r="AD125" s="1"/>
      <c r="AE125" s="1"/>
      <c r="AF125" s="1"/>
      <c r="AG125" s="1"/>
      <c r="AH125" s="1"/>
      <c r="AI125" s="1"/>
      <c r="AJ125" s="1"/>
    </row>
    <row r="126" spans="1:36" x14ac:dyDescent="0.25">
      <c r="A126" s="79" t="str">
        <f>'Data shares'!B121</f>
        <v>Capital_Goods</v>
      </c>
      <c r="B126" s="79" t="str">
        <f>'Data shares'!C121</f>
        <v>LT</v>
      </c>
      <c r="C126" s="4">
        <f>VLOOKUP($B126,'Data shares'!$C:$FB,7)</f>
        <v>4037.4</v>
      </c>
      <c r="D126" s="82">
        <f>VLOOKUP($B126,'Data shares'!$C:$FB,98)</f>
        <v>23659825</v>
      </c>
      <c r="E126" s="165">
        <f>VLOOKUP(B126,'Snapshot (Volume)'!$A$7:$G$168,7,0)</f>
        <v>23812250</v>
      </c>
      <c r="F126" s="165">
        <f t="shared" si="40"/>
        <v>-152425</v>
      </c>
      <c r="G126" s="166">
        <f t="shared" si="41"/>
        <v>-6.4011170720952451E-3</v>
      </c>
      <c r="H126" s="165">
        <f>VLOOKUP($B126,'Data shares'!$C:$FB,66)</f>
        <v>24975825</v>
      </c>
      <c r="I126" s="165">
        <f>VLOOKUP($B126,'Data shares'!$C:$FB,67)</f>
        <v>13284775</v>
      </c>
      <c r="J126" s="81">
        <f t="shared" si="42"/>
        <v>88.003372281427431</v>
      </c>
      <c r="K126" s="5">
        <f>VLOOKUP($B126,'Data Vlaue (Cr)'!$C:$FB,99)</f>
        <v>9559</v>
      </c>
      <c r="L126" s="81">
        <f>VLOOKUP(B126,'OI(Value)'!$A$7:$C$209,3,0)</f>
        <v>-62</v>
      </c>
      <c r="M126" s="33">
        <f t="shared" si="44"/>
        <v>-0.64860341039857716</v>
      </c>
      <c r="N126" s="5">
        <f>VLOOKUP($B126,'Data Vlaue (Cr)'!$C:$FB,67)</f>
        <v>10090</v>
      </c>
      <c r="O126" s="5">
        <f>VLOOKUP($B126,'Data Vlaue (Cr)'!$C:$FB,68)</f>
        <v>5367</v>
      </c>
      <c r="P126" s="5">
        <f t="shared" si="43"/>
        <v>46.808721506442019</v>
      </c>
      <c r="Q126" s="1"/>
      <c r="R126" s="1"/>
      <c r="S126" s="1"/>
      <c r="T126" s="1"/>
      <c r="U126" s="1"/>
      <c r="V126" s="1"/>
      <c r="W126" s="1"/>
      <c r="X126" s="1"/>
      <c r="Y126" s="1"/>
      <c r="Z126" s="1"/>
      <c r="AA126" s="1"/>
      <c r="AB126" s="1"/>
      <c r="AC126" s="1"/>
      <c r="AD126" s="1"/>
      <c r="AE126" s="1"/>
      <c r="AF126" s="1"/>
      <c r="AG126" s="1"/>
      <c r="AH126" s="1"/>
      <c r="AI126" s="1"/>
      <c r="AJ126" s="1"/>
    </row>
    <row r="127" spans="1:36" x14ac:dyDescent="0.25">
      <c r="A127" s="79" t="str">
        <f>'Data shares'!B122</f>
        <v>Finance</v>
      </c>
      <c r="B127" s="79" t="str">
        <f>'Data shares'!C122</f>
        <v>LTF</v>
      </c>
      <c r="C127" s="4">
        <f>VLOOKUP($B127,'Data shares'!$C:$FB,7)</f>
        <v>292.3</v>
      </c>
      <c r="D127" s="82">
        <f>VLOOKUP($B127,'Data shares'!$C:$FB,98)</f>
        <v>129101356</v>
      </c>
      <c r="E127" s="165">
        <f>VLOOKUP(B127,'Snapshot (Volume)'!$A$7:$G$168,7,0)</f>
        <v>128861898</v>
      </c>
      <c r="F127" s="165">
        <f>D127-E127</f>
        <v>239458</v>
      </c>
      <c r="G127" s="166">
        <f>F127/E127</f>
        <v>1.8582529336949546E-3</v>
      </c>
      <c r="H127" s="165">
        <f>VLOOKUP($B127,'Data shares'!$C:$FB,66)</f>
        <v>107734990</v>
      </c>
      <c r="I127" s="165">
        <f>VLOOKUP($B127,'Data shares'!$C:$FB,67)</f>
        <v>94888892</v>
      </c>
      <c r="J127" s="81">
        <f>(H127-I127)/I127*100</f>
        <v>13.538041944888555</v>
      </c>
      <c r="K127" s="5">
        <f>VLOOKUP($B127,'Data Vlaue (Cr)'!$C:$FB,99)</f>
        <v>3781</v>
      </c>
      <c r="L127" s="81">
        <f>VLOOKUP(B127,'OI(Value)'!$A$7:$C$209,3,0)</f>
        <v>7</v>
      </c>
      <c r="M127" s="33">
        <f t="shared" si="44"/>
        <v>0.18513620735255223</v>
      </c>
      <c r="N127" s="5">
        <f>VLOOKUP($B127,'Data Vlaue (Cr)'!$C:$FB,67)</f>
        <v>3156</v>
      </c>
      <c r="O127" s="5">
        <f>VLOOKUP($B127,'Data Vlaue (Cr)'!$C:$FB,68)</f>
        <v>2779</v>
      </c>
      <c r="P127" s="5">
        <f>(N127-O127)/N127*100</f>
        <v>11.945500633713561</v>
      </c>
      <c r="Q127" s="1"/>
      <c r="R127" s="1"/>
      <c r="S127" s="1"/>
      <c r="T127" s="1"/>
      <c r="U127" s="1"/>
      <c r="V127" s="1"/>
      <c r="W127" s="1"/>
      <c r="X127" s="1"/>
      <c r="Y127" s="1"/>
      <c r="Z127" s="1"/>
      <c r="AA127" s="1"/>
      <c r="AB127" s="1"/>
      <c r="AC127" s="1"/>
      <c r="AD127" s="1"/>
      <c r="AE127" s="1"/>
      <c r="AF127" s="1"/>
      <c r="AG127" s="1"/>
      <c r="AH127" s="1"/>
      <c r="AI127" s="1"/>
      <c r="AJ127" s="1"/>
    </row>
    <row r="128" spans="1:36" x14ac:dyDescent="0.25">
      <c r="A128" s="79" t="str">
        <f>'Data shares'!B123</f>
        <v>Technology</v>
      </c>
      <c r="B128" s="79" t="str">
        <f>'Data shares'!C123</f>
        <v>LTIM</v>
      </c>
      <c r="C128" s="4">
        <f>VLOOKUP($B128,'Data shares'!$C:$FB,7)</f>
        <v>6027</v>
      </c>
      <c r="D128" s="82">
        <f>VLOOKUP($B128,'Data shares'!$C:$FB,98)</f>
        <v>4194000</v>
      </c>
      <c r="E128" s="165">
        <f>VLOOKUP(B128,'Snapshot (Volume)'!$A$7:$G$168,7,0)</f>
        <v>4223850</v>
      </c>
      <c r="F128" s="165">
        <f>D128-E128</f>
        <v>-29850</v>
      </c>
      <c r="G128" s="166">
        <f>F128/E128</f>
        <v>-7.0670123228807839E-3</v>
      </c>
      <c r="H128" s="165">
        <f>VLOOKUP($B128,'Data shares'!$C:$FB,66)</f>
        <v>9946800</v>
      </c>
      <c r="I128" s="165">
        <f>VLOOKUP($B128,'Data shares'!$C:$FB,67)</f>
        <v>18387150</v>
      </c>
      <c r="J128" s="81">
        <f>(H128-I128)/I128*100</f>
        <v>-45.903525016111793</v>
      </c>
      <c r="K128" s="5">
        <f>VLOOKUP($B128,'Data Vlaue (Cr)'!$C:$FB,99)</f>
        <v>2531</v>
      </c>
      <c r="L128" s="81">
        <f>VLOOKUP(B128,'OI(Value)'!$A$7:$C$209,3,0)</f>
        <v>-18</v>
      </c>
      <c r="M128" s="33">
        <f t="shared" si="44"/>
        <v>-0.71118135124456738</v>
      </c>
      <c r="N128" s="5">
        <f>VLOOKUP($B128,'Data Vlaue (Cr)'!$C:$FB,67)</f>
        <v>6004</v>
      </c>
      <c r="O128" s="5">
        <f>VLOOKUP($B128,'Data Vlaue (Cr)'!$C:$FB,68)</f>
        <v>11098</v>
      </c>
      <c r="P128" s="5">
        <f>(N128-O128)/N128*100</f>
        <v>-84.843437708194529</v>
      </c>
      <c r="Q128" s="1"/>
      <c r="R128" s="1"/>
      <c r="S128" s="1"/>
      <c r="T128" s="1"/>
      <c r="U128" s="1"/>
      <c r="V128" s="1"/>
      <c r="W128" s="1"/>
      <c r="X128" s="1"/>
      <c r="Y128" s="1"/>
      <c r="Z128" s="1"/>
      <c r="AA128" s="1"/>
      <c r="AB128" s="1"/>
      <c r="AC128" s="1"/>
      <c r="AD128" s="1"/>
      <c r="AE128" s="1"/>
      <c r="AF128" s="1"/>
      <c r="AG128" s="1"/>
      <c r="AH128" s="1"/>
      <c r="AI128" s="1"/>
      <c r="AJ128" s="1"/>
    </row>
    <row r="129" spans="1:36" x14ac:dyDescent="0.25">
      <c r="A129" s="79" t="str">
        <f>'Data shares'!B124</f>
        <v>Pharma</v>
      </c>
      <c r="B129" s="79" t="str">
        <f>'Data shares'!C124</f>
        <v>LUPIN</v>
      </c>
      <c r="C129" s="4">
        <f>VLOOKUP($B129,'Data shares'!$C:$FB,7)</f>
        <v>2030.8</v>
      </c>
      <c r="D129" s="82">
        <f>VLOOKUP($B129,'Data shares'!$C:$FB,98)</f>
        <v>18438200</v>
      </c>
      <c r="E129" s="165">
        <f>VLOOKUP(B129,'Snapshot (Volume)'!$A$7:$G$168,7,0)</f>
        <v>18820275</v>
      </c>
      <c r="F129" s="165">
        <f>D129-E129</f>
        <v>-382075</v>
      </c>
      <c r="G129" s="166">
        <f>F129/E129</f>
        <v>-2.0301244269810084E-2</v>
      </c>
      <c r="H129" s="165">
        <f>VLOOKUP($B129,'Data shares'!$C:$FB,66)</f>
        <v>11593575</v>
      </c>
      <c r="I129" s="165">
        <f>VLOOKUP($B129,'Data shares'!$C:$FB,67)</f>
        <v>8546325</v>
      </c>
      <c r="J129" s="81">
        <f>(H129-I129)/I129*100</f>
        <v>35.655676562733099</v>
      </c>
      <c r="K129" s="5">
        <f>VLOOKUP($B129,'Data Vlaue (Cr)'!$C:$FB,99)</f>
        <v>3741</v>
      </c>
      <c r="L129" s="81">
        <f>VLOOKUP(B129,'OI(Value)'!$A$7:$C$209,3,0)</f>
        <v>-78</v>
      </c>
      <c r="M129" s="33">
        <f t="shared" si="44"/>
        <v>-2.0850040096230953</v>
      </c>
      <c r="N129" s="5">
        <f>VLOOKUP($B129,'Data Vlaue (Cr)'!$C:$FB,67)</f>
        <v>2352</v>
      </c>
      <c r="O129" s="5">
        <f>VLOOKUP($B129,'Data Vlaue (Cr)'!$C:$FB,68)</f>
        <v>1734</v>
      </c>
      <c r="P129" s="5">
        <f>(N129-O129)/N129*100</f>
        <v>26.27551020408163</v>
      </c>
      <c r="Q129" s="1"/>
      <c r="R129" s="1"/>
      <c r="S129" s="1"/>
      <c r="T129" s="1"/>
      <c r="U129" s="1"/>
      <c r="V129" s="1"/>
      <c r="W129" s="1"/>
      <c r="X129" s="1"/>
      <c r="Y129" s="1"/>
      <c r="Z129" s="1"/>
      <c r="AA129" s="1"/>
      <c r="AB129" s="1"/>
      <c r="AC129" s="1"/>
      <c r="AD129" s="1"/>
      <c r="AE129" s="1"/>
      <c r="AF129" s="1"/>
      <c r="AG129" s="1"/>
      <c r="AH129" s="1"/>
      <c r="AI129" s="1"/>
      <c r="AJ129" s="1"/>
    </row>
    <row r="130" spans="1:36" x14ac:dyDescent="0.25">
      <c r="A130" s="79" t="str">
        <f>'Data shares'!B125</f>
        <v>Automobile</v>
      </c>
      <c r="B130" s="79" t="str">
        <f>'Data shares'!C125</f>
        <v>M&amp;M</v>
      </c>
      <c r="C130" s="4">
        <f>VLOOKUP($B130,'Data shares'!$C:$FB,7)</f>
        <v>3716.7</v>
      </c>
      <c r="D130" s="82">
        <f>VLOOKUP($B130,'Data shares'!$C:$FB,98)</f>
        <v>26852400</v>
      </c>
      <c r="E130" s="165">
        <f>VLOOKUP(B130,'Snapshot (Volume)'!$A$7:$G$168,7,0)</f>
        <v>27166600</v>
      </c>
      <c r="F130" s="165">
        <f>D130-E130</f>
        <v>-314200</v>
      </c>
      <c r="G130" s="166">
        <f>F130/E130</f>
        <v>-1.1565672553797679E-2</v>
      </c>
      <c r="H130" s="165">
        <f>VLOOKUP($B130,'Data shares'!$C:$FB,66)</f>
        <v>23578000</v>
      </c>
      <c r="I130" s="165">
        <f>VLOOKUP($B130,'Data shares'!$C:$FB,67)</f>
        <v>14622000</v>
      </c>
      <c r="J130" s="81">
        <f>(H130-I130)/I130*100</f>
        <v>61.250170975242789</v>
      </c>
      <c r="K130" s="5">
        <f>VLOOKUP($B130,'Data Vlaue (Cr)'!$C:$FB,99)</f>
        <v>9994</v>
      </c>
      <c r="L130" s="81">
        <f>VLOOKUP(B130,'OI(Value)'!$A$7:$C$209,3,0)</f>
        <v>-117</v>
      </c>
      <c r="M130" s="33">
        <f t="shared" si="44"/>
        <v>-1.1707024214528718</v>
      </c>
      <c r="N130" s="5">
        <f>VLOOKUP($B130,'Data Vlaue (Cr)'!$C:$FB,67)</f>
        <v>8775</v>
      </c>
      <c r="O130" s="5">
        <f>VLOOKUP($B130,'Data Vlaue (Cr)'!$C:$FB,68)</f>
        <v>5442</v>
      </c>
      <c r="P130" s="5">
        <f>(N130-O130)/N130*100</f>
        <v>37.982905982905983</v>
      </c>
      <c r="Q130" s="1"/>
      <c r="R130" s="1"/>
      <c r="S130" s="1"/>
      <c r="T130" s="1"/>
      <c r="U130" s="1"/>
      <c r="V130" s="1"/>
      <c r="W130" s="1"/>
      <c r="X130" s="1"/>
      <c r="Y130" s="1"/>
      <c r="Z130" s="1"/>
      <c r="AA130" s="1"/>
      <c r="AB130" s="1"/>
      <c r="AC130" s="1"/>
      <c r="AD130" s="1"/>
      <c r="AE130" s="1"/>
      <c r="AF130" s="1"/>
      <c r="AG130" s="1"/>
      <c r="AH130" s="1"/>
      <c r="AI130" s="1"/>
      <c r="AJ130" s="1"/>
    </row>
    <row r="131" spans="1:36" x14ac:dyDescent="0.25">
      <c r="A131" s="79" t="str">
        <f>'Data shares'!B126</f>
        <v>Finance</v>
      </c>
      <c r="B131" s="79" t="str">
        <f>'Data shares'!C126</f>
        <v>MANAPPURAM</v>
      </c>
      <c r="C131" s="4">
        <f>VLOOKUP($B131,'Data shares'!$C:$FB,7)</f>
        <v>282.05</v>
      </c>
      <c r="D131" s="82">
        <f>VLOOKUP($B131,'Data shares'!$C:$FB,98)</f>
        <v>80040000</v>
      </c>
      <c r="E131" s="165">
        <f>VLOOKUP(B131,'Snapshot (Volume)'!$A$7:$G$168,7,0)</f>
        <v>83241000</v>
      </c>
      <c r="F131" s="165">
        <f>D131-E131</f>
        <v>-3201000</v>
      </c>
      <c r="G131" s="166">
        <f>F131/E131</f>
        <v>-3.8454607705337512E-2</v>
      </c>
      <c r="H131" s="165">
        <f>VLOOKUP($B131,'Data shares'!$C:$FB,66)</f>
        <v>60192000</v>
      </c>
      <c r="I131" s="165">
        <f>VLOOKUP($B131,'Data shares'!$C:$FB,67)</f>
        <v>58809000</v>
      </c>
      <c r="J131" s="81">
        <f>(H131-I131)/I131*100</f>
        <v>2.351680865173698</v>
      </c>
      <c r="K131" s="5">
        <f>VLOOKUP($B131,'Data Vlaue (Cr)'!$C:$FB,99)</f>
        <v>2258</v>
      </c>
      <c r="L131" s="81">
        <f>VLOOKUP(B131,'OI(Value)'!$A$7:$C$209,3,0)</f>
        <v>-90</v>
      </c>
      <c r="M131" s="33">
        <f t="shared" si="44"/>
        <v>-3.9858281665190431</v>
      </c>
      <c r="N131" s="5">
        <f>VLOOKUP($B131,'Data Vlaue (Cr)'!$C:$FB,67)</f>
        <v>1698</v>
      </c>
      <c r="O131" s="5">
        <f>VLOOKUP($B131,'Data Vlaue (Cr)'!$C:$FB,68)</f>
        <v>1659</v>
      </c>
      <c r="P131" s="5">
        <f>(N131-O131)/N131*100</f>
        <v>2.2968197879858656</v>
      </c>
      <c r="Q131" s="1"/>
      <c r="R131" s="1"/>
      <c r="S131" s="1"/>
      <c r="T131" s="1"/>
      <c r="U131" s="1"/>
      <c r="V131" s="1"/>
      <c r="W131" s="1"/>
      <c r="X131" s="1"/>
      <c r="Y131" s="1"/>
      <c r="Z131" s="1"/>
      <c r="AA131" s="1"/>
      <c r="AB131" s="1"/>
      <c r="AC131" s="1"/>
      <c r="AD131" s="1"/>
      <c r="AE131" s="1"/>
      <c r="AF131" s="1"/>
      <c r="AG131" s="1"/>
      <c r="AH131" s="1"/>
      <c r="AI131" s="1"/>
      <c r="AJ131" s="1"/>
    </row>
    <row r="132" spans="1:36" s="170" customFormat="1" x14ac:dyDescent="0.25">
      <c r="A132" s="79" t="str">
        <f>'Data shares'!B127</f>
        <v>Pharma</v>
      </c>
      <c r="B132" s="79" t="str">
        <f>'Data shares'!C127</f>
        <v>MANKIND</v>
      </c>
      <c r="C132" s="79">
        <f>VLOOKUP($B132,'Data shares'!$C:$FB,7)</f>
        <v>2239.5</v>
      </c>
      <c r="D132" s="165">
        <f>VLOOKUP($B132,'Data shares'!$C:$FB,98)</f>
        <v>4807125</v>
      </c>
      <c r="E132" s="165">
        <f>VLOOKUP(B132,'Snapshot (Volume)'!$A$7:$G$168,7,0)</f>
        <v>5083875</v>
      </c>
      <c r="F132" s="165">
        <f t="shared" ref="F132:F139" si="45">D132-E132</f>
        <v>-276750</v>
      </c>
      <c r="G132" s="166">
        <f t="shared" ref="G132:G139" si="46">F132/E132</f>
        <v>-5.4436822305819872E-2</v>
      </c>
      <c r="H132" s="165">
        <f>VLOOKUP($B132,'Data shares'!$C:$FB,66)</f>
        <v>3037275</v>
      </c>
      <c r="I132" s="165">
        <f>VLOOKUP($B132,'Data shares'!$C:$FB,67)</f>
        <v>1403775</v>
      </c>
      <c r="J132" s="81">
        <f t="shared" ref="J132:J139" si="47">(H132-I132)/I132*100</f>
        <v>116.36480205161084</v>
      </c>
      <c r="K132" s="81">
        <f>VLOOKUP($B132,'Data Vlaue (Cr)'!$C:$FB,99)</f>
        <v>1078</v>
      </c>
      <c r="L132" s="81">
        <f>VLOOKUP(B132,'OI(Value)'!$A$7:$C$209,3,0)</f>
        <v>-62</v>
      </c>
      <c r="M132" s="81">
        <f t="shared" si="44"/>
        <v>-5.7513914656771803</v>
      </c>
      <c r="N132" s="81">
        <f>VLOOKUP($B132,'Data Vlaue (Cr)'!$C:$FB,67)</f>
        <v>681</v>
      </c>
      <c r="O132" s="81">
        <f>VLOOKUP($B132,'Data Vlaue (Cr)'!$C:$FB,68)</f>
        <v>315</v>
      </c>
      <c r="P132" s="81">
        <f t="shared" ref="P132:P139" si="48">(N132-O132)/N132*100</f>
        <v>53.744493392070481</v>
      </c>
      <c r="Q132" s="169"/>
      <c r="R132" s="169"/>
      <c r="S132" s="169"/>
      <c r="T132" s="169"/>
      <c r="U132" s="169"/>
      <c r="V132" s="169"/>
      <c r="W132" s="169"/>
      <c r="X132" s="169"/>
      <c r="Y132" s="169"/>
      <c r="Z132" s="169"/>
      <c r="AA132" s="169"/>
      <c r="AB132" s="169"/>
      <c r="AC132" s="169"/>
      <c r="AD132" s="169"/>
      <c r="AE132" s="169"/>
      <c r="AF132" s="169"/>
      <c r="AG132" s="169"/>
      <c r="AH132" s="169"/>
      <c r="AI132" s="169"/>
      <c r="AJ132" s="169"/>
    </row>
    <row r="133" spans="1:36" s="170" customFormat="1" x14ac:dyDescent="0.25">
      <c r="A133" s="79" t="str">
        <f>'Data shares'!B128</f>
        <v>FMCG</v>
      </c>
      <c r="B133" s="79" t="str">
        <f>'Data shares'!C128</f>
        <v>MARICO</v>
      </c>
      <c r="C133" s="79">
        <f>VLOOKUP($B133,'Data shares'!$C:$FB,7)</f>
        <v>736.15</v>
      </c>
      <c r="D133" s="165">
        <f>VLOOKUP($B133,'Data shares'!$C:$FB,98)</f>
        <v>43826400</v>
      </c>
      <c r="E133" s="165">
        <f>VLOOKUP(B133,'Snapshot (Volume)'!$A$7:$G$168,7,0)</f>
        <v>44203200</v>
      </c>
      <c r="F133" s="165">
        <f t="shared" si="45"/>
        <v>-376800</v>
      </c>
      <c r="G133" s="166">
        <f t="shared" si="46"/>
        <v>-8.5242697361277014E-3</v>
      </c>
      <c r="H133" s="165">
        <f>VLOOKUP($B133,'Data shares'!$C:$FB,66)</f>
        <v>40597200</v>
      </c>
      <c r="I133" s="165">
        <f>VLOOKUP($B133,'Data shares'!$C:$FB,67)</f>
        <v>26086800</v>
      </c>
      <c r="J133" s="81">
        <f t="shared" si="47"/>
        <v>55.623533741202444</v>
      </c>
      <c r="K133" s="81">
        <f>VLOOKUP($B133,'Data Vlaue (Cr)'!$C:$FB,99)</f>
        <v>3229</v>
      </c>
      <c r="L133" s="81">
        <f>VLOOKUP(B133,'OI(Value)'!$A$7:$C$209,3,0)</f>
        <v>-28</v>
      </c>
      <c r="M133" s="81">
        <f t="shared" si="44"/>
        <v>-0.86714152988541338</v>
      </c>
      <c r="N133" s="81">
        <f>VLOOKUP($B133,'Data Vlaue (Cr)'!$C:$FB,67)</f>
        <v>2991</v>
      </c>
      <c r="O133" s="81">
        <f>VLOOKUP($B133,'Data Vlaue (Cr)'!$C:$FB,68)</f>
        <v>1922</v>
      </c>
      <c r="P133" s="81">
        <f t="shared" si="48"/>
        <v>35.740554998328314</v>
      </c>
      <c r="Q133" s="169"/>
      <c r="R133" s="169"/>
      <c r="S133" s="169"/>
      <c r="T133" s="169"/>
      <c r="U133" s="169"/>
      <c r="V133" s="169"/>
      <c r="W133" s="169"/>
      <c r="X133" s="169"/>
      <c r="Y133" s="169"/>
      <c r="Z133" s="169"/>
      <c r="AA133" s="169"/>
      <c r="AB133" s="169"/>
      <c r="AC133" s="169"/>
      <c r="AD133" s="169"/>
      <c r="AE133" s="169"/>
      <c r="AF133" s="169"/>
      <c r="AG133" s="169"/>
      <c r="AH133" s="169"/>
      <c r="AI133" s="169"/>
      <c r="AJ133" s="169"/>
    </row>
    <row r="134" spans="1:36" x14ac:dyDescent="0.25">
      <c r="A134" s="79" t="str">
        <f>'Data shares'!B129</f>
        <v>Automobile</v>
      </c>
      <c r="B134" s="79" t="str">
        <f>'Data shares'!C129</f>
        <v>MARUTI</v>
      </c>
      <c r="C134" s="4">
        <f>VLOOKUP($B134,'Data shares'!$C:$FB,7)</f>
        <v>15801</v>
      </c>
      <c r="D134" s="82">
        <f>VLOOKUP($B134,'Data shares'!$C:$FB,98)</f>
        <v>6764600</v>
      </c>
      <c r="E134" s="165">
        <f>VLOOKUP(B134,'Snapshot (Volume)'!$A$7:$G$168,7,0)</f>
        <v>7158950</v>
      </c>
      <c r="F134" s="165">
        <f t="shared" si="45"/>
        <v>-394350</v>
      </c>
      <c r="G134" s="166">
        <f t="shared" si="46"/>
        <v>-5.5084893734416357E-2</v>
      </c>
      <c r="H134" s="165">
        <f>VLOOKUP($B134,'Data shares'!$C:$FB,66)</f>
        <v>11980000</v>
      </c>
      <c r="I134" s="165">
        <f>VLOOKUP($B134,'Data shares'!$C:$FB,67)</f>
        <v>8983500</v>
      </c>
      <c r="J134" s="81">
        <f t="shared" si="47"/>
        <v>33.35559637112484</v>
      </c>
      <c r="K134" s="5">
        <f>VLOOKUP($B134,'Data Vlaue (Cr)'!$C:$FB,99)</f>
        <v>10697</v>
      </c>
      <c r="L134" s="81">
        <f>VLOOKUP(B134,'OI(Value)'!$A$7:$C$209,3,0)</f>
        <v>-624</v>
      </c>
      <c r="M134" s="33">
        <f t="shared" si="44"/>
        <v>-5.8334112367953637</v>
      </c>
      <c r="N134" s="5">
        <f>VLOOKUP($B134,'Data Vlaue (Cr)'!$C:$FB,67)</f>
        <v>18944</v>
      </c>
      <c r="O134" s="5">
        <f>VLOOKUP($B134,'Data Vlaue (Cr)'!$C:$FB,68)</f>
        <v>14206</v>
      </c>
      <c r="P134" s="5">
        <f t="shared" si="48"/>
        <v>25.010557432432435</v>
      </c>
      <c r="Q134" s="1"/>
      <c r="R134" s="1"/>
      <c r="S134" s="1"/>
      <c r="T134" s="1"/>
      <c r="U134" s="1"/>
      <c r="V134" s="1"/>
      <c r="W134" s="1"/>
      <c r="X134" s="1"/>
      <c r="Y134" s="1"/>
      <c r="Z134" s="1"/>
      <c r="AA134" s="1"/>
      <c r="AB134" s="1"/>
      <c r="AC134" s="1"/>
      <c r="AD134" s="1"/>
      <c r="AE134" s="1"/>
      <c r="AF134" s="1"/>
      <c r="AG134" s="1"/>
      <c r="AH134" s="1"/>
      <c r="AI134" s="1"/>
      <c r="AJ134" s="1"/>
    </row>
    <row r="135" spans="1:36" x14ac:dyDescent="0.25">
      <c r="A135" s="79" t="str">
        <f>'Data shares'!B130</f>
        <v>Pharma</v>
      </c>
      <c r="B135" s="79" t="str">
        <f>'Data shares'!C130</f>
        <v>MAXHEALTH</v>
      </c>
      <c r="C135" s="4">
        <f>VLOOKUP($B135,'Data shares'!$C:$FB,7)</f>
        <v>1168.9000000000001</v>
      </c>
      <c r="D135" s="82">
        <f>VLOOKUP($B135,'Data shares'!$C:$FB,98)</f>
        <v>25030950</v>
      </c>
      <c r="E135" s="165">
        <f>VLOOKUP(B135,'Snapshot (Volume)'!$A$7:$G$168,7,0)</f>
        <v>26362350</v>
      </c>
      <c r="F135" s="165">
        <f t="shared" si="45"/>
        <v>-1331400</v>
      </c>
      <c r="G135" s="166">
        <f t="shared" si="46"/>
        <v>-5.0503843549607678E-2</v>
      </c>
      <c r="H135" s="165">
        <f>VLOOKUP($B135,'Data shares'!$C:$FB,66)</f>
        <v>32359425</v>
      </c>
      <c r="I135" s="165">
        <f>VLOOKUP($B135,'Data shares'!$C:$FB,67)</f>
        <v>76393800</v>
      </c>
      <c r="J135" s="81">
        <f t="shared" si="47"/>
        <v>-57.64129418879542</v>
      </c>
      <c r="K135" s="5">
        <f>VLOOKUP($B135,'Data Vlaue (Cr)'!$C:$FB,99)</f>
        <v>2924</v>
      </c>
      <c r="L135" s="81">
        <f>VLOOKUP(B135,'OI(Value)'!$A$7:$C$209,3,0)</f>
        <v>-156</v>
      </c>
      <c r="M135" s="33">
        <f t="shared" si="44"/>
        <v>-5.3351573187414498</v>
      </c>
      <c r="N135" s="5">
        <f>VLOOKUP($B135,'Data Vlaue (Cr)'!$C:$FB,67)</f>
        <v>3781</v>
      </c>
      <c r="O135" s="5">
        <f>VLOOKUP($B135,'Data Vlaue (Cr)'!$C:$FB,68)</f>
        <v>8925</v>
      </c>
      <c r="P135" s="5">
        <f t="shared" si="48"/>
        <v>-136.04866437450409</v>
      </c>
      <c r="Q135" s="1"/>
      <c r="R135" s="1"/>
      <c r="S135" s="1"/>
      <c r="T135" s="1"/>
      <c r="U135" s="1"/>
      <c r="V135" s="1"/>
      <c r="W135" s="1"/>
      <c r="X135" s="1"/>
      <c r="Y135" s="1"/>
      <c r="Z135" s="1"/>
      <c r="AA135" s="1"/>
      <c r="AB135" s="1"/>
      <c r="AC135" s="1"/>
      <c r="AD135" s="1"/>
      <c r="AE135" s="1"/>
      <c r="AF135" s="1"/>
      <c r="AG135" s="1"/>
      <c r="AH135" s="1"/>
      <c r="AI135" s="1"/>
      <c r="AJ135" s="1"/>
    </row>
    <row r="136" spans="1:36" x14ac:dyDescent="0.25">
      <c r="A136" s="79" t="str">
        <f>'Data shares'!B131</f>
        <v>Infrastructure</v>
      </c>
      <c r="B136" s="79" t="str">
        <f>'Data shares'!C131</f>
        <v>MAZDOCK</v>
      </c>
      <c r="C136" s="4">
        <f>VLOOKUP($B136,'Data shares'!$C:$FB,7)</f>
        <v>2829.5</v>
      </c>
      <c r="D136" s="82">
        <f>VLOOKUP($B136,'Data shares'!$C:$FB,98)</f>
        <v>8985525</v>
      </c>
      <c r="E136" s="165">
        <f>VLOOKUP(B136,'Snapshot (Volume)'!$A$7:$G$168,7,0)</f>
        <v>9705300</v>
      </c>
      <c r="F136" s="165">
        <f t="shared" si="45"/>
        <v>-719775</v>
      </c>
      <c r="G136" s="166">
        <f t="shared" si="46"/>
        <v>-7.4163086148805291E-2</v>
      </c>
      <c r="H136" s="165">
        <f>VLOOKUP($B136,'Data shares'!$C:$FB,66)</f>
        <v>16474150</v>
      </c>
      <c r="I136" s="165">
        <f>VLOOKUP($B136,'Data shares'!$C:$FB,67)</f>
        <v>5248425</v>
      </c>
      <c r="J136" s="81">
        <f t="shared" si="47"/>
        <v>213.8874995832083</v>
      </c>
      <c r="K136" s="5">
        <f>VLOOKUP($B136,'Data Vlaue (Cr)'!$C:$FB,99)</f>
        <v>2548</v>
      </c>
      <c r="L136" s="81">
        <f>VLOOKUP(B136,'OI(Value)'!$A$7:$C$209,3,0)</f>
        <v>-204</v>
      </c>
      <c r="M136" s="33">
        <f t="shared" si="44"/>
        <v>-8.0062794348508639</v>
      </c>
      <c r="N136" s="5">
        <f>VLOOKUP($B136,'Data Vlaue (Cr)'!$C:$FB,67)</f>
        <v>4671</v>
      </c>
      <c r="O136" s="5">
        <f>VLOOKUP($B136,'Data Vlaue (Cr)'!$C:$FB,68)</f>
        <v>1488</v>
      </c>
      <c r="P136" s="5">
        <f t="shared" si="48"/>
        <v>68.143866409762367</v>
      </c>
      <c r="Q136" s="1"/>
      <c r="R136" s="1"/>
      <c r="S136" s="1"/>
      <c r="T136" s="1"/>
      <c r="U136" s="1"/>
      <c r="V136" s="1"/>
      <c r="W136" s="1"/>
      <c r="X136" s="1"/>
      <c r="Y136" s="1"/>
      <c r="Z136" s="1"/>
      <c r="AA136" s="1"/>
      <c r="AB136" s="1"/>
      <c r="AC136" s="1"/>
      <c r="AD136" s="1"/>
      <c r="AE136" s="1"/>
      <c r="AF136" s="1"/>
      <c r="AG136" s="1"/>
      <c r="AH136" s="1"/>
      <c r="AI136" s="1"/>
      <c r="AJ136" s="1"/>
    </row>
    <row r="137" spans="1:36" x14ac:dyDescent="0.25">
      <c r="A137" s="79" t="str">
        <f>'Data shares'!B132</f>
        <v>Finance</v>
      </c>
      <c r="B137" s="79" t="str">
        <f>'Data shares'!C132</f>
        <v>MCX</v>
      </c>
      <c r="C137" s="4">
        <f>VLOOKUP($B137,'Data shares'!$C:$FB,7)</f>
        <v>9858.5</v>
      </c>
      <c r="D137" s="82">
        <f>VLOOKUP($B137,'Data shares'!$C:$FB,98)</f>
        <v>7265125</v>
      </c>
      <c r="E137" s="165">
        <f>VLOOKUP(B137,'Snapshot (Volume)'!$A$7:$G$168,7,0)</f>
        <v>7602250</v>
      </c>
      <c r="F137" s="165">
        <f t="shared" si="45"/>
        <v>-337125</v>
      </c>
      <c r="G137" s="166">
        <f t="shared" si="46"/>
        <v>-4.4345424052089841E-2</v>
      </c>
      <c r="H137" s="165">
        <f>VLOOKUP($B137,'Data shares'!$C:$FB,66)</f>
        <v>19197625</v>
      </c>
      <c r="I137" s="165">
        <f>VLOOKUP($B137,'Data shares'!$C:$FB,67)</f>
        <v>13919000</v>
      </c>
      <c r="J137" s="81">
        <f t="shared" si="47"/>
        <v>37.923881025935771</v>
      </c>
      <c r="K137" s="5">
        <f>VLOOKUP($B137,'Data Vlaue (Cr)'!$C:$FB,99)</f>
        <v>7156</v>
      </c>
      <c r="L137" s="81">
        <f>VLOOKUP(B137,'OI(Value)'!$A$7:$C$209,3,0)</f>
        <v>-332</v>
      </c>
      <c r="M137" s="33">
        <f t="shared" si="44"/>
        <v>-4.6394633873672442</v>
      </c>
      <c r="N137" s="5">
        <f>VLOOKUP($B137,'Data Vlaue (Cr)'!$C:$FB,67)</f>
        <v>18909</v>
      </c>
      <c r="O137" s="5">
        <f>VLOOKUP($B137,'Data Vlaue (Cr)'!$C:$FB,68)</f>
        <v>13710</v>
      </c>
      <c r="P137" s="5">
        <f t="shared" si="48"/>
        <v>27.494843725210217</v>
      </c>
      <c r="Q137" s="1"/>
      <c r="R137" s="1"/>
      <c r="S137" s="1"/>
      <c r="T137" s="1"/>
      <c r="U137" s="1"/>
      <c r="V137" s="1"/>
      <c r="W137" s="1"/>
      <c r="X137" s="1"/>
      <c r="Y137" s="1"/>
      <c r="Z137" s="1"/>
      <c r="AA137" s="1"/>
      <c r="AB137" s="1"/>
      <c r="AC137" s="1"/>
      <c r="AD137" s="1"/>
      <c r="AE137" s="1"/>
      <c r="AF137" s="1"/>
      <c r="AG137" s="1"/>
      <c r="AH137" s="1"/>
      <c r="AI137" s="1"/>
      <c r="AJ137" s="1"/>
    </row>
    <row r="138" spans="1:36" x14ac:dyDescent="0.25">
      <c r="A138" s="79" t="str">
        <f>'Data shares'!B133</f>
        <v>Finance</v>
      </c>
      <c r="B138" s="79" t="str">
        <f>'Data shares'!C133</f>
        <v>MFSL</v>
      </c>
      <c r="C138" s="4">
        <f>VLOOKUP($B138,'Data shares'!$C:$FB,7)</f>
        <v>1692.6</v>
      </c>
      <c r="D138" s="82">
        <f>VLOOKUP($B138,'Data shares'!$C:$FB,98)</f>
        <v>10548800</v>
      </c>
      <c r="E138" s="165">
        <f>VLOOKUP(B138,'Snapshot (Volume)'!$A$7:$G$168,7,0)</f>
        <v>10105200</v>
      </c>
      <c r="F138" s="165">
        <f t="shared" si="45"/>
        <v>443600</v>
      </c>
      <c r="G138" s="166">
        <f t="shared" si="46"/>
        <v>4.3898191030360606E-2</v>
      </c>
      <c r="H138" s="165">
        <f>VLOOKUP($B138,'Data shares'!$C:$FB,66)</f>
        <v>17105200</v>
      </c>
      <c r="I138" s="165">
        <f>VLOOKUP($B138,'Data shares'!$C:$FB,67)</f>
        <v>4626800</v>
      </c>
      <c r="J138" s="81">
        <f t="shared" si="47"/>
        <v>269.69827958848447</v>
      </c>
      <c r="K138" s="5">
        <f>VLOOKUP($B138,'Data Vlaue (Cr)'!$C:$FB,99)</f>
        <v>1785</v>
      </c>
      <c r="L138" s="81">
        <f>VLOOKUP(B138,'OI(Value)'!$A$7:$C$209,3,0)</f>
        <v>75</v>
      </c>
      <c r="M138" s="33">
        <f t="shared" si="44"/>
        <v>4.2016806722689077</v>
      </c>
      <c r="N138" s="5">
        <f>VLOOKUP($B138,'Data Vlaue (Cr)'!$C:$FB,67)</f>
        <v>2895</v>
      </c>
      <c r="O138" s="5">
        <f>VLOOKUP($B138,'Data Vlaue (Cr)'!$C:$FB,68)</f>
        <v>783</v>
      </c>
      <c r="P138" s="5">
        <f t="shared" si="48"/>
        <v>72.953367875647672</v>
      </c>
      <c r="Q138" s="1"/>
      <c r="R138" s="1"/>
      <c r="S138" s="1"/>
      <c r="T138" s="1"/>
      <c r="U138" s="1"/>
      <c r="V138" s="1"/>
      <c r="W138" s="1"/>
      <c r="X138" s="1"/>
      <c r="Y138" s="1"/>
      <c r="Z138" s="1"/>
      <c r="AA138" s="1"/>
      <c r="AB138" s="1"/>
      <c r="AC138" s="1"/>
      <c r="AD138" s="1"/>
      <c r="AE138" s="1"/>
      <c r="AF138" s="1"/>
      <c r="AG138" s="1"/>
      <c r="AH138" s="1"/>
      <c r="AI138" s="1"/>
      <c r="AJ138" s="1"/>
    </row>
    <row r="139" spans="1:36" x14ac:dyDescent="0.25">
      <c r="A139" s="79" t="str">
        <f>'Data shares'!B134</f>
        <v>Index</v>
      </c>
      <c r="B139" s="79" t="str">
        <f>'Data shares'!C134</f>
        <v>MIDCPNIFTY</v>
      </c>
      <c r="C139" s="4">
        <f>VLOOKUP($B139,'Data shares'!$C:$FB,7)</f>
        <v>13992.2</v>
      </c>
      <c r="D139" s="82">
        <f>VLOOKUP($B139,'Data shares'!$C:$FB,98)</f>
        <v>25451820</v>
      </c>
      <c r="E139" s="165">
        <f>VLOOKUP(B139,'Snapshot (Volume)'!$A$7:$G$168,7,0)</f>
        <v>26276040</v>
      </c>
      <c r="F139" s="165">
        <f t="shared" si="45"/>
        <v>-824220</v>
      </c>
      <c r="G139" s="166">
        <f t="shared" si="46"/>
        <v>-3.1367740344435464E-2</v>
      </c>
      <c r="H139" s="165">
        <f>VLOOKUP($B139,'Data shares'!$C:$FB,66)</f>
        <v>82018720</v>
      </c>
      <c r="I139" s="165">
        <f>VLOOKUP($B139,'Data shares'!$C:$FB,67)</f>
        <v>73102540</v>
      </c>
      <c r="J139" s="81">
        <f t="shared" si="47"/>
        <v>12.196812860401293</v>
      </c>
      <c r="K139" s="5">
        <f>VLOOKUP($B139,'Data Vlaue (Cr)'!$C:$FB,99)</f>
        <v>35651</v>
      </c>
      <c r="L139" s="81">
        <f>VLOOKUP(B139,'OI(Value)'!$A$7:$C$209,3,0)</f>
        <v>-1155</v>
      </c>
      <c r="M139" s="33">
        <f t="shared" si="44"/>
        <v>-3.2397408207343417</v>
      </c>
      <c r="N139" s="5">
        <f>VLOOKUP($B139,'Data Vlaue (Cr)'!$C:$FB,67)</f>
        <v>114886</v>
      </c>
      <c r="O139" s="5">
        <f>VLOOKUP($B139,'Data Vlaue (Cr)'!$C:$FB,68)</f>
        <v>102397</v>
      </c>
      <c r="P139" s="5">
        <f t="shared" si="48"/>
        <v>10.870776247758648</v>
      </c>
      <c r="Q139" s="1"/>
      <c r="R139" s="1"/>
      <c r="S139" s="1"/>
      <c r="T139" s="1"/>
      <c r="U139" s="1"/>
      <c r="V139" s="1"/>
      <c r="W139" s="1"/>
      <c r="X139" s="1"/>
      <c r="Y139" s="1"/>
      <c r="Z139" s="1"/>
      <c r="AA139" s="1"/>
      <c r="AB139" s="1"/>
      <c r="AC139" s="1"/>
      <c r="AD139" s="1"/>
      <c r="AE139" s="1"/>
      <c r="AF139" s="1"/>
      <c r="AG139" s="1"/>
      <c r="AH139" s="1"/>
      <c r="AI139" s="1"/>
      <c r="AJ139" s="1"/>
    </row>
    <row r="140" spans="1:36" x14ac:dyDescent="0.25">
      <c r="A140" s="79" t="str">
        <f>'Data shares'!B135</f>
        <v>Automobile</v>
      </c>
      <c r="B140" s="79" t="str">
        <f>'Data shares'!C135</f>
        <v>MOTHERSON</v>
      </c>
      <c r="C140" s="79">
        <f>VLOOKUP($B140,'Data shares'!$C:$FB,7)</f>
        <v>112</v>
      </c>
      <c r="D140" s="165">
        <f>VLOOKUP($B140,'Data shares'!$C:$FB,98)</f>
        <v>327235350</v>
      </c>
      <c r="E140" s="165">
        <f>VLOOKUP(B140,'Snapshot (Volume)'!$A$7:$G$168,7,0)</f>
        <v>333053250</v>
      </c>
      <c r="F140" s="165">
        <f>D140-E140</f>
        <v>-5817900</v>
      </c>
      <c r="G140" s="166">
        <f>F140/E140</f>
        <v>-1.7468377804450191E-2</v>
      </c>
      <c r="H140" s="165">
        <f>VLOOKUP($B140,'Data shares'!$C:$FB,66)</f>
        <v>219007650</v>
      </c>
      <c r="I140" s="165">
        <f>VLOOKUP($B140,'Data shares'!$C:$FB,67)</f>
        <v>502344300</v>
      </c>
      <c r="J140" s="81">
        <f>(H140-I140)/I140*100</f>
        <v>-56.402879459366815</v>
      </c>
      <c r="K140" s="81">
        <f>VLOOKUP($B140,'Data Vlaue (Cr)'!$C:$FB,99)</f>
        <v>3663</v>
      </c>
      <c r="L140" s="81">
        <f>VLOOKUP(B140,'OI(Value)'!$A$7:$C$209,3,0)</f>
        <v>-65</v>
      </c>
      <c r="M140" s="81">
        <f t="shared" si="44"/>
        <v>-1.7745017745017744</v>
      </c>
      <c r="N140" s="81">
        <f>VLOOKUP($B140,'Data Vlaue (Cr)'!$C:$FB,67)</f>
        <v>2452</v>
      </c>
      <c r="O140" s="81">
        <f>VLOOKUP($B140,'Data Vlaue (Cr)'!$C:$FB,68)</f>
        <v>5624</v>
      </c>
      <c r="P140" s="81">
        <f>(N140-O140)/N140*100</f>
        <v>-129.36378466557912</v>
      </c>
      <c r="Q140" s="1"/>
      <c r="R140" s="1"/>
      <c r="S140" s="1"/>
      <c r="T140" s="1"/>
      <c r="U140" s="1"/>
      <c r="V140" s="1"/>
      <c r="W140" s="1"/>
      <c r="X140" s="1"/>
      <c r="Y140" s="1"/>
      <c r="Z140" s="1"/>
      <c r="AA140" s="1"/>
      <c r="AB140" s="1"/>
      <c r="AC140" s="1"/>
      <c r="AD140" s="1"/>
      <c r="AE140" s="1"/>
      <c r="AF140" s="1"/>
      <c r="AG140" s="1"/>
      <c r="AH140" s="1"/>
      <c r="AI140" s="1"/>
      <c r="AJ140" s="1"/>
    </row>
    <row r="141" spans="1:36" x14ac:dyDescent="0.25">
      <c r="A141" s="79" t="str">
        <f>'Data shares'!B136</f>
        <v>Technology</v>
      </c>
      <c r="B141" s="79" t="str">
        <f>'Data shares'!C136</f>
        <v>MPHASIS</v>
      </c>
      <c r="C141" s="4">
        <f>VLOOKUP($B141,'Data shares'!$C:$FB,7)</f>
        <v>2740.4</v>
      </c>
      <c r="D141" s="82">
        <f>VLOOKUP($B141,'Data shares'!$C:$FB,98)</f>
        <v>11189475</v>
      </c>
      <c r="E141" s="165">
        <f>VLOOKUP(B141,'Snapshot (Volume)'!$A$7:$G$168,7,0)</f>
        <v>12003475</v>
      </c>
      <c r="F141" s="165">
        <f>D141-E141</f>
        <v>-814000</v>
      </c>
      <c r="G141" s="166">
        <f>F141/E141</f>
        <v>-6.7813695617310821E-2</v>
      </c>
      <c r="H141" s="165">
        <f>VLOOKUP($B141,'Data shares'!$C:$FB,66)</f>
        <v>16005000</v>
      </c>
      <c r="I141" s="165">
        <f>VLOOKUP($B141,'Data shares'!$C:$FB,67)</f>
        <v>20245775</v>
      </c>
      <c r="J141" s="81">
        <f>(H141-I141)/I141*100</f>
        <v>-20.946469078116298</v>
      </c>
      <c r="K141" s="5">
        <f>VLOOKUP($B141,'Data Vlaue (Cr)'!$C:$FB,99)</f>
        <v>3071</v>
      </c>
      <c r="L141" s="81">
        <f>VLOOKUP(B141,'OI(Value)'!$A$7:$C$209,3,0)</f>
        <v>-223</v>
      </c>
      <c r="M141" s="33">
        <f t="shared" si="44"/>
        <v>-7.2614783458156955</v>
      </c>
      <c r="N141" s="5">
        <f>VLOOKUP($B141,'Data Vlaue (Cr)'!$C:$FB,67)</f>
        <v>4392</v>
      </c>
      <c r="O141" s="5">
        <f>VLOOKUP($B141,'Data Vlaue (Cr)'!$C:$FB,68)</f>
        <v>5556</v>
      </c>
      <c r="P141" s="5">
        <f>(N141-O141)/N141*100</f>
        <v>-26.502732240437162</v>
      </c>
      <c r="Q141" s="1"/>
      <c r="R141" s="1"/>
      <c r="S141" s="1"/>
      <c r="T141" s="1"/>
      <c r="U141" s="1"/>
      <c r="V141" s="1"/>
      <c r="W141" s="1"/>
      <c r="X141" s="1"/>
      <c r="Y141" s="1"/>
      <c r="Z141" s="1"/>
      <c r="AA141" s="1"/>
      <c r="AB141" s="1"/>
      <c r="AC141" s="1"/>
      <c r="AD141" s="1"/>
      <c r="AE141" s="1"/>
      <c r="AF141" s="1"/>
      <c r="AG141" s="1"/>
      <c r="AH141" s="1"/>
      <c r="AI141" s="1"/>
      <c r="AJ141" s="1"/>
    </row>
    <row r="142" spans="1:36" x14ac:dyDescent="0.25">
      <c r="A142" s="79" t="str">
        <f>'Data shares'!B137</f>
        <v>Finance</v>
      </c>
      <c r="B142" s="79" t="str">
        <f>'Data shares'!C137</f>
        <v>MUTHOOTFIN</v>
      </c>
      <c r="C142" s="4">
        <f>VLOOKUP($B142,'Data shares'!$C:$FB,7)</f>
        <v>3697.5</v>
      </c>
      <c r="D142" s="82">
        <f>VLOOKUP($B142,'Data shares'!$C:$FB,98)</f>
        <v>10718125</v>
      </c>
      <c r="E142" s="165">
        <f>VLOOKUP(B142,'Snapshot (Volume)'!$A$7:$G$168,7,0)</f>
        <v>11478225</v>
      </c>
      <c r="F142" s="165">
        <f>D142-E142</f>
        <v>-760100</v>
      </c>
      <c r="G142" s="166">
        <f>F142/E142</f>
        <v>-6.6221040274084195E-2</v>
      </c>
      <c r="H142" s="165">
        <f>VLOOKUP($B142,'Data shares'!$C:$FB,66)</f>
        <v>10101575</v>
      </c>
      <c r="I142" s="165">
        <f>VLOOKUP($B142,'Data shares'!$C:$FB,67)</f>
        <v>11095975</v>
      </c>
      <c r="J142" s="81">
        <f>(H142-I142)/I142*100</f>
        <v>-8.9618082232521257</v>
      </c>
      <c r="K142" s="5">
        <f>VLOOKUP($B142,'Data Vlaue (Cr)'!$C:$FB,99)</f>
        <v>3974</v>
      </c>
      <c r="L142" s="81">
        <f>VLOOKUP(B142,'OI(Value)'!$A$7:$C$209,3,0)</f>
        <v>-282</v>
      </c>
      <c r="M142" s="33">
        <f t="shared" si="44"/>
        <v>-7.0961248112732758</v>
      </c>
      <c r="N142" s="5">
        <f>VLOOKUP($B142,'Data Vlaue (Cr)'!$C:$FB,67)</f>
        <v>3746</v>
      </c>
      <c r="O142" s="5">
        <f>VLOOKUP($B142,'Data Vlaue (Cr)'!$C:$FB,68)</f>
        <v>4114</v>
      </c>
      <c r="P142" s="5">
        <f>(N142-O142)/N142*100</f>
        <v>-9.823812066203951</v>
      </c>
      <c r="Q142" s="1"/>
      <c r="R142" s="1"/>
      <c r="S142" s="1"/>
      <c r="T142" s="1"/>
      <c r="U142" s="1"/>
      <c r="V142" s="1"/>
      <c r="W142" s="1"/>
      <c r="X142" s="1"/>
      <c r="Y142" s="1"/>
      <c r="Z142" s="1"/>
      <c r="AA142" s="1"/>
      <c r="AB142" s="1"/>
      <c r="AC142" s="1"/>
      <c r="AD142" s="1"/>
      <c r="AE142" s="1"/>
      <c r="AF142" s="1"/>
      <c r="AG142" s="1"/>
      <c r="AH142" s="1"/>
      <c r="AI142" s="1"/>
      <c r="AJ142" s="1"/>
    </row>
    <row r="143" spans="1:36" x14ac:dyDescent="0.25">
      <c r="A143" s="79" t="str">
        <f>'Data shares'!B138</f>
        <v>Metals</v>
      </c>
      <c r="B143" s="79" t="str">
        <f>'Data shares'!C138</f>
        <v>NATIONALUM</v>
      </c>
      <c r="C143" s="4">
        <f>VLOOKUP($B143,'Data shares'!$C:$FB,7)</f>
        <v>257.62</v>
      </c>
      <c r="D143" s="82">
        <f>VLOOKUP($B143,'Data shares'!$C:$FB,98)</f>
        <v>149565000</v>
      </c>
      <c r="E143" s="165">
        <f>VLOOKUP(B143,'Snapshot (Volume)'!$A$7:$G$168,7,0)</f>
        <v>151725000</v>
      </c>
      <c r="F143" s="165">
        <f>D143-E143</f>
        <v>-2160000</v>
      </c>
      <c r="G143" s="166">
        <f>F143/E143</f>
        <v>-1.4236282748393475E-2</v>
      </c>
      <c r="H143" s="165">
        <f>VLOOKUP($B143,'Data shares'!$C:$FB,66)</f>
        <v>150993750</v>
      </c>
      <c r="I143" s="165">
        <f>VLOOKUP($B143,'Data shares'!$C:$FB,67)</f>
        <v>81686250</v>
      </c>
      <c r="J143" s="81">
        <f>(H143-I143)/I143*100</f>
        <v>84.845980810723958</v>
      </c>
      <c r="K143" s="5">
        <f>VLOOKUP($B143,'Data Vlaue (Cr)'!$C:$FB,99)</f>
        <v>3862</v>
      </c>
      <c r="L143" s="81">
        <f>VLOOKUP(B143,'OI(Value)'!$A$7:$C$209,3,0)</f>
        <v>-56</v>
      </c>
      <c r="M143" s="33">
        <f t="shared" si="44"/>
        <v>-1.4500258933195236</v>
      </c>
      <c r="N143" s="5">
        <f>VLOOKUP($B143,'Data Vlaue (Cr)'!$C:$FB,67)</f>
        <v>3899</v>
      </c>
      <c r="O143" s="5">
        <f>VLOOKUP($B143,'Data Vlaue (Cr)'!$C:$FB,68)</f>
        <v>2109</v>
      </c>
      <c r="P143" s="5">
        <f>(N143-O143)/N143*100</f>
        <v>45.909207489099771</v>
      </c>
      <c r="Q143" s="1"/>
      <c r="R143" s="1"/>
      <c r="S143" s="1"/>
      <c r="T143" s="1"/>
      <c r="U143" s="1"/>
      <c r="V143" s="1"/>
      <c r="W143" s="1"/>
      <c r="X143" s="1"/>
      <c r="Y143" s="1"/>
      <c r="Z143" s="1"/>
      <c r="AA143" s="1"/>
      <c r="AB143" s="1"/>
      <c r="AC143" s="1"/>
      <c r="AD143" s="1"/>
      <c r="AE143" s="1"/>
      <c r="AF143" s="1"/>
      <c r="AG143" s="1"/>
      <c r="AH143" s="1"/>
      <c r="AI143" s="1"/>
      <c r="AJ143" s="1"/>
    </row>
    <row r="144" spans="1:36" x14ac:dyDescent="0.25">
      <c r="A144" s="79" t="str">
        <f>'Data shares'!B139</f>
        <v>New_Age</v>
      </c>
      <c r="B144" s="79" t="str">
        <f>'Data shares'!C139</f>
        <v>NAUKRI</v>
      </c>
      <c r="C144" s="4">
        <f>VLOOKUP($B144,'Data shares'!$C:$FB,7)</f>
        <v>1365.4</v>
      </c>
      <c r="D144" s="82">
        <f>VLOOKUP($B144,'Data shares'!$C:$FB,98)</f>
        <v>13116375</v>
      </c>
      <c r="E144" s="165">
        <f>VLOOKUP(B144,'Snapshot (Volume)'!$A$7:$G$168,7,0)</f>
        <v>13936500</v>
      </c>
      <c r="F144" s="165">
        <f>D144-E144</f>
        <v>-820125</v>
      </c>
      <c r="G144" s="166">
        <f>F144/E144</f>
        <v>-5.8847271553115921E-2</v>
      </c>
      <c r="H144" s="165">
        <f>VLOOKUP($B144,'Data shares'!$C:$FB,66)</f>
        <v>13198500</v>
      </c>
      <c r="I144" s="165">
        <f>VLOOKUP($B144,'Data shares'!$C:$FB,67)</f>
        <v>15120750</v>
      </c>
      <c r="J144" s="81">
        <f>(H144-I144)/I144*100</f>
        <v>-12.712663062348097</v>
      </c>
      <c r="K144" s="5">
        <f>VLOOKUP($B144,'Data Vlaue (Cr)'!$C:$FB,99)</f>
        <v>1786</v>
      </c>
      <c r="L144" s="81">
        <f>VLOOKUP(B144,'OI(Value)'!$A$7:$C$209,3,0)</f>
        <v>-112</v>
      </c>
      <c r="M144" s="33">
        <f t="shared" si="44"/>
        <v>-6.2709966405375139</v>
      </c>
      <c r="N144" s="5">
        <f>VLOOKUP($B144,'Data Vlaue (Cr)'!$C:$FB,67)</f>
        <v>1797</v>
      </c>
      <c r="O144" s="5">
        <f>VLOOKUP($B144,'Data Vlaue (Cr)'!$C:$FB,68)</f>
        <v>2059</v>
      </c>
      <c r="P144" s="5">
        <f>(N144-O144)/N144*100</f>
        <v>-14.57985531441291</v>
      </c>
      <c r="Q144" s="1"/>
      <c r="R144" s="1"/>
      <c r="S144" s="1"/>
      <c r="T144" s="1"/>
      <c r="U144" s="1"/>
      <c r="V144" s="1"/>
      <c r="W144" s="1"/>
      <c r="X144" s="1"/>
      <c r="Y144" s="1"/>
      <c r="Z144" s="1"/>
      <c r="AA144" s="1"/>
      <c r="AB144" s="1"/>
      <c r="AC144" s="1"/>
      <c r="AD144" s="1"/>
      <c r="AE144" s="1"/>
      <c r="AF144" s="1"/>
      <c r="AG144" s="1"/>
      <c r="AH144" s="1"/>
      <c r="AI144" s="1"/>
      <c r="AJ144" s="1"/>
    </row>
    <row r="145" spans="1:36" x14ac:dyDescent="0.25">
      <c r="A145" s="79" t="str">
        <f>'Data shares'!B140</f>
        <v>Realty</v>
      </c>
      <c r="B145" s="79" t="str">
        <f>'Data shares'!C140</f>
        <v>NBCC</v>
      </c>
      <c r="C145" s="4">
        <f>VLOOKUP($B145,'Data shares'!$C:$FB,7)</f>
        <v>115.99</v>
      </c>
      <c r="D145" s="82">
        <f>VLOOKUP($B145,'Data shares'!$C:$FB,98)</f>
        <v>165353500</v>
      </c>
      <c r="E145" s="165">
        <f>VLOOKUP(B145,'Snapshot (Volume)'!$A$7:$G$168,7,0)</f>
        <v>152373000</v>
      </c>
      <c r="F145" s="165">
        <f t="shared" ref="F145:F152" si="49">D145-E145</f>
        <v>12980500</v>
      </c>
      <c r="G145" s="166">
        <f t="shared" ref="G145:G153" si="50">F145/E145</f>
        <v>8.5188977049739781E-2</v>
      </c>
      <c r="H145" s="165">
        <f>VLOOKUP($B145,'Data shares'!$C:$FB,66)</f>
        <v>412951500</v>
      </c>
      <c r="I145" s="165">
        <f>VLOOKUP($B145,'Data shares'!$C:$FB,67)</f>
        <v>67788500</v>
      </c>
      <c r="J145" s="81">
        <f t="shared" ref="J145:J153" si="51">(H145-I145)/I145*100</f>
        <v>509.17633521910057</v>
      </c>
      <c r="K145" s="5">
        <f>VLOOKUP($B145,'Data Vlaue (Cr)'!$C:$FB,99)</f>
        <v>1920</v>
      </c>
      <c r="L145" s="81">
        <f>VLOOKUP(B145,'OI(Value)'!$A$7:$C$209,3,0)</f>
        <v>151</v>
      </c>
      <c r="M145" s="33">
        <f t="shared" ref="M145:M153" si="52">L145/K145*100</f>
        <v>7.864583333333333</v>
      </c>
      <c r="N145" s="5">
        <f>VLOOKUP($B145,'Data Vlaue (Cr)'!$C:$FB,67)</f>
        <v>4796</v>
      </c>
      <c r="O145" s="5">
        <f>VLOOKUP($B145,'Data Vlaue (Cr)'!$C:$FB,68)</f>
        <v>787</v>
      </c>
      <c r="P145" s="5">
        <f t="shared" ref="P145:P152" si="53">(N145-O145)/N145*100</f>
        <v>83.590492076730598</v>
      </c>
      <c r="Q145" s="1"/>
      <c r="R145" s="1"/>
      <c r="S145" s="1"/>
      <c r="T145" s="1"/>
      <c r="U145" s="1"/>
      <c r="V145" s="1"/>
      <c r="W145" s="1"/>
      <c r="X145" s="1"/>
      <c r="Y145" s="1"/>
      <c r="Z145" s="1"/>
      <c r="AA145" s="1"/>
      <c r="AB145" s="1"/>
      <c r="AC145" s="1"/>
      <c r="AD145" s="1"/>
      <c r="AE145" s="1"/>
      <c r="AF145" s="1"/>
      <c r="AG145" s="1"/>
      <c r="AH145" s="1"/>
      <c r="AI145" s="1"/>
      <c r="AJ145" s="1"/>
    </row>
    <row r="146" spans="1:36" x14ac:dyDescent="0.25">
      <c r="A146" s="79" t="str">
        <f>'Data shares'!B141</f>
        <v>Infrastructure</v>
      </c>
      <c r="B146" s="79" t="str">
        <f>'Data shares'!C141</f>
        <v>NCC</v>
      </c>
      <c r="C146" s="4">
        <f>VLOOKUP($B146,'Data shares'!$C:$FB,7)</f>
        <v>179.03</v>
      </c>
      <c r="D146" s="82">
        <f>VLOOKUP($B146,'Data shares'!$C:$FB,98)</f>
        <v>59702400</v>
      </c>
      <c r="E146" s="165">
        <f>VLOOKUP(B146,'Snapshot (Volume)'!$A$7:$G$168,7,0)</f>
        <v>59940000</v>
      </c>
      <c r="F146" s="165">
        <f t="shared" si="49"/>
        <v>-237600</v>
      </c>
      <c r="G146" s="166">
        <f t="shared" si="50"/>
        <v>-3.9639639639639642E-3</v>
      </c>
      <c r="H146" s="165">
        <f>VLOOKUP($B146,'Data shares'!$C:$FB,66)</f>
        <v>23922000</v>
      </c>
      <c r="I146" s="165">
        <f>VLOOKUP($B146,'Data shares'!$C:$FB,67)</f>
        <v>25504200</v>
      </c>
      <c r="J146" s="81">
        <f t="shared" si="51"/>
        <v>-6.2036840990895614</v>
      </c>
      <c r="K146" s="5">
        <f>VLOOKUP($B146,'Data Vlaue (Cr)'!$C:$FB,99)</f>
        <v>1070</v>
      </c>
      <c r="L146" s="81">
        <f>VLOOKUP(B146,'OI(Value)'!$A$7:$C$209,3,0)</f>
        <v>-4</v>
      </c>
      <c r="M146" s="33">
        <f t="shared" si="52"/>
        <v>-0.37383177570093462</v>
      </c>
      <c r="N146" s="5">
        <f>VLOOKUP($B146,'Data Vlaue (Cr)'!$C:$FB,67)</f>
        <v>429</v>
      </c>
      <c r="O146" s="5">
        <f>VLOOKUP($B146,'Data Vlaue (Cr)'!$C:$FB,68)</f>
        <v>457</v>
      </c>
      <c r="P146" s="5">
        <f t="shared" si="53"/>
        <v>-6.5268065268065261</v>
      </c>
      <c r="Q146" s="1"/>
      <c r="R146" s="1"/>
      <c r="S146" s="1"/>
      <c r="T146" s="1"/>
      <c r="U146" s="1"/>
      <c r="V146" s="1"/>
      <c r="W146" s="1"/>
      <c r="X146" s="1"/>
      <c r="Y146" s="1"/>
      <c r="Z146" s="1"/>
      <c r="AA146" s="1"/>
      <c r="AB146" s="1"/>
      <c r="AC146" s="1"/>
      <c r="AD146" s="1"/>
      <c r="AE146" s="1"/>
      <c r="AF146" s="1"/>
      <c r="AG146" s="1"/>
      <c r="AH146" s="1"/>
      <c r="AI146" s="1"/>
      <c r="AJ146" s="1"/>
    </row>
    <row r="147" spans="1:36" x14ac:dyDescent="0.25">
      <c r="A147" s="79" t="str">
        <f>'Data shares'!B142</f>
        <v>FMCG</v>
      </c>
      <c r="B147" s="79" t="str">
        <f>'Data shares'!C142</f>
        <v>NESTLEIND</v>
      </c>
      <c r="C147" s="4">
        <f>VLOOKUP($B147,'Data shares'!$C:$FB,7)</f>
        <v>1279.2</v>
      </c>
      <c r="D147" s="82">
        <f>VLOOKUP($B147,'Data shares'!$C:$FB,98)</f>
        <v>23785500</v>
      </c>
      <c r="E147" s="165">
        <f>VLOOKUP(B147,'Snapshot (Volume)'!$A$7:$G$168,7,0)</f>
        <v>24101000</v>
      </c>
      <c r="F147" s="165">
        <f t="shared" si="49"/>
        <v>-315500</v>
      </c>
      <c r="G147" s="166">
        <f t="shared" si="50"/>
        <v>-1.3090743122692004E-2</v>
      </c>
      <c r="H147" s="165">
        <f>VLOOKUP($B147,'Data shares'!$C:$FB,66)</f>
        <v>15581500</v>
      </c>
      <c r="I147" s="165">
        <f>VLOOKUP($B147,'Data shares'!$C:$FB,67)</f>
        <v>12396000</v>
      </c>
      <c r="J147" s="81">
        <f t="shared" si="51"/>
        <v>25.697805743788322</v>
      </c>
      <c r="K147" s="5">
        <f>VLOOKUP($B147,'Data Vlaue (Cr)'!$C:$FB,99)</f>
        <v>3046</v>
      </c>
      <c r="L147" s="81">
        <f>VLOOKUP(B147,'OI(Value)'!$A$7:$C$209,3,0)</f>
        <v>-40</v>
      </c>
      <c r="M147" s="33">
        <f t="shared" si="52"/>
        <v>-1.3131976362442548</v>
      </c>
      <c r="N147" s="5">
        <f>VLOOKUP($B147,'Data Vlaue (Cr)'!$C:$FB,67)</f>
        <v>1996</v>
      </c>
      <c r="O147" s="5">
        <f>VLOOKUP($B147,'Data Vlaue (Cr)'!$C:$FB,68)</f>
        <v>1588</v>
      </c>
      <c r="P147" s="5">
        <f t="shared" si="53"/>
        <v>20.440881763527056</v>
      </c>
      <c r="Q147" s="1"/>
      <c r="R147" s="1"/>
      <c r="S147" s="1"/>
      <c r="T147" s="1"/>
      <c r="U147" s="1"/>
      <c r="V147" s="1"/>
      <c r="W147" s="1"/>
      <c r="X147" s="1"/>
      <c r="Y147" s="1"/>
      <c r="Z147" s="1"/>
      <c r="AA147" s="1"/>
      <c r="AB147" s="1"/>
      <c r="AC147" s="1"/>
      <c r="AD147" s="1"/>
      <c r="AE147" s="1"/>
      <c r="AF147" s="1"/>
      <c r="AG147" s="1"/>
      <c r="AH147" s="1"/>
      <c r="AI147" s="1"/>
      <c r="AJ147" s="1"/>
    </row>
    <row r="148" spans="1:36" x14ac:dyDescent="0.25">
      <c r="A148" s="79" t="str">
        <f>'Data shares'!B143</f>
        <v>Power</v>
      </c>
      <c r="B148" s="79" t="str">
        <f>'Data shares'!C143</f>
        <v>NHPC</v>
      </c>
      <c r="C148" s="4">
        <f>VLOOKUP($B148,'Data shares'!$C:$FB,7)</f>
        <v>80.12</v>
      </c>
      <c r="D148" s="82">
        <f>VLOOKUP($B148,'Data shares'!$C:$FB,98)</f>
        <v>123699200</v>
      </c>
      <c r="E148" s="165">
        <f>VLOOKUP(B148,'Snapshot (Volume)'!$A$7:$G$168,7,0)</f>
        <v>125548800</v>
      </c>
      <c r="F148" s="165">
        <f t="shared" si="49"/>
        <v>-1849600</v>
      </c>
      <c r="G148" s="166">
        <f t="shared" si="50"/>
        <v>-1.4732120099913341E-2</v>
      </c>
      <c r="H148" s="165">
        <f>VLOOKUP($B148,'Data shares'!$C:$FB,66)</f>
        <v>59046400</v>
      </c>
      <c r="I148" s="165">
        <f>VLOOKUP($B148,'Data shares'!$C:$FB,67)</f>
        <v>42912000</v>
      </c>
      <c r="J148" s="81">
        <f t="shared" si="51"/>
        <v>37.598806860551825</v>
      </c>
      <c r="K148" s="5">
        <f>VLOOKUP($B148,'Data Vlaue (Cr)'!$C:$FB,99)</f>
        <v>992</v>
      </c>
      <c r="L148" s="81">
        <f>VLOOKUP(B148,'OI(Value)'!$A$7:$C$209,3,0)</f>
        <v>-15</v>
      </c>
      <c r="M148" s="33">
        <f t="shared" si="52"/>
        <v>-1.5120967741935485</v>
      </c>
      <c r="N148" s="5">
        <f>VLOOKUP($B148,'Data Vlaue (Cr)'!$C:$FB,67)</f>
        <v>473</v>
      </c>
      <c r="O148" s="5">
        <f>VLOOKUP($B148,'Data Vlaue (Cr)'!$C:$FB,68)</f>
        <v>344</v>
      </c>
      <c r="P148" s="5">
        <f t="shared" si="53"/>
        <v>27.27272727272727</v>
      </c>
      <c r="Q148" s="1"/>
      <c r="R148" s="1"/>
      <c r="S148" s="1"/>
      <c r="T148" s="1"/>
      <c r="U148" s="1"/>
      <c r="V148" s="1"/>
      <c r="W148" s="1"/>
      <c r="X148" s="1"/>
      <c r="Y148" s="1"/>
      <c r="Z148" s="1"/>
      <c r="AA148" s="1"/>
      <c r="AB148" s="1"/>
      <c r="AC148" s="1"/>
      <c r="AD148" s="1"/>
      <c r="AE148" s="1"/>
      <c r="AF148" s="1"/>
      <c r="AG148" s="1"/>
      <c r="AH148" s="1"/>
      <c r="AI148" s="1"/>
      <c r="AJ148" s="1"/>
    </row>
    <row r="149" spans="1:36" x14ac:dyDescent="0.25">
      <c r="A149" s="79" t="str">
        <f>'Data shares'!B144</f>
        <v>Index</v>
      </c>
      <c r="B149" s="79" t="str">
        <f>'Data shares'!C144</f>
        <v>NIFTY</v>
      </c>
      <c r="C149" s="4">
        <f>VLOOKUP($B149,'Data shares'!$C:$FB,7)</f>
        <v>26192.15</v>
      </c>
      <c r="D149" s="82">
        <f>VLOOKUP($B149,'Data shares'!$C:$FB,98)</f>
        <v>497077965</v>
      </c>
      <c r="E149" s="165">
        <f>VLOOKUP(B149,'Snapshot (Volume)'!$A$7:$G$168,7,0)</f>
        <v>428880330</v>
      </c>
      <c r="F149" s="165">
        <f t="shared" si="49"/>
        <v>68197635</v>
      </c>
      <c r="G149" s="166">
        <f t="shared" si="50"/>
        <v>0.15901320305363503</v>
      </c>
      <c r="H149" s="165">
        <f>VLOOKUP($B149,'Data shares'!$C:$FB,66)</f>
        <v>3728155725</v>
      </c>
      <c r="I149" s="165">
        <f>VLOOKUP($B149,'Data shares'!$C:$FB,67)</f>
        <v>3673479075</v>
      </c>
      <c r="J149" s="81">
        <f t="shared" si="51"/>
        <v>1.4884159915896622</v>
      </c>
      <c r="K149" s="5">
        <f>VLOOKUP($B149,'Data Vlaue (Cr)'!$C:$FB,99)</f>
        <v>1303378</v>
      </c>
      <c r="L149" s="81">
        <f>VLOOKUP(B149,'OI(Value)'!$A$7:$C$209,3,0)</f>
        <v>178820</v>
      </c>
      <c r="M149" s="33">
        <f t="shared" si="52"/>
        <v>13.719734413194024</v>
      </c>
      <c r="N149" s="5">
        <f>VLOOKUP($B149,'Data Vlaue (Cr)'!$C:$FB,67)</f>
        <v>9775523</v>
      </c>
      <c r="O149" s="5">
        <f>VLOOKUP($B149,'Data Vlaue (Cr)'!$C:$FB,68)</f>
        <v>9632156</v>
      </c>
      <c r="P149" s="5">
        <f t="shared" si="53"/>
        <v>1.4665916084489801</v>
      </c>
      <c r="Q149" s="1"/>
      <c r="R149" s="1"/>
      <c r="S149" s="1"/>
      <c r="T149" s="1"/>
      <c r="U149" s="1"/>
      <c r="V149" s="1"/>
      <c r="W149" s="1"/>
      <c r="X149" s="1"/>
      <c r="Y149" s="1"/>
      <c r="Z149" s="1"/>
      <c r="AA149" s="1"/>
      <c r="AB149" s="1"/>
      <c r="AC149" s="1"/>
      <c r="AD149" s="1"/>
      <c r="AE149" s="1"/>
      <c r="AF149" s="1"/>
      <c r="AG149" s="1"/>
      <c r="AH149" s="1"/>
      <c r="AI149" s="1"/>
      <c r="AJ149" s="1"/>
    </row>
    <row r="150" spans="1:36" x14ac:dyDescent="0.25">
      <c r="A150" s="79" t="str">
        <f>'Data shares'!B145</f>
        <v>Index</v>
      </c>
      <c r="B150" s="79" t="str">
        <f>'Data shares'!C145</f>
        <v>NIFTYNXT50</v>
      </c>
      <c r="C150" s="4">
        <f>VLOOKUP($B150,'Data shares'!$C:$FB,7)</f>
        <v>69567.75</v>
      </c>
      <c r="D150" s="82">
        <f>VLOOKUP($B150,'Data shares'!$C:$FB,98)</f>
        <v>59850</v>
      </c>
      <c r="E150" s="165">
        <f>VLOOKUP(B150,'Snapshot (Volume)'!$A$7:$G$168,7,0)</f>
        <v>54925</v>
      </c>
      <c r="F150" s="165">
        <f t="shared" si="49"/>
        <v>4925</v>
      </c>
      <c r="G150" s="166">
        <f t="shared" si="50"/>
        <v>8.9667728720983164E-2</v>
      </c>
      <c r="H150" s="165">
        <f>VLOOKUP($B150,'Data shares'!$C:$FB,66)</f>
        <v>40550</v>
      </c>
      <c r="I150" s="165">
        <f>VLOOKUP($B150,'Data shares'!$C:$FB,67)</f>
        <v>49275</v>
      </c>
      <c r="J150" s="81">
        <f t="shared" si="51"/>
        <v>-17.706747843734146</v>
      </c>
      <c r="K150" s="5">
        <f>VLOOKUP($B150,'Data Vlaue (Cr)'!$C:$FB,99)</f>
        <v>417</v>
      </c>
      <c r="L150" s="81">
        <f>VLOOKUP(B150,'OI(Value)'!$A$7:$C$209,3,0)</f>
        <v>34</v>
      </c>
      <c r="M150" s="33">
        <f t="shared" si="52"/>
        <v>8.1534772182254205</v>
      </c>
      <c r="N150" s="5">
        <f>VLOOKUP($B150,'Data Vlaue (Cr)'!$C:$FB,67)</f>
        <v>282</v>
      </c>
      <c r="O150" s="5">
        <f>VLOOKUP($B150,'Data Vlaue (Cr)'!$C:$FB,68)</f>
        <v>343</v>
      </c>
      <c r="P150" s="5">
        <f t="shared" si="53"/>
        <v>-21.631205673758867</v>
      </c>
      <c r="Q150" s="1"/>
      <c r="R150" s="1"/>
      <c r="S150" s="1"/>
      <c r="T150" s="1"/>
      <c r="U150" s="1"/>
      <c r="V150" s="1"/>
      <c r="W150" s="1"/>
      <c r="X150" s="1"/>
      <c r="Y150" s="1"/>
      <c r="Z150" s="1"/>
      <c r="AA150" s="1"/>
      <c r="AB150" s="1"/>
      <c r="AC150" s="1"/>
      <c r="AD150" s="1"/>
      <c r="AE150" s="1"/>
      <c r="AF150" s="1"/>
      <c r="AG150" s="1"/>
      <c r="AH150" s="1"/>
      <c r="AI150" s="1"/>
      <c r="AJ150" s="1"/>
    </row>
    <row r="151" spans="1:36" x14ac:dyDescent="0.25">
      <c r="A151" s="79" t="str">
        <f>'Data shares'!B146</f>
        <v>Metals</v>
      </c>
      <c r="B151" s="79" t="str">
        <f>'Data shares'!C146</f>
        <v>NMDC</v>
      </c>
      <c r="C151" s="4">
        <f>VLOOKUP($B151,'Data shares'!$C:$FB,7)</f>
        <v>74.459999999999994</v>
      </c>
      <c r="D151" s="82">
        <f>VLOOKUP($B151,'Data shares'!$C:$FB,98)</f>
        <v>592616250</v>
      </c>
      <c r="E151" s="165">
        <f>VLOOKUP(B151,'Snapshot (Volume)'!$A$7:$G$168,7,0)</f>
        <v>588701250</v>
      </c>
      <c r="F151" s="165">
        <f t="shared" si="49"/>
        <v>3915000</v>
      </c>
      <c r="G151" s="166">
        <f t="shared" si="50"/>
        <v>6.6502321848305908E-3</v>
      </c>
      <c r="H151" s="165">
        <f>VLOOKUP($B151,'Data shares'!$C:$FB,66)</f>
        <v>532939500</v>
      </c>
      <c r="I151" s="165">
        <f>VLOOKUP($B151,'Data shares'!$C:$FB,67)</f>
        <v>174757500</v>
      </c>
      <c r="J151" s="81">
        <f t="shared" si="51"/>
        <v>204.95944380069523</v>
      </c>
      <c r="K151" s="5">
        <f>VLOOKUP($B151,'Data Vlaue (Cr)'!$C:$FB,99)</f>
        <v>4414</v>
      </c>
      <c r="L151" s="81">
        <f>VLOOKUP(B151,'OI(Value)'!$A$7:$C$209,3,0)</f>
        <v>29</v>
      </c>
      <c r="M151" s="33">
        <f t="shared" si="52"/>
        <v>0.65700045310376076</v>
      </c>
      <c r="N151" s="5">
        <f>VLOOKUP($B151,'Data Vlaue (Cr)'!$C:$FB,67)</f>
        <v>3970</v>
      </c>
      <c r="O151" s="5">
        <f>VLOOKUP($B151,'Data Vlaue (Cr)'!$C:$FB,68)</f>
        <v>1302</v>
      </c>
      <c r="P151" s="5">
        <f t="shared" si="53"/>
        <v>67.204030226700255</v>
      </c>
      <c r="Q151" s="1"/>
      <c r="R151" s="1"/>
      <c r="S151" s="1"/>
      <c r="T151" s="1"/>
      <c r="U151" s="1"/>
      <c r="V151" s="1"/>
      <c r="W151" s="1"/>
      <c r="X151" s="1"/>
      <c r="Y151" s="1"/>
      <c r="Z151" s="1"/>
      <c r="AA151" s="1"/>
      <c r="AB151" s="1"/>
      <c r="AC151" s="1"/>
      <c r="AD151" s="1"/>
      <c r="AE151" s="1"/>
      <c r="AF151" s="1"/>
      <c r="AG151" s="1"/>
      <c r="AH151" s="1"/>
      <c r="AI151" s="1"/>
      <c r="AJ151" s="1"/>
    </row>
    <row r="152" spans="1:36" x14ac:dyDescent="0.25">
      <c r="A152" s="79" t="str">
        <f>'Data shares'!B147</f>
        <v>Power</v>
      </c>
      <c r="B152" s="79" t="str">
        <f>'Data shares'!C147</f>
        <v>NTPC</v>
      </c>
      <c r="C152" s="4">
        <f>VLOOKUP($B152,'Data shares'!$C:$FB,7)</f>
        <v>326.60000000000002</v>
      </c>
      <c r="D152" s="82">
        <f>VLOOKUP($B152,'Data shares'!$C:$FB,98)</f>
        <v>176638500</v>
      </c>
      <c r="E152" s="165">
        <f>VLOOKUP(B152,'Snapshot (Volume)'!$A$7:$G$168,7,0)</f>
        <v>181254000</v>
      </c>
      <c r="F152" s="165">
        <f t="shared" si="49"/>
        <v>-4615500</v>
      </c>
      <c r="G152" s="166">
        <f t="shared" si="50"/>
        <v>-2.5464265616207092E-2</v>
      </c>
      <c r="H152" s="165">
        <f>VLOOKUP($B152,'Data shares'!$C:$FB,66)</f>
        <v>81538500</v>
      </c>
      <c r="I152" s="165">
        <f>VLOOKUP($B152,'Data shares'!$C:$FB,67)</f>
        <v>82306500</v>
      </c>
      <c r="J152" s="81">
        <f t="shared" si="51"/>
        <v>-0.93309762898434512</v>
      </c>
      <c r="K152" s="5">
        <f>VLOOKUP($B152,'Data Vlaue (Cr)'!$C:$FB,99)</f>
        <v>5776</v>
      </c>
      <c r="L152" s="81">
        <f>VLOOKUP(B152,'OI(Value)'!$A$7:$C$209,3,0)</f>
        <v>-151</v>
      </c>
      <c r="M152" s="33">
        <f t="shared" si="52"/>
        <v>-2.6142659279778395</v>
      </c>
      <c r="N152" s="5">
        <f>VLOOKUP($B152,'Data Vlaue (Cr)'!$C:$FB,67)</f>
        <v>2666</v>
      </c>
      <c r="O152" s="5">
        <f>VLOOKUP($B152,'Data Vlaue (Cr)'!$C:$FB,68)</f>
        <v>2691</v>
      </c>
      <c r="P152" s="5">
        <f t="shared" si="53"/>
        <v>-0.93773443360840214</v>
      </c>
      <c r="Q152" s="1"/>
      <c r="R152" s="1"/>
      <c r="S152" s="1"/>
      <c r="T152" s="1"/>
      <c r="U152" s="1"/>
      <c r="V152" s="1"/>
      <c r="W152" s="1"/>
      <c r="X152" s="1"/>
      <c r="Y152" s="1"/>
      <c r="Z152" s="1"/>
      <c r="AA152" s="1"/>
      <c r="AB152" s="1"/>
      <c r="AC152" s="1"/>
      <c r="AD152" s="1"/>
      <c r="AE152" s="1"/>
      <c r="AF152" s="1"/>
      <c r="AG152" s="1"/>
      <c r="AH152" s="1"/>
      <c r="AI152" s="1"/>
      <c r="AJ152" s="1"/>
    </row>
    <row r="153" spans="1:36" x14ac:dyDescent="0.25">
      <c r="A153" s="79" t="str">
        <f>'Data shares'!B148</f>
        <v>Finance</v>
      </c>
      <c r="B153" s="79" t="str">
        <f>'Data shares'!C148</f>
        <v>NUVAMA</v>
      </c>
      <c r="C153" s="4">
        <f>VLOOKUP($B153,'Data shares'!$C:$FB,7)</f>
        <v>7336</v>
      </c>
      <c r="D153" s="82">
        <f>VLOOKUP($B153,'Data shares'!$C:$FB,98)</f>
        <v>1008550</v>
      </c>
      <c r="E153" s="165">
        <f>VLOOKUP(B153,'Snapshot (Volume)'!$A$7:$G$168,7,0)</f>
        <v>983800</v>
      </c>
      <c r="F153" s="165">
        <f>D153-E153</f>
        <v>24750</v>
      </c>
      <c r="G153" s="166">
        <f t="shared" si="50"/>
        <v>2.5157552348038219E-2</v>
      </c>
      <c r="H153" s="165">
        <f>VLOOKUP($B153,'Data shares'!$C:$FB,66)</f>
        <v>918600</v>
      </c>
      <c r="I153" s="165">
        <f>VLOOKUP($B153,'Data shares'!$C:$FB,67)</f>
        <v>539025</v>
      </c>
      <c r="J153" s="81">
        <f t="shared" si="51"/>
        <v>70.418811743425621</v>
      </c>
      <c r="K153" s="5">
        <f>VLOOKUP($B153,'Data Vlaue (Cr)'!$C:$FB,99)</f>
        <v>740</v>
      </c>
      <c r="L153" s="81">
        <f>VLOOKUP(B153,'OI(Value)'!$A$7:$C$209,3,0)</f>
        <v>18</v>
      </c>
      <c r="M153" s="33">
        <f t="shared" si="52"/>
        <v>2.4324324324324325</v>
      </c>
      <c r="N153" s="5">
        <f>VLOOKUP($B153,'Data Vlaue (Cr)'!$C:$FB,67)</f>
        <v>674</v>
      </c>
      <c r="O153" s="5">
        <f>VLOOKUP($B153,'Data Vlaue (Cr)'!$C:$FB,68)</f>
        <v>396</v>
      </c>
      <c r="P153" s="5">
        <f>(N153-O153)/N153*100</f>
        <v>41.246290801186944</v>
      </c>
      <c r="Q153" s="1"/>
      <c r="R153" s="1"/>
      <c r="S153" s="1"/>
      <c r="T153" s="1"/>
      <c r="U153" s="1"/>
      <c r="V153" s="1"/>
      <c r="W153" s="1"/>
      <c r="X153" s="1"/>
      <c r="Y153" s="1"/>
      <c r="Z153" s="1"/>
      <c r="AA153" s="1"/>
      <c r="AB153" s="1"/>
      <c r="AC153" s="1"/>
      <c r="AD153" s="1"/>
      <c r="AE153" s="1"/>
      <c r="AF153" s="1"/>
      <c r="AG153" s="1"/>
      <c r="AH153" s="1"/>
      <c r="AI153" s="1"/>
      <c r="AJ153" s="1"/>
    </row>
    <row r="154" spans="1:36" x14ac:dyDescent="0.25">
      <c r="A154" s="79" t="str">
        <f>'Data shares'!B149</f>
        <v>New_Age</v>
      </c>
      <c r="B154" s="79" t="str">
        <f>'Data shares'!C149</f>
        <v>NYKAA</v>
      </c>
      <c r="C154" s="4">
        <f>VLOOKUP($B154,'Data shares'!$C:$FB,7)</f>
        <v>268.74</v>
      </c>
      <c r="D154" s="82">
        <f>VLOOKUP($B154,'Data shares'!$C:$FB,98)</f>
        <v>91162500</v>
      </c>
      <c r="E154" s="165">
        <f>VLOOKUP(B154,'Snapshot (Volume)'!$A$7:$G$168,7,0)</f>
        <v>97753125</v>
      </c>
      <c r="F154" s="165">
        <f t="shared" ref="F154:F166" si="54">D154-E154</f>
        <v>-6590625</v>
      </c>
      <c r="G154" s="166">
        <f t="shared" ref="G154:G166" si="55">F154/E154</f>
        <v>-6.7421118250695314E-2</v>
      </c>
      <c r="H154" s="165">
        <f>VLOOKUP($B154,'Data shares'!$C:$FB,66)</f>
        <v>79975000</v>
      </c>
      <c r="I154" s="165">
        <f>VLOOKUP($B154,'Data shares'!$C:$FB,67)</f>
        <v>62409375</v>
      </c>
      <c r="J154" s="81">
        <f t="shared" ref="J154:J166" si="56">(H154-I154)/I154*100</f>
        <v>28.145811426568525</v>
      </c>
      <c r="K154" s="5">
        <f>VLOOKUP($B154,'Data Vlaue (Cr)'!$C:$FB,99)</f>
        <v>2454</v>
      </c>
      <c r="L154" s="81">
        <f>VLOOKUP(B154,'OI(Value)'!$A$7:$C$209,3,0)</f>
        <v>-177</v>
      </c>
      <c r="M154" s="33">
        <f t="shared" ref="M154:M166" si="57">L154/K154*100</f>
        <v>-7.2127139364303181</v>
      </c>
      <c r="N154" s="5">
        <f>VLOOKUP($B154,'Data Vlaue (Cr)'!$C:$FB,67)</f>
        <v>2153</v>
      </c>
      <c r="O154" s="5">
        <f>VLOOKUP($B154,'Data Vlaue (Cr)'!$C:$FB,68)</f>
        <v>1680</v>
      </c>
      <c r="P154" s="5">
        <f t="shared" ref="P154:P161" si="58">(N154-O154)/N154*100</f>
        <v>21.969345099860661</v>
      </c>
      <c r="Q154" s="1"/>
      <c r="R154" s="1"/>
      <c r="S154" s="1"/>
      <c r="T154" s="1"/>
      <c r="U154" s="1"/>
      <c r="V154" s="1"/>
      <c r="W154" s="1"/>
      <c r="X154" s="1"/>
      <c r="Y154" s="1"/>
      <c r="Z154" s="1"/>
      <c r="AA154" s="1"/>
      <c r="AB154" s="1"/>
      <c r="AC154" s="1"/>
      <c r="AD154" s="1"/>
      <c r="AE154" s="1"/>
      <c r="AF154" s="1"/>
      <c r="AG154" s="1"/>
      <c r="AH154" s="1"/>
      <c r="AI154" s="1"/>
      <c r="AJ154" s="1"/>
    </row>
    <row r="155" spans="1:36" x14ac:dyDescent="0.25">
      <c r="A155" s="79" t="str">
        <f>'Data shares'!B150</f>
        <v>Realty</v>
      </c>
      <c r="B155" s="79" t="str">
        <f>'Data shares'!C150</f>
        <v>OBEROIRLTY</v>
      </c>
      <c r="C155" s="4">
        <f>VLOOKUP($B155,'Data shares'!$C:$FB,7)</f>
        <v>1708.5</v>
      </c>
      <c r="D155" s="82">
        <f>VLOOKUP($B155,'Data shares'!$C:$FB,98)</f>
        <v>6752200</v>
      </c>
      <c r="E155" s="165">
        <f>VLOOKUP(B155,'Snapshot (Volume)'!$A$7:$G$168,7,0)</f>
        <v>7346150</v>
      </c>
      <c r="F155" s="165">
        <f t="shared" si="54"/>
        <v>-593950</v>
      </c>
      <c r="G155" s="166">
        <f t="shared" si="55"/>
        <v>-8.0851874791557476E-2</v>
      </c>
      <c r="H155" s="165">
        <f>VLOOKUP($B155,'Data shares'!$C:$FB,66)</f>
        <v>5306350</v>
      </c>
      <c r="I155" s="165">
        <f>VLOOKUP($B155,'Data shares'!$C:$FB,67)</f>
        <v>4246550</v>
      </c>
      <c r="J155" s="81">
        <f t="shared" si="56"/>
        <v>24.956729580482982</v>
      </c>
      <c r="K155" s="5">
        <f>VLOOKUP($B155,'Data Vlaue (Cr)'!$C:$FB,99)</f>
        <v>1154</v>
      </c>
      <c r="L155" s="81">
        <f>VLOOKUP(B155,'OI(Value)'!$A$7:$C$209,3,0)</f>
        <v>-102</v>
      </c>
      <c r="M155" s="33">
        <f t="shared" si="57"/>
        <v>-8.8388214904679376</v>
      </c>
      <c r="N155" s="5">
        <f>VLOOKUP($B155,'Data Vlaue (Cr)'!$C:$FB,67)</f>
        <v>907</v>
      </c>
      <c r="O155" s="5">
        <f>VLOOKUP($B155,'Data Vlaue (Cr)'!$C:$FB,68)</f>
        <v>726</v>
      </c>
      <c r="P155" s="5">
        <f t="shared" si="58"/>
        <v>19.955898566703418</v>
      </c>
      <c r="Q155" s="1"/>
      <c r="R155" s="1"/>
      <c r="S155" s="1"/>
      <c r="T155" s="1"/>
      <c r="U155" s="1"/>
      <c r="V155" s="1"/>
      <c r="W155" s="1"/>
      <c r="X155" s="1"/>
      <c r="Y155" s="1"/>
      <c r="Z155" s="1"/>
      <c r="AA155" s="1"/>
      <c r="AB155" s="1"/>
      <c r="AC155" s="1"/>
      <c r="AD155" s="1"/>
      <c r="AE155" s="1"/>
      <c r="AF155" s="1"/>
      <c r="AG155" s="1"/>
      <c r="AH155" s="1"/>
      <c r="AI155" s="1"/>
      <c r="AJ155" s="1"/>
    </row>
    <row r="156" spans="1:36" x14ac:dyDescent="0.25">
      <c r="A156" s="79" t="str">
        <f>'Data shares'!B151</f>
        <v>Technology</v>
      </c>
      <c r="B156" s="79" t="str">
        <f>'Data shares'!C151</f>
        <v>OFSS</v>
      </c>
      <c r="C156" s="4">
        <f>VLOOKUP($B156,'Data shares'!$C:$FB,7)</f>
        <v>8372.5</v>
      </c>
      <c r="D156" s="82">
        <f>VLOOKUP($B156,'Data shares'!$C:$FB,98)</f>
        <v>2740875</v>
      </c>
      <c r="E156" s="165">
        <f>VLOOKUP(B156,'Snapshot (Volume)'!$A$7:$G$168,7,0)</f>
        <v>2806200</v>
      </c>
      <c r="F156" s="165">
        <f t="shared" si="54"/>
        <v>-65325</v>
      </c>
      <c r="G156" s="166">
        <f t="shared" si="55"/>
        <v>-2.3278811203763097E-2</v>
      </c>
      <c r="H156" s="165">
        <f>VLOOKUP($B156,'Data shares'!$C:$FB,66)</f>
        <v>5345625</v>
      </c>
      <c r="I156" s="165">
        <f>VLOOKUP($B156,'Data shares'!$C:$FB,67)</f>
        <v>2987175</v>
      </c>
      <c r="J156" s="81">
        <f t="shared" si="56"/>
        <v>78.952522031685461</v>
      </c>
      <c r="K156" s="5">
        <f>VLOOKUP($B156,'Data Vlaue (Cr)'!$C:$FB,99)</f>
        <v>2302</v>
      </c>
      <c r="L156" s="81">
        <f>VLOOKUP(B156,'OI(Value)'!$A$7:$C$209,3,0)</f>
        <v>-55</v>
      </c>
      <c r="M156" s="33">
        <f t="shared" si="57"/>
        <v>-2.3892267593397043</v>
      </c>
      <c r="N156" s="5">
        <f>VLOOKUP($B156,'Data Vlaue (Cr)'!$C:$FB,67)</f>
        <v>4489</v>
      </c>
      <c r="O156" s="5">
        <f>VLOOKUP($B156,'Data Vlaue (Cr)'!$C:$FB,68)</f>
        <v>2509</v>
      </c>
      <c r="P156" s="5">
        <f t="shared" si="58"/>
        <v>44.107819113388281</v>
      </c>
      <c r="Q156" s="1"/>
      <c r="R156" s="1"/>
      <c r="S156" s="1"/>
      <c r="T156" s="1"/>
      <c r="U156" s="1"/>
      <c r="V156" s="1"/>
      <c r="W156" s="1"/>
      <c r="X156" s="1"/>
      <c r="Y156" s="1"/>
      <c r="Z156" s="1"/>
      <c r="AA156" s="1"/>
      <c r="AB156" s="1"/>
      <c r="AC156" s="1"/>
      <c r="AD156" s="1"/>
      <c r="AE156" s="1"/>
      <c r="AF156" s="1"/>
      <c r="AG156" s="1"/>
      <c r="AH156" s="1"/>
      <c r="AI156" s="1"/>
      <c r="AJ156" s="1"/>
    </row>
    <row r="157" spans="1:36" x14ac:dyDescent="0.25">
      <c r="A157" s="79" t="str">
        <f>'Data shares'!B152</f>
        <v>Oil_Gas</v>
      </c>
      <c r="B157" s="79" t="str">
        <f>'Data shares'!C152</f>
        <v>OIL</v>
      </c>
      <c r="C157" s="4">
        <f>VLOOKUP($B157,'Data shares'!$C:$FB,7)</f>
        <v>436.2</v>
      </c>
      <c r="D157" s="82">
        <f>VLOOKUP($B157,'Data shares'!$C:$FB,98)</f>
        <v>22779400</v>
      </c>
      <c r="E157" s="165">
        <f>VLOOKUP(B157,'Snapshot (Volume)'!$A$7:$G$168,7,0)</f>
        <v>23699200</v>
      </c>
      <c r="F157" s="165">
        <f t="shared" si="54"/>
        <v>-919800</v>
      </c>
      <c r="G157" s="166">
        <f t="shared" si="55"/>
        <v>-3.8811436672967867E-2</v>
      </c>
      <c r="H157" s="165">
        <f>VLOOKUP($B157,'Data shares'!$C:$FB,66)</f>
        <v>16972200</v>
      </c>
      <c r="I157" s="165">
        <f>VLOOKUP($B157,'Data shares'!$C:$FB,67)</f>
        <v>6708800</v>
      </c>
      <c r="J157" s="81">
        <f t="shared" si="56"/>
        <v>152.98414023372285</v>
      </c>
      <c r="K157" s="5">
        <f>VLOOKUP($B157,'Data Vlaue (Cr)'!$C:$FB,99)</f>
        <v>986</v>
      </c>
      <c r="L157" s="81">
        <f>VLOOKUP(B157,'OI(Value)'!$A$7:$C$209,3,0)</f>
        <v>-40</v>
      </c>
      <c r="M157" s="33">
        <f t="shared" si="57"/>
        <v>-4.056795131845842</v>
      </c>
      <c r="N157" s="5">
        <f>VLOOKUP($B157,'Data Vlaue (Cr)'!$C:$FB,67)</f>
        <v>735</v>
      </c>
      <c r="O157" s="5">
        <f>VLOOKUP($B157,'Data Vlaue (Cr)'!$C:$FB,68)</f>
        <v>291</v>
      </c>
      <c r="P157" s="5">
        <f t="shared" si="58"/>
        <v>60.408163265306122</v>
      </c>
      <c r="Q157" s="1"/>
      <c r="R157" s="1"/>
      <c r="S157" s="1"/>
      <c r="T157" s="1"/>
      <c r="U157" s="1"/>
      <c r="V157" s="1"/>
      <c r="W157" s="1"/>
      <c r="X157" s="1"/>
      <c r="Y157" s="1"/>
      <c r="Z157" s="1"/>
      <c r="AA157" s="1"/>
      <c r="AB157" s="1"/>
      <c r="AC157" s="1"/>
      <c r="AD157" s="1"/>
      <c r="AE157" s="1"/>
      <c r="AF157" s="1"/>
      <c r="AG157" s="1"/>
      <c r="AH157" s="1"/>
      <c r="AI157" s="1"/>
      <c r="AJ157" s="1"/>
    </row>
    <row r="158" spans="1:36" x14ac:dyDescent="0.25">
      <c r="A158" s="79" t="str">
        <f>'Data shares'!B153</f>
        <v>Oil_Gas</v>
      </c>
      <c r="B158" s="79" t="str">
        <f>'Data shares'!C153</f>
        <v>ONGC</v>
      </c>
      <c r="C158" s="4">
        <f>VLOOKUP($B158,'Data shares'!$C:$FB,7)</f>
        <v>248.05</v>
      </c>
      <c r="D158" s="82">
        <f>VLOOKUP($B158,'Data shares'!$C:$FB,98)</f>
        <v>173245500</v>
      </c>
      <c r="E158" s="165">
        <f>VLOOKUP(B158,'Snapshot (Volume)'!$A$7:$G$168,7,0)</f>
        <v>171929250</v>
      </c>
      <c r="F158" s="165">
        <f t="shared" si="54"/>
        <v>1316250</v>
      </c>
      <c r="G158" s="166">
        <f t="shared" si="55"/>
        <v>7.6557653802363469E-3</v>
      </c>
      <c r="H158" s="165">
        <f>VLOOKUP($B158,'Data shares'!$C:$FB,66)</f>
        <v>105583500</v>
      </c>
      <c r="I158" s="165">
        <f>VLOOKUP($B158,'Data shares'!$C:$FB,67)</f>
        <v>81832500</v>
      </c>
      <c r="J158" s="81">
        <f t="shared" si="56"/>
        <v>29.023920813857572</v>
      </c>
      <c r="K158" s="5">
        <f>VLOOKUP($B158,'Data Vlaue (Cr)'!$C:$FB,99)</f>
        <v>4298</v>
      </c>
      <c r="L158" s="81">
        <f>VLOOKUP(B158,'OI(Value)'!$A$7:$C$209,3,0)</f>
        <v>33</v>
      </c>
      <c r="M158" s="33">
        <f t="shared" si="57"/>
        <v>0.76779897626803162</v>
      </c>
      <c r="N158" s="5">
        <f>VLOOKUP($B158,'Data Vlaue (Cr)'!$C:$FB,67)</f>
        <v>2620</v>
      </c>
      <c r="O158" s="5">
        <f>VLOOKUP($B158,'Data Vlaue (Cr)'!$C:$FB,68)</f>
        <v>2030</v>
      </c>
      <c r="P158" s="5">
        <f t="shared" si="58"/>
        <v>22.519083969465647</v>
      </c>
      <c r="Q158" s="1"/>
      <c r="R158" s="1"/>
      <c r="S158" s="1"/>
      <c r="T158" s="1"/>
      <c r="U158" s="1"/>
      <c r="V158" s="1"/>
      <c r="W158" s="1"/>
      <c r="X158" s="1"/>
      <c r="Y158" s="1"/>
      <c r="Z158" s="1"/>
      <c r="AA158" s="1"/>
      <c r="AB158" s="1"/>
      <c r="AC158" s="1"/>
      <c r="AD158" s="1"/>
      <c r="AE158" s="1"/>
      <c r="AF158" s="1"/>
      <c r="AG158" s="1"/>
      <c r="AH158" s="1"/>
      <c r="AI158" s="1"/>
      <c r="AJ158" s="1"/>
    </row>
    <row r="159" spans="1:36" x14ac:dyDescent="0.25">
      <c r="A159" s="79" t="str">
        <f>'Data shares'!B154</f>
        <v>Textile</v>
      </c>
      <c r="B159" s="79" t="str">
        <f>'Data shares'!C154</f>
        <v>PAGEIND</v>
      </c>
      <c r="C159" s="4">
        <f>VLOOKUP($B159,'Data shares'!$C:$FB,7)</f>
        <v>38565</v>
      </c>
      <c r="D159" s="82">
        <f>VLOOKUP($B159,'Data shares'!$C:$FB,98)</f>
        <v>546255</v>
      </c>
      <c r="E159" s="165">
        <f>VLOOKUP(B159,'Snapshot (Volume)'!$A$7:$G$168,7,0)</f>
        <v>555975</v>
      </c>
      <c r="F159" s="165">
        <f t="shared" si="54"/>
        <v>-9720</v>
      </c>
      <c r="G159" s="166">
        <f t="shared" si="55"/>
        <v>-1.7482800485633346E-2</v>
      </c>
      <c r="H159" s="165">
        <f>VLOOKUP($B159,'Data shares'!$C:$FB,66)</f>
        <v>600750</v>
      </c>
      <c r="I159" s="165">
        <f>VLOOKUP($B159,'Data shares'!$C:$FB,67)</f>
        <v>433320</v>
      </c>
      <c r="J159" s="81">
        <f t="shared" si="56"/>
        <v>38.638881196344506</v>
      </c>
      <c r="K159" s="5">
        <f>VLOOKUP($B159,'Data Vlaue (Cr)'!$C:$FB,99)</f>
        <v>2112</v>
      </c>
      <c r="L159" s="81">
        <f>VLOOKUP(B159,'OI(Value)'!$A$7:$C$209,3,0)</f>
        <v>-38</v>
      </c>
      <c r="M159" s="33">
        <f t="shared" si="57"/>
        <v>-1.7992424242424243</v>
      </c>
      <c r="N159" s="5">
        <f>VLOOKUP($B159,'Data Vlaue (Cr)'!$C:$FB,67)</f>
        <v>2323</v>
      </c>
      <c r="O159" s="5">
        <f>VLOOKUP($B159,'Data Vlaue (Cr)'!$C:$FB,68)</f>
        <v>1676</v>
      </c>
      <c r="P159" s="5">
        <f t="shared" si="58"/>
        <v>27.851915626345242</v>
      </c>
      <c r="Q159" s="1"/>
      <c r="R159" s="1"/>
      <c r="S159" s="1"/>
      <c r="T159" s="1"/>
      <c r="U159" s="1"/>
      <c r="V159" s="1"/>
      <c r="W159" s="1"/>
      <c r="X159" s="1"/>
      <c r="Y159" s="1"/>
      <c r="Z159" s="1"/>
      <c r="AA159" s="1"/>
      <c r="AB159" s="1"/>
      <c r="AC159" s="1"/>
      <c r="AD159" s="1"/>
      <c r="AE159" s="1"/>
      <c r="AF159" s="1"/>
      <c r="AG159" s="1"/>
      <c r="AH159" s="1"/>
      <c r="AI159" s="1"/>
      <c r="AJ159" s="1"/>
    </row>
    <row r="160" spans="1:36" x14ac:dyDescent="0.25">
      <c r="A160" s="79" t="str">
        <f>'Data shares'!B155</f>
        <v>FMCG</v>
      </c>
      <c r="B160" s="79" t="str">
        <f>'Data shares'!C155</f>
        <v>PATANJALI</v>
      </c>
      <c r="C160" s="4">
        <f>VLOOKUP($B160,'Data shares'!$C:$FB,7)</f>
        <v>584.25</v>
      </c>
      <c r="D160" s="82">
        <f>VLOOKUP($B160,'Data shares'!$C:$FB,98)</f>
        <v>48557700</v>
      </c>
      <c r="E160" s="165">
        <f>VLOOKUP(B160,'Snapshot (Volume)'!$A$7:$G$168,7,0)</f>
        <v>49566600</v>
      </c>
      <c r="F160" s="165">
        <f t="shared" si="54"/>
        <v>-1008900</v>
      </c>
      <c r="G160" s="166">
        <f t="shared" si="55"/>
        <v>-2.0354432218469696E-2</v>
      </c>
      <c r="H160" s="165">
        <f>VLOOKUP($B160,'Data shares'!$C:$FB,66)</f>
        <v>18448200</v>
      </c>
      <c r="I160" s="165">
        <f>VLOOKUP($B160,'Data shares'!$C:$FB,67)</f>
        <v>11641500</v>
      </c>
      <c r="J160" s="81">
        <f t="shared" si="56"/>
        <v>58.46926942404329</v>
      </c>
      <c r="K160" s="5">
        <f>VLOOKUP($B160,'Data Vlaue (Cr)'!$C:$FB,99)</f>
        <v>2830</v>
      </c>
      <c r="L160" s="81">
        <f>VLOOKUP(B160,'OI(Value)'!$A$7:$C$209,3,0)</f>
        <v>-59</v>
      </c>
      <c r="M160" s="33">
        <f t="shared" si="57"/>
        <v>-2.0848056537102475</v>
      </c>
      <c r="N160" s="5">
        <f>VLOOKUP($B160,'Data Vlaue (Cr)'!$C:$FB,67)</f>
        <v>1075</v>
      </c>
      <c r="O160" s="5">
        <f>VLOOKUP($B160,'Data Vlaue (Cr)'!$C:$FB,68)</f>
        <v>679</v>
      </c>
      <c r="P160" s="5">
        <f t="shared" si="58"/>
        <v>36.837209302325583</v>
      </c>
      <c r="Q160" s="1"/>
      <c r="R160" s="1"/>
      <c r="S160" s="1"/>
      <c r="T160" s="1"/>
      <c r="U160" s="1"/>
      <c r="V160" s="1"/>
      <c r="W160" s="1"/>
      <c r="X160" s="1"/>
      <c r="Y160" s="1"/>
      <c r="Z160" s="1"/>
      <c r="AA160" s="1"/>
      <c r="AB160" s="1"/>
      <c r="AC160" s="1"/>
      <c r="AD160" s="1"/>
      <c r="AE160" s="1"/>
      <c r="AF160" s="1"/>
      <c r="AG160" s="1"/>
      <c r="AH160" s="1"/>
      <c r="AI160" s="1"/>
      <c r="AJ160" s="1"/>
    </row>
    <row r="161" spans="1:36" x14ac:dyDescent="0.25">
      <c r="A161" s="79" t="str">
        <f>'Data shares'!B156</f>
        <v>New_Age</v>
      </c>
      <c r="B161" s="79" t="str">
        <f>'Data shares'!C156</f>
        <v>PAYTM</v>
      </c>
      <c r="C161" s="4">
        <f>VLOOKUP($B161,'Data shares'!$C:$FB,7)</f>
        <v>1283.9000000000001</v>
      </c>
      <c r="D161" s="82">
        <f>VLOOKUP($B161,'Data shares'!$C:$FB,98)</f>
        <v>39211625</v>
      </c>
      <c r="E161" s="165">
        <f>VLOOKUP(B161,'Snapshot (Volume)'!$A$7:$G$168,7,0)</f>
        <v>38561300</v>
      </c>
      <c r="F161" s="165">
        <f t="shared" si="54"/>
        <v>650325</v>
      </c>
      <c r="G161" s="166">
        <f t="shared" si="55"/>
        <v>1.6864706324734902E-2</v>
      </c>
      <c r="H161" s="165">
        <f>VLOOKUP($B161,'Data shares'!$C:$FB,66)</f>
        <v>36887275</v>
      </c>
      <c r="I161" s="165">
        <f>VLOOKUP($B161,'Data shares'!$C:$FB,67)</f>
        <v>38746900</v>
      </c>
      <c r="J161" s="81">
        <f t="shared" si="56"/>
        <v>-4.7994162113614252</v>
      </c>
      <c r="K161" s="5">
        <f>VLOOKUP($B161,'Data Vlaue (Cr)'!$C:$FB,99)</f>
        <v>5034</v>
      </c>
      <c r="L161" s="81">
        <f>VLOOKUP(B161,'OI(Value)'!$A$7:$C$209,3,0)</f>
        <v>83</v>
      </c>
      <c r="M161" s="33">
        <f t="shared" si="57"/>
        <v>1.6487882399682161</v>
      </c>
      <c r="N161" s="5">
        <f>VLOOKUP($B161,'Data Vlaue (Cr)'!$C:$FB,67)</f>
        <v>4736</v>
      </c>
      <c r="O161" s="5">
        <f>VLOOKUP($B161,'Data Vlaue (Cr)'!$C:$FB,68)</f>
        <v>4974</v>
      </c>
      <c r="P161" s="5">
        <f t="shared" si="58"/>
        <v>-5.0253378378378377</v>
      </c>
      <c r="Q161" s="1"/>
      <c r="R161" s="1"/>
      <c r="S161" s="1"/>
      <c r="T161" s="1"/>
      <c r="U161" s="1"/>
      <c r="V161" s="1"/>
      <c r="W161" s="1"/>
      <c r="X161" s="1"/>
      <c r="Y161" s="1"/>
      <c r="Z161" s="1"/>
      <c r="AA161" s="1"/>
      <c r="AB161" s="1"/>
      <c r="AC161" s="1"/>
      <c r="AD161" s="1"/>
      <c r="AE161" s="1"/>
      <c r="AF161" s="1"/>
      <c r="AG161" s="1"/>
      <c r="AH161" s="1"/>
      <c r="AI161" s="1"/>
      <c r="AJ161" s="1"/>
    </row>
    <row r="162" spans="1:36" x14ac:dyDescent="0.25">
      <c r="A162" s="79" t="str">
        <f>'Data shares'!B157</f>
        <v>Technology</v>
      </c>
      <c r="B162" s="79" t="str">
        <f>'Data shares'!C157</f>
        <v>PERSISTENT</v>
      </c>
      <c r="C162" s="4">
        <f>VLOOKUP($B162,'Data shares'!$C:$FB,7)</f>
        <v>6350.5</v>
      </c>
      <c r="D162" s="82">
        <f>VLOOKUP($B162,'Data shares'!$C:$FB,98)</f>
        <v>4374600</v>
      </c>
      <c r="E162" s="165">
        <f>VLOOKUP(B162,'Snapshot (Volume)'!$A$7:$G$168,7,0)</f>
        <v>4497000</v>
      </c>
      <c r="F162" s="165">
        <f t="shared" si="54"/>
        <v>-122400</v>
      </c>
      <c r="G162" s="166">
        <f t="shared" si="55"/>
        <v>-2.7218145430286857E-2</v>
      </c>
      <c r="H162" s="165">
        <f>VLOOKUP($B162,'Data shares'!$C:$FB,66)</f>
        <v>11293200</v>
      </c>
      <c r="I162" s="165">
        <f>VLOOKUP($B162,'Data shares'!$C:$FB,67)</f>
        <v>23402600</v>
      </c>
      <c r="J162" s="81">
        <f t="shared" si="56"/>
        <v>-51.743823335868669</v>
      </c>
      <c r="K162" s="5">
        <f>VLOOKUP($B162,'Data Vlaue (Cr)'!$C:$FB,99)</f>
        <v>2778</v>
      </c>
      <c r="L162" s="81">
        <f>VLOOKUP(B162,'OI(Value)'!$A$7:$C$209,3,0)</f>
        <v>-78</v>
      </c>
      <c r="M162" s="33">
        <f t="shared" si="57"/>
        <v>-2.8077753779697625</v>
      </c>
      <c r="N162" s="5">
        <f>VLOOKUP($B162,'Data Vlaue (Cr)'!$C:$FB,67)</f>
        <v>7171</v>
      </c>
      <c r="O162" s="5">
        <f>VLOOKUP($B162,'Data Vlaue (Cr)'!$C:$FB,68)</f>
        <v>14861</v>
      </c>
      <c r="P162" s="5">
        <f>(N162-O162)/N162*100</f>
        <v>-107.23748431181146</v>
      </c>
      <c r="Q162" s="1"/>
      <c r="R162" s="1"/>
      <c r="S162" s="1"/>
      <c r="T162" s="1"/>
      <c r="U162" s="1"/>
      <c r="V162" s="1"/>
      <c r="W162" s="1"/>
      <c r="X162" s="1"/>
      <c r="Y162" s="1"/>
      <c r="Z162" s="1"/>
      <c r="AA162" s="1"/>
      <c r="AB162" s="1"/>
      <c r="AC162" s="1"/>
      <c r="AD162" s="1"/>
      <c r="AE162" s="1"/>
      <c r="AF162" s="1"/>
      <c r="AG162" s="1"/>
      <c r="AH162" s="1"/>
      <c r="AI162" s="1"/>
      <c r="AJ162" s="1"/>
    </row>
    <row r="163" spans="1:36" x14ac:dyDescent="0.25">
      <c r="A163" s="79" t="str">
        <f>'Data shares'!B158</f>
        <v>Oil_Gas</v>
      </c>
      <c r="B163" s="79" t="str">
        <f>'Data shares'!C158</f>
        <v>PETRONET</v>
      </c>
      <c r="C163" s="4">
        <f>VLOOKUP($B163,'Data shares'!$C:$FB,7)</f>
        <v>274.35000000000002</v>
      </c>
      <c r="D163" s="82">
        <f>VLOOKUP($B163,'Data shares'!$C:$FB,98)</f>
        <v>75117400</v>
      </c>
      <c r="E163" s="165">
        <f>VLOOKUP(B163,'Snapshot (Volume)'!$A$7:$G$168,7,0)</f>
        <v>74492700</v>
      </c>
      <c r="F163" s="165">
        <f t="shared" si="54"/>
        <v>624700</v>
      </c>
      <c r="G163" s="166">
        <f t="shared" si="55"/>
        <v>8.3860566203131318E-3</v>
      </c>
      <c r="H163" s="165">
        <f>VLOOKUP($B163,'Data shares'!$C:$FB,66)</f>
        <v>40852800</v>
      </c>
      <c r="I163" s="165">
        <f>VLOOKUP($B163,'Data shares'!$C:$FB,67)</f>
        <v>10135800</v>
      </c>
      <c r="J163" s="81">
        <f t="shared" si="56"/>
        <v>303.0545196235127</v>
      </c>
      <c r="K163" s="5">
        <f>VLOOKUP($B163,'Data Vlaue (Cr)'!$C:$FB,99)</f>
        <v>2059</v>
      </c>
      <c r="L163" s="81">
        <f>VLOOKUP(B163,'OI(Value)'!$A$7:$C$209,3,0)</f>
        <v>17</v>
      </c>
      <c r="M163" s="33">
        <f t="shared" si="57"/>
        <v>0.82564351627003407</v>
      </c>
      <c r="N163" s="5">
        <f>VLOOKUP($B163,'Data Vlaue (Cr)'!$C:$FB,67)</f>
        <v>1120</v>
      </c>
      <c r="O163" s="5">
        <f>VLOOKUP($B163,'Data Vlaue (Cr)'!$C:$FB,68)</f>
        <v>278</v>
      </c>
      <c r="P163" s="5">
        <f>(N163-O163)/N163*100</f>
        <v>75.178571428571431</v>
      </c>
      <c r="Q163" s="1"/>
      <c r="R163" s="1"/>
      <c r="S163" s="1"/>
      <c r="T163" s="1"/>
      <c r="U163" s="1"/>
      <c r="V163" s="1"/>
      <c r="W163" s="1"/>
      <c r="X163" s="1"/>
      <c r="Y163" s="1"/>
      <c r="Z163" s="1"/>
      <c r="AA163" s="1"/>
      <c r="AB163" s="1"/>
      <c r="AC163" s="1"/>
      <c r="AD163" s="1"/>
      <c r="AE163" s="1"/>
      <c r="AF163" s="1"/>
      <c r="AG163" s="1"/>
      <c r="AH163" s="1"/>
      <c r="AI163" s="1"/>
      <c r="AJ163" s="1"/>
    </row>
    <row r="164" spans="1:36" x14ac:dyDescent="0.25">
      <c r="A164" s="79" t="str">
        <f>'Data shares'!B159</f>
        <v>Finance</v>
      </c>
      <c r="B164" s="79" t="str">
        <f>'Data shares'!C159</f>
        <v>PFC</v>
      </c>
      <c r="C164" s="4">
        <f>VLOOKUP($B164,'Data shares'!$C:$FB,7)</f>
        <v>372.75</v>
      </c>
      <c r="D164" s="82">
        <f>VLOOKUP($B164,'Data shares'!$C:$FB,98)</f>
        <v>149778200</v>
      </c>
      <c r="E164" s="165">
        <f>VLOOKUP(B164,'Snapshot (Volume)'!$A$7:$G$168,7,0)</f>
        <v>155417600</v>
      </c>
      <c r="F164" s="165">
        <f t="shared" si="54"/>
        <v>-5639400</v>
      </c>
      <c r="G164" s="166">
        <f t="shared" si="55"/>
        <v>-3.628546573875803E-2</v>
      </c>
      <c r="H164" s="165">
        <f>VLOOKUP($B164,'Data shares'!$C:$FB,66)</f>
        <v>70869500</v>
      </c>
      <c r="I164" s="165">
        <f>VLOOKUP($B164,'Data shares'!$C:$FB,67)</f>
        <v>56382300</v>
      </c>
      <c r="J164" s="81">
        <f t="shared" si="56"/>
        <v>25.694588549952734</v>
      </c>
      <c r="K164" s="5">
        <f>VLOOKUP($B164,'Data Vlaue (Cr)'!$C:$FB,99)</f>
        <v>5593</v>
      </c>
      <c r="L164" s="81">
        <f>VLOOKUP(B164,'OI(Value)'!$A$7:$C$209,3,0)</f>
        <v>-211</v>
      </c>
      <c r="M164" s="33">
        <f t="shared" si="57"/>
        <v>-3.7725728589308059</v>
      </c>
      <c r="N164" s="5">
        <f>VLOOKUP($B164,'Data Vlaue (Cr)'!$C:$FB,67)</f>
        <v>2646</v>
      </c>
      <c r="O164" s="5">
        <f>VLOOKUP($B164,'Data Vlaue (Cr)'!$C:$FB,68)</f>
        <v>2105</v>
      </c>
      <c r="P164" s="5">
        <f>(N164-O164)/N164*100</f>
        <v>20.445956160241874</v>
      </c>
      <c r="Q164" s="1"/>
      <c r="R164" s="1"/>
      <c r="S164" s="1"/>
      <c r="T164" s="1"/>
      <c r="U164" s="1"/>
      <c r="V164" s="1"/>
      <c r="W164" s="1"/>
      <c r="X164" s="1"/>
      <c r="Y164" s="1"/>
      <c r="Z164" s="1"/>
      <c r="AA164" s="1"/>
      <c r="AB164" s="1"/>
      <c r="AC164" s="1"/>
      <c r="AD164" s="1"/>
      <c r="AE164" s="1"/>
      <c r="AF164" s="1"/>
      <c r="AG164" s="1"/>
      <c r="AH164" s="1"/>
      <c r="AI164" s="1"/>
      <c r="AJ164" s="1"/>
    </row>
    <row r="165" spans="1:36" x14ac:dyDescent="0.25">
      <c r="A165" s="79" t="e">
        <f>'Data shares'!#REF!</f>
        <v>#REF!</v>
      </c>
      <c r="B165" s="79" t="e">
        <f>'Data shares'!#REF!</f>
        <v>#REF!</v>
      </c>
      <c r="C165" s="4" t="e">
        <f>VLOOKUP($B165,'Data shares'!$C:$FB,7)</f>
        <v>#REF!</v>
      </c>
      <c r="D165" s="82" t="e">
        <f>VLOOKUP($B165,'Data shares'!$C:$FB,98)</f>
        <v>#REF!</v>
      </c>
      <c r="E165" s="165" t="e">
        <f>VLOOKUP(B165,'Snapshot (Volume)'!$A$7:$G$168,7,0)</f>
        <v>#REF!</v>
      </c>
      <c r="F165" s="165" t="e">
        <f t="shared" si="54"/>
        <v>#REF!</v>
      </c>
      <c r="G165" s="166" t="e">
        <f t="shared" si="55"/>
        <v>#REF!</v>
      </c>
      <c r="H165" s="165" t="e">
        <f>VLOOKUP($B165,'Data shares'!$C:$FB,66)</f>
        <v>#REF!</v>
      </c>
      <c r="I165" s="165" t="e">
        <f>VLOOKUP($B165,'Data shares'!$C:$FB,67)</f>
        <v>#REF!</v>
      </c>
      <c r="J165" s="81" t="e">
        <f t="shared" si="56"/>
        <v>#REF!</v>
      </c>
      <c r="K165" s="5" t="e">
        <f>VLOOKUP($B165,'Data Vlaue (Cr)'!$C:$FB,99)</f>
        <v>#REF!</v>
      </c>
      <c r="L165" s="81" t="e">
        <f>VLOOKUP(B165,'OI(Value)'!$A$7:$C$209,3,0)</f>
        <v>#REF!</v>
      </c>
      <c r="M165" s="33" t="e">
        <f t="shared" si="57"/>
        <v>#REF!</v>
      </c>
      <c r="N165" s="5" t="e">
        <f>VLOOKUP($B165,'Data Vlaue (Cr)'!$C:$FB,67)</f>
        <v>#REF!</v>
      </c>
      <c r="O165" s="5" t="e">
        <f>VLOOKUP($B165,'Data Vlaue (Cr)'!$C:$FB,68)</f>
        <v>#REF!</v>
      </c>
      <c r="P165" s="5" t="e">
        <f>(N165-O165)/N165*100</f>
        <v>#REF!</v>
      </c>
      <c r="Q165" s="1"/>
      <c r="R165" s="1"/>
      <c r="S165" s="1"/>
      <c r="T165" s="1"/>
      <c r="U165" s="1"/>
      <c r="V165" s="1"/>
      <c r="W165" s="1"/>
      <c r="X165" s="1"/>
      <c r="Y165" s="1"/>
      <c r="Z165" s="1"/>
      <c r="AA165" s="1"/>
      <c r="AB165" s="1"/>
      <c r="AC165" s="1"/>
      <c r="AD165" s="1"/>
      <c r="AE165" s="1"/>
      <c r="AF165" s="1"/>
      <c r="AG165" s="1"/>
      <c r="AH165" s="1"/>
      <c r="AI165" s="1"/>
      <c r="AJ165" s="1"/>
    </row>
    <row r="166" spans="1:36" x14ac:dyDescent="0.25">
      <c r="A166" s="79" t="str">
        <f>'Data shares'!B216</f>
        <v>Pharma</v>
      </c>
      <c r="B166" s="79" t="str">
        <f>'Data shares'!C216</f>
        <v>ZYDUSLIFE</v>
      </c>
      <c r="C166" s="4">
        <f>VLOOKUP($B166,'Data shares'!$C:$FB,7)</f>
        <v>928</v>
      </c>
      <c r="D166" s="82">
        <f>VLOOKUP($B166,'Data shares'!$C:$FB,98)</f>
        <v>21375000</v>
      </c>
      <c r="E166" s="165" t="e">
        <f>VLOOKUP(B166,'Snapshot (Volume)'!$A$7:$G$168,7,0)</f>
        <v>#N/A</v>
      </c>
      <c r="F166" s="165" t="e">
        <f t="shared" si="54"/>
        <v>#N/A</v>
      </c>
      <c r="G166" s="166" t="e">
        <f t="shared" si="55"/>
        <v>#N/A</v>
      </c>
      <c r="H166" s="165">
        <f>VLOOKUP($B166,'Data shares'!$C:$FB,66)</f>
        <v>17039700</v>
      </c>
      <c r="I166" s="165">
        <f>VLOOKUP($B166,'Data shares'!$C:$FB,67)</f>
        <v>7930800</v>
      </c>
      <c r="J166" s="81">
        <f t="shared" si="56"/>
        <v>114.8547435315479</v>
      </c>
      <c r="K166" s="5">
        <f>VLOOKUP($B166,'Data Vlaue (Cr)'!$C:$FB,99)</f>
        <v>1983</v>
      </c>
      <c r="L166" s="81">
        <f>VLOOKUP(B166,'OI(Value)'!$A$7:$C$209,3,0)</f>
        <v>-84</v>
      </c>
      <c r="M166" s="33">
        <f t="shared" si="57"/>
        <v>-4.236006051437216</v>
      </c>
      <c r="N166" s="5">
        <f>VLOOKUP($B166,'Data Vlaue (Cr)'!$C:$FB,67)</f>
        <v>1580</v>
      </c>
      <c r="O166" s="5">
        <f>VLOOKUP($B166,'Data Vlaue (Cr)'!$C:$FB,68)</f>
        <v>736</v>
      </c>
      <c r="P166" s="5">
        <f>(N166-O166)/N166*100</f>
        <v>53.417721518987335</v>
      </c>
      <c r="Q166" s="1"/>
      <c r="R166" s="1"/>
      <c r="S166" s="1"/>
      <c r="T166" s="1"/>
      <c r="U166" s="1"/>
      <c r="V166" s="1"/>
      <c r="W166" s="1"/>
      <c r="X166" s="1"/>
      <c r="Y166" s="1"/>
      <c r="Z166" s="1"/>
      <c r="AA166" s="1"/>
      <c r="AB166" s="1"/>
      <c r="AC166" s="1"/>
      <c r="AD166" s="1"/>
      <c r="AE166" s="1"/>
      <c r="AF166" s="1"/>
      <c r="AG166" s="1"/>
      <c r="AH166" s="1"/>
      <c r="AI166" s="1"/>
      <c r="AJ166" s="1"/>
    </row>
    <row r="167" spans="1:36" x14ac:dyDescent="0.25">
      <c r="A167" s="4"/>
      <c r="B167" s="4"/>
      <c r="C167" s="4"/>
      <c r="D167" s="82"/>
      <c r="E167" s="82"/>
      <c r="F167" s="82"/>
      <c r="G167" s="5"/>
      <c r="H167" s="83"/>
      <c r="I167" s="83"/>
      <c r="J167" s="5"/>
      <c r="K167" s="5"/>
      <c r="L167" s="5"/>
      <c r="M167" s="33"/>
      <c r="N167" s="5"/>
      <c r="O167" s="5"/>
      <c r="P167" s="5"/>
      <c r="Q167" s="1"/>
      <c r="R167" s="1"/>
      <c r="S167" s="1"/>
      <c r="T167" s="1"/>
      <c r="U167" s="1"/>
      <c r="V167" s="1"/>
      <c r="W167" s="1"/>
      <c r="X167" s="1"/>
      <c r="Y167" s="1"/>
      <c r="Z167" s="1"/>
      <c r="AA167" s="1"/>
      <c r="AB167" s="1"/>
      <c r="AC167" s="1"/>
      <c r="AD167" s="1"/>
      <c r="AE167" s="1"/>
      <c r="AF167" s="1"/>
      <c r="AG167" s="1"/>
      <c r="AH167" s="1"/>
      <c r="AI167" s="1"/>
      <c r="AJ167" s="1"/>
    </row>
    <row r="168" spans="1:36" x14ac:dyDescent="0.25">
      <c r="A168" s="4"/>
      <c r="B168" s="4"/>
      <c r="C168" s="4"/>
      <c r="D168" s="82"/>
      <c r="E168" s="82"/>
      <c r="F168" s="82"/>
      <c r="G168" s="5"/>
      <c r="H168" s="83"/>
      <c r="I168" s="83"/>
      <c r="J168" s="5"/>
      <c r="K168" s="5"/>
      <c r="L168" s="5"/>
      <c r="M168" s="33"/>
      <c r="N168" s="5"/>
      <c r="O168" s="5"/>
      <c r="P168" s="5"/>
      <c r="Q168" s="1"/>
      <c r="R168" s="1"/>
      <c r="S168" s="1"/>
      <c r="T168" s="1"/>
      <c r="U168" s="1"/>
      <c r="V168" s="1"/>
      <c r="W168" s="1"/>
      <c r="X168" s="1"/>
      <c r="Y168" s="1"/>
      <c r="Z168" s="1"/>
      <c r="AA168" s="1"/>
      <c r="AB168" s="1"/>
      <c r="AC168" s="1"/>
      <c r="AD168" s="1"/>
      <c r="AE168" s="1"/>
      <c r="AF168" s="1"/>
      <c r="AG168" s="1"/>
      <c r="AH168" s="1"/>
      <c r="AI168" s="1"/>
      <c r="AJ168" s="1"/>
    </row>
    <row r="169" spans="1:36" x14ac:dyDescent="0.25">
      <c r="A169" s="4"/>
      <c r="B169" s="4"/>
      <c r="C169" s="4"/>
      <c r="D169" s="82"/>
      <c r="E169" s="82"/>
      <c r="F169" s="82"/>
      <c r="G169" s="5"/>
      <c r="H169" s="83"/>
      <c r="I169" s="83"/>
      <c r="J169" s="5"/>
      <c r="K169" s="5"/>
      <c r="L169" s="5"/>
      <c r="M169" s="33"/>
      <c r="N169" s="5"/>
      <c r="O169" s="5"/>
      <c r="P169" s="5"/>
      <c r="Q169" s="1"/>
      <c r="R169" s="1"/>
      <c r="S169" s="1"/>
      <c r="T169" s="1"/>
      <c r="U169" s="1"/>
      <c r="V169" s="1"/>
      <c r="W169" s="1"/>
      <c r="X169" s="1"/>
      <c r="Y169" s="1"/>
      <c r="Z169" s="1"/>
      <c r="AA169" s="1"/>
      <c r="AB169" s="1"/>
      <c r="AC169" s="1"/>
      <c r="AD169" s="1"/>
      <c r="AE169" s="1"/>
      <c r="AF169" s="1"/>
      <c r="AG169" s="1"/>
      <c r="AH169" s="1"/>
      <c r="AI169" s="1"/>
      <c r="AJ169" s="1"/>
    </row>
    <row r="170" spans="1:36" x14ac:dyDescent="0.25">
      <c r="A170" s="4"/>
      <c r="B170" s="4"/>
      <c r="C170" s="4"/>
      <c r="D170" s="82"/>
      <c r="E170" s="82"/>
      <c r="F170" s="82"/>
      <c r="G170" s="5"/>
      <c r="H170" s="83"/>
      <c r="I170" s="83"/>
      <c r="J170" s="5"/>
      <c r="K170" s="5"/>
      <c r="L170" s="5"/>
      <c r="M170" s="33"/>
      <c r="N170" s="5"/>
      <c r="O170" s="5"/>
      <c r="P170" s="5"/>
      <c r="Q170" s="1"/>
      <c r="R170" s="1"/>
      <c r="S170" s="1"/>
      <c r="T170" s="1"/>
      <c r="U170" s="1"/>
      <c r="V170" s="1"/>
      <c r="W170" s="1"/>
      <c r="X170" s="1"/>
      <c r="Y170" s="1"/>
      <c r="Z170" s="1"/>
      <c r="AA170" s="1"/>
      <c r="AB170" s="1"/>
      <c r="AC170" s="1"/>
      <c r="AD170" s="1"/>
      <c r="AE170" s="1"/>
      <c r="AF170" s="1"/>
      <c r="AG170" s="1"/>
      <c r="AH170" s="1"/>
      <c r="AI170" s="1"/>
      <c r="AJ170" s="1"/>
    </row>
    <row r="171" spans="1:36" x14ac:dyDescent="0.25">
      <c r="A171" s="4"/>
      <c r="B171" s="4"/>
      <c r="C171" s="4"/>
      <c r="D171" s="82"/>
      <c r="E171" s="82"/>
      <c r="F171" s="82"/>
      <c r="G171" s="5"/>
      <c r="H171" s="83"/>
      <c r="I171" s="83"/>
      <c r="J171" s="5"/>
      <c r="K171" s="5"/>
      <c r="L171" s="5"/>
      <c r="M171" s="33"/>
      <c r="N171" s="5"/>
      <c r="O171" s="5"/>
      <c r="P171" s="5"/>
      <c r="Q171" s="1"/>
      <c r="R171" s="1"/>
      <c r="S171" s="1"/>
      <c r="T171" s="1"/>
      <c r="U171" s="1"/>
      <c r="V171" s="1"/>
      <c r="W171" s="1"/>
      <c r="X171" s="1"/>
      <c r="Y171" s="1"/>
      <c r="Z171" s="1"/>
      <c r="AA171" s="1"/>
      <c r="AB171" s="1"/>
      <c r="AC171" s="1"/>
      <c r="AD171" s="1"/>
      <c r="AE171" s="1"/>
      <c r="AF171" s="1"/>
      <c r="AG171" s="1"/>
      <c r="AH171" s="1"/>
      <c r="AI171" s="1"/>
      <c r="AJ171" s="1"/>
    </row>
    <row r="172" spans="1:36" x14ac:dyDescent="0.25">
      <c r="A172" s="4"/>
      <c r="B172" s="4"/>
      <c r="C172" s="4"/>
      <c r="D172" s="82"/>
      <c r="E172" s="82"/>
      <c r="F172" s="82"/>
      <c r="G172" s="5"/>
      <c r="H172" s="83"/>
      <c r="I172" s="83"/>
      <c r="J172" s="5"/>
      <c r="K172" s="5"/>
      <c r="L172" s="5"/>
      <c r="M172" s="33"/>
      <c r="N172" s="5"/>
      <c r="O172" s="5"/>
      <c r="P172" s="5"/>
      <c r="Q172" s="1"/>
      <c r="R172" s="1"/>
      <c r="S172" s="1"/>
      <c r="T172" s="1"/>
      <c r="U172" s="1"/>
      <c r="V172" s="1"/>
      <c r="W172" s="1"/>
      <c r="X172" s="1"/>
      <c r="Y172" s="1"/>
      <c r="Z172" s="1"/>
      <c r="AA172" s="1"/>
      <c r="AB172" s="1"/>
      <c r="AC172" s="1"/>
      <c r="AD172" s="1"/>
      <c r="AE172" s="1"/>
      <c r="AF172" s="1"/>
      <c r="AG172" s="1"/>
      <c r="AH172" s="1"/>
      <c r="AI172" s="1"/>
      <c r="AJ172" s="1"/>
    </row>
    <row r="173" spans="1:36" x14ac:dyDescent="0.25">
      <c r="A173" s="4"/>
      <c r="B173" s="4"/>
      <c r="C173" s="4"/>
      <c r="D173" s="82"/>
      <c r="E173" s="82"/>
      <c r="F173" s="82"/>
      <c r="G173" s="5"/>
      <c r="H173" s="83"/>
      <c r="I173" s="83"/>
      <c r="J173" s="5"/>
      <c r="K173" s="5"/>
      <c r="L173" s="5"/>
      <c r="M173" s="33"/>
      <c r="N173" s="5"/>
      <c r="O173" s="5"/>
      <c r="P173" s="5"/>
      <c r="Q173" s="1"/>
      <c r="R173" s="1"/>
      <c r="S173" s="1"/>
      <c r="T173" s="1"/>
      <c r="U173" s="1"/>
      <c r="V173" s="1"/>
      <c r="W173" s="1"/>
      <c r="X173" s="1"/>
      <c r="Y173" s="1"/>
      <c r="Z173" s="1"/>
      <c r="AA173" s="1"/>
      <c r="AB173" s="1"/>
      <c r="AC173" s="1"/>
      <c r="AD173" s="1"/>
      <c r="AE173" s="1"/>
      <c r="AF173" s="1"/>
      <c r="AG173" s="1"/>
      <c r="AH173" s="1"/>
      <c r="AI173" s="1"/>
      <c r="AJ173" s="1"/>
    </row>
    <row r="174" spans="1:36" x14ac:dyDescent="0.25">
      <c r="A174" s="4"/>
      <c r="B174" s="4"/>
      <c r="C174" s="4"/>
      <c r="D174" s="82"/>
      <c r="E174" s="82"/>
      <c r="F174" s="82"/>
      <c r="G174" s="5"/>
      <c r="H174" s="83"/>
      <c r="I174" s="83"/>
      <c r="J174" s="5"/>
      <c r="K174" s="5"/>
      <c r="L174" s="5"/>
      <c r="M174" s="33"/>
      <c r="N174" s="5"/>
      <c r="O174" s="5"/>
      <c r="P174" s="5"/>
      <c r="Q174" s="1"/>
      <c r="R174" s="1"/>
      <c r="S174" s="1"/>
      <c r="T174" s="1"/>
      <c r="U174" s="1"/>
      <c r="V174" s="1"/>
      <c r="W174" s="1"/>
      <c r="X174" s="1"/>
      <c r="Y174" s="1"/>
      <c r="Z174" s="1"/>
      <c r="AA174" s="1"/>
      <c r="AB174" s="1"/>
      <c r="AC174" s="1"/>
      <c r="AD174" s="1"/>
      <c r="AE174" s="1"/>
      <c r="AF174" s="1"/>
      <c r="AG174" s="1"/>
      <c r="AH174" s="1"/>
      <c r="AI174" s="1"/>
      <c r="AJ174" s="1"/>
    </row>
    <row r="175" spans="1:36" x14ac:dyDescent="0.25">
      <c r="A175" s="4"/>
      <c r="B175" s="4"/>
      <c r="C175" s="4"/>
      <c r="D175" s="82"/>
      <c r="E175" s="82"/>
      <c r="F175" s="82"/>
      <c r="G175" s="5"/>
      <c r="H175" s="83"/>
      <c r="I175" s="83"/>
      <c r="J175" s="5"/>
      <c r="K175" s="5"/>
      <c r="L175" s="5"/>
      <c r="M175" s="33"/>
      <c r="N175" s="5"/>
      <c r="O175" s="5"/>
      <c r="P175" s="5"/>
      <c r="Q175" s="1"/>
      <c r="R175" s="1"/>
      <c r="S175" s="1"/>
      <c r="T175" s="1"/>
      <c r="U175" s="1"/>
      <c r="V175" s="1"/>
      <c r="W175" s="1"/>
      <c r="X175" s="1"/>
      <c r="Y175" s="1"/>
      <c r="Z175" s="1"/>
      <c r="AA175" s="1"/>
      <c r="AB175" s="1"/>
      <c r="AC175" s="1"/>
      <c r="AD175" s="1"/>
      <c r="AE175" s="1"/>
      <c r="AF175" s="1"/>
      <c r="AG175" s="1"/>
      <c r="AH175" s="1"/>
      <c r="AI175" s="1"/>
      <c r="AJ175" s="1"/>
    </row>
    <row r="176" spans="1:36" x14ac:dyDescent="0.25">
      <c r="A176" s="4"/>
      <c r="B176" s="4"/>
      <c r="C176" s="4"/>
      <c r="D176" s="82"/>
      <c r="E176" s="82"/>
      <c r="F176" s="82"/>
      <c r="G176" s="5"/>
      <c r="H176" s="83"/>
      <c r="I176" s="83"/>
      <c r="J176" s="5"/>
      <c r="K176" s="5"/>
      <c r="L176" s="5"/>
      <c r="M176" s="33"/>
      <c r="N176" s="5"/>
      <c r="O176" s="5"/>
      <c r="P176" s="5"/>
      <c r="Q176" s="1"/>
      <c r="R176" s="1"/>
      <c r="S176" s="1"/>
      <c r="T176" s="1"/>
      <c r="U176" s="1"/>
      <c r="V176" s="1"/>
      <c r="W176" s="1"/>
      <c r="X176" s="1"/>
      <c r="Y176" s="1"/>
      <c r="Z176" s="1"/>
      <c r="AA176" s="1"/>
      <c r="AB176" s="1"/>
      <c r="AC176" s="1"/>
      <c r="AD176" s="1"/>
      <c r="AE176" s="1"/>
      <c r="AF176" s="1"/>
      <c r="AG176" s="1"/>
      <c r="AH176" s="1"/>
      <c r="AI176" s="1"/>
      <c r="AJ176" s="1"/>
    </row>
    <row r="177" spans="1:36" x14ac:dyDescent="0.25">
      <c r="A177" s="4"/>
      <c r="B177" s="4"/>
      <c r="C177" s="4"/>
      <c r="D177" s="82"/>
      <c r="E177" s="82"/>
      <c r="F177" s="82"/>
      <c r="G177" s="5"/>
      <c r="H177" s="83"/>
      <c r="I177" s="83"/>
      <c r="J177" s="5"/>
      <c r="K177" s="5"/>
      <c r="L177" s="5"/>
      <c r="M177" s="33"/>
      <c r="N177" s="5"/>
      <c r="O177" s="5"/>
      <c r="P177" s="5"/>
      <c r="Q177" s="1"/>
      <c r="R177" s="1"/>
      <c r="S177" s="1"/>
      <c r="T177" s="1"/>
      <c r="U177" s="1"/>
      <c r="V177" s="1"/>
      <c r="W177" s="1"/>
      <c r="X177" s="1"/>
      <c r="Y177" s="1"/>
      <c r="Z177" s="1"/>
      <c r="AA177" s="1"/>
      <c r="AB177" s="1"/>
      <c r="AC177" s="1"/>
      <c r="AD177" s="1"/>
      <c r="AE177" s="1"/>
      <c r="AF177" s="1"/>
      <c r="AG177" s="1"/>
      <c r="AH177" s="1"/>
      <c r="AI177" s="1"/>
      <c r="AJ177" s="1"/>
    </row>
    <row r="178" spans="1:36" x14ac:dyDescent="0.25">
      <c r="A178" s="4"/>
      <c r="B178" s="4"/>
      <c r="C178" s="4"/>
      <c r="D178" s="82"/>
      <c r="E178" s="82"/>
      <c r="F178" s="82"/>
      <c r="G178" s="5"/>
      <c r="H178" s="83"/>
      <c r="I178" s="83"/>
      <c r="J178" s="5"/>
      <c r="K178" s="5"/>
      <c r="L178" s="5"/>
      <c r="M178" s="33"/>
      <c r="N178" s="5"/>
      <c r="O178" s="5"/>
      <c r="P178" s="5"/>
      <c r="Q178" s="1"/>
      <c r="R178" s="1"/>
      <c r="S178" s="1"/>
      <c r="T178" s="1"/>
      <c r="U178" s="1"/>
      <c r="V178" s="1"/>
      <c r="W178" s="1"/>
      <c r="X178" s="1"/>
      <c r="Y178" s="1"/>
      <c r="Z178" s="1"/>
      <c r="AA178" s="1"/>
      <c r="AB178" s="1"/>
      <c r="AC178" s="1"/>
      <c r="AD178" s="1"/>
      <c r="AE178" s="1"/>
      <c r="AF178" s="1"/>
      <c r="AG178" s="1"/>
      <c r="AH178" s="1"/>
      <c r="AI178" s="1"/>
      <c r="AJ178" s="1"/>
    </row>
    <row r="179" spans="1:36" x14ac:dyDescent="0.25">
      <c r="A179" s="4"/>
      <c r="B179" s="4"/>
      <c r="C179" s="4"/>
      <c r="D179" s="82"/>
      <c r="E179" s="82"/>
      <c r="F179" s="82"/>
      <c r="G179" s="5"/>
      <c r="H179" s="83"/>
      <c r="I179" s="83"/>
      <c r="J179" s="5"/>
      <c r="K179" s="5"/>
      <c r="L179" s="5"/>
      <c r="M179" s="33"/>
      <c r="N179" s="5"/>
      <c r="O179" s="5"/>
      <c r="P179" s="5"/>
      <c r="Q179" s="1"/>
      <c r="R179" s="1"/>
      <c r="S179" s="1"/>
      <c r="T179" s="1"/>
      <c r="U179" s="1"/>
      <c r="V179" s="1"/>
      <c r="W179" s="1"/>
      <c r="X179" s="1"/>
      <c r="Y179" s="1"/>
      <c r="Z179" s="1"/>
      <c r="AA179" s="1"/>
      <c r="AB179" s="1"/>
      <c r="AC179" s="1"/>
      <c r="AD179" s="1"/>
      <c r="AE179" s="1"/>
      <c r="AF179" s="1"/>
      <c r="AG179" s="1"/>
      <c r="AH179" s="1"/>
      <c r="AI179" s="1"/>
      <c r="AJ179" s="1"/>
    </row>
    <row r="180" spans="1:36" x14ac:dyDescent="0.25">
      <c r="A180" s="4"/>
      <c r="B180" s="4"/>
      <c r="C180" s="4"/>
      <c r="D180" s="82"/>
      <c r="E180" s="82"/>
      <c r="F180" s="82"/>
      <c r="G180" s="5"/>
      <c r="H180" s="83"/>
      <c r="I180" s="83"/>
      <c r="J180" s="5"/>
      <c r="K180" s="5"/>
      <c r="L180" s="5"/>
      <c r="M180" s="33"/>
      <c r="N180" s="5"/>
      <c r="O180" s="5"/>
      <c r="P180" s="5"/>
      <c r="Q180" s="1"/>
      <c r="R180" s="1"/>
      <c r="S180" s="1"/>
      <c r="T180" s="1"/>
      <c r="U180" s="1"/>
      <c r="V180" s="1"/>
      <c r="W180" s="1"/>
      <c r="X180" s="1"/>
      <c r="Y180" s="1"/>
      <c r="Z180" s="1"/>
      <c r="AA180" s="1"/>
      <c r="AB180" s="1"/>
      <c r="AC180" s="1"/>
      <c r="AD180" s="1"/>
      <c r="AE180" s="1"/>
      <c r="AF180" s="1"/>
      <c r="AG180" s="1"/>
      <c r="AH180" s="1"/>
      <c r="AI180" s="1"/>
      <c r="AJ180" s="1"/>
    </row>
    <row r="181" spans="1:36" x14ac:dyDescent="0.25">
      <c r="A181" s="4"/>
      <c r="B181" s="4"/>
      <c r="C181" s="4"/>
      <c r="D181" s="82"/>
      <c r="E181" s="82"/>
      <c r="F181" s="82"/>
      <c r="G181" s="5"/>
      <c r="H181" s="83"/>
      <c r="I181" s="83"/>
      <c r="J181" s="5"/>
      <c r="K181" s="5"/>
      <c r="L181" s="5"/>
      <c r="M181" s="33"/>
      <c r="N181" s="5"/>
      <c r="O181" s="5"/>
      <c r="P181" s="5"/>
      <c r="Q181" s="1"/>
      <c r="R181" s="1"/>
      <c r="S181" s="1"/>
      <c r="T181" s="1"/>
      <c r="U181" s="1"/>
      <c r="V181" s="1"/>
      <c r="W181" s="1"/>
      <c r="X181" s="1"/>
      <c r="Y181" s="1"/>
      <c r="Z181" s="1"/>
      <c r="AA181" s="1"/>
      <c r="AB181" s="1"/>
      <c r="AC181" s="1"/>
      <c r="AD181" s="1"/>
      <c r="AE181" s="1"/>
      <c r="AF181" s="1"/>
      <c r="AG181" s="1"/>
      <c r="AH181" s="1"/>
      <c r="AI181" s="1"/>
      <c r="AJ181" s="1"/>
    </row>
    <row r="182" spans="1:36" x14ac:dyDescent="0.25">
      <c r="A182" s="4"/>
      <c r="B182" s="4"/>
      <c r="C182" s="4"/>
      <c r="D182" s="82"/>
      <c r="E182" s="82"/>
      <c r="F182" s="82"/>
      <c r="G182" s="5"/>
      <c r="H182" s="83"/>
      <c r="I182" s="83"/>
      <c r="J182" s="5"/>
      <c r="K182" s="5"/>
      <c r="L182" s="5"/>
      <c r="M182" s="33"/>
      <c r="N182" s="5"/>
      <c r="O182" s="5"/>
      <c r="P182" s="5"/>
      <c r="Q182" s="1"/>
      <c r="R182" s="1"/>
      <c r="S182" s="1"/>
      <c r="T182" s="1"/>
      <c r="U182" s="1"/>
      <c r="V182" s="1"/>
      <c r="W182" s="1"/>
      <c r="X182" s="1"/>
      <c r="Y182" s="1"/>
      <c r="Z182" s="1"/>
      <c r="AA182" s="1"/>
      <c r="AB182" s="1"/>
      <c r="AC182" s="1"/>
      <c r="AD182" s="1"/>
      <c r="AE182" s="1"/>
      <c r="AF182" s="1"/>
      <c r="AG182" s="1"/>
      <c r="AH182" s="1"/>
      <c r="AI182" s="1"/>
      <c r="AJ182" s="1"/>
    </row>
    <row r="183" spans="1:36" x14ac:dyDescent="0.25">
      <c r="A183" s="4"/>
      <c r="B183" s="4"/>
      <c r="C183" s="4"/>
      <c r="D183" s="82"/>
      <c r="E183" s="82"/>
      <c r="F183" s="82"/>
      <c r="G183" s="5"/>
      <c r="H183" s="83"/>
      <c r="I183" s="83"/>
      <c r="J183" s="5"/>
      <c r="K183" s="5"/>
      <c r="L183" s="5"/>
      <c r="M183" s="33"/>
      <c r="N183" s="5"/>
      <c r="O183" s="5"/>
      <c r="P183" s="5"/>
      <c r="Q183" s="1"/>
      <c r="R183" s="1"/>
      <c r="S183" s="1"/>
      <c r="T183" s="1"/>
      <c r="U183" s="1"/>
      <c r="V183" s="1"/>
      <c r="W183" s="1"/>
      <c r="X183" s="1"/>
      <c r="Y183" s="1"/>
      <c r="Z183" s="1"/>
      <c r="AA183" s="1"/>
      <c r="AB183" s="1"/>
      <c r="AC183" s="1"/>
      <c r="AD183" s="1"/>
      <c r="AE183" s="1"/>
      <c r="AF183" s="1"/>
      <c r="AG183" s="1"/>
      <c r="AH183" s="1"/>
      <c r="AI183" s="1"/>
      <c r="AJ183" s="1"/>
    </row>
    <row r="184" spans="1:36" x14ac:dyDescent="0.25">
      <c r="A184" s="4"/>
      <c r="B184" s="4"/>
      <c r="C184" s="4"/>
      <c r="D184" s="82"/>
      <c r="E184" s="82"/>
      <c r="F184" s="82"/>
      <c r="G184" s="5"/>
      <c r="H184" s="83"/>
      <c r="I184" s="83"/>
      <c r="J184" s="5"/>
      <c r="K184" s="5"/>
      <c r="L184" s="5"/>
      <c r="M184" s="33"/>
      <c r="N184" s="5"/>
      <c r="O184" s="5"/>
      <c r="P184" s="5"/>
      <c r="Q184" s="1"/>
      <c r="R184" s="1"/>
      <c r="S184" s="1"/>
      <c r="T184" s="1"/>
      <c r="U184" s="1"/>
      <c r="V184" s="1"/>
      <c r="W184" s="1"/>
      <c r="X184" s="1"/>
      <c r="Y184" s="1"/>
      <c r="Z184" s="1"/>
      <c r="AA184" s="1"/>
      <c r="AB184" s="1"/>
      <c r="AC184" s="1"/>
      <c r="AD184" s="1"/>
      <c r="AE184" s="1"/>
      <c r="AF184" s="1"/>
      <c r="AG184" s="1"/>
      <c r="AH184" s="1"/>
      <c r="AI184" s="1"/>
      <c r="AJ184" s="1"/>
    </row>
    <row r="185" spans="1:36" x14ac:dyDescent="0.25">
      <c r="A185" s="4"/>
      <c r="B185" s="4"/>
      <c r="C185" s="4"/>
      <c r="D185" s="82"/>
      <c r="E185" s="82"/>
      <c r="F185" s="82"/>
      <c r="G185" s="5"/>
      <c r="H185" s="83"/>
      <c r="I185" s="83"/>
      <c r="J185" s="5"/>
      <c r="K185" s="5"/>
      <c r="L185" s="5"/>
      <c r="M185" s="33"/>
      <c r="N185" s="5"/>
      <c r="O185" s="5"/>
      <c r="P185" s="5"/>
      <c r="Q185" s="1"/>
      <c r="R185" s="1"/>
      <c r="S185" s="1"/>
      <c r="T185" s="1"/>
      <c r="U185" s="1"/>
      <c r="V185" s="1"/>
      <c r="W185" s="1"/>
      <c r="X185" s="1"/>
      <c r="Y185" s="1"/>
      <c r="Z185" s="1"/>
      <c r="AA185" s="1"/>
      <c r="AB185" s="1"/>
      <c r="AC185" s="1"/>
      <c r="AD185" s="1"/>
      <c r="AE185" s="1"/>
      <c r="AF185" s="1"/>
      <c r="AG185" s="1"/>
      <c r="AH185" s="1"/>
      <c r="AI185" s="1"/>
      <c r="AJ185" s="1"/>
    </row>
    <row r="186" spans="1:36" x14ac:dyDescent="0.25">
      <c r="A186" s="4"/>
      <c r="B186" s="4"/>
      <c r="C186" s="4"/>
      <c r="D186" s="82"/>
      <c r="E186" s="82"/>
      <c r="F186" s="82"/>
      <c r="G186" s="5"/>
      <c r="H186" s="83"/>
      <c r="I186" s="83"/>
      <c r="J186" s="5"/>
      <c r="K186" s="5"/>
      <c r="L186" s="5"/>
      <c r="M186" s="33"/>
      <c r="N186" s="5"/>
      <c r="O186" s="5"/>
      <c r="P186" s="5"/>
      <c r="Q186" s="1"/>
      <c r="R186" s="1"/>
      <c r="S186" s="1"/>
      <c r="T186" s="1"/>
      <c r="U186" s="1"/>
      <c r="V186" s="1"/>
      <c r="W186" s="1"/>
      <c r="X186" s="1"/>
      <c r="Y186" s="1"/>
      <c r="Z186" s="1"/>
      <c r="AA186" s="1"/>
      <c r="AB186" s="1"/>
      <c r="AC186" s="1"/>
      <c r="AD186" s="1"/>
      <c r="AE186" s="1"/>
      <c r="AF186" s="1"/>
      <c r="AG186" s="1"/>
      <c r="AH186" s="1"/>
      <c r="AI186" s="1"/>
      <c r="AJ186" s="1"/>
    </row>
    <row r="187" spans="1:36" x14ac:dyDescent="0.25">
      <c r="A187" s="4"/>
      <c r="B187" s="4"/>
      <c r="C187" s="4"/>
      <c r="D187" s="5"/>
      <c r="E187" s="5"/>
      <c r="F187" s="5"/>
      <c r="G187" s="5"/>
      <c r="H187" s="5"/>
      <c r="I187" s="5"/>
      <c r="J187" s="5"/>
      <c r="K187" s="5"/>
      <c r="L187" s="5"/>
      <c r="M187" s="5"/>
      <c r="N187" s="5"/>
      <c r="O187" s="5"/>
      <c r="P187" s="5"/>
      <c r="Q187" s="1"/>
      <c r="R187" s="1"/>
      <c r="S187" s="1"/>
      <c r="T187" s="1"/>
      <c r="U187" s="1"/>
      <c r="V187" s="1"/>
      <c r="W187" s="1"/>
      <c r="X187" s="1"/>
      <c r="Y187" s="1"/>
      <c r="Z187" s="1"/>
      <c r="AA187" s="1"/>
      <c r="AB187" s="1"/>
      <c r="AC187" s="1"/>
      <c r="AD187" s="1"/>
      <c r="AE187" s="1"/>
      <c r="AF187" s="1"/>
      <c r="AG187" s="1"/>
      <c r="AH187" s="1"/>
      <c r="AI187" s="1"/>
      <c r="AJ187" s="1"/>
    </row>
    <row r="188" spans="1:36" x14ac:dyDescent="0.25">
      <c r="A188" s="4"/>
      <c r="B188" s="4"/>
      <c r="C188" s="4"/>
      <c r="D188" s="5"/>
      <c r="E188" s="5"/>
      <c r="F188" s="5"/>
      <c r="G188" s="5"/>
      <c r="H188" s="5"/>
      <c r="I188" s="5"/>
      <c r="J188" s="5"/>
      <c r="K188" s="5"/>
      <c r="L188" s="5"/>
      <c r="M188" s="5"/>
      <c r="N188" s="5"/>
      <c r="O188" s="5"/>
      <c r="P188" s="5"/>
      <c r="Q188" s="1"/>
      <c r="R188" s="1"/>
      <c r="S188" s="1"/>
      <c r="T188" s="1"/>
      <c r="U188" s="1"/>
      <c r="V188" s="1"/>
      <c r="W188" s="1"/>
      <c r="X188" s="1"/>
      <c r="Y188" s="1"/>
      <c r="Z188" s="1"/>
      <c r="AA188" s="1"/>
      <c r="AB188" s="1"/>
      <c r="AC188" s="1"/>
      <c r="AD188" s="1"/>
      <c r="AE188" s="1"/>
      <c r="AF188" s="1"/>
      <c r="AG188" s="1"/>
      <c r="AH188" s="1"/>
      <c r="AI188" s="1"/>
      <c r="AJ188" s="1"/>
    </row>
    <row r="189" spans="1:36" x14ac:dyDescent="0.25">
      <c r="A189" s="4"/>
      <c r="B189" s="4"/>
      <c r="C189" s="4"/>
      <c r="D189" s="5"/>
      <c r="E189" s="5"/>
      <c r="F189" s="5"/>
      <c r="G189" s="5"/>
      <c r="H189" s="5"/>
      <c r="I189" s="5"/>
      <c r="J189" s="5"/>
      <c r="K189" s="5"/>
      <c r="L189" s="5"/>
      <c r="M189" s="5"/>
      <c r="N189" s="5"/>
      <c r="O189" s="5"/>
      <c r="P189" s="5"/>
      <c r="Q189" s="1"/>
      <c r="R189" s="1"/>
      <c r="S189" s="1"/>
      <c r="T189" s="1"/>
      <c r="U189" s="1"/>
      <c r="V189" s="1"/>
      <c r="W189" s="1"/>
      <c r="X189" s="1"/>
      <c r="Y189" s="1"/>
      <c r="Z189" s="1"/>
      <c r="AA189" s="1"/>
      <c r="AB189" s="1"/>
      <c r="AC189" s="1"/>
      <c r="AD189" s="1"/>
      <c r="AE189" s="1"/>
      <c r="AF189" s="1"/>
      <c r="AG189" s="1"/>
      <c r="AH189" s="1"/>
      <c r="AI189" s="1"/>
      <c r="AJ189" s="1"/>
    </row>
    <row r="190" spans="1:36" x14ac:dyDescent="0.25">
      <c r="A190" s="4"/>
      <c r="B190" s="4"/>
      <c r="C190" s="4"/>
      <c r="D190" s="5"/>
      <c r="E190" s="5"/>
      <c r="F190" s="5"/>
      <c r="G190" s="5"/>
      <c r="H190" s="5"/>
      <c r="I190" s="5"/>
      <c r="J190" s="5"/>
      <c r="K190" s="5"/>
      <c r="L190" s="5"/>
      <c r="M190" s="5"/>
      <c r="N190" s="5"/>
      <c r="O190" s="5"/>
      <c r="P190" s="5"/>
      <c r="Q190" s="1"/>
      <c r="R190" s="1"/>
      <c r="S190" s="1"/>
      <c r="T190" s="1"/>
      <c r="U190" s="1"/>
      <c r="V190" s="1"/>
      <c r="W190" s="1"/>
      <c r="X190" s="1"/>
      <c r="Y190" s="1"/>
      <c r="Z190" s="1"/>
      <c r="AA190" s="1"/>
      <c r="AB190" s="1"/>
      <c r="AC190" s="1"/>
      <c r="AD190" s="1"/>
      <c r="AE190" s="1"/>
      <c r="AF190" s="1"/>
      <c r="AG190" s="1"/>
      <c r="AH190" s="1"/>
      <c r="AI190" s="1"/>
      <c r="AJ190" s="1"/>
    </row>
    <row r="191" spans="1:36" x14ac:dyDescent="0.25">
      <c r="A191" s="115" t="s">
        <v>399</v>
      </c>
      <c r="B191" s="68"/>
      <c r="C191" s="68"/>
      <c r="D191" s="116" t="e">
        <f>#REF!+D37+#REF!+D53+D58+D76+D94+D101+D104+D110+D122+D132+D146+D161+#REF!+D174+D181+D187</f>
        <v>#REF!</v>
      </c>
      <c r="E191" s="116"/>
      <c r="F191" s="116" t="e">
        <f>#REF!+F37+#REF!+F53+F58+F76+F94+F101+F104+F110+F122+F132+F146+F161+#REF!+F174+F181+F187</f>
        <v>#REF!</v>
      </c>
      <c r="G191" s="116" t="e">
        <f>(F191/D191)*100</f>
        <v>#REF!</v>
      </c>
      <c r="H191" s="116" t="e">
        <f>#REF!+H37+#REF!+H53+H58+H76+H94+H101+H104+H110+H122+H132+H146+H161+#REF!+H174+H181+H187</f>
        <v>#REF!</v>
      </c>
      <c r="I191" s="116" t="e">
        <f>#REF!+I37+#REF!+I53+I58+I76+I94+I101+I104+I110+I122+I132+I146+I161+#REF!+I174+I181+I187</f>
        <v>#REF!</v>
      </c>
      <c r="J191" s="116" t="e">
        <f>(I191/H191)*100</f>
        <v>#REF!</v>
      </c>
      <c r="K191" s="116" t="e">
        <f>#REF!+K37+#REF!+K53+K58+K76+K94+K101+K104+K110+K122+K132+K146+K161+#REF!+K174+K181+K187</f>
        <v>#REF!</v>
      </c>
      <c r="L191" s="116" t="e">
        <f>#REF!+L37+#REF!+L53+L58+L76+L94+L101+L104+L110+L122+L132+L146+L161+#REF!+L174+L181+L187</f>
        <v>#REF!</v>
      </c>
      <c r="M191" s="116" t="e">
        <f>(L191/K191)*100</f>
        <v>#REF!</v>
      </c>
      <c r="N191" s="116" t="e">
        <f>#REF!+N37+#REF!+N53+N58+N76+N94+N101+N104+N110+N122+N132+N146+N161+#REF!+N174+N181+N187</f>
        <v>#REF!</v>
      </c>
      <c r="O191" s="116" t="e">
        <f>#REF!+O37+#REF!+O53+O58+O76+O94+O101+O104+O110+O122+O132+O146+O161+#REF!+O174+O181+O187</f>
        <v>#REF!</v>
      </c>
      <c r="P191" s="116" t="e">
        <f>(O191/N191)*100</f>
        <v>#REF!</v>
      </c>
      <c r="Q191" s="1"/>
      <c r="R191" s="1"/>
      <c r="S191" s="1"/>
      <c r="T191" s="1"/>
      <c r="U191" s="1"/>
      <c r="V191" s="1"/>
      <c r="W191" s="1"/>
      <c r="X191" s="1"/>
      <c r="Y191" s="1"/>
      <c r="Z191" s="1"/>
      <c r="AA191" s="1"/>
      <c r="AB191" s="1"/>
      <c r="AC191" s="1"/>
      <c r="AD191" s="1"/>
      <c r="AE191" s="1"/>
      <c r="AF191" s="1"/>
      <c r="AG191" s="1"/>
      <c r="AH191" s="1"/>
      <c r="AI191" s="1"/>
      <c r="AJ191" s="1"/>
    </row>
    <row r="192" spans="1:36" x14ac:dyDescent="0.25">
      <c r="A192" s="115" t="s">
        <v>400</v>
      </c>
      <c r="B192" s="69"/>
      <c r="C192" s="69"/>
      <c r="D192" s="117" t="e">
        <f>D191/10000000</f>
        <v>#REF!</v>
      </c>
      <c r="E192" s="117"/>
      <c r="F192" s="117" t="e">
        <f>F191/10000000</f>
        <v>#REF!</v>
      </c>
      <c r="G192" s="116" t="e">
        <f>(F192/D192)*100</f>
        <v>#REF!</v>
      </c>
      <c r="H192" s="117" t="e">
        <f>H191/10000000</f>
        <v>#REF!</v>
      </c>
      <c r="I192" s="117" t="e">
        <f>I191/10000000</f>
        <v>#REF!</v>
      </c>
      <c r="J192" s="116" t="e">
        <f>(I192/H192)*100</f>
        <v>#REF!</v>
      </c>
      <c r="K192" s="117" t="e">
        <f>K191/10000000</f>
        <v>#REF!</v>
      </c>
      <c r="L192" s="117" t="e">
        <f>L191/10000000</f>
        <v>#REF!</v>
      </c>
      <c r="M192" s="116" t="e">
        <f>(L192/K192)*100</f>
        <v>#REF!</v>
      </c>
      <c r="N192" s="117" t="e">
        <f>N191/10000000</f>
        <v>#REF!</v>
      </c>
      <c r="O192" s="117" t="e">
        <f>O191/10000000</f>
        <v>#REF!</v>
      </c>
      <c r="P192" s="116" t="e">
        <f>(O192/N192)*100</f>
        <v>#REF!</v>
      </c>
    </row>
  </sheetData>
  <mergeCells count="10">
    <mergeCell ref="A3:P3"/>
    <mergeCell ref="A4:B5"/>
    <mergeCell ref="D4:G4"/>
    <mergeCell ref="H4:J4"/>
    <mergeCell ref="K4:M4"/>
    <mergeCell ref="N4:P4"/>
    <mergeCell ref="D5:G5"/>
    <mergeCell ref="H5:J5"/>
    <mergeCell ref="K5:M5"/>
    <mergeCell ref="N5:P5"/>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0"/>
  <sheetViews>
    <sheetView zoomScale="85" zoomScaleNormal="85" workbookViewId="0">
      <pane ySplit="6" topLeftCell="A148" activePane="bottomLeft" state="frozen"/>
      <selection pane="bottomLeft" activeCell="A149" sqref="A149"/>
    </sheetView>
  </sheetViews>
  <sheetFormatPr defaultRowHeight="15" x14ac:dyDescent="0.25"/>
  <cols>
    <col min="1" max="1" width="14.5703125" style="74" bestFit="1" customWidth="1"/>
    <col min="2" max="2" width="11" bestFit="1" customWidth="1"/>
    <col min="3" max="3" width="9.42578125" bestFit="1" customWidth="1"/>
    <col min="5" max="5" width="11" customWidth="1"/>
    <col min="8" max="8" width="11" customWidth="1"/>
    <col min="11" max="11" width="10.7109375" customWidth="1"/>
    <col min="14" max="14" width="11" bestFit="1" customWidth="1"/>
  </cols>
  <sheetData>
    <row r="1" spans="1:15" hidden="1" x14ac:dyDescent="0.25"/>
    <row r="2" spans="1:15" ht="15.75" thickBot="1" x14ac:dyDescent="0.3"/>
    <row r="3" spans="1:15" s="85" customFormat="1" ht="23.25" customHeight="1" thickBot="1" x14ac:dyDescent="0.3">
      <c r="A3" s="274" t="s">
        <v>334</v>
      </c>
      <c r="B3" s="275"/>
      <c r="C3" s="275"/>
      <c r="D3" s="276"/>
      <c r="E3" s="277"/>
      <c r="F3" s="277"/>
      <c r="G3" s="277"/>
      <c r="H3" s="277"/>
      <c r="I3" s="277"/>
      <c r="J3" s="277"/>
      <c r="K3" s="277"/>
      <c r="L3" s="277"/>
      <c r="M3" s="277"/>
      <c r="N3" s="277"/>
      <c r="O3" s="278"/>
    </row>
    <row r="4" spans="1:15" s="84" customFormat="1" x14ac:dyDescent="0.25">
      <c r="A4" s="271" t="s">
        <v>330</v>
      </c>
      <c r="B4" s="271" t="s">
        <v>340</v>
      </c>
      <c r="C4" s="271"/>
      <c r="D4" s="271"/>
      <c r="E4" s="271"/>
      <c r="F4" s="271"/>
      <c r="G4" s="271"/>
      <c r="H4" s="271"/>
      <c r="I4" s="271"/>
      <c r="J4" s="271"/>
      <c r="K4" s="271"/>
      <c r="L4" s="271"/>
      <c r="M4" s="271"/>
      <c r="N4" s="271"/>
      <c r="O4" s="271"/>
    </row>
    <row r="5" spans="1:15" s="84" customFormat="1" x14ac:dyDescent="0.25">
      <c r="A5" s="272"/>
      <c r="B5" s="272" t="s">
        <v>314</v>
      </c>
      <c r="C5" s="272"/>
      <c r="D5" s="272"/>
      <c r="E5" s="272" t="s">
        <v>341</v>
      </c>
      <c r="F5" s="272"/>
      <c r="G5" s="272"/>
      <c r="H5" s="272" t="s">
        <v>336</v>
      </c>
      <c r="I5" s="272"/>
      <c r="J5" s="272"/>
      <c r="K5" s="272" t="s">
        <v>342</v>
      </c>
      <c r="L5" s="272"/>
      <c r="M5" s="272"/>
      <c r="N5" s="272" t="s">
        <v>338</v>
      </c>
      <c r="O5" s="272"/>
    </row>
    <row r="6" spans="1:15" s="84" customFormat="1" x14ac:dyDescent="0.25">
      <c r="A6" s="71" t="s">
        <v>318</v>
      </c>
      <c r="B6" s="66">
        <f>'OI(Value)'!B6</f>
        <v>45981</v>
      </c>
      <c r="C6" s="71" t="s">
        <v>333</v>
      </c>
      <c r="D6" s="71" t="s">
        <v>328</v>
      </c>
      <c r="E6" s="66">
        <f>B6</f>
        <v>45981</v>
      </c>
      <c r="F6" s="71" t="s">
        <v>333</v>
      </c>
      <c r="G6" s="71" t="s">
        <v>328</v>
      </c>
      <c r="H6" s="66">
        <f>B6</f>
        <v>45981</v>
      </c>
      <c r="I6" s="71" t="s">
        <v>333</v>
      </c>
      <c r="J6" s="71" t="s">
        <v>328</v>
      </c>
      <c r="K6" s="66">
        <f>B6</f>
        <v>45981</v>
      </c>
      <c r="L6" s="71" t="s">
        <v>333</v>
      </c>
      <c r="M6" s="71" t="s">
        <v>328</v>
      </c>
      <c r="N6" s="71" t="s">
        <v>339</v>
      </c>
      <c r="O6" s="71" t="s">
        <v>328</v>
      </c>
    </row>
    <row r="7" spans="1:15" x14ac:dyDescent="0.25">
      <c r="A7" s="100" t="str">
        <f>'OI(Value)'!A7</f>
        <v>360ONE</v>
      </c>
      <c r="B7" s="82">
        <f>VLOOKUP(A7,'Data shares'!$C$2:$CV$216,98,0)</f>
        <v>5397500</v>
      </c>
      <c r="C7" s="82">
        <f>VLOOKUP(A7,'Data shares'!$C$2:$CX$216,100,0)</f>
        <v>-105000</v>
      </c>
      <c r="D7" s="141">
        <f>VLOOKUP(A7,'Data shares'!$C$2:$CY$539,101,0)</f>
        <v>-1.9099999999999999E-2</v>
      </c>
      <c r="E7" s="86">
        <f>VLOOKUP($A7,'Data shares'!$C:$FA,74)</f>
        <v>2535000</v>
      </c>
      <c r="F7" s="86">
        <f>VLOOKUP($A7,'Data shares'!$C:$FA,76)</f>
        <v>-169000</v>
      </c>
      <c r="G7" s="87">
        <f>VLOOKUP(A7,'Data shares'!$C$2:$CA$216,77,0)</f>
        <v>-6.25E-2</v>
      </c>
      <c r="H7" s="86">
        <f>VLOOKUP($A7,'Data shares'!$C:$FA,90)</f>
        <v>1720000</v>
      </c>
      <c r="I7" s="86">
        <f>VLOOKUP($A7,'Data shares'!$C:$FA,92)</f>
        <v>-201500</v>
      </c>
      <c r="J7" s="87">
        <f>VLOOKUP($A7,'Data shares'!$C:$FA,93)</f>
        <v>-0.10489999999999999</v>
      </c>
      <c r="K7" s="86">
        <f>VLOOKUP($A7,'Data shares'!$C:$FA,94)</f>
        <v>1142500</v>
      </c>
      <c r="L7" s="86">
        <f>VLOOKUP($A7,'Data shares'!$C:$FA,96)</f>
        <v>265500</v>
      </c>
      <c r="M7" s="87">
        <f>VLOOKUP($A7,'Data shares'!$C:$FA,97)</f>
        <v>0.30270000000000002</v>
      </c>
      <c r="N7" s="86">
        <f>VLOOKUP($A7,'Data shares'!$C:$FA,78)</f>
        <v>1675000</v>
      </c>
      <c r="O7" s="87">
        <f>VLOOKUP($A7,'Data shares'!$C:$FA,81)</f>
        <v>-0.32640000000000002</v>
      </c>
    </row>
    <row r="8" spans="1:15" x14ac:dyDescent="0.25">
      <c r="A8" s="100" t="str">
        <f>'OI(Value)'!A8</f>
        <v>ABB</v>
      </c>
      <c r="B8" s="82">
        <f>VLOOKUP(A8,'Data shares'!$C$2:$CV$216,98,0)</f>
        <v>5623625</v>
      </c>
      <c r="C8" s="82">
        <f>VLOOKUP(A8,'Data shares'!$C$2:$CX$216,100,0)</f>
        <v>-778125</v>
      </c>
      <c r="D8" s="141">
        <f>VLOOKUP(A8,'Data shares'!$C$2:$CY$539,101,0)</f>
        <v>-0.1215</v>
      </c>
      <c r="E8" s="86">
        <f>VLOOKUP($A8,'Data shares'!$C:$FA,74)</f>
        <v>3132375</v>
      </c>
      <c r="F8" s="86">
        <f>VLOOKUP($A8,'Data shares'!$C:$FA,76)</f>
        <v>-484875</v>
      </c>
      <c r="G8" s="87">
        <f>VLOOKUP(A8,'Data shares'!$C$2:$CA$216,77,0)</f>
        <v>-0.13400000000000001</v>
      </c>
      <c r="H8" s="86">
        <f>VLOOKUP($A8,'Data shares'!$C:$FA,90)</f>
        <v>1480250</v>
      </c>
      <c r="I8" s="86">
        <f>VLOOKUP($A8,'Data shares'!$C:$FA,92)</f>
        <v>-247375</v>
      </c>
      <c r="J8" s="87">
        <f>VLOOKUP($A8,'Data shares'!$C:$FA,93)</f>
        <v>-0.14319999999999999</v>
      </c>
      <c r="K8" s="86">
        <f>VLOOKUP($A8,'Data shares'!$C:$FA,94)</f>
        <v>1011000</v>
      </c>
      <c r="L8" s="86">
        <f>VLOOKUP($A8,'Data shares'!$C:$FA,96)</f>
        <v>-45875</v>
      </c>
      <c r="M8" s="87">
        <f>VLOOKUP($A8,'Data shares'!$C:$FA,97)</f>
        <v>-4.3400000000000001E-2</v>
      </c>
      <c r="N8" s="86">
        <f>VLOOKUP($A8,'Data shares'!$C:$FA,78)</f>
        <v>1743125</v>
      </c>
      <c r="O8" s="87">
        <f>VLOOKUP($A8,'Data shares'!$C:$FA,81)</f>
        <v>-0.38879999999999998</v>
      </c>
    </row>
    <row r="9" spans="1:15" x14ac:dyDescent="0.25">
      <c r="A9" s="100" t="str">
        <f>'OI(Value)'!A9</f>
        <v>ABCAPITAL</v>
      </c>
      <c r="B9" s="82">
        <f>VLOOKUP(A9,'Data shares'!$C$2:$CV$216,98,0)</f>
        <v>110862200</v>
      </c>
      <c r="C9" s="82">
        <f>VLOOKUP(A9,'Data shares'!$C$2:$CX$216,100,0)</f>
        <v>-3639400</v>
      </c>
      <c r="D9" s="141">
        <f>VLOOKUP(A9,'Data shares'!$C$2:$CY$539,101,0)</f>
        <v>-3.1800000000000002E-2</v>
      </c>
      <c r="E9" s="86">
        <f>VLOOKUP($A9,'Data shares'!$C:$FA,74)</f>
        <v>77924700</v>
      </c>
      <c r="F9" s="86">
        <f>VLOOKUP($A9,'Data shares'!$C:$FA,76)</f>
        <v>-682000</v>
      </c>
      <c r="G9" s="87">
        <f>VLOOKUP(A9,'Data shares'!$C$2:$CA$216,77,0)</f>
        <v>-8.6999999999999994E-3</v>
      </c>
      <c r="H9" s="86">
        <f>VLOOKUP($A9,'Data shares'!$C:$FA,90)</f>
        <v>18572100</v>
      </c>
      <c r="I9" s="86">
        <f>VLOOKUP($A9,'Data shares'!$C:$FA,92)</f>
        <v>-2011900</v>
      </c>
      <c r="J9" s="87">
        <f>VLOOKUP($A9,'Data shares'!$C:$FA,93)</f>
        <v>-9.7699999999999995E-2</v>
      </c>
      <c r="K9" s="86">
        <f>VLOOKUP($A9,'Data shares'!$C:$FA,94)</f>
        <v>14365400</v>
      </c>
      <c r="L9" s="86">
        <f>VLOOKUP($A9,'Data shares'!$C:$FA,96)</f>
        <v>-945500</v>
      </c>
      <c r="M9" s="87">
        <f>VLOOKUP($A9,'Data shares'!$C:$FA,97)</f>
        <v>-6.1800000000000001E-2</v>
      </c>
      <c r="N9" s="86">
        <f>VLOOKUP($A9,'Data shares'!$C:$FA,78)</f>
        <v>58667500</v>
      </c>
      <c r="O9" s="87">
        <f>VLOOKUP($A9,'Data shares'!$C:$FA,81)</f>
        <v>-0.22020000000000001</v>
      </c>
    </row>
    <row r="10" spans="1:15" x14ac:dyDescent="0.25">
      <c r="A10" s="100" t="str">
        <f>'OI(Value)'!A10</f>
        <v>ADANIENSOL</v>
      </c>
      <c r="B10" s="82">
        <f>VLOOKUP(A10,'Data shares'!$C$2:$CV$216,98,0)</f>
        <v>30993975</v>
      </c>
      <c r="C10" s="82">
        <f>VLOOKUP(A10,'Data shares'!$C$2:$CX$216,100,0)</f>
        <v>-220725</v>
      </c>
      <c r="D10" s="141">
        <f>VLOOKUP(A10,'Data shares'!$C$2:$CY$539,101,0)</f>
        <v>-7.1000000000000004E-3</v>
      </c>
      <c r="E10" s="86">
        <f>VLOOKUP($A10,'Data shares'!$C:$FA,74)</f>
        <v>19699200</v>
      </c>
      <c r="F10" s="86">
        <f>VLOOKUP($A10,'Data shares'!$C:$FA,76)</f>
        <v>-238275</v>
      </c>
      <c r="G10" s="87">
        <f>VLOOKUP(A10,'Data shares'!$C$2:$CA$216,77,0)</f>
        <v>-1.2E-2</v>
      </c>
      <c r="H10" s="86">
        <f>VLOOKUP($A10,'Data shares'!$C:$FA,90)</f>
        <v>7155675</v>
      </c>
      <c r="I10" s="86">
        <f>VLOOKUP($A10,'Data shares'!$C:$FA,92)</f>
        <v>242325</v>
      </c>
      <c r="J10" s="87">
        <f>VLOOKUP($A10,'Data shares'!$C:$FA,93)</f>
        <v>3.5099999999999999E-2</v>
      </c>
      <c r="K10" s="86">
        <f>VLOOKUP($A10,'Data shares'!$C:$FA,94)</f>
        <v>4139100</v>
      </c>
      <c r="L10" s="86">
        <f>VLOOKUP($A10,'Data shares'!$C:$FA,96)</f>
        <v>-224775</v>
      </c>
      <c r="M10" s="87">
        <f>VLOOKUP($A10,'Data shares'!$C:$FA,97)</f>
        <v>-5.1499999999999997E-2</v>
      </c>
      <c r="N10" s="86">
        <f>VLOOKUP($A10,'Data shares'!$C:$FA,78)</f>
        <v>11689650</v>
      </c>
      <c r="O10" s="87">
        <f>VLOOKUP($A10,'Data shares'!$C:$FA,81)</f>
        <v>-0.37959999999999999</v>
      </c>
    </row>
    <row r="11" spans="1:15" x14ac:dyDescent="0.25">
      <c r="A11" s="100" t="str">
        <f>'OI(Value)'!A11</f>
        <v>ADANIENT</v>
      </c>
      <c r="B11" s="82">
        <f>VLOOKUP(A11,'Data shares'!$C$2:$CV$216,98,0)</f>
        <v>31783122</v>
      </c>
      <c r="C11" s="82">
        <f>VLOOKUP(A11,'Data shares'!$C$2:$CX$216,100,0)</f>
        <v>813906</v>
      </c>
      <c r="D11" s="141">
        <f>VLOOKUP(A11,'Data shares'!$C$2:$CY$539,101,0)</f>
        <v>2.63E-2</v>
      </c>
      <c r="E11" s="86">
        <f>VLOOKUP($A11,'Data shares'!$C:$FA,74)</f>
        <v>13069155</v>
      </c>
      <c r="F11" s="86">
        <f>VLOOKUP($A11,'Data shares'!$C:$FA,76)</f>
        <v>296640</v>
      </c>
      <c r="G11" s="87">
        <f>VLOOKUP(A11,'Data shares'!$C$2:$CA$216,77,0)</f>
        <v>2.3199999999999998E-2</v>
      </c>
      <c r="H11" s="86">
        <f>VLOOKUP($A11,'Data shares'!$C:$FA,90)</f>
        <v>11216700</v>
      </c>
      <c r="I11" s="86">
        <f>VLOOKUP($A11,'Data shares'!$C:$FA,92)</f>
        <v>567633</v>
      </c>
      <c r="J11" s="87">
        <f>VLOOKUP($A11,'Data shares'!$C:$FA,93)</f>
        <v>5.33E-2</v>
      </c>
      <c r="K11" s="86">
        <f>VLOOKUP($A11,'Data shares'!$C:$FA,94)</f>
        <v>7497267</v>
      </c>
      <c r="L11" s="86">
        <f>VLOOKUP($A11,'Data shares'!$C:$FA,96)</f>
        <v>-50367</v>
      </c>
      <c r="M11" s="87">
        <f>VLOOKUP($A11,'Data shares'!$C:$FA,97)</f>
        <v>-6.7000000000000002E-3</v>
      </c>
      <c r="N11" s="86">
        <f>VLOOKUP($A11,'Data shares'!$C:$FA,78)</f>
        <v>8685990</v>
      </c>
      <c r="O11" s="87">
        <f>VLOOKUP($A11,'Data shares'!$C:$FA,81)</f>
        <v>-0.18559999999999999</v>
      </c>
    </row>
    <row r="12" spans="1:15" x14ac:dyDescent="0.25">
      <c r="A12" s="100" t="str">
        <f>'OI(Value)'!A12</f>
        <v>ADANIGREEN</v>
      </c>
      <c r="B12" s="82">
        <f>VLOOKUP(A12,'Data shares'!$C$2:$CV$216,98,0)</f>
        <v>52626000</v>
      </c>
      <c r="C12" s="82">
        <f>VLOOKUP(A12,'Data shares'!$C$2:$CX$216,100,0)</f>
        <v>423000</v>
      </c>
      <c r="D12" s="141">
        <f>VLOOKUP(A12,'Data shares'!$C$2:$CY$539,101,0)</f>
        <v>8.0999999999999996E-3</v>
      </c>
      <c r="E12" s="86">
        <f>VLOOKUP($A12,'Data shares'!$C:$FA,74)</f>
        <v>24304800</v>
      </c>
      <c r="F12" s="86">
        <f>VLOOKUP($A12,'Data shares'!$C:$FA,76)</f>
        <v>-54600</v>
      </c>
      <c r="G12" s="87">
        <f>VLOOKUP(A12,'Data shares'!$C$2:$CA$216,77,0)</f>
        <v>-2.2000000000000001E-3</v>
      </c>
      <c r="H12" s="86">
        <f>VLOOKUP($A12,'Data shares'!$C:$FA,90)</f>
        <v>19497600</v>
      </c>
      <c r="I12" s="86">
        <f>VLOOKUP($A12,'Data shares'!$C:$FA,92)</f>
        <v>386400</v>
      </c>
      <c r="J12" s="87">
        <f>VLOOKUP($A12,'Data shares'!$C:$FA,93)</f>
        <v>2.0199999999999999E-2</v>
      </c>
      <c r="K12" s="86">
        <f>VLOOKUP($A12,'Data shares'!$C:$FA,94)</f>
        <v>8823600</v>
      </c>
      <c r="L12" s="86">
        <f>VLOOKUP($A12,'Data shares'!$C:$FA,96)</f>
        <v>91200</v>
      </c>
      <c r="M12" s="87">
        <f>VLOOKUP($A12,'Data shares'!$C:$FA,97)</f>
        <v>1.04E-2</v>
      </c>
      <c r="N12" s="86">
        <f>VLOOKUP($A12,'Data shares'!$C:$FA,78)</f>
        <v>17485200</v>
      </c>
      <c r="O12" s="87">
        <f>VLOOKUP($A12,'Data shares'!$C:$FA,81)</f>
        <v>-0.16619999999999999</v>
      </c>
    </row>
    <row r="13" spans="1:15" x14ac:dyDescent="0.25">
      <c r="A13" s="100" t="str">
        <f>'OI(Value)'!A13</f>
        <v>ADANIPORTS</v>
      </c>
      <c r="B13" s="82">
        <f>VLOOKUP(A13,'Data shares'!$C$2:$CV$216,98,0)</f>
        <v>43076325</v>
      </c>
      <c r="C13" s="82">
        <f>VLOOKUP(A13,'Data shares'!$C$2:$CX$216,100,0)</f>
        <v>-421800</v>
      </c>
      <c r="D13" s="141">
        <f>VLOOKUP(A13,'Data shares'!$C$2:$CY$539,101,0)</f>
        <v>-9.7000000000000003E-3</v>
      </c>
      <c r="E13" s="86">
        <f>VLOOKUP($A13,'Data shares'!$C:$FA,74)</f>
        <v>25695600</v>
      </c>
      <c r="F13" s="86">
        <f>VLOOKUP($A13,'Data shares'!$C:$FA,76)</f>
        <v>298775</v>
      </c>
      <c r="G13" s="87">
        <f>VLOOKUP(A13,'Data shares'!$C$2:$CA$216,77,0)</f>
        <v>1.18E-2</v>
      </c>
      <c r="H13" s="86">
        <f>VLOOKUP($A13,'Data shares'!$C:$FA,90)</f>
        <v>11028075</v>
      </c>
      <c r="I13" s="86">
        <f>VLOOKUP($A13,'Data shares'!$C:$FA,92)</f>
        <v>-539125</v>
      </c>
      <c r="J13" s="87">
        <f>VLOOKUP($A13,'Data shares'!$C:$FA,93)</f>
        <v>-4.6600000000000003E-2</v>
      </c>
      <c r="K13" s="86">
        <f>VLOOKUP($A13,'Data shares'!$C:$FA,94)</f>
        <v>6352650</v>
      </c>
      <c r="L13" s="86">
        <f>VLOOKUP($A13,'Data shares'!$C:$FA,96)</f>
        <v>-181450</v>
      </c>
      <c r="M13" s="87">
        <f>VLOOKUP($A13,'Data shares'!$C:$FA,97)</f>
        <v>-2.7799999999999998E-2</v>
      </c>
      <c r="N13" s="86">
        <f>VLOOKUP($A13,'Data shares'!$C:$FA,78)</f>
        <v>17022100</v>
      </c>
      <c r="O13" s="87">
        <f>VLOOKUP($A13,'Data shares'!$C:$FA,81)</f>
        <v>-0.2112</v>
      </c>
    </row>
    <row r="14" spans="1:15" x14ac:dyDescent="0.25">
      <c r="A14" s="100" t="str">
        <f>'OI(Value)'!A14</f>
        <v>ALKEM</v>
      </c>
      <c r="B14" s="82">
        <f>VLOOKUP(A14,'Data shares'!$C$2:$CV$216,98,0)</f>
        <v>2756625</v>
      </c>
      <c r="C14" s="82">
        <f>VLOOKUP(A14,'Data shares'!$C$2:$CX$216,100,0)</f>
        <v>59375</v>
      </c>
      <c r="D14" s="141">
        <f>VLOOKUP(A14,'Data shares'!$C$2:$CY$539,101,0)</f>
        <v>2.1999999999999999E-2</v>
      </c>
      <c r="E14" s="86">
        <f>VLOOKUP($A14,'Data shares'!$C:$FA,74)</f>
        <v>1767875</v>
      </c>
      <c r="F14" s="86">
        <f>VLOOKUP($A14,'Data shares'!$C:$FA,76)</f>
        <v>74000</v>
      </c>
      <c r="G14" s="87">
        <f>VLOOKUP(A14,'Data shares'!$C$2:$CA$216,77,0)</f>
        <v>4.3700000000000003E-2</v>
      </c>
      <c r="H14" s="86">
        <f>VLOOKUP($A14,'Data shares'!$C:$FA,90)</f>
        <v>634875</v>
      </c>
      <c r="I14" s="86">
        <f>VLOOKUP($A14,'Data shares'!$C:$FA,92)</f>
        <v>13500</v>
      </c>
      <c r="J14" s="87">
        <f>VLOOKUP($A14,'Data shares'!$C:$FA,93)</f>
        <v>2.1700000000000001E-2</v>
      </c>
      <c r="K14" s="86">
        <f>VLOOKUP($A14,'Data shares'!$C:$FA,94)</f>
        <v>353875</v>
      </c>
      <c r="L14" s="86">
        <f>VLOOKUP($A14,'Data shares'!$C:$FA,96)</f>
        <v>-28125</v>
      </c>
      <c r="M14" s="87">
        <f>VLOOKUP($A14,'Data shares'!$C:$FA,97)</f>
        <v>-7.3599999999999999E-2</v>
      </c>
      <c r="N14" s="86">
        <f>VLOOKUP($A14,'Data shares'!$C:$FA,78)</f>
        <v>1442125</v>
      </c>
      <c r="O14" s="87">
        <f>VLOOKUP($A14,'Data shares'!$C:$FA,81)</f>
        <v>-0.1087</v>
      </c>
    </row>
    <row r="15" spans="1:15" x14ac:dyDescent="0.25">
      <c r="A15" s="100" t="str">
        <f>'OI(Value)'!A15</f>
        <v>AMBER</v>
      </c>
      <c r="B15" s="82">
        <f>VLOOKUP(A15,'Data shares'!$C$2:$CV$216,98,0)</f>
        <v>4085200</v>
      </c>
      <c r="C15" s="82">
        <f>VLOOKUP(A15,'Data shares'!$C$2:$CX$216,100,0)</f>
        <v>-373100</v>
      </c>
      <c r="D15" s="141">
        <f>VLOOKUP(A15,'Data shares'!$C$2:$CY$539,101,0)</f>
        <v>-8.3699999999999997E-2</v>
      </c>
      <c r="E15" s="86">
        <f>VLOOKUP($A15,'Data shares'!$C:$FA,74)</f>
        <v>1522900</v>
      </c>
      <c r="F15" s="86">
        <f>VLOOKUP($A15,'Data shares'!$C:$FA,76)</f>
        <v>-197500</v>
      </c>
      <c r="G15" s="87">
        <f>VLOOKUP(A15,'Data shares'!$C$2:$CA$216,77,0)</f>
        <v>-0.1148</v>
      </c>
      <c r="H15" s="86">
        <f>VLOOKUP($A15,'Data shares'!$C:$FA,90)</f>
        <v>1613200</v>
      </c>
      <c r="I15" s="86">
        <f>VLOOKUP($A15,'Data shares'!$C:$FA,92)</f>
        <v>-67800</v>
      </c>
      <c r="J15" s="87">
        <f>VLOOKUP($A15,'Data shares'!$C:$FA,93)</f>
        <v>-4.0300000000000002E-2</v>
      </c>
      <c r="K15" s="86">
        <f>VLOOKUP($A15,'Data shares'!$C:$FA,94)</f>
        <v>949100</v>
      </c>
      <c r="L15" s="86">
        <f>VLOOKUP($A15,'Data shares'!$C:$FA,96)</f>
        <v>-107800</v>
      </c>
      <c r="M15" s="87">
        <f>VLOOKUP($A15,'Data shares'!$C:$FA,97)</f>
        <v>-0.10199999999999999</v>
      </c>
      <c r="N15" s="86">
        <f>VLOOKUP($A15,'Data shares'!$C:$FA,78)</f>
        <v>841700</v>
      </c>
      <c r="O15" s="87">
        <f>VLOOKUP($A15,'Data shares'!$C:$FA,81)</f>
        <v>-0.27950000000000003</v>
      </c>
    </row>
    <row r="16" spans="1:15" x14ac:dyDescent="0.25">
      <c r="A16" s="100" t="str">
        <f>'OI(Value)'!A16</f>
        <v>AMBUJACEM</v>
      </c>
      <c r="B16" s="82">
        <f>VLOOKUP(A16,'Data shares'!$C$2:$CV$216,98,0)</f>
        <v>77680050</v>
      </c>
      <c r="C16" s="82">
        <f>VLOOKUP(A16,'Data shares'!$C$2:$CX$216,100,0)</f>
        <v>-407400</v>
      </c>
      <c r="D16" s="141">
        <f>VLOOKUP(A16,'Data shares'!$C$2:$CY$539,101,0)</f>
        <v>-5.1999999999999998E-3</v>
      </c>
      <c r="E16" s="86">
        <f>VLOOKUP($A16,'Data shares'!$C:$FA,74)</f>
        <v>49804650</v>
      </c>
      <c r="F16" s="86">
        <f>VLOOKUP($A16,'Data shares'!$C:$FA,76)</f>
        <v>-119700</v>
      </c>
      <c r="G16" s="87">
        <f>VLOOKUP(A16,'Data shares'!$C$2:$CA$216,77,0)</f>
        <v>-2.3999999999999998E-3</v>
      </c>
      <c r="H16" s="86">
        <f>VLOOKUP($A16,'Data shares'!$C:$FA,90)</f>
        <v>16754850</v>
      </c>
      <c r="I16" s="86">
        <f>VLOOKUP($A16,'Data shares'!$C:$FA,92)</f>
        <v>-342300</v>
      </c>
      <c r="J16" s="87">
        <f>VLOOKUP($A16,'Data shares'!$C:$FA,93)</f>
        <v>-0.02</v>
      </c>
      <c r="K16" s="86">
        <f>VLOOKUP($A16,'Data shares'!$C:$FA,94)</f>
        <v>11120550</v>
      </c>
      <c r="L16" s="86">
        <f>VLOOKUP($A16,'Data shares'!$C:$FA,96)</f>
        <v>54600</v>
      </c>
      <c r="M16" s="87">
        <f>VLOOKUP($A16,'Data shares'!$C:$FA,97)</f>
        <v>4.8999999999999998E-3</v>
      </c>
      <c r="N16" s="86">
        <f>VLOOKUP($A16,'Data shares'!$C:$FA,78)</f>
        <v>37452450</v>
      </c>
      <c r="O16" s="87">
        <f>VLOOKUP($A16,'Data shares'!$C:$FA,81)</f>
        <v>-0.17180000000000001</v>
      </c>
    </row>
    <row r="17" spans="1:15" x14ac:dyDescent="0.25">
      <c r="A17" s="100" t="str">
        <f>'OI(Value)'!A17</f>
        <v>ANGELONE</v>
      </c>
      <c r="B17" s="82">
        <f>VLOOKUP(A17,'Data shares'!$C$2:$CV$216,98,0)</f>
        <v>9034250</v>
      </c>
      <c r="C17" s="82">
        <f>VLOOKUP(A17,'Data shares'!$C$2:$CX$216,100,0)</f>
        <v>-40500</v>
      </c>
      <c r="D17" s="141">
        <f>VLOOKUP(A17,'Data shares'!$C$2:$CY$539,101,0)</f>
        <v>-4.4999999999999997E-3</v>
      </c>
      <c r="E17" s="86">
        <f>VLOOKUP($A17,'Data shares'!$C:$FA,74)</f>
        <v>3418500</v>
      </c>
      <c r="F17" s="86">
        <f>VLOOKUP($A17,'Data shares'!$C:$FA,76)</f>
        <v>-342250</v>
      </c>
      <c r="G17" s="87">
        <f>VLOOKUP(A17,'Data shares'!$C$2:$CA$216,77,0)</f>
        <v>-9.0999999999999998E-2</v>
      </c>
      <c r="H17" s="86">
        <f>VLOOKUP($A17,'Data shares'!$C:$FA,90)</f>
        <v>2665750</v>
      </c>
      <c r="I17" s="86">
        <f>VLOOKUP($A17,'Data shares'!$C:$FA,92)</f>
        <v>100250</v>
      </c>
      <c r="J17" s="87">
        <f>VLOOKUP($A17,'Data shares'!$C:$FA,93)</f>
        <v>3.9100000000000003E-2</v>
      </c>
      <c r="K17" s="86">
        <f>VLOOKUP($A17,'Data shares'!$C:$FA,94)</f>
        <v>2950000</v>
      </c>
      <c r="L17" s="86">
        <f>VLOOKUP($A17,'Data shares'!$C:$FA,96)</f>
        <v>201500</v>
      </c>
      <c r="M17" s="87">
        <f>VLOOKUP($A17,'Data shares'!$C:$FA,97)</f>
        <v>7.3300000000000004E-2</v>
      </c>
      <c r="N17" s="86">
        <f>VLOOKUP($A17,'Data shares'!$C:$FA,78)</f>
        <v>2227500</v>
      </c>
      <c r="O17" s="87">
        <f>VLOOKUP($A17,'Data shares'!$C:$FA,81)</f>
        <v>-0.2545</v>
      </c>
    </row>
    <row r="18" spans="1:15" x14ac:dyDescent="0.25">
      <c r="A18" s="100" t="str">
        <f>'OI(Value)'!A18</f>
        <v>APLAPOLLO</v>
      </c>
      <c r="B18" s="82">
        <f>VLOOKUP(A18,'Data shares'!$C$2:$CV$216,98,0)</f>
        <v>11475100</v>
      </c>
      <c r="C18" s="82">
        <f>VLOOKUP(A18,'Data shares'!$C$2:$CX$216,100,0)</f>
        <v>339150</v>
      </c>
      <c r="D18" s="141">
        <f>VLOOKUP(A18,'Data shares'!$C$2:$CY$539,101,0)</f>
        <v>3.0499999999999999E-2</v>
      </c>
      <c r="E18" s="86">
        <f>VLOOKUP($A18,'Data shares'!$C:$FA,74)</f>
        <v>7651700</v>
      </c>
      <c r="F18" s="86">
        <f>VLOOKUP($A18,'Data shares'!$C:$FA,76)</f>
        <v>188300</v>
      </c>
      <c r="G18" s="87">
        <f>VLOOKUP(A18,'Data shares'!$C$2:$CA$216,77,0)</f>
        <v>2.52E-2</v>
      </c>
      <c r="H18" s="86">
        <f>VLOOKUP($A18,'Data shares'!$C:$FA,90)</f>
        <v>2302300</v>
      </c>
      <c r="I18" s="86">
        <f>VLOOKUP($A18,'Data shares'!$C:$FA,92)</f>
        <v>132650</v>
      </c>
      <c r="J18" s="87">
        <f>VLOOKUP($A18,'Data shares'!$C:$FA,93)</f>
        <v>6.1100000000000002E-2</v>
      </c>
      <c r="K18" s="86">
        <f>VLOOKUP($A18,'Data shares'!$C:$FA,94)</f>
        <v>1521100</v>
      </c>
      <c r="L18" s="86">
        <f>VLOOKUP($A18,'Data shares'!$C:$FA,96)</f>
        <v>18200</v>
      </c>
      <c r="M18" s="87">
        <f>VLOOKUP($A18,'Data shares'!$C:$FA,97)</f>
        <v>1.21E-2</v>
      </c>
      <c r="N18" s="86">
        <f>VLOOKUP($A18,'Data shares'!$C:$FA,78)</f>
        <v>5647600</v>
      </c>
      <c r="O18" s="87">
        <f>VLOOKUP($A18,'Data shares'!$C:$FA,81)</f>
        <v>-0.19389999999999999</v>
      </c>
    </row>
    <row r="19" spans="1:15" x14ac:dyDescent="0.25">
      <c r="A19" s="100" t="str">
        <f>'OI(Value)'!A19</f>
        <v>APOLLOHOSP</v>
      </c>
      <c r="B19" s="82">
        <f>VLOOKUP(A19,'Data shares'!$C$2:$CV$216,98,0)</f>
        <v>6108000</v>
      </c>
      <c r="C19" s="82">
        <f>VLOOKUP(A19,'Data shares'!$C$2:$CX$216,100,0)</f>
        <v>-155625</v>
      </c>
      <c r="D19" s="141">
        <f>VLOOKUP(A19,'Data shares'!$C$2:$CY$539,101,0)</f>
        <v>-2.4799999999999999E-2</v>
      </c>
      <c r="E19" s="86">
        <f>VLOOKUP($A19,'Data shares'!$C:$FA,74)</f>
        <v>2962875</v>
      </c>
      <c r="F19" s="86">
        <f>VLOOKUP($A19,'Data shares'!$C:$FA,76)</f>
        <v>-15500</v>
      </c>
      <c r="G19" s="87">
        <f>VLOOKUP(A19,'Data shares'!$C$2:$CA$216,77,0)</f>
        <v>-5.1999999999999998E-3</v>
      </c>
      <c r="H19" s="86">
        <f>VLOOKUP($A19,'Data shares'!$C:$FA,90)</f>
        <v>2228625</v>
      </c>
      <c r="I19" s="86">
        <f>VLOOKUP($A19,'Data shares'!$C:$FA,92)</f>
        <v>-96750</v>
      </c>
      <c r="J19" s="87">
        <f>VLOOKUP($A19,'Data shares'!$C:$FA,93)</f>
        <v>-4.1599999999999998E-2</v>
      </c>
      <c r="K19" s="86">
        <f>VLOOKUP($A19,'Data shares'!$C:$FA,94)</f>
        <v>916500</v>
      </c>
      <c r="L19" s="86">
        <f>VLOOKUP($A19,'Data shares'!$C:$FA,96)</f>
        <v>-43375</v>
      </c>
      <c r="M19" s="87">
        <f>VLOOKUP($A19,'Data shares'!$C:$FA,97)</f>
        <v>-4.5199999999999997E-2</v>
      </c>
      <c r="N19" s="86">
        <f>VLOOKUP($A19,'Data shares'!$C:$FA,78)</f>
        <v>2100250</v>
      </c>
      <c r="O19" s="87">
        <f>VLOOKUP($A19,'Data shares'!$C:$FA,81)</f>
        <v>-0.1981</v>
      </c>
    </row>
    <row r="20" spans="1:15" x14ac:dyDescent="0.25">
      <c r="A20" s="100" t="str">
        <f>'OI(Value)'!A20</f>
        <v>ASHOKLEY</v>
      </c>
      <c r="B20" s="82">
        <f>VLOOKUP(A20,'Data shares'!$C$2:$CV$216,98,0)</f>
        <v>251490000</v>
      </c>
      <c r="C20" s="82">
        <f>VLOOKUP(A20,'Data shares'!$C$2:$CX$216,100,0)</f>
        <v>-31490000</v>
      </c>
      <c r="D20" s="141">
        <f>VLOOKUP(A20,'Data shares'!$C$2:$CY$539,101,0)</f>
        <v>-0.1113</v>
      </c>
      <c r="E20" s="86">
        <f>VLOOKUP($A20,'Data shares'!$C:$FA,74)</f>
        <v>133525000</v>
      </c>
      <c r="F20" s="86">
        <f>VLOOKUP($A20,'Data shares'!$C:$FA,76)</f>
        <v>-30405000</v>
      </c>
      <c r="G20" s="87">
        <f>VLOOKUP(A20,'Data shares'!$C$2:$CA$216,77,0)</f>
        <v>-0.1855</v>
      </c>
      <c r="H20" s="86">
        <f>VLOOKUP($A20,'Data shares'!$C:$FA,90)</f>
        <v>69110000</v>
      </c>
      <c r="I20" s="86">
        <f>VLOOKUP($A20,'Data shares'!$C:$FA,92)</f>
        <v>-520000</v>
      </c>
      <c r="J20" s="87">
        <f>VLOOKUP($A20,'Data shares'!$C:$FA,93)</f>
        <v>-7.4999999999999997E-3</v>
      </c>
      <c r="K20" s="86">
        <f>VLOOKUP($A20,'Data shares'!$C:$FA,94)</f>
        <v>48855000</v>
      </c>
      <c r="L20" s="86">
        <f>VLOOKUP($A20,'Data shares'!$C:$FA,96)</f>
        <v>-565000</v>
      </c>
      <c r="M20" s="87">
        <f>VLOOKUP($A20,'Data shares'!$C:$FA,97)</f>
        <v>-1.14E-2</v>
      </c>
      <c r="N20" s="86">
        <f>VLOOKUP($A20,'Data shares'!$C:$FA,78)</f>
        <v>81000000</v>
      </c>
      <c r="O20" s="87">
        <f>VLOOKUP($A20,'Data shares'!$C:$FA,81)</f>
        <v>-0.36249999999999999</v>
      </c>
    </row>
    <row r="21" spans="1:15" x14ac:dyDescent="0.25">
      <c r="A21" s="100" t="str">
        <f>'OI(Value)'!A21</f>
        <v>ASIANPAINT</v>
      </c>
      <c r="B21" s="82">
        <f>VLOOKUP(A21,'Data shares'!$C$2:$CV$216,98,0)</f>
        <v>33533000</v>
      </c>
      <c r="C21" s="82">
        <f>VLOOKUP(A21,'Data shares'!$C$2:$CX$216,100,0)</f>
        <v>-3303000</v>
      </c>
      <c r="D21" s="141">
        <f>VLOOKUP(A21,'Data shares'!$C$2:$CY$539,101,0)</f>
        <v>-8.9700000000000002E-2</v>
      </c>
      <c r="E21" s="86">
        <f>VLOOKUP($A21,'Data shares'!$C:$FA,74)</f>
        <v>13631750</v>
      </c>
      <c r="F21" s="86">
        <f>VLOOKUP($A21,'Data shares'!$C:$FA,76)</f>
        <v>-375000</v>
      </c>
      <c r="G21" s="87">
        <f>VLOOKUP(A21,'Data shares'!$C$2:$CA$216,77,0)</f>
        <v>-2.6800000000000001E-2</v>
      </c>
      <c r="H21" s="86">
        <f>VLOOKUP($A21,'Data shares'!$C:$FA,90)</f>
        <v>11116000</v>
      </c>
      <c r="I21" s="86">
        <f>VLOOKUP($A21,'Data shares'!$C:$FA,92)</f>
        <v>-1018500</v>
      </c>
      <c r="J21" s="87">
        <f>VLOOKUP($A21,'Data shares'!$C:$FA,93)</f>
        <v>-8.3900000000000002E-2</v>
      </c>
      <c r="K21" s="86">
        <f>VLOOKUP($A21,'Data shares'!$C:$FA,94)</f>
        <v>8785250</v>
      </c>
      <c r="L21" s="86">
        <f>VLOOKUP($A21,'Data shares'!$C:$FA,96)</f>
        <v>-1909500</v>
      </c>
      <c r="M21" s="87">
        <f>VLOOKUP($A21,'Data shares'!$C:$FA,97)</f>
        <v>-0.17849999999999999</v>
      </c>
      <c r="N21" s="86">
        <f>VLOOKUP($A21,'Data shares'!$C:$FA,78)</f>
        <v>10065500</v>
      </c>
      <c r="O21" s="87">
        <f>VLOOKUP($A21,'Data shares'!$C:$FA,81)</f>
        <v>-0.1537</v>
      </c>
    </row>
    <row r="22" spans="1:15" x14ac:dyDescent="0.25">
      <c r="A22" s="100" t="str">
        <f>'OI(Value)'!A22</f>
        <v>ASTRAL</v>
      </c>
      <c r="B22" s="82">
        <f>VLOOKUP(A22,'Data shares'!$C$2:$CV$216,98,0)</f>
        <v>15899250</v>
      </c>
      <c r="C22" s="82">
        <f>VLOOKUP(A22,'Data shares'!$C$2:$CX$216,100,0)</f>
        <v>-1646875</v>
      </c>
      <c r="D22" s="141">
        <f>VLOOKUP(A22,'Data shares'!$C$2:$CY$539,101,0)</f>
        <v>-9.3899999999999997E-2</v>
      </c>
      <c r="E22" s="86">
        <f>VLOOKUP($A22,'Data shares'!$C:$FA,74)</f>
        <v>8579900</v>
      </c>
      <c r="F22" s="86">
        <f>VLOOKUP($A22,'Data shares'!$C:$FA,76)</f>
        <v>-1051450</v>
      </c>
      <c r="G22" s="87">
        <f>VLOOKUP(A22,'Data shares'!$C$2:$CA$216,77,0)</f>
        <v>-0.10920000000000001</v>
      </c>
      <c r="H22" s="86">
        <f>VLOOKUP($A22,'Data shares'!$C:$FA,90)</f>
        <v>4674575</v>
      </c>
      <c r="I22" s="86">
        <f>VLOOKUP($A22,'Data shares'!$C:$FA,92)</f>
        <v>-456450</v>
      </c>
      <c r="J22" s="87">
        <f>VLOOKUP($A22,'Data shares'!$C:$FA,93)</f>
        <v>-8.8999999999999996E-2</v>
      </c>
      <c r="K22" s="86">
        <f>VLOOKUP($A22,'Data shares'!$C:$FA,94)</f>
        <v>2644775</v>
      </c>
      <c r="L22" s="86">
        <f>VLOOKUP($A22,'Data shares'!$C:$FA,96)</f>
        <v>-138975</v>
      </c>
      <c r="M22" s="87">
        <f>VLOOKUP($A22,'Data shares'!$C:$FA,97)</f>
        <v>-4.99E-2</v>
      </c>
      <c r="N22" s="86">
        <f>VLOOKUP($A22,'Data shares'!$C:$FA,78)</f>
        <v>5154400</v>
      </c>
      <c r="O22" s="87">
        <f>VLOOKUP($A22,'Data shares'!$C:$FA,81)</f>
        <v>-0.36509999999999998</v>
      </c>
    </row>
    <row r="23" spans="1:15" x14ac:dyDescent="0.25">
      <c r="A23" s="100" t="str">
        <f>'OI(Value)'!A23</f>
        <v>AUBANK</v>
      </c>
      <c r="B23" s="82">
        <f>VLOOKUP(A23,'Data shares'!$C$2:$CV$216,98,0)</f>
        <v>30119000</v>
      </c>
      <c r="C23" s="82">
        <f>VLOOKUP(A23,'Data shares'!$C$2:$CX$216,100,0)</f>
        <v>-475000</v>
      </c>
      <c r="D23" s="141">
        <f>VLOOKUP(A23,'Data shares'!$C$2:$CY$539,101,0)</f>
        <v>-1.55E-2</v>
      </c>
      <c r="E23" s="86">
        <f>VLOOKUP($A23,'Data shares'!$C:$FA,74)</f>
        <v>17044000</v>
      </c>
      <c r="F23" s="86">
        <f>VLOOKUP($A23,'Data shares'!$C:$FA,76)</f>
        <v>207000</v>
      </c>
      <c r="G23" s="87">
        <f>VLOOKUP(A23,'Data shares'!$C$2:$CA$216,77,0)</f>
        <v>1.23E-2</v>
      </c>
      <c r="H23" s="86">
        <f>VLOOKUP($A23,'Data shares'!$C:$FA,90)</f>
        <v>6648000</v>
      </c>
      <c r="I23" s="86">
        <f>VLOOKUP($A23,'Data shares'!$C:$FA,92)</f>
        <v>-59000</v>
      </c>
      <c r="J23" s="87">
        <f>VLOOKUP($A23,'Data shares'!$C:$FA,93)</f>
        <v>-8.8000000000000005E-3</v>
      </c>
      <c r="K23" s="86">
        <f>VLOOKUP($A23,'Data shares'!$C:$FA,94)</f>
        <v>6427000</v>
      </c>
      <c r="L23" s="86">
        <f>VLOOKUP($A23,'Data shares'!$C:$FA,96)</f>
        <v>-623000</v>
      </c>
      <c r="M23" s="87">
        <f>VLOOKUP($A23,'Data shares'!$C:$FA,97)</f>
        <v>-8.8400000000000006E-2</v>
      </c>
      <c r="N23" s="86">
        <f>VLOOKUP($A23,'Data shares'!$C:$FA,78)</f>
        <v>11068000</v>
      </c>
      <c r="O23" s="87">
        <f>VLOOKUP($A23,'Data shares'!$C:$FA,81)</f>
        <v>-0.24179999999999999</v>
      </c>
    </row>
    <row r="24" spans="1:15" x14ac:dyDescent="0.25">
      <c r="A24" s="100" t="str">
        <f>'OI(Value)'!A24</f>
        <v>AUROPHARMA</v>
      </c>
      <c r="B24" s="82">
        <f>VLOOKUP(A24,'Data shares'!$C$2:$CV$216,98,0)</f>
        <v>33058850</v>
      </c>
      <c r="C24" s="82">
        <f>VLOOKUP(A24,'Data shares'!$C$2:$CX$216,100,0)</f>
        <v>-460900</v>
      </c>
      <c r="D24" s="141">
        <f>VLOOKUP(A24,'Data shares'!$C$2:$CY$539,101,0)</f>
        <v>-1.38E-2</v>
      </c>
      <c r="E24" s="86">
        <f>VLOOKUP($A24,'Data shares'!$C:$FA,74)</f>
        <v>24009700</v>
      </c>
      <c r="F24" s="86">
        <f>VLOOKUP($A24,'Data shares'!$C:$FA,76)</f>
        <v>-298100</v>
      </c>
      <c r="G24" s="87">
        <f>VLOOKUP(A24,'Data shares'!$C$2:$CA$216,77,0)</f>
        <v>-1.23E-2</v>
      </c>
      <c r="H24" s="86">
        <f>VLOOKUP($A24,'Data shares'!$C:$FA,90)</f>
        <v>4659600</v>
      </c>
      <c r="I24" s="86">
        <f>VLOOKUP($A24,'Data shares'!$C:$FA,92)</f>
        <v>218350</v>
      </c>
      <c r="J24" s="87">
        <f>VLOOKUP($A24,'Data shares'!$C:$FA,93)</f>
        <v>4.9200000000000001E-2</v>
      </c>
      <c r="K24" s="86">
        <f>VLOOKUP($A24,'Data shares'!$C:$FA,94)</f>
        <v>4389550</v>
      </c>
      <c r="L24" s="86">
        <f>VLOOKUP($A24,'Data shares'!$C:$FA,96)</f>
        <v>-381150</v>
      </c>
      <c r="M24" s="87">
        <f>VLOOKUP($A24,'Data shares'!$C:$FA,97)</f>
        <v>-7.9899999999999999E-2</v>
      </c>
      <c r="N24" s="86">
        <f>VLOOKUP($A24,'Data shares'!$C:$FA,78)</f>
        <v>13655400</v>
      </c>
      <c r="O24" s="87">
        <f>VLOOKUP($A24,'Data shares'!$C:$FA,81)</f>
        <v>-0.2888</v>
      </c>
    </row>
    <row r="25" spans="1:15" x14ac:dyDescent="0.25">
      <c r="A25" s="100" t="str">
        <f>'OI(Value)'!A25</f>
        <v>AXISBANK</v>
      </c>
      <c r="B25" s="82">
        <f>VLOOKUP(A25,'Data shares'!$C$2:$CV$216,98,0)</f>
        <v>107127500</v>
      </c>
      <c r="C25" s="82">
        <f>VLOOKUP(A25,'Data shares'!$C$2:$CX$216,100,0)</f>
        <v>-1632500</v>
      </c>
      <c r="D25" s="141">
        <f>VLOOKUP(A25,'Data shares'!$C$2:$CY$539,101,0)</f>
        <v>-1.4999999999999999E-2</v>
      </c>
      <c r="E25" s="86">
        <f>VLOOKUP($A25,'Data shares'!$C:$FA,74)</f>
        <v>74943125</v>
      </c>
      <c r="F25" s="86">
        <f>VLOOKUP($A25,'Data shares'!$C:$FA,76)</f>
        <v>-655625</v>
      </c>
      <c r="G25" s="87">
        <f>VLOOKUP(A25,'Data shares'!$C$2:$CA$216,77,0)</f>
        <v>-8.6999999999999994E-3</v>
      </c>
      <c r="H25" s="86">
        <f>VLOOKUP($A25,'Data shares'!$C:$FA,90)</f>
        <v>18295000</v>
      </c>
      <c r="I25" s="86">
        <f>VLOOKUP($A25,'Data shares'!$C:$FA,92)</f>
        <v>-1455625</v>
      </c>
      <c r="J25" s="87">
        <f>VLOOKUP($A25,'Data shares'!$C:$FA,93)</f>
        <v>-7.3700000000000002E-2</v>
      </c>
      <c r="K25" s="86">
        <f>VLOOKUP($A25,'Data shares'!$C:$FA,94)</f>
        <v>13889375</v>
      </c>
      <c r="L25" s="86">
        <f>VLOOKUP($A25,'Data shares'!$C:$FA,96)</f>
        <v>478750</v>
      </c>
      <c r="M25" s="87">
        <f>VLOOKUP($A25,'Data shares'!$C:$FA,97)</f>
        <v>3.5700000000000003E-2</v>
      </c>
      <c r="N25" s="86">
        <f>VLOOKUP($A25,'Data shares'!$C:$FA,78)</f>
        <v>35402500</v>
      </c>
      <c r="O25" s="87">
        <f>VLOOKUP($A25,'Data shares'!$C:$FA,81)</f>
        <v>-0.44829999999999998</v>
      </c>
    </row>
    <row r="26" spans="1:15" x14ac:dyDescent="0.25">
      <c r="A26" s="100" t="str">
        <f>'OI(Value)'!A26</f>
        <v>BAJAJ-AUTO</v>
      </c>
      <c r="B26" s="82">
        <f>VLOOKUP(A26,'Data shares'!$C$2:$CV$216,98,0)</f>
        <v>6636075</v>
      </c>
      <c r="C26" s="82">
        <f>VLOOKUP(A26,'Data shares'!$C$2:$CX$216,100,0)</f>
        <v>-591600</v>
      </c>
      <c r="D26" s="141">
        <f>VLOOKUP(A26,'Data shares'!$C$2:$CY$539,101,0)</f>
        <v>-8.1900000000000001E-2</v>
      </c>
      <c r="E26" s="86">
        <f>VLOOKUP($A26,'Data shares'!$C:$FA,74)</f>
        <v>3381150</v>
      </c>
      <c r="F26" s="86">
        <f>VLOOKUP($A26,'Data shares'!$C:$FA,76)</f>
        <v>-376950</v>
      </c>
      <c r="G26" s="87">
        <f>VLOOKUP(A26,'Data shares'!$C$2:$CA$216,77,0)</f>
        <v>-0.1003</v>
      </c>
      <c r="H26" s="86">
        <f>VLOOKUP($A26,'Data shares'!$C:$FA,90)</f>
        <v>2031450</v>
      </c>
      <c r="I26" s="86">
        <f>VLOOKUP($A26,'Data shares'!$C:$FA,92)</f>
        <v>-146550</v>
      </c>
      <c r="J26" s="87">
        <f>VLOOKUP($A26,'Data shares'!$C:$FA,93)</f>
        <v>-6.7299999999999999E-2</v>
      </c>
      <c r="K26" s="86">
        <f>VLOOKUP($A26,'Data shares'!$C:$FA,94)</f>
        <v>1223475</v>
      </c>
      <c r="L26" s="86">
        <f>VLOOKUP($A26,'Data shares'!$C:$FA,96)</f>
        <v>-68100</v>
      </c>
      <c r="M26" s="87">
        <f>VLOOKUP($A26,'Data shares'!$C:$FA,97)</f>
        <v>-5.2699999999999997E-2</v>
      </c>
      <c r="N26" s="86">
        <f>VLOOKUP($A26,'Data shares'!$C:$FA,78)</f>
        <v>2071875</v>
      </c>
      <c r="O26" s="87">
        <f>VLOOKUP($A26,'Data shares'!$C:$FA,81)</f>
        <v>-0.36749999999999999</v>
      </c>
    </row>
    <row r="27" spans="1:15" x14ac:dyDescent="0.25">
      <c r="A27" s="100" t="str">
        <f>'OI(Value)'!A27</f>
        <v>BAJAJFINSV</v>
      </c>
      <c r="B27" s="82">
        <f>VLOOKUP(A27,'Data shares'!$C$2:$CV$216,98,0)</f>
        <v>30717500</v>
      </c>
      <c r="C27" s="82">
        <f>VLOOKUP(A27,'Data shares'!$C$2:$CX$216,100,0)</f>
        <v>-145250</v>
      </c>
      <c r="D27" s="141">
        <f>VLOOKUP(A27,'Data shares'!$C$2:$CY$539,101,0)</f>
        <v>-4.7000000000000002E-3</v>
      </c>
      <c r="E27" s="86">
        <f>VLOOKUP($A27,'Data shares'!$C:$FA,74)</f>
        <v>19174000</v>
      </c>
      <c r="F27" s="86">
        <f>VLOOKUP($A27,'Data shares'!$C:$FA,76)</f>
        <v>-20750</v>
      </c>
      <c r="G27" s="87">
        <f>VLOOKUP(A27,'Data shares'!$C$2:$CA$216,77,0)</f>
        <v>-1.1000000000000001E-3</v>
      </c>
      <c r="H27" s="86">
        <f>VLOOKUP($A27,'Data shares'!$C:$FA,90)</f>
        <v>6710000</v>
      </c>
      <c r="I27" s="86">
        <f>VLOOKUP($A27,'Data shares'!$C:$FA,92)</f>
        <v>-540250</v>
      </c>
      <c r="J27" s="87">
        <f>VLOOKUP($A27,'Data shares'!$C:$FA,93)</f>
        <v>-7.4499999999999997E-2</v>
      </c>
      <c r="K27" s="86">
        <f>VLOOKUP($A27,'Data shares'!$C:$FA,94)</f>
        <v>4833500</v>
      </c>
      <c r="L27" s="86">
        <f>VLOOKUP($A27,'Data shares'!$C:$FA,96)</f>
        <v>415750</v>
      </c>
      <c r="M27" s="87">
        <f>VLOOKUP($A27,'Data shares'!$C:$FA,97)</f>
        <v>9.4100000000000003E-2</v>
      </c>
      <c r="N27" s="86">
        <f>VLOOKUP($A27,'Data shares'!$C:$FA,78)</f>
        <v>11741000</v>
      </c>
      <c r="O27" s="87">
        <f>VLOOKUP($A27,'Data shares'!$C:$FA,81)</f>
        <v>-0.29759999999999998</v>
      </c>
    </row>
    <row r="28" spans="1:15" x14ac:dyDescent="0.25">
      <c r="A28" s="100" t="str">
        <f>'OI(Value)'!A28</f>
        <v>BAJFINANCE</v>
      </c>
      <c r="B28" s="82">
        <f>VLOOKUP(A28,'Data shares'!$C$2:$CV$216,98,0)</f>
        <v>137913750</v>
      </c>
      <c r="C28" s="82">
        <f>VLOOKUP(A28,'Data shares'!$C$2:$CX$216,100,0)</f>
        <v>-8370000</v>
      </c>
      <c r="D28" s="141">
        <f>VLOOKUP(A28,'Data shares'!$C$2:$CY$539,101,0)</f>
        <v>-5.7200000000000001E-2</v>
      </c>
      <c r="E28" s="86">
        <f>VLOOKUP($A28,'Data shares'!$C:$FA,74)</f>
        <v>92992500</v>
      </c>
      <c r="F28" s="86">
        <f>VLOOKUP($A28,'Data shares'!$C:$FA,76)</f>
        <v>-1215750</v>
      </c>
      <c r="G28" s="87">
        <f>VLOOKUP(A28,'Data shares'!$C$2:$CA$216,77,0)</f>
        <v>-1.29E-2</v>
      </c>
      <c r="H28" s="86">
        <f>VLOOKUP($A28,'Data shares'!$C:$FA,90)</f>
        <v>27608250</v>
      </c>
      <c r="I28" s="86">
        <f>VLOOKUP($A28,'Data shares'!$C:$FA,92)</f>
        <v>-5792250</v>
      </c>
      <c r="J28" s="87">
        <f>VLOOKUP($A28,'Data shares'!$C:$FA,93)</f>
        <v>-0.1734</v>
      </c>
      <c r="K28" s="86">
        <f>VLOOKUP($A28,'Data shares'!$C:$FA,94)</f>
        <v>17313000</v>
      </c>
      <c r="L28" s="86">
        <f>VLOOKUP($A28,'Data shares'!$C:$FA,96)</f>
        <v>-1362000</v>
      </c>
      <c r="M28" s="87">
        <f>VLOOKUP($A28,'Data shares'!$C:$FA,97)</f>
        <v>-7.2900000000000006E-2</v>
      </c>
      <c r="N28" s="86">
        <f>VLOOKUP($A28,'Data shares'!$C:$FA,78)</f>
        <v>52906500</v>
      </c>
      <c r="O28" s="87">
        <f>VLOOKUP($A28,'Data shares'!$C:$FA,81)</f>
        <v>-0.34949999999999998</v>
      </c>
    </row>
    <row r="29" spans="1:15" x14ac:dyDescent="0.25">
      <c r="A29" s="100" t="str">
        <f>'OI(Value)'!A29</f>
        <v>BANDHANBNK</v>
      </c>
      <c r="B29" s="82">
        <f>VLOOKUP(A29,'Data shares'!$C$2:$CV$216,98,0)</f>
        <v>259405200</v>
      </c>
      <c r="C29" s="82">
        <f>VLOOKUP(A29,'Data shares'!$C$2:$CX$216,100,0)</f>
        <v>-5968800</v>
      </c>
      <c r="D29" s="141">
        <f>VLOOKUP(A29,'Data shares'!$C$2:$CY$539,101,0)</f>
        <v>-2.2499999999999999E-2</v>
      </c>
      <c r="E29" s="86">
        <f>VLOOKUP($A29,'Data shares'!$C:$FA,74)</f>
        <v>132062400</v>
      </c>
      <c r="F29" s="86">
        <f>VLOOKUP($A29,'Data shares'!$C:$FA,76)</f>
        <v>-1540800</v>
      </c>
      <c r="G29" s="87">
        <f>VLOOKUP(A29,'Data shares'!$C$2:$CA$216,77,0)</f>
        <v>-1.15E-2</v>
      </c>
      <c r="H29" s="86">
        <f>VLOOKUP($A29,'Data shares'!$C:$FA,90)</f>
        <v>82558800</v>
      </c>
      <c r="I29" s="86">
        <f>VLOOKUP($A29,'Data shares'!$C:$FA,92)</f>
        <v>-4320000</v>
      </c>
      <c r="J29" s="87">
        <f>VLOOKUP($A29,'Data shares'!$C:$FA,93)</f>
        <v>-4.9700000000000001E-2</v>
      </c>
      <c r="K29" s="86">
        <f>VLOOKUP($A29,'Data shares'!$C:$FA,94)</f>
        <v>44784000</v>
      </c>
      <c r="L29" s="86">
        <f>VLOOKUP($A29,'Data shares'!$C:$FA,96)</f>
        <v>-108000</v>
      </c>
      <c r="M29" s="87">
        <f>VLOOKUP($A29,'Data shares'!$C:$FA,97)</f>
        <v>-2.3999999999999998E-3</v>
      </c>
      <c r="N29" s="86">
        <f>VLOOKUP($A29,'Data shares'!$C:$FA,78)</f>
        <v>77950800</v>
      </c>
      <c r="O29" s="87">
        <f>VLOOKUP($A29,'Data shares'!$C:$FA,81)</f>
        <v>-0.1681</v>
      </c>
    </row>
    <row r="30" spans="1:15" x14ac:dyDescent="0.25">
      <c r="A30" s="100" t="str">
        <f>'OI(Value)'!A30</f>
        <v>BANKBARODA</v>
      </c>
      <c r="B30" s="82">
        <f>VLOOKUP(A30,'Data shares'!$C$2:$CV$216,98,0)</f>
        <v>192078900</v>
      </c>
      <c r="C30" s="82">
        <f>VLOOKUP(A30,'Data shares'!$C$2:$CX$216,100,0)</f>
        <v>719550</v>
      </c>
      <c r="D30" s="141">
        <f>VLOOKUP(A30,'Data shares'!$C$2:$CY$539,101,0)</f>
        <v>3.8E-3</v>
      </c>
      <c r="E30" s="86">
        <f>VLOOKUP($A30,'Data shares'!$C:$FA,74)</f>
        <v>101433150</v>
      </c>
      <c r="F30" s="86">
        <f>VLOOKUP($A30,'Data shares'!$C:$FA,76)</f>
        <v>1117350</v>
      </c>
      <c r="G30" s="87">
        <f>VLOOKUP(A30,'Data shares'!$C$2:$CA$216,77,0)</f>
        <v>1.11E-2</v>
      </c>
      <c r="H30" s="86">
        <f>VLOOKUP($A30,'Data shares'!$C:$FA,90)</f>
        <v>52345800</v>
      </c>
      <c r="I30" s="86">
        <f>VLOOKUP($A30,'Data shares'!$C:$FA,92)</f>
        <v>1196325</v>
      </c>
      <c r="J30" s="87">
        <f>VLOOKUP($A30,'Data shares'!$C:$FA,93)</f>
        <v>2.3400000000000001E-2</v>
      </c>
      <c r="K30" s="86">
        <f>VLOOKUP($A30,'Data shares'!$C:$FA,94)</f>
        <v>38299950</v>
      </c>
      <c r="L30" s="86">
        <f>VLOOKUP($A30,'Data shares'!$C:$FA,96)</f>
        <v>-1594125</v>
      </c>
      <c r="M30" s="87">
        <f>VLOOKUP($A30,'Data shares'!$C:$FA,97)</f>
        <v>-0.04</v>
      </c>
      <c r="N30" s="86">
        <f>VLOOKUP($A30,'Data shares'!$C:$FA,78)</f>
        <v>73125000</v>
      </c>
      <c r="O30" s="87">
        <f>VLOOKUP($A30,'Data shares'!$C:$FA,81)</f>
        <v>-0.15609999999999999</v>
      </c>
    </row>
    <row r="31" spans="1:15" x14ac:dyDescent="0.25">
      <c r="A31" s="100" t="str">
        <f>'OI(Value)'!A31</f>
        <v>BANKINDIA</v>
      </c>
      <c r="B31" s="82">
        <f>VLOOKUP(A31,'Data shares'!$C$2:$CV$216,98,0)</f>
        <v>108253600</v>
      </c>
      <c r="C31" s="82">
        <f>VLOOKUP(A31,'Data shares'!$C$2:$CX$216,100,0)</f>
        <v>-1040000</v>
      </c>
      <c r="D31" s="141">
        <f>VLOOKUP(A31,'Data shares'!$C$2:$CY$539,101,0)</f>
        <v>-9.4999999999999998E-3</v>
      </c>
      <c r="E31" s="86">
        <f>VLOOKUP($A31,'Data shares'!$C:$FA,74)</f>
        <v>52894400</v>
      </c>
      <c r="F31" s="86">
        <f>VLOOKUP($A31,'Data shares'!$C:$FA,76)</f>
        <v>-1799200</v>
      </c>
      <c r="G31" s="87">
        <f>VLOOKUP(A31,'Data shares'!$C$2:$CA$216,77,0)</f>
        <v>-3.2899999999999999E-2</v>
      </c>
      <c r="H31" s="86">
        <f>VLOOKUP($A31,'Data shares'!$C:$FA,90)</f>
        <v>29322800</v>
      </c>
      <c r="I31" s="86">
        <f>VLOOKUP($A31,'Data shares'!$C:$FA,92)</f>
        <v>-1029600</v>
      </c>
      <c r="J31" s="87">
        <f>VLOOKUP($A31,'Data shares'!$C:$FA,93)</f>
        <v>-3.39E-2</v>
      </c>
      <c r="K31" s="86">
        <f>VLOOKUP($A31,'Data shares'!$C:$FA,94)</f>
        <v>26036400</v>
      </c>
      <c r="L31" s="86">
        <f>VLOOKUP($A31,'Data shares'!$C:$FA,96)</f>
        <v>1788800</v>
      </c>
      <c r="M31" s="87">
        <f>VLOOKUP($A31,'Data shares'!$C:$FA,97)</f>
        <v>7.3800000000000004E-2</v>
      </c>
      <c r="N31" s="86">
        <f>VLOOKUP($A31,'Data shares'!$C:$FA,78)</f>
        <v>32614400</v>
      </c>
      <c r="O31" s="87">
        <f>VLOOKUP($A31,'Data shares'!$C:$FA,81)</f>
        <v>-0.27439999999999998</v>
      </c>
    </row>
    <row r="32" spans="1:15" x14ac:dyDescent="0.25">
      <c r="A32" s="100" t="str">
        <f>'OI(Value)'!A32</f>
        <v>BANKNIFTY</v>
      </c>
      <c r="B32" s="82">
        <f>VLOOKUP(A32,'Data shares'!$C$2:$CV$216,98,0)</f>
        <v>46506090</v>
      </c>
      <c r="C32" s="82">
        <f>VLOOKUP(A32,'Data shares'!$C$2:$CX$216,100,0)</f>
        <v>1486640</v>
      </c>
      <c r="D32" s="141">
        <f>VLOOKUP(A32,'Data shares'!$C$2:$CY$539,101,0)</f>
        <v>3.3000000000000002E-2</v>
      </c>
      <c r="E32" s="86">
        <f>VLOOKUP($A32,'Data shares'!$C:$FA,74)</f>
        <v>2181750</v>
      </c>
      <c r="F32" s="86">
        <f>VLOOKUP($A32,'Data shares'!$C:$FA,76)</f>
        <v>80845</v>
      </c>
      <c r="G32" s="87">
        <f>VLOOKUP(A32,'Data shares'!$C$2:$CA$216,77,0)</f>
        <v>3.85E-2</v>
      </c>
      <c r="H32" s="86">
        <f>VLOOKUP($A32,'Data shares'!$C:$FA,90)</f>
        <v>19682650</v>
      </c>
      <c r="I32" s="86">
        <f>VLOOKUP($A32,'Data shares'!$C:$FA,92)</f>
        <v>412405</v>
      </c>
      <c r="J32" s="87">
        <f>VLOOKUP($A32,'Data shares'!$C:$FA,93)</f>
        <v>2.1399999999999999E-2</v>
      </c>
      <c r="K32" s="86">
        <f>VLOOKUP($A32,'Data shares'!$C:$FA,94)</f>
        <v>24641690</v>
      </c>
      <c r="L32" s="86">
        <f>VLOOKUP($A32,'Data shares'!$C:$FA,96)</f>
        <v>993390</v>
      </c>
      <c r="M32" s="87">
        <f>VLOOKUP($A32,'Data shares'!$C:$FA,97)</f>
        <v>4.2000000000000003E-2</v>
      </c>
      <c r="N32" s="86">
        <f>VLOOKUP($A32,'Data shares'!$C:$FA,78)</f>
        <v>1609055</v>
      </c>
      <c r="O32" s="87">
        <f>VLOOKUP($A32,'Data shares'!$C:$FA,81)</f>
        <v>-3.8399999999999997E-2</v>
      </c>
    </row>
    <row r="33" spans="1:15" x14ac:dyDescent="0.25">
      <c r="A33" s="100" t="str">
        <f>'OI(Value)'!A33</f>
        <v>BDL</v>
      </c>
      <c r="B33" s="82">
        <f>VLOOKUP(A33,'Data shares'!$C$2:$CV$216,98,0)</f>
        <v>13693450</v>
      </c>
      <c r="C33" s="82">
        <f>VLOOKUP(A33,'Data shares'!$C$2:$CX$216,100,0)</f>
        <v>-246075</v>
      </c>
      <c r="D33" s="141">
        <f>VLOOKUP(A33,'Data shares'!$C$2:$CY$539,101,0)</f>
        <v>-1.77E-2</v>
      </c>
      <c r="E33" s="86">
        <f>VLOOKUP($A33,'Data shares'!$C:$FA,74)</f>
        <v>5638925</v>
      </c>
      <c r="F33" s="86">
        <f>VLOOKUP($A33,'Data shares'!$C:$FA,76)</f>
        <v>149425</v>
      </c>
      <c r="G33" s="87">
        <f>VLOOKUP(A33,'Data shares'!$C$2:$CA$216,77,0)</f>
        <v>2.7199999999999998E-2</v>
      </c>
      <c r="H33" s="86">
        <f>VLOOKUP($A33,'Data shares'!$C:$FA,90)</f>
        <v>5040875</v>
      </c>
      <c r="I33" s="86">
        <f>VLOOKUP($A33,'Data shares'!$C:$FA,92)</f>
        <v>-276550</v>
      </c>
      <c r="J33" s="87">
        <f>VLOOKUP($A33,'Data shares'!$C:$FA,93)</f>
        <v>-5.1999999999999998E-2</v>
      </c>
      <c r="K33" s="86">
        <f>VLOOKUP($A33,'Data shares'!$C:$FA,94)</f>
        <v>3013650</v>
      </c>
      <c r="L33" s="86">
        <f>VLOOKUP($A33,'Data shares'!$C:$FA,96)</f>
        <v>-118950</v>
      </c>
      <c r="M33" s="87">
        <f>VLOOKUP($A33,'Data shares'!$C:$FA,97)</f>
        <v>-3.7999999999999999E-2</v>
      </c>
      <c r="N33" s="86">
        <f>VLOOKUP($A33,'Data shares'!$C:$FA,78)</f>
        <v>3924375</v>
      </c>
      <c r="O33" s="87">
        <f>VLOOKUP($A33,'Data shares'!$C:$FA,81)</f>
        <v>-0.1237</v>
      </c>
    </row>
    <row r="34" spans="1:15" x14ac:dyDescent="0.25">
      <c r="A34" s="100" t="str">
        <f>'OI(Value)'!A34</f>
        <v>BEL</v>
      </c>
      <c r="B34" s="82">
        <f>VLOOKUP(A34,'Data shares'!$C$2:$CV$216,98,0)</f>
        <v>216743925</v>
      </c>
      <c r="C34" s="82">
        <f>VLOOKUP(A34,'Data shares'!$C$2:$CX$216,100,0)</f>
        <v>-18299850</v>
      </c>
      <c r="D34" s="141">
        <f>VLOOKUP(A34,'Data shares'!$C$2:$CY$539,101,0)</f>
        <v>-7.7899999999999997E-2</v>
      </c>
      <c r="E34" s="86">
        <f>VLOOKUP($A34,'Data shares'!$C:$FA,74)</f>
        <v>112361250</v>
      </c>
      <c r="F34" s="86">
        <f>VLOOKUP($A34,'Data shares'!$C:$FA,76)</f>
        <v>-3860325</v>
      </c>
      <c r="G34" s="87">
        <f>VLOOKUP(A34,'Data shares'!$C$2:$CA$216,77,0)</f>
        <v>-3.32E-2</v>
      </c>
      <c r="H34" s="86">
        <f>VLOOKUP($A34,'Data shares'!$C:$FA,90)</f>
        <v>66883800</v>
      </c>
      <c r="I34" s="86">
        <f>VLOOKUP($A34,'Data shares'!$C:$FA,92)</f>
        <v>-10587750</v>
      </c>
      <c r="J34" s="87">
        <f>VLOOKUP($A34,'Data shares'!$C:$FA,93)</f>
        <v>-0.13669999999999999</v>
      </c>
      <c r="K34" s="86">
        <f>VLOOKUP($A34,'Data shares'!$C:$FA,94)</f>
        <v>37498875</v>
      </c>
      <c r="L34" s="86">
        <f>VLOOKUP($A34,'Data shares'!$C:$FA,96)</f>
        <v>-3851775</v>
      </c>
      <c r="M34" s="87">
        <f>VLOOKUP($A34,'Data shares'!$C:$FA,97)</f>
        <v>-9.3100000000000002E-2</v>
      </c>
      <c r="N34" s="86">
        <f>VLOOKUP($A34,'Data shares'!$C:$FA,78)</f>
        <v>75563475</v>
      </c>
      <c r="O34" s="87">
        <f>VLOOKUP($A34,'Data shares'!$C:$FA,81)</f>
        <v>-0.18740000000000001</v>
      </c>
    </row>
    <row r="35" spans="1:15" x14ac:dyDescent="0.25">
      <c r="A35" s="100" t="str">
        <f>'OI(Value)'!A35</f>
        <v>BHARATFORG</v>
      </c>
      <c r="B35" s="82">
        <f>VLOOKUP(A35,'Data shares'!$C$2:$CV$216,98,0)</f>
        <v>17314000</v>
      </c>
      <c r="C35" s="82">
        <f>VLOOKUP(A35,'Data shares'!$C$2:$CX$216,100,0)</f>
        <v>-1076000</v>
      </c>
      <c r="D35" s="141">
        <f>VLOOKUP(A35,'Data shares'!$C$2:$CY$539,101,0)</f>
        <v>-5.8500000000000003E-2</v>
      </c>
      <c r="E35" s="86">
        <f>VLOOKUP($A35,'Data shares'!$C:$FA,74)</f>
        <v>9460000</v>
      </c>
      <c r="F35" s="86">
        <f>VLOOKUP($A35,'Data shares'!$C:$FA,76)</f>
        <v>-656500</v>
      </c>
      <c r="G35" s="87">
        <f>VLOOKUP(A35,'Data shares'!$C$2:$CA$216,77,0)</f>
        <v>-6.4899999999999999E-2</v>
      </c>
      <c r="H35" s="86">
        <f>VLOOKUP($A35,'Data shares'!$C:$FA,90)</f>
        <v>4375000</v>
      </c>
      <c r="I35" s="86">
        <f>VLOOKUP($A35,'Data shares'!$C:$FA,92)</f>
        <v>-43500</v>
      </c>
      <c r="J35" s="87">
        <f>VLOOKUP($A35,'Data shares'!$C:$FA,93)</f>
        <v>-9.7999999999999997E-3</v>
      </c>
      <c r="K35" s="86">
        <f>VLOOKUP($A35,'Data shares'!$C:$FA,94)</f>
        <v>3479000</v>
      </c>
      <c r="L35" s="86">
        <f>VLOOKUP($A35,'Data shares'!$C:$FA,96)</f>
        <v>-376000</v>
      </c>
      <c r="M35" s="87">
        <f>VLOOKUP($A35,'Data shares'!$C:$FA,97)</f>
        <v>-9.7500000000000003E-2</v>
      </c>
      <c r="N35" s="86">
        <f>VLOOKUP($A35,'Data shares'!$C:$FA,78)</f>
        <v>6127000</v>
      </c>
      <c r="O35" s="87">
        <f>VLOOKUP($A35,'Data shares'!$C:$FA,81)</f>
        <v>-0.26200000000000001</v>
      </c>
    </row>
    <row r="36" spans="1:15" x14ac:dyDescent="0.25">
      <c r="A36" s="100" t="str">
        <f>'OI(Value)'!A36</f>
        <v>BHARTIARTL</v>
      </c>
      <c r="B36" s="82">
        <f>VLOOKUP(A36,'Data shares'!$C$2:$CV$216,98,0)</f>
        <v>76407075</v>
      </c>
      <c r="C36" s="82">
        <f>VLOOKUP(A36,'Data shares'!$C$2:$CX$216,100,0)</f>
        <v>-1085850</v>
      </c>
      <c r="D36" s="141">
        <f>VLOOKUP(A36,'Data shares'!$C$2:$CY$539,101,0)</f>
        <v>-1.4E-2</v>
      </c>
      <c r="E36" s="86">
        <f>VLOOKUP($A36,'Data shares'!$C:$FA,74)</f>
        <v>42887275</v>
      </c>
      <c r="F36" s="86">
        <f>VLOOKUP($A36,'Data shares'!$C:$FA,76)</f>
        <v>1077775</v>
      </c>
      <c r="G36" s="87">
        <f>VLOOKUP(A36,'Data shares'!$C$2:$CA$216,77,0)</f>
        <v>2.58E-2</v>
      </c>
      <c r="H36" s="86">
        <f>VLOOKUP($A36,'Data shares'!$C:$FA,90)</f>
        <v>20081575</v>
      </c>
      <c r="I36" s="86">
        <f>VLOOKUP($A36,'Data shares'!$C:$FA,92)</f>
        <v>-1246400</v>
      </c>
      <c r="J36" s="87">
        <f>VLOOKUP($A36,'Data shares'!$C:$FA,93)</f>
        <v>-5.8400000000000001E-2</v>
      </c>
      <c r="K36" s="86">
        <f>VLOOKUP($A36,'Data shares'!$C:$FA,94)</f>
        <v>13438225</v>
      </c>
      <c r="L36" s="86">
        <f>VLOOKUP($A36,'Data shares'!$C:$FA,96)</f>
        <v>-917225</v>
      </c>
      <c r="M36" s="87">
        <f>VLOOKUP($A36,'Data shares'!$C:$FA,97)</f>
        <v>-6.3899999999999998E-2</v>
      </c>
      <c r="N36" s="86">
        <f>VLOOKUP($A36,'Data shares'!$C:$FA,78)</f>
        <v>23262175</v>
      </c>
      <c r="O36" s="87">
        <f>VLOOKUP($A36,'Data shares'!$C:$FA,81)</f>
        <v>-0.30320000000000003</v>
      </c>
    </row>
    <row r="37" spans="1:15" x14ac:dyDescent="0.25">
      <c r="A37" s="100" t="str">
        <f>'OI(Value)'!A37</f>
        <v>BHEL</v>
      </c>
      <c r="B37" s="82">
        <f>VLOOKUP(A37,'Data shares'!$C$2:$CV$216,98,0)</f>
        <v>154410375</v>
      </c>
      <c r="C37" s="82">
        <f>VLOOKUP(A37,'Data shares'!$C$2:$CX$216,100,0)</f>
        <v>-6615000</v>
      </c>
      <c r="D37" s="141">
        <f>VLOOKUP(A37,'Data shares'!$C$2:$CY$539,101,0)</f>
        <v>-4.1099999999999998E-2</v>
      </c>
      <c r="E37" s="86">
        <f>VLOOKUP($A37,'Data shares'!$C:$FA,74)</f>
        <v>60340875</v>
      </c>
      <c r="F37" s="86">
        <f>VLOOKUP($A37,'Data shares'!$C:$FA,76)</f>
        <v>-1286250</v>
      </c>
      <c r="G37" s="87">
        <f>VLOOKUP(A37,'Data shares'!$C$2:$CA$216,77,0)</f>
        <v>-2.0899999999999998E-2</v>
      </c>
      <c r="H37" s="86">
        <f>VLOOKUP($A37,'Data shares'!$C:$FA,90)</f>
        <v>52237500</v>
      </c>
      <c r="I37" s="86">
        <f>VLOOKUP($A37,'Data shares'!$C:$FA,92)</f>
        <v>-1346625</v>
      </c>
      <c r="J37" s="87">
        <f>VLOOKUP($A37,'Data shares'!$C:$FA,93)</f>
        <v>-2.5100000000000001E-2</v>
      </c>
      <c r="K37" s="86">
        <f>VLOOKUP($A37,'Data shares'!$C:$FA,94)</f>
        <v>41832000</v>
      </c>
      <c r="L37" s="86">
        <f>VLOOKUP($A37,'Data shares'!$C:$FA,96)</f>
        <v>-3982125</v>
      </c>
      <c r="M37" s="87">
        <f>VLOOKUP($A37,'Data shares'!$C:$FA,97)</f>
        <v>-8.6900000000000005E-2</v>
      </c>
      <c r="N37" s="86">
        <f>VLOOKUP($A37,'Data shares'!$C:$FA,78)</f>
        <v>41438250</v>
      </c>
      <c r="O37" s="87">
        <f>VLOOKUP($A37,'Data shares'!$C:$FA,81)</f>
        <v>-0.23180000000000001</v>
      </c>
    </row>
    <row r="38" spans="1:15" x14ac:dyDescent="0.25">
      <c r="A38" s="100" t="str">
        <f>'OI(Value)'!A38</f>
        <v>BIOCON</v>
      </c>
      <c r="B38" s="82">
        <f>VLOOKUP(A38,'Data shares'!$C$2:$CV$216,98,0)</f>
        <v>113605000</v>
      </c>
      <c r="C38" s="82">
        <f>VLOOKUP(A38,'Data shares'!$C$2:$CX$216,100,0)</f>
        <v>9752500</v>
      </c>
      <c r="D38" s="141">
        <f>VLOOKUP(A38,'Data shares'!$C$2:$CY$539,101,0)</f>
        <v>9.3899999999999997E-2</v>
      </c>
      <c r="E38" s="86">
        <f>VLOOKUP($A38,'Data shares'!$C:$FA,74)</f>
        <v>53100000</v>
      </c>
      <c r="F38" s="86">
        <f>VLOOKUP($A38,'Data shares'!$C:$FA,76)</f>
        <v>1635000</v>
      </c>
      <c r="G38" s="87">
        <f>VLOOKUP(A38,'Data shares'!$C$2:$CA$216,77,0)</f>
        <v>3.1800000000000002E-2</v>
      </c>
      <c r="H38" s="86">
        <f>VLOOKUP($A38,'Data shares'!$C:$FA,90)</f>
        <v>35525000</v>
      </c>
      <c r="I38" s="86">
        <f>VLOOKUP($A38,'Data shares'!$C:$FA,92)</f>
        <v>6507500</v>
      </c>
      <c r="J38" s="87">
        <f>VLOOKUP($A38,'Data shares'!$C:$FA,93)</f>
        <v>0.2243</v>
      </c>
      <c r="K38" s="86">
        <f>VLOOKUP($A38,'Data shares'!$C:$FA,94)</f>
        <v>24980000</v>
      </c>
      <c r="L38" s="86">
        <f>VLOOKUP($A38,'Data shares'!$C:$FA,96)</f>
        <v>1610000</v>
      </c>
      <c r="M38" s="87">
        <f>VLOOKUP($A38,'Data shares'!$C:$FA,97)</f>
        <v>6.8900000000000003E-2</v>
      </c>
      <c r="N38" s="86">
        <f>VLOOKUP($A38,'Data shares'!$C:$FA,78)</f>
        <v>34697500</v>
      </c>
      <c r="O38" s="87">
        <f>VLOOKUP($A38,'Data shares'!$C:$FA,81)</f>
        <v>-0.15540000000000001</v>
      </c>
    </row>
    <row r="39" spans="1:15" x14ac:dyDescent="0.25">
      <c r="A39" s="100" t="str">
        <f>'OI(Value)'!A39</f>
        <v>BLUESTARCO</v>
      </c>
      <c r="B39" s="82">
        <f>VLOOKUP(A39,'Data shares'!$C$2:$CV$216,98,0)</f>
        <v>4761900</v>
      </c>
      <c r="C39" s="82">
        <f>VLOOKUP(A39,'Data shares'!$C$2:$CX$216,100,0)</f>
        <v>-705250</v>
      </c>
      <c r="D39" s="141">
        <f>VLOOKUP(A39,'Data shares'!$C$2:$CY$539,101,0)</f>
        <v>-0.129</v>
      </c>
      <c r="E39" s="86">
        <f>VLOOKUP($A39,'Data shares'!$C:$FA,74)</f>
        <v>1773200</v>
      </c>
      <c r="F39" s="86">
        <f>VLOOKUP($A39,'Data shares'!$C:$FA,76)</f>
        <v>-208325</v>
      </c>
      <c r="G39" s="87">
        <f>VLOOKUP(A39,'Data shares'!$C$2:$CA$216,77,0)</f>
        <v>-0.1051</v>
      </c>
      <c r="H39" s="86">
        <f>VLOOKUP($A39,'Data shares'!$C:$FA,90)</f>
        <v>2208700</v>
      </c>
      <c r="I39" s="86">
        <f>VLOOKUP($A39,'Data shares'!$C:$FA,92)</f>
        <v>-294450</v>
      </c>
      <c r="J39" s="87">
        <f>VLOOKUP($A39,'Data shares'!$C:$FA,93)</f>
        <v>-0.1176</v>
      </c>
      <c r="K39" s="86">
        <f>VLOOKUP($A39,'Data shares'!$C:$FA,94)</f>
        <v>780000</v>
      </c>
      <c r="L39" s="86">
        <f>VLOOKUP($A39,'Data shares'!$C:$FA,96)</f>
        <v>-202475</v>
      </c>
      <c r="M39" s="87">
        <f>VLOOKUP($A39,'Data shares'!$C:$FA,97)</f>
        <v>-0.20610000000000001</v>
      </c>
      <c r="N39" s="86">
        <f>VLOOKUP($A39,'Data shares'!$C:$FA,78)</f>
        <v>1095575</v>
      </c>
      <c r="O39" s="87">
        <f>VLOOKUP($A39,'Data shares'!$C:$FA,81)</f>
        <v>-0.30609999999999998</v>
      </c>
    </row>
    <row r="40" spans="1:15" x14ac:dyDescent="0.25">
      <c r="A40" s="100" t="str">
        <f>'OI(Value)'!A40</f>
        <v>BOSCHLTD</v>
      </c>
      <c r="B40" s="82">
        <f>VLOOKUP(A40,'Data shares'!$C$2:$CV$216,98,0)</f>
        <v>485900</v>
      </c>
      <c r="C40" s="82">
        <f>VLOOKUP(A40,'Data shares'!$C$2:$CX$216,100,0)</f>
        <v>-38700</v>
      </c>
      <c r="D40" s="141">
        <f>VLOOKUP(A40,'Data shares'!$C$2:$CY$539,101,0)</f>
        <v>-7.3800000000000004E-2</v>
      </c>
      <c r="E40" s="86">
        <f>VLOOKUP($A40,'Data shares'!$C:$FA,74)</f>
        <v>233875</v>
      </c>
      <c r="F40" s="86">
        <f>VLOOKUP($A40,'Data shares'!$C:$FA,76)</f>
        <v>-6400</v>
      </c>
      <c r="G40" s="87">
        <f>VLOOKUP(A40,'Data shares'!$C$2:$CA$216,77,0)</f>
        <v>-2.6599999999999999E-2</v>
      </c>
      <c r="H40" s="86">
        <f>VLOOKUP($A40,'Data shares'!$C:$FA,90)</f>
        <v>179375</v>
      </c>
      <c r="I40" s="86">
        <f>VLOOKUP($A40,'Data shares'!$C:$FA,92)</f>
        <v>-27500</v>
      </c>
      <c r="J40" s="87">
        <f>VLOOKUP($A40,'Data shares'!$C:$FA,93)</f>
        <v>-0.13289999999999999</v>
      </c>
      <c r="K40" s="86">
        <f>VLOOKUP($A40,'Data shares'!$C:$FA,94)</f>
        <v>72650</v>
      </c>
      <c r="L40" s="86">
        <f>VLOOKUP($A40,'Data shares'!$C:$FA,96)</f>
        <v>-4800</v>
      </c>
      <c r="M40" s="87">
        <f>VLOOKUP($A40,'Data shares'!$C:$FA,97)</f>
        <v>-6.2E-2</v>
      </c>
      <c r="N40" s="86">
        <f>VLOOKUP($A40,'Data shares'!$C:$FA,78)</f>
        <v>146550</v>
      </c>
      <c r="O40" s="87">
        <f>VLOOKUP($A40,'Data shares'!$C:$FA,81)</f>
        <v>-0.31609999999999999</v>
      </c>
    </row>
    <row r="41" spans="1:15" x14ac:dyDescent="0.25">
      <c r="A41" s="100" t="str">
        <f>'OI(Value)'!A41</f>
        <v>BPCL</v>
      </c>
      <c r="B41" s="82">
        <f>VLOOKUP(A41,'Data shares'!$C$2:$CV$216,98,0)</f>
        <v>71605600</v>
      </c>
      <c r="C41" s="82">
        <f>VLOOKUP(A41,'Data shares'!$C$2:$CX$216,100,0)</f>
        <v>5662325</v>
      </c>
      <c r="D41" s="141">
        <f>VLOOKUP(A41,'Data shares'!$C$2:$CY$539,101,0)</f>
        <v>8.5900000000000004E-2</v>
      </c>
      <c r="E41" s="86">
        <f>VLOOKUP($A41,'Data shares'!$C:$FA,74)</f>
        <v>34629650</v>
      </c>
      <c r="F41" s="86">
        <f>VLOOKUP($A41,'Data shares'!$C:$FA,76)</f>
        <v>4544475</v>
      </c>
      <c r="G41" s="87">
        <f>VLOOKUP(A41,'Data shares'!$C$2:$CA$216,77,0)</f>
        <v>0.15110000000000001</v>
      </c>
      <c r="H41" s="86">
        <f>VLOOKUP($A41,'Data shares'!$C:$FA,90)</f>
        <v>20202275</v>
      </c>
      <c r="I41" s="86">
        <f>VLOOKUP($A41,'Data shares'!$C:$FA,92)</f>
        <v>1433850</v>
      </c>
      <c r="J41" s="87">
        <f>VLOOKUP($A41,'Data shares'!$C:$FA,93)</f>
        <v>7.6399999999999996E-2</v>
      </c>
      <c r="K41" s="86">
        <f>VLOOKUP($A41,'Data shares'!$C:$FA,94)</f>
        <v>16773675</v>
      </c>
      <c r="L41" s="86">
        <f>VLOOKUP($A41,'Data shares'!$C:$FA,96)</f>
        <v>-316000</v>
      </c>
      <c r="M41" s="87">
        <f>VLOOKUP($A41,'Data shares'!$C:$FA,97)</f>
        <v>-1.8499999999999999E-2</v>
      </c>
      <c r="N41" s="86">
        <f>VLOOKUP($A41,'Data shares'!$C:$FA,78)</f>
        <v>21837575</v>
      </c>
      <c r="O41" s="87">
        <f>VLOOKUP($A41,'Data shares'!$C:$FA,81)</f>
        <v>-0.19819999999999999</v>
      </c>
    </row>
    <row r="42" spans="1:15" x14ac:dyDescent="0.25">
      <c r="A42" s="100" t="str">
        <f>'OI(Value)'!A42</f>
        <v>BRITANNIA</v>
      </c>
      <c r="B42" s="82">
        <f>VLOOKUP(A42,'Data shares'!$C$2:$CV$216,98,0)</f>
        <v>6500750</v>
      </c>
      <c r="C42" s="82">
        <f>VLOOKUP(A42,'Data shares'!$C$2:$CX$216,100,0)</f>
        <v>-107500</v>
      </c>
      <c r="D42" s="141">
        <f>VLOOKUP(A42,'Data shares'!$C$2:$CY$539,101,0)</f>
        <v>-1.6299999999999999E-2</v>
      </c>
      <c r="E42" s="86">
        <f>VLOOKUP($A42,'Data shares'!$C:$FA,74)</f>
        <v>3381625</v>
      </c>
      <c r="F42" s="86">
        <f>VLOOKUP($A42,'Data shares'!$C:$FA,76)</f>
        <v>-40000</v>
      </c>
      <c r="G42" s="87">
        <f>VLOOKUP(A42,'Data shares'!$C$2:$CA$216,77,0)</f>
        <v>-1.17E-2</v>
      </c>
      <c r="H42" s="86">
        <f>VLOOKUP($A42,'Data shares'!$C:$FA,90)</f>
        <v>2012625</v>
      </c>
      <c r="I42" s="86">
        <f>VLOOKUP($A42,'Data shares'!$C:$FA,92)</f>
        <v>-64750</v>
      </c>
      <c r="J42" s="87">
        <f>VLOOKUP($A42,'Data shares'!$C:$FA,93)</f>
        <v>-3.1199999999999999E-2</v>
      </c>
      <c r="K42" s="86">
        <f>VLOOKUP($A42,'Data shares'!$C:$FA,94)</f>
        <v>1106500</v>
      </c>
      <c r="L42" s="86">
        <f>VLOOKUP($A42,'Data shares'!$C:$FA,96)</f>
        <v>-2750</v>
      </c>
      <c r="M42" s="87">
        <f>VLOOKUP($A42,'Data shares'!$C:$FA,97)</f>
        <v>-2.5000000000000001E-3</v>
      </c>
      <c r="N42" s="86">
        <f>VLOOKUP($A42,'Data shares'!$C:$FA,78)</f>
        <v>2718125</v>
      </c>
      <c r="O42" s="87">
        <f>VLOOKUP($A42,'Data shares'!$C:$FA,81)</f>
        <v>-0.17399999999999999</v>
      </c>
    </row>
    <row r="43" spans="1:15" x14ac:dyDescent="0.25">
      <c r="A43" s="100" t="str">
        <f>'OI(Value)'!A43</f>
        <v>BSE</v>
      </c>
      <c r="B43" s="82">
        <f>VLOOKUP(A43,'Data shares'!$C$2:$CV$216,98,0)</f>
        <v>32949750</v>
      </c>
      <c r="C43" s="82">
        <f>VLOOKUP(A43,'Data shares'!$C$2:$CX$216,100,0)</f>
        <v>-253500</v>
      </c>
      <c r="D43" s="141">
        <f>VLOOKUP(A43,'Data shares'!$C$2:$CY$539,101,0)</f>
        <v>-7.6E-3</v>
      </c>
      <c r="E43" s="86">
        <f>VLOOKUP($A43,'Data shares'!$C:$FA,74)</f>
        <v>12608250</v>
      </c>
      <c r="F43" s="86">
        <f>VLOOKUP($A43,'Data shares'!$C:$FA,76)</f>
        <v>-499875</v>
      </c>
      <c r="G43" s="87">
        <f>VLOOKUP(A43,'Data shares'!$C$2:$CA$216,77,0)</f>
        <v>-3.8100000000000002E-2</v>
      </c>
      <c r="H43" s="86">
        <f>VLOOKUP($A43,'Data shares'!$C:$FA,90)</f>
        <v>10644375</v>
      </c>
      <c r="I43" s="86">
        <f>VLOOKUP($A43,'Data shares'!$C:$FA,92)</f>
        <v>771375</v>
      </c>
      <c r="J43" s="87">
        <f>VLOOKUP($A43,'Data shares'!$C:$FA,93)</f>
        <v>7.8100000000000003E-2</v>
      </c>
      <c r="K43" s="86">
        <f>VLOOKUP($A43,'Data shares'!$C:$FA,94)</f>
        <v>9697125</v>
      </c>
      <c r="L43" s="86">
        <f>VLOOKUP($A43,'Data shares'!$C:$FA,96)</f>
        <v>-525000</v>
      </c>
      <c r="M43" s="87">
        <f>VLOOKUP($A43,'Data shares'!$C:$FA,97)</f>
        <v>-5.1400000000000001E-2</v>
      </c>
      <c r="N43" s="86">
        <f>VLOOKUP($A43,'Data shares'!$C:$FA,78)</f>
        <v>8706000</v>
      </c>
      <c r="O43" s="87">
        <f>VLOOKUP($A43,'Data shares'!$C:$FA,81)</f>
        <v>-0.20480000000000001</v>
      </c>
    </row>
    <row r="44" spans="1:15" x14ac:dyDescent="0.25">
      <c r="A44" s="100" t="str">
        <f>'OI(Value)'!A44</f>
        <v>CAMS</v>
      </c>
      <c r="B44" s="82">
        <f>VLOOKUP(A44,'Data shares'!$C$2:$CV$216,98,0)</f>
        <v>4670550</v>
      </c>
      <c r="C44" s="82">
        <f>VLOOKUP(A44,'Data shares'!$C$2:$CX$216,100,0)</f>
        <v>-187500</v>
      </c>
      <c r="D44" s="141">
        <f>VLOOKUP(A44,'Data shares'!$C$2:$CY$539,101,0)</f>
        <v>-3.8600000000000002E-2</v>
      </c>
      <c r="E44" s="86">
        <f>VLOOKUP($A44,'Data shares'!$C:$FA,74)</f>
        <v>1779600</v>
      </c>
      <c r="F44" s="86">
        <f>VLOOKUP($A44,'Data shares'!$C:$FA,76)</f>
        <v>-74700</v>
      </c>
      <c r="G44" s="87">
        <f>VLOOKUP(A44,'Data shares'!$C$2:$CA$216,77,0)</f>
        <v>-4.0300000000000002E-2</v>
      </c>
      <c r="H44" s="86">
        <f>VLOOKUP($A44,'Data shares'!$C:$FA,90)</f>
        <v>1719600</v>
      </c>
      <c r="I44" s="86">
        <f>VLOOKUP($A44,'Data shares'!$C:$FA,92)</f>
        <v>-204750</v>
      </c>
      <c r="J44" s="87">
        <f>VLOOKUP($A44,'Data shares'!$C:$FA,93)</f>
        <v>-0.10639999999999999</v>
      </c>
      <c r="K44" s="86">
        <f>VLOOKUP($A44,'Data shares'!$C:$FA,94)</f>
        <v>1171350</v>
      </c>
      <c r="L44" s="86">
        <f>VLOOKUP($A44,'Data shares'!$C:$FA,96)</f>
        <v>91950</v>
      </c>
      <c r="M44" s="87">
        <f>VLOOKUP($A44,'Data shares'!$C:$FA,97)</f>
        <v>8.5199999999999998E-2</v>
      </c>
      <c r="N44" s="86">
        <f>VLOOKUP($A44,'Data shares'!$C:$FA,78)</f>
        <v>1106100</v>
      </c>
      <c r="O44" s="87">
        <f>VLOOKUP($A44,'Data shares'!$C:$FA,81)</f>
        <v>-0.27229999999999999</v>
      </c>
    </row>
    <row r="45" spans="1:15" x14ac:dyDescent="0.25">
      <c r="A45" s="100" t="str">
        <f>'OI(Value)'!A45</f>
        <v>CANBK</v>
      </c>
      <c r="B45" s="82">
        <f>VLOOKUP(A45,'Data shares'!$C$2:$CV$216,98,0)</f>
        <v>425493000</v>
      </c>
      <c r="C45" s="82">
        <f>VLOOKUP(A45,'Data shares'!$C$2:$CX$216,100,0)</f>
        <v>-17617500</v>
      </c>
      <c r="D45" s="141">
        <f>VLOOKUP(A45,'Data shares'!$C$2:$CY$539,101,0)</f>
        <v>-3.9800000000000002E-2</v>
      </c>
      <c r="E45" s="86">
        <f>VLOOKUP($A45,'Data shares'!$C:$FA,74)</f>
        <v>161466750</v>
      </c>
      <c r="F45" s="86">
        <f>VLOOKUP($A45,'Data shares'!$C:$FA,76)</f>
        <v>-5656500</v>
      </c>
      <c r="G45" s="87">
        <f>VLOOKUP(A45,'Data shares'!$C$2:$CA$216,77,0)</f>
        <v>-3.3799999999999997E-2</v>
      </c>
      <c r="H45" s="86">
        <f>VLOOKUP($A45,'Data shares'!$C:$FA,90)</f>
        <v>123113250</v>
      </c>
      <c r="I45" s="86">
        <f>VLOOKUP($A45,'Data shares'!$C:$FA,92)</f>
        <v>-3989250</v>
      </c>
      <c r="J45" s="87">
        <f>VLOOKUP($A45,'Data shares'!$C:$FA,93)</f>
        <v>-3.1399999999999997E-2</v>
      </c>
      <c r="K45" s="86">
        <f>VLOOKUP($A45,'Data shares'!$C:$FA,94)</f>
        <v>140913000</v>
      </c>
      <c r="L45" s="86">
        <f>VLOOKUP($A45,'Data shares'!$C:$FA,96)</f>
        <v>-7971750</v>
      </c>
      <c r="M45" s="87">
        <f>VLOOKUP($A45,'Data shares'!$C:$FA,97)</f>
        <v>-5.3499999999999999E-2</v>
      </c>
      <c r="N45" s="86">
        <f>VLOOKUP($A45,'Data shares'!$C:$FA,78)</f>
        <v>110450250</v>
      </c>
      <c r="O45" s="87">
        <f>VLOOKUP($A45,'Data shares'!$C:$FA,81)</f>
        <v>-0.20519999999999999</v>
      </c>
    </row>
    <row r="46" spans="1:15" x14ac:dyDescent="0.25">
      <c r="A46" s="100" t="str">
        <f>'OI(Value)'!A46</f>
        <v>CDSL</v>
      </c>
      <c r="B46" s="82">
        <f>VLOOKUP(A46,'Data shares'!$C$2:$CV$216,98,0)</f>
        <v>23677800</v>
      </c>
      <c r="C46" s="82">
        <f>VLOOKUP(A46,'Data shares'!$C$2:$CX$216,100,0)</f>
        <v>-703475</v>
      </c>
      <c r="D46" s="141">
        <f>VLOOKUP(A46,'Data shares'!$C$2:$CY$539,101,0)</f>
        <v>-2.8899999999999999E-2</v>
      </c>
      <c r="E46" s="86">
        <f>VLOOKUP($A46,'Data shares'!$C:$FA,74)</f>
        <v>9557475</v>
      </c>
      <c r="F46" s="86">
        <f>VLOOKUP($A46,'Data shares'!$C:$FA,76)</f>
        <v>-1027900</v>
      </c>
      <c r="G46" s="87">
        <f>VLOOKUP(A46,'Data shares'!$C$2:$CA$216,77,0)</f>
        <v>-9.7100000000000006E-2</v>
      </c>
      <c r="H46" s="86">
        <f>VLOOKUP($A46,'Data shares'!$C:$FA,90)</f>
        <v>8856375</v>
      </c>
      <c r="I46" s="86">
        <f>VLOOKUP($A46,'Data shares'!$C:$FA,92)</f>
        <v>306850</v>
      </c>
      <c r="J46" s="87">
        <f>VLOOKUP($A46,'Data shares'!$C:$FA,93)</f>
        <v>3.5900000000000001E-2</v>
      </c>
      <c r="K46" s="86">
        <f>VLOOKUP($A46,'Data shares'!$C:$FA,94)</f>
        <v>5263950</v>
      </c>
      <c r="L46" s="86">
        <f>VLOOKUP($A46,'Data shares'!$C:$FA,96)</f>
        <v>17575</v>
      </c>
      <c r="M46" s="87">
        <f>VLOOKUP($A46,'Data shares'!$C:$FA,97)</f>
        <v>3.3E-3</v>
      </c>
      <c r="N46" s="86">
        <f>VLOOKUP($A46,'Data shares'!$C:$FA,78)</f>
        <v>5829675</v>
      </c>
      <c r="O46" s="87">
        <f>VLOOKUP($A46,'Data shares'!$C:$FA,81)</f>
        <v>-0.30740000000000001</v>
      </c>
    </row>
    <row r="47" spans="1:15" x14ac:dyDescent="0.25">
      <c r="A47" s="100" t="str">
        <f>'OI(Value)'!A47</f>
        <v>CGPOWER</v>
      </c>
      <c r="B47" s="82">
        <f>VLOOKUP(A47,'Data shares'!$C$2:$CV$216,98,0)</f>
        <v>27897850</v>
      </c>
      <c r="C47" s="82">
        <f>VLOOKUP(A47,'Data shares'!$C$2:$CX$216,100,0)</f>
        <v>-279650</v>
      </c>
      <c r="D47" s="141">
        <f>VLOOKUP(A47,'Data shares'!$C$2:$CY$539,101,0)</f>
        <v>-9.9000000000000008E-3</v>
      </c>
      <c r="E47" s="86">
        <f>VLOOKUP($A47,'Data shares'!$C:$FA,74)</f>
        <v>16331050</v>
      </c>
      <c r="F47" s="86">
        <f>VLOOKUP($A47,'Data shares'!$C:$FA,76)</f>
        <v>112200</v>
      </c>
      <c r="G47" s="87">
        <f>VLOOKUP(A47,'Data shares'!$C$2:$CA$216,77,0)</f>
        <v>6.8999999999999999E-3</v>
      </c>
      <c r="H47" s="86">
        <f>VLOOKUP($A47,'Data shares'!$C:$FA,90)</f>
        <v>7426450</v>
      </c>
      <c r="I47" s="86">
        <f>VLOOKUP($A47,'Data shares'!$C:$FA,92)</f>
        <v>-234600</v>
      </c>
      <c r="J47" s="87">
        <f>VLOOKUP($A47,'Data shares'!$C:$FA,93)</f>
        <v>-3.0599999999999999E-2</v>
      </c>
      <c r="K47" s="86">
        <f>VLOOKUP($A47,'Data shares'!$C:$FA,94)</f>
        <v>4140350</v>
      </c>
      <c r="L47" s="86">
        <f>VLOOKUP($A47,'Data shares'!$C:$FA,96)</f>
        <v>-157250</v>
      </c>
      <c r="M47" s="87">
        <f>VLOOKUP($A47,'Data shares'!$C:$FA,97)</f>
        <v>-3.6600000000000001E-2</v>
      </c>
      <c r="N47" s="86">
        <f>VLOOKUP($A47,'Data shares'!$C:$FA,78)</f>
        <v>10870650</v>
      </c>
      <c r="O47" s="87">
        <f>VLOOKUP($A47,'Data shares'!$C:$FA,81)</f>
        <v>-0.24709999999999999</v>
      </c>
    </row>
    <row r="48" spans="1:15" x14ac:dyDescent="0.25">
      <c r="A48" s="100" t="str">
        <f>'OI(Value)'!A48</f>
        <v>CHOLAFIN</v>
      </c>
      <c r="B48" s="82">
        <f>VLOOKUP(A48,'Data shares'!$C$2:$CV$216,98,0)</f>
        <v>21682500</v>
      </c>
      <c r="C48" s="82">
        <f>VLOOKUP(A48,'Data shares'!$C$2:$CX$216,100,0)</f>
        <v>-2881875</v>
      </c>
      <c r="D48" s="141">
        <f>VLOOKUP(A48,'Data shares'!$C$2:$CY$539,101,0)</f>
        <v>-0.1173</v>
      </c>
      <c r="E48" s="86">
        <f>VLOOKUP($A48,'Data shares'!$C:$FA,74)</f>
        <v>15103750</v>
      </c>
      <c r="F48" s="86">
        <f>VLOOKUP($A48,'Data shares'!$C:$FA,76)</f>
        <v>-2450000</v>
      </c>
      <c r="G48" s="87">
        <f>VLOOKUP(A48,'Data shares'!$C$2:$CA$216,77,0)</f>
        <v>-0.1396</v>
      </c>
      <c r="H48" s="86">
        <f>VLOOKUP($A48,'Data shares'!$C:$FA,90)</f>
        <v>3355000</v>
      </c>
      <c r="I48" s="86">
        <f>VLOOKUP($A48,'Data shares'!$C:$FA,92)</f>
        <v>-330625</v>
      </c>
      <c r="J48" s="87">
        <f>VLOOKUP($A48,'Data shares'!$C:$FA,93)</f>
        <v>-8.9700000000000002E-2</v>
      </c>
      <c r="K48" s="86">
        <f>VLOOKUP($A48,'Data shares'!$C:$FA,94)</f>
        <v>3223750</v>
      </c>
      <c r="L48" s="86">
        <f>VLOOKUP($A48,'Data shares'!$C:$FA,96)</f>
        <v>-101250</v>
      </c>
      <c r="M48" s="87">
        <f>VLOOKUP($A48,'Data shares'!$C:$FA,97)</f>
        <v>-3.0499999999999999E-2</v>
      </c>
      <c r="N48" s="86">
        <f>VLOOKUP($A48,'Data shares'!$C:$FA,78)</f>
        <v>9039375</v>
      </c>
      <c r="O48" s="87">
        <f>VLOOKUP($A48,'Data shares'!$C:$FA,81)</f>
        <v>-0.32969999999999999</v>
      </c>
    </row>
    <row r="49" spans="1:15" x14ac:dyDescent="0.25">
      <c r="A49" s="100" t="str">
        <f>'OI(Value)'!A49</f>
        <v>CIPLA</v>
      </c>
      <c r="B49" s="82">
        <f>VLOOKUP(A49,'Data shares'!$C$2:$CV$216,98,0)</f>
        <v>28321500</v>
      </c>
      <c r="C49" s="82">
        <f>VLOOKUP(A49,'Data shares'!$C$2:$CX$216,100,0)</f>
        <v>-1375875</v>
      </c>
      <c r="D49" s="141">
        <f>VLOOKUP(A49,'Data shares'!$C$2:$CY$539,101,0)</f>
        <v>-4.6300000000000001E-2</v>
      </c>
      <c r="E49" s="86">
        <f>VLOOKUP($A49,'Data shares'!$C:$FA,74)</f>
        <v>14716500</v>
      </c>
      <c r="F49" s="86">
        <f>VLOOKUP($A49,'Data shares'!$C:$FA,76)</f>
        <v>-409500</v>
      </c>
      <c r="G49" s="87">
        <f>VLOOKUP(A49,'Data shares'!$C$2:$CA$216,77,0)</f>
        <v>-2.7099999999999999E-2</v>
      </c>
      <c r="H49" s="86">
        <f>VLOOKUP($A49,'Data shares'!$C:$FA,90)</f>
        <v>9038625</v>
      </c>
      <c r="I49" s="86">
        <f>VLOOKUP($A49,'Data shares'!$C:$FA,92)</f>
        <v>-706125</v>
      </c>
      <c r="J49" s="87">
        <f>VLOOKUP($A49,'Data shares'!$C:$FA,93)</f>
        <v>-7.2499999999999995E-2</v>
      </c>
      <c r="K49" s="86">
        <f>VLOOKUP($A49,'Data shares'!$C:$FA,94)</f>
        <v>4566375</v>
      </c>
      <c r="L49" s="86">
        <f>VLOOKUP($A49,'Data shares'!$C:$FA,96)</f>
        <v>-260250</v>
      </c>
      <c r="M49" s="87">
        <f>VLOOKUP($A49,'Data shares'!$C:$FA,97)</f>
        <v>-5.3900000000000003E-2</v>
      </c>
      <c r="N49" s="86">
        <f>VLOOKUP($A49,'Data shares'!$C:$FA,78)</f>
        <v>10101000</v>
      </c>
      <c r="O49" s="87">
        <f>VLOOKUP($A49,'Data shares'!$C:$FA,81)</f>
        <v>-0.25319999999999998</v>
      </c>
    </row>
    <row r="50" spans="1:15" x14ac:dyDescent="0.25">
      <c r="A50" s="100" t="str">
        <f>'OI(Value)'!A50</f>
        <v>COALINDIA</v>
      </c>
      <c r="B50" s="82">
        <f>VLOOKUP(A50,'Data shares'!$C$2:$CV$216,98,0)</f>
        <v>110236950</v>
      </c>
      <c r="C50" s="82">
        <f>VLOOKUP(A50,'Data shares'!$C$2:$CX$216,100,0)</f>
        <v>-719550</v>
      </c>
      <c r="D50" s="141">
        <f>VLOOKUP(A50,'Data shares'!$C$2:$CY$539,101,0)</f>
        <v>-6.4999999999999997E-3</v>
      </c>
      <c r="E50" s="86">
        <f>VLOOKUP($A50,'Data shares'!$C:$FA,74)</f>
        <v>60399000</v>
      </c>
      <c r="F50" s="86">
        <f>VLOOKUP($A50,'Data shares'!$C:$FA,76)</f>
        <v>121500</v>
      </c>
      <c r="G50" s="87">
        <f>VLOOKUP(A50,'Data shares'!$C$2:$CA$216,77,0)</f>
        <v>2E-3</v>
      </c>
      <c r="H50" s="86">
        <f>VLOOKUP($A50,'Data shares'!$C:$FA,90)</f>
        <v>27718200</v>
      </c>
      <c r="I50" s="86">
        <f>VLOOKUP($A50,'Data shares'!$C:$FA,92)</f>
        <v>-812700</v>
      </c>
      <c r="J50" s="87">
        <f>VLOOKUP($A50,'Data shares'!$C:$FA,93)</f>
        <v>-2.8500000000000001E-2</v>
      </c>
      <c r="K50" s="86">
        <f>VLOOKUP($A50,'Data shares'!$C:$FA,94)</f>
        <v>22119750</v>
      </c>
      <c r="L50" s="86">
        <f>VLOOKUP($A50,'Data shares'!$C:$FA,96)</f>
        <v>-28350</v>
      </c>
      <c r="M50" s="87">
        <f>VLOOKUP($A50,'Data shares'!$C:$FA,97)</f>
        <v>-1.2999999999999999E-3</v>
      </c>
      <c r="N50" s="86">
        <f>VLOOKUP($A50,'Data shares'!$C:$FA,78)</f>
        <v>40873950</v>
      </c>
      <c r="O50" s="87">
        <f>VLOOKUP($A50,'Data shares'!$C:$FA,81)</f>
        <v>-0.24160000000000001</v>
      </c>
    </row>
    <row r="51" spans="1:15" x14ac:dyDescent="0.25">
      <c r="A51" s="100" t="str">
        <f>'OI(Value)'!A51</f>
        <v>COFORGE</v>
      </c>
      <c r="B51" s="82">
        <f>VLOOKUP(A51,'Data shares'!$C$2:$CV$216,98,0)</f>
        <v>21657000</v>
      </c>
      <c r="C51" s="82">
        <f>VLOOKUP(A51,'Data shares'!$C$2:$CX$216,100,0)</f>
        <v>-544500</v>
      </c>
      <c r="D51" s="141">
        <f>VLOOKUP(A51,'Data shares'!$C$2:$CY$539,101,0)</f>
        <v>-2.4500000000000001E-2</v>
      </c>
      <c r="E51" s="86">
        <f>VLOOKUP($A51,'Data shares'!$C:$FA,74)</f>
        <v>13020375</v>
      </c>
      <c r="F51" s="86">
        <f>VLOOKUP($A51,'Data shares'!$C:$FA,76)</f>
        <v>-333750</v>
      </c>
      <c r="G51" s="87">
        <f>VLOOKUP(A51,'Data shares'!$C$2:$CA$216,77,0)</f>
        <v>-2.5000000000000001E-2</v>
      </c>
      <c r="H51" s="86">
        <f>VLOOKUP($A51,'Data shares'!$C:$FA,90)</f>
        <v>5773500</v>
      </c>
      <c r="I51" s="86">
        <f>VLOOKUP($A51,'Data shares'!$C:$FA,92)</f>
        <v>83250</v>
      </c>
      <c r="J51" s="87">
        <f>VLOOKUP($A51,'Data shares'!$C:$FA,93)</f>
        <v>1.46E-2</v>
      </c>
      <c r="K51" s="86">
        <f>VLOOKUP($A51,'Data shares'!$C:$FA,94)</f>
        <v>2863125</v>
      </c>
      <c r="L51" s="86">
        <f>VLOOKUP($A51,'Data shares'!$C:$FA,96)</f>
        <v>-294000</v>
      </c>
      <c r="M51" s="87">
        <f>VLOOKUP($A51,'Data shares'!$C:$FA,97)</f>
        <v>-9.3100000000000002E-2</v>
      </c>
      <c r="N51" s="86">
        <f>VLOOKUP($A51,'Data shares'!$C:$FA,78)</f>
        <v>9346500</v>
      </c>
      <c r="O51" s="87">
        <f>VLOOKUP($A51,'Data shares'!$C:$FA,81)</f>
        <v>-0.24629999999999999</v>
      </c>
    </row>
    <row r="52" spans="1:15" x14ac:dyDescent="0.25">
      <c r="A52" s="100" t="str">
        <f>'OI(Value)'!A52</f>
        <v>COLPAL</v>
      </c>
      <c r="B52" s="82">
        <f>VLOOKUP(A52,'Data shares'!$C$2:$CV$216,98,0)</f>
        <v>11130525</v>
      </c>
      <c r="C52" s="82">
        <f>VLOOKUP(A52,'Data shares'!$C$2:$CX$216,100,0)</f>
        <v>-532350</v>
      </c>
      <c r="D52" s="141">
        <f>VLOOKUP(A52,'Data shares'!$C$2:$CY$539,101,0)</f>
        <v>-4.5600000000000002E-2</v>
      </c>
      <c r="E52" s="86">
        <f>VLOOKUP($A52,'Data shares'!$C:$FA,74)</f>
        <v>6583050</v>
      </c>
      <c r="F52" s="86">
        <f>VLOOKUP($A52,'Data shares'!$C:$FA,76)</f>
        <v>-692775</v>
      </c>
      <c r="G52" s="87">
        <f>VLOOKUP(A52,'Data shares'!$C$2:$CA$216,77,0)</f>
        <v>-9.5200000000000007E-2</v>
      </c>
      <c r="H52" s="86">
        <f>VLOOKUP($A52,'Data shares'!$C:$FA,90)</f>
        <v>2777625</v>
      </c>
      <c r="I52" s="86">
        <f>VLOOKUP($A52,'Data shares'!$C:$FA,92)</f>
        <v>110925</v>
      </c>
      <c r="J52" s="87">
        <f>VLOOKUP($A52,'Data shares'!$C:$FA,93)</f>
        <v>4.1599999999999998E-2</v>
      </c>
      <c r="K52" s="86">
        <f>VLOOKUP($A52,'Data shares'!$C:$FA,94)</f>
        <v>1769850</v>
      </c>
      <c r="L52" s="86">
        <f>VLOOKUP($A52,'Data shares'!$C:$FA,96)</f>
        <v>49500</v>
      </c>
      <c r="M52" s="87">
        <f>VLOOKUP($A52,'Data shares'!$C:$FA,97)</f>
        <v>2.8799999999999999E-2</v>
      </c>
      <c r="N52" s="86">
        <f>VLOOKUP($A52,'Data shares'!$C:$FA,78)</f>
        <v>3691125</v>
      </c>
      <c r="O52" s="87">
        <f>VLOOKUP($A52,'Data shares'!$C:$FA,81)</f>
        <v>-0.41720000000000002</v>
      </c>
    </row>
    <row r="53" spans="1:15" x14ac:dyDescent="0.25">
      <c r="A53" s="100" t="str">
        <f>'OI(Value)'!A53</f>
        <v>CONCOR</v>
      </c>
      <c r="B53" s="82">
        <f>VLOOKUP(A53,'Data shares'!$C$2:$CV$216,98,0)</f>
        <v>68085000</v>
      </c>
      <c r="C53" s="82">
        <f>VLOOKUP(A53,'Data shares'!$C$2:$CX$216,100,0)</f>
        <v>-1207500</v>
      </c>
      <c r="D53" s="141">
        <f>VLOOKUP(A53,'Data shares'!$C$2:$CY$539,101,0)</f>
        <v>-1.7399999999999999E-2</v>
      </c>
      <c r="E53" s="86">
        <f>VLOOKUP($A53,'Data shares'!$C:$FA,74)</f>
        <v>40592500</v>
      </c>
      <c r="F53" s="86">
        <f>VLOOKUP($A53,'Data shares'!$C:$FA,76)</f>
        <v>33750</v>
      </c>
      <c r="G53" s="87">
        <f>VLOOKUP(A53,'Data shares'!$C$2:$CA$216,77,0)</f>
        <v>8.0000000000000004E-4</v>
      </c>
      <c r="H53" s="86">
        <f>VLOOKUP($A53,'Data shares'!$C:$FA,90)</f>
        <v>16496250</v>
      </c>
      <c r="I53" s="86">
        <f>VLOOKUP($A53,'Data shares'!$C:$FA,92)</f>
        <v>-1440000</v>
      </c>
      <c r="J53" s="87">
        <f>VLOOKUP($A53,'Data shares'!$C:$FA,93)</f>
        <v>-8.0299999999999996E-2</v>
      </c>
      <c r="K53" s="86">
        <f>VLOOKUP($A53,'Data shares'!$C:$FA,94)</f>
        <v>10996250</v>
      </c>
      <c r="L53" s="86">
        <f>VLOOKUP($A53,'Data shares'!$C:$FA,96)</f>
        <v>198750</v>
      </c>
      <c r="M53" s="87">
        <f>VLOOKUP($A53,'Data shares'!$C:$FA,97)</f>
        <v>1.84E-2</v>
      </c>
      <c r="N53" s="86">
        <f>VLOOKUP($A53,'Data shares'!$C:$FA,78)</f>
        <v>26681250</v>
      </c>
      <c r="O53" s="87">
        <f>VLOOKUP($A53,'Data shares'!$C:$FA,81)</f>
        <v>-0.19220000000000001</v>
      </c>
    </row>
    <row r="54" spans="1:15" x14ac:dyDescent="0.25">
      <c r="A54" s="100" t="str">
        <f>'OI(Value)'!A54</f>
        <v>CROMPTON</v>
      </c>
      <c r="B54" s="82">
        <f>VLOOKUP(A54,'Data shares'!$C$2:$CV$216,98,0)</f>
        <v>97356600</v>
      </c>
      <c r="C54" s="82">
        <f>VLOOKUP(A54,'Data shares'!$C$2:$CX$216,100,0)</f>
        <v>-217800</v>
      </c>
      <c r="D54" s="141">
        <f>VLOOKUP(A54,'Data shares'!$C$2:$CY$539,101,0)</f>
        <v>-2.2000000000000001E-3</v>
      </c>
      <c r="E54" s="86">
        <f>VLOOKUP($A54,'Data shares'!$C:$FA,74)</f>
        <v>55544400</v>
      </c>
      <c r="F54" s="86">
        <f>VLOOKUP($A54,'Data shares'!$C:$FA,76)</f>
        <v>-325800</v>
      </c>
      <c r="G54" s="87">
        <f>VLOOKUP(A54,'Data shares'!$C$2:$CA$216,77,0)</f>
        <v>-5.7999999999999996E-3</v>
      </c>
      <c r="H54" s="86">
        <f>VLOOKUP($A54,'Data shares'!$C:$FA,90)</f>
        <v>27723600</v>
      </c>
      <c r="I54" s="86">
        <f>VLOOKUP($A54,'Data shares'!$C:$FA,92)</f>
        <v>-329400</v>
      </c>
      <c r="J54" s="87">
        <f>VLOOKUP($A54,'Data shares'!$C:$FA,93)</f>
        <v>-1.17E-2</v>
      </c>
      <c r="K54" s="86">
        <f>VLOOKUP($A54,'Data shares'!$C:$FA,94)</f>
        <v>14088600</v>
      </c>
      <c r="L54" s="86">
        <f>VLOOKUP($A54,'Data shares'!$C:$FA,96)</f>
        <v>437400</v>
      </c>
      <c r="M54" s="87">
        <f>VLOOKUP($A54,'Data shares'!$C:$FA,97)</f>
        <v>3.2000000000000001E-2</v>
      </c>
      <c r="N54" s="86">
        <f>VLOOKUP($A54,'Data shares'!$C:$FA,78)</f>
        <v>39785400</v>
      </c>
      <c r="O54" s="87">
        <f>VLOOKUP($A54,'Data shares'!$C:$FA,81)</f>
        <v>-0.18090000000000001</v>
      </c>
    </row>
    <row r="55" spans="1:15" x14ac:dyDescent="0.25">
      <c r="A55" s="100" t="str">
        <f>'OI(Value)'!A55</f>
        <v>CUMMINSIND</v>
      </c>
      <c r="B55" s="82">
        <f>VLOOKUP(A55,'Data shares'!$C$2:$CV$216,98,0)</f>
        <v>5956000</v>
      </c>
      <c r="C55" s="82">
        <f>VLOOKUP(A55,'Data shares'!$C$2:$CX$216,100,0)</f>
        <v>105400</v>
      </c>
      <c r="D55" s="141">
        <f>VLOOKUP(A55,'Data shares'!$C$2:$CY$539,101,0)</f>
        <v>1.7999999999999999E-2</v>
      </c>
      <c r="E55" s="86">
        <f>VLOOKUP($A55,'Data shares'!$C:$FA,74)</f>
        <v>3562400</v>
      </c>
      <c r="F55" s="86">
        <f>VLOOKUP($A55,'Data shares'!$C:$FA,76)</f>
        <v>-96000</v>
      </c>
      <c r="G55" s="87">
        <f>VLOOKUP(A55,'Data shares'!$C$2:$CA$216,77,0)</f>
        <v>-2.6200000000000001E-2</v>
      </c>
      <c r="H55" s="86">
        <f>VLOOKUP($A55,'Data shares'!$C:$FA,90)</f>
        <v>1485600</v>
      </c>
      <c r="I55" s="86">
        <f>VLOOKUP($A55,'Data shares'!$C:$FA,92)</f>
        <v>147800</v>
      </c>
      <c r="J55" s="87">
        <f>VLOOKUP($A55,'Data shares'!$C:$FA,93)</f>
        <v>0.1105</v>
      </c>
      <c r="K55" s="86">
        <f>VLOOKUP($A55,'Data shares'!$C:$FA,94)</f>
        <v>908000</v>
      </c>
      <c r="L55" s="86">
        <f>VLOOKUP($A55,'Data shares'!$C:$FA,96)</f>
        <v>53600</v>
      </c>
      <c r="M55" s="87">
        <f>VLOOKUP($A55,'Data shares'!$C:$FA,97)</f>
        <v>6.2700000000000006E-2</v>
      </c>
      <c r="N55" s="86">
        <f>VLOOKUP($A55,'Data shares'!$C:$FA,78)</f>
        <v>2423200</v>
      </c>
      <c r="O55" s="87">
        <f>VLOOKUP($A55,'Data shares'!$C:$FA,81)</f>
        <v>-0.26290000000000002</v>
      </c>
    </row>
    <row r="56" spans="1:15" x14ac:dyDescent="0.25">
      <c r="A56" s="100" t="str">
        <f>'OI(Value)'!A56</f>
        <v>CYIENT</v>
      </c>
      <c r="B56" s="82">
        <f>VLOOKUP(A56,'Data shares'!$C$2:$CV$216,98,0)</f>
        <v>8384400</v>
      </c>
      <c r="C56" s="82">
        <f>VLOOKUP(A56,'Data shares'!$C$2:$CX$216,100,0)</f>
        <v>-259250</v>
      </c>
      <c r="D56" s="141">
        <f>VLOOKUP(A56,'Data shares'!$C$2:$CY$539,101,0)</f>
        <v>-0.03</v>
      </c>
      <c r="E56" s="86">
        <f>VLOOKUP($A56,'Data shares'!$C:$FA,74)</f>
        <v>4508825</v>
      </c>
      <c r="F56" s="86">
        <f>VLOOKUP($A56,'Data shares'!$C:$FA,76)</f>
        <v>-78625</v>
      </c>
      <c r="G56" s="87">
        <f>VLOOKUP(A56,'Data shares'!$C$2:$CA$216,77,0)</f>
        <v>-1.7100000000000001E-2</v>
      </c>
      <c r="H56" s="86">
        <f>VLOOKUP($A56,'Data shares'!$C:$FA,90)</f>
        <v>2456925</v>
      </c>
      <c r="I56" s="86">
        <f>VLOOKUP($A56,'Data shares'!$C:$FA,92)</f>
        <v>-81175</v>
      </c>
      <c r="J56" s="87">
        <f>VLOOKUP($A56,'Data shares'!$C:$FA,93)</f>
        <v>-3.2000000000000001E-2</v>
      </c>
      <c r="K56" s="86">
        <f>VLOOKUP($A56,'Data shares'!$C:$FA,94)</f>
        <v>1418650</v>
      </c>
      <c r="L56" s="86">
        <f>VLOOKUP($A56,'Data shares'!$C:$FA,96)</f>
        <v>-99450</v>
      </c>
      <c r="M56" s="87">
        <f>VLOOKUP($A56,'Data shares'!$C:$FA,97)</f>
        <v>-6.5500000000000003E-2</v>
      </c>
      <c r="N56" s="86">
        <f>VLOOKUP($A56,'Data shares'!$C:$FA,78)</f>
        <v>3048525</v>
      </c>
      <c r="O56" s="87">
        <f>VLOOKUP($A56,'Data shares'!$C:$FA,81)</f>
        <v>-0.24529999999999999</v>
      </c>
    </row>
    <row r="57" spans="1:15" x14ac:dyDescent="0.25">
      <c r="A57" s="100" t="str">
        <f>'OI(Value)'!A57</f>
        <v>DABUR</v>
      </c>
      <c r="B57" s="82">
        <f>VLOOKUP(A57,'Data shares'!$C$2:$CV$216,98,0)</f>
        <v>51571250</v>
      </c>
      <c r="C57" s="82">
        <f>VLOOKUP(A57,'Data shares'!$C$2:$CX$216,100,0)</f>
        <v>-2876250</v>
      </c>
      <c r="D57" s="141">
        <f>VLOOKUP(A57,'Data shares'!$C$2:$CY$539,101,0)</f>
        <v>-5.28E-2</v>
      </c>
      <c r="E57" s="86">
        <f>VLOOKUP($A57,'Data shares'!$C:$FA,74)</f>
        <v>23118750</v>
      </c>
      <c r="F57" s="86">
        <f>VLOOKUP($A57,'Data shares'!$C:$FA,76)</f>
        <v>-1322500</v>
      </c>
      <c r="G57" s="87">
        <f>VLOOKUP(A57,'Data shares'!$C$2:$CA$216,77,0)</f>
        <v>-5.4100000000000002E-2</v>
      </c>
      <c r="H57" s="86">
        <f>VLOOKUP($A57,'Data shares'!$C:$FA,90)</f>
        <v>17871250</v>
      </c>
      <c r="I57" s="86">
        <f>VLOOKUP($A57,'Data shares'!$C:$FA,92)</f>
        <v>-1450000</v>
      </c>
      <c r="J57" s="87">
        <f>VLOOKUP($A57,'Data shares'!$C:$FA,93)</f>
        <v>-7.4999999999999997E-2</v>
      </c>
      <c r="K57" s="86">
        <f>VLOOKUP($A57,'Data shares'!$C:$FA,94)</f>
        <v>10581250</v>
      </c>
      <c r="L57" s="86">
        <f>VLOOKUP($A57,'Data shares'!$C:$FA,96)</f>
        <v>-103750</v>
      </c>
      <c r="M57" s="87">
        <f>VLOOKUP($A57,'Data shares'!$C:$FA,97)</f>
        <v>-9.7000000000000003E-3</v>
      </c>
      <c r="N57" s="86">
        <f>VLOOKUP($A57,'Data shares'!$C:$FA,78)</f>
        <v>15785000</v>
      </c>
      <c r="O57" s="87">
        <f>VLOOKUP($A57,'Data shares'!$C:$FA,81)</f>
        <v>-0.31609999999999999</v>
      </c>
    </row>
    <row r="58" spans="1:15" x14ac:dyDescent="0.25">
      <c r="A58" s="100" t="str">
        <f>'OI(Value)'!A58</f>
        <v>DALBHARAT</v>
      </c>
      <c r="B58" s="82">
        <f>VLOOKUP(A58,'Data shares'!$C$2:$CV$216,98,0)</f>
        <v>4920500</v>
      </c>
      <c r="C58" s="82">
        <f>VLOOKUP(A58,'Data shares'!$C$2:$CX$216,100,0)</f>
        <v>-172575</v>
      </c>
      <c r="D58" s="141">
        <f>VLOOKUP(A58,'Data shares'!$C$2:$CY$539,101,0)</f>
        <v>-3.39E-2</v>
      </c>
      <c r="E58" s="86">
        <f>VLOOKUP($A58,'Data shares'!$C:$FA,74)</f>
        <v>2775500</v>
      </c>
      <c r="F58" s="86">
        <f>VLOOKUP($A58,'Data shares'!$C:$FA,76)</f>
        <v>18200</v>
      </c>
      <c r="G58" s="87">
        <f>VLOOKUP(A58,'Data shares'!$C$2:$CA$216,77,0)</f>
        <v>6.6E-3</v>
      </c>
      <c r="H58" s="86">
        <f>VLOOKUP($A58,'Data shares'!$C:$FA,90)</f>
        <v>1287325</v>
      </c>
      <c r="I58" s="86">
        <f>VLOOKUP($A58,'Data shares'!$C:$FA,92)</f>
        <v>-130000</v>
      </c>
      <c r="J58" s="87">
        <f>VLOOKUP($A58,'Data shares'!$C:$FA,93)</f>
        <v>-9.1700000000000004E-2</v>
      </c>
      <c r="K58" s="86">
        <f>VLOOKUP($A58,'Data shares'!$C:$FA,94)</f>
        <v>857675</v>
      </c>
      <c r="L58" s="86">
        <f>VLOOKUP($A58,'Data shares'!$C:$FA,96)</f>
        <v>-60775</v>
      </c>
      <c r="M58" s="87">
        <f>VLOOKUP($A58,'Data shares'!$C:$FA,97)</f>
        <v>-6.6199999999999995E-2</v>
      </c>
      <c r="N58" s="86">
        <f>VLOOKUP($A58,'Data shares'!$C:$FA,78)</f>
        <v>1943825</v>
      </c>
      <c r="O58" s="87">
        <f>VLOOKUP($A58,'Data shares'!$C:$FA,81)</f>
        <v>-0.14899999999999999</v>
      </c>
    </row>
    <row r="59" spans="1:15" x14ac:dyDescent="0.25">
      <c r="A59" s="100" t="str">
        <f>'OI(Value)'!A59</f>
        <v>DELHIVERY</v>
      </c>
      <c r="B59" s="82">
        <f>VLOOKUP(A59,'Data shares'!$C$2:$CV$216,98,0)</f>
        <v>53867000</v>
      </c>
      <c r="C59" s="82">
        <f>VLOOKUP(A59,'Data shares'!$C$2:$CX$216,100,0)</f>
        <v>-4720625</v>
      </c>
      <c r="D59" s="141">
        <f>VLOOKUP(A59,'Data shares'!$C$2:$CY$539,101,0)</f>
        <v>-8.0600000000000005E-2</v>
      </c>
      <c r="E59" s="86">
        <f>VLOOKUP($A59,'Data shares'!$C:$FA,74)</f>
        <v>19961500</v>
      </c>
      <c r="F59" s="86">
        <f>VLOOKUP($A59,'Data shares'!$C:$FA,76)</f>
        <v>-222025</v>
      </c>
      <c r="G59" s="87">
        <f>VLOOKUP(A59,'Data shares'!$C$2:$CA$216,77,0)</f>
        <v>-1.0999999999999999E-2</v>
      </c>
      <c r="H59" s="86">
        <f>VLOOKUP($A59,'Data shares'!$C:$FA,90)</f>
        <v>22976475</v>
      </c>
      <c r="I59" s="86">
        <f>VLOOKUP($A59,'Data shares'!$C:$FA,92)</f>
        <v>-3710100</v>
      </c>
      <c r="J59" s="87">
        <f>VLOOKUP($A59,'Data shares'!$C:$FA,93)</f>
        <v>-0.13900000000000001</v>
      </c>
      <c r="K59" s="86">
        <f>VLOOKUP($A59,'Data shares'!$C:$FA,94)</f>
        <v>10929025</v>
      </c>
      <c r="L59" s="86">
        <f>VLOOKUP($A59,'Data shares'!$C:$FA,96)</f>
        <v>-788500</v>
      </c>
      <c r="M59" s="87">
        <f>VLOOKUP($A59,'Data shares'!$C:$FA,97)</f>
        <v>-6.7299999999999999E-2</v>
      </c>
      <c r="N59" s="86">
        <f>VLOOKUP($A59,'Data shares'!$C:$FA,78)</f>
        <v>15564575</v>
      </c>
      <c r="O59" s="87">
        <f>VLOOKUP($A59,'Data shares'!$C:$FA,81)</f>
        <v>-0.16189999999999999</v>
      </c>
    </row>
    <row r="60" spans="1:15" x14ac:dyDescent="0.25">
      <c r="A60" s="100" t="str">
        <f>'OI(Value)'!A60</f>
        <v>DIVISLAB</v>
      </c>
      <c r="B60" s="82">
        <f>VLOOKUP(A60,'Data shares'!$C$2:$CV$216,98,0)</f>
        <v>7023000</v>
      </c>
      <c r="C60" s="82">
        <f>VLOOKUP(A60,'Data shares'!$C$2:$CX$216,100,0)</f>
        <v>-319800</v>
      </c>
      <c r="D60" s="141">
        <f>VLOOKUP(A60,'Data shares'!$C$2:$CY$539,101,0)</f>
        <v>-4.36E-2</v>
      </c>
      <c r="E60" s="86">
        <f>VLOOKUP($A60,'Data shares'!$C:$FA,74)</f>
        <v>3390600</v>
      </c>
      <c r="F60" s="86">
        <f>VLOOKUP($A60,'Data shares'!$C:$FA,76)</f>
        <v>-15100</v>
      </c>
      <c r="G60" s="87">
        <f>VLOOKUP(A60,'Data shares'!$C$2:$CA$216,77,0)</f>
        <v>-4.4000000000000003E-3</v>
      </c>
      <c r="H60" s="86">
        <f>VLOOKUP($A60,'Data shares'!$C:$FA,90)</f>
        <v>2133600</v>
      </c>
      <c r="I60" s="86">
        <f>VLOOKUP($A60,'Data shares'!$C:$FA,92)</f>
        <v>-218100</v>
      </c>
      <c r="J60" s="87">
        <f>VLOOKUP($A60,'Data shares'!$C:$FA,93)</f>
        <v>-9.2700000000000005E-2</v>
      </c>
      <c r="K60" s="86">
        <f>VLOOKUP($A60,'Data shares'!$C:$FA,94)</f>
        <v>1498800</v>
      </c>
      <c r="L60" s="86">
        <f>VLOOKUP($A60,'Data shares'!$C:$FA,96)</f>
        <v>-86600</v>
      </c>
      <c r="M60" s="87">
        <f>VLOOKUP($A60,'Data shares'!$C:$FA,97)</f>
        <v>-5.4600000000000003E-2</v>
      </c>
      <c r="N60" s="86">
        <f>VLOOKUP($A60,'Data shares'!$C:$FA,78)</f>
        <v>2582900</v>
      </c>
      <c r="O60" s="87">
        <f>VLOOKUP($A60,'Data shares'!$C:$FA,81)</f>
        <v>-0.16039999999999999</v>
      </c>
    </row>
    <row r="61" spans="1:15" x14ac:dyDescent="0.25">
      <c r="A61" s="100" t="str">
        <f>'OI(Value)'!A61</f>
        <v>DIXON</v>
      </c>
      <c r="B61" s="82">
        <f>VLOOKUP(A61,'Data shares'!$C$2:$CV$216,98,0)</f>
        <v>4918250</v>
      </c>
      <c r="C61" s="82">
        <f>VLOOKUP(A61,'Data shares'!$C$2:$CX$216,100,0)</f>
        <v>-209550</v>
      </c>
      <c r="D61" s="141">
        <f>VLOOKUP(A61,'Data shares'!$C$2:$CY$539,101,0)</f>
        <v>-4.0899999999999999E-2</v>
      </c>
      <c r="E61" s="86">
        <f>VLOOKUP($A61,'Data shares'!$C:$FA,74)</f>
        <v>2135950</v>
      </c>
      <c r="F61" s="86">
        <f>VLOOKUP($A61,'Data shares'!$C:$FA,76)</f>
        <v>-63300</v>
      </c>
      <c r="G61" s="87">
        <f>VLOOKUP(A61,'Data shares'!$C$2:$CA$216,77,0)</f>
        <v>-2.8799999999999999E-2</v>
      </c>
      <c r="H61" s="86">
        <f>VLOOKUP($A61,'Data shares'!$C:$FA,90)</f>
        <v>1852800</v>
      </c>
      <c r="I61" s="86">
        <f>VLOOKUP($A61,'Data shares'!$C:$FA,92)</f>
        <v>-141650</v>
      </c>
      <c r="J61" s="87">
        <f>VLOOKUP($A61,'Data shares'!$C:$FA,93)</f>
        <v>-7.0999999999999994E-2</v>
      </c>
      <c r="K61" s="86">
        <f>VLOOKUP($A61,'Data shares'!$C:$FA,94)</f>
        <v>929500</v>
      </c>
      <c r="L61" s="86">
        <f>VLOOKUP($A61,'Data shares'!$C:$FA,96)</f>
        <v>-4600</v>
      </c>
      <c r="M61" s="87">
        <f>VLOOKUP($A61,'Data shares'!$C:$FA,97)</f>
        <v>-4.8999999999999998E-3</v>
      </c>
      <c r="N61" s="86">
        <f>VLOOKUP($A61,'Data shares'!$C:$FA,78)</f>
        <v>1547650</v>
      </c>
      <c r="O61" s="87">
        <f>VLOOKUP($A61,'Data shares'!$C:$FA,81)</f>
        <v>-0.16919999999999999</v>
      </c>
    </row>
    <row r="62" spans="1:15" x14ac:dyDescent="0.25">
      <c r="A62" s="100" t="str">
        <f>'OI(Value)'!A62</f>
        <v>DLF</v>
      </c>
      <c r="B62" s="82">
        <f>VLOOKUP(A62,'Data shares'!$C$2:$CV$216,98,0)</f>
        <v>68400750</v>
      </c>
      <c r="C62" s="82">
        <f>VLOOKUP(A62,'Data shares'!$C$2:$CX$216,100,0)</f>
        <v>230175</v>
      </c>
      <c r="D62" s="141">
        <f>VLOOKUP(A62,'Data shares'!$C$2:$CY$539,101,0)</f>
        <v>3.3999999999999998E-3</v>
      </c>
      <c r="E62" s="86">
        <f>VLOOKUP($A62,'Data shares'!$C:$FA,74)</f>
        <v>41148525</v>
      </c>
      <c r="F62" s="86">
        <f>VLOOKUP($A62,'Data shares'!$C:$FA,76)</f>
        <v>860475</v>
      </c>
      <c r="G62" s="87">
        <f>VLOOKUP(A62,'Data shares'!$C$2:$CA$216,77,0)</f>
        <v>2.1399999999999999E-2</v>
      </c>
      <c r="H62" s="86">
        <f>VLOOKUP($A62,'Data shares'!$C:$FA,90)</f>
        <v>15835050</v>
      </c>
      <c r="I62" s="86">
        <f>VLOOKUP($A62,'Data shares'!$C:$FA,92)</f>
        <v>-523050</v>
      </c>
      <c r="J62" s="87">
        <f>VLOOKUP($A62,'Data shares'!$C:$FA,93)</f>
        <v>-3.2000000000000001E-2</v>
      </c>
      <c r="K62" s="86">
        <f>VLOOKUP($A62,'Data shares'!$C:$FA,94)</f>
        <v>11417175</v>
      </c>
      <c r="L62" s="86">
        <f>VLOOKUP($A62,'Data shares'!$C:$FA,96)</f>
        <v>-107250</v>
      </c>
      <c r="M62" s="87">
        <f>VLOOKUP($A62,'Data shares'!$C:$FA,97)</f>
        <v>-9.2999999999999992E-3</v>
      </c>
      <c r="N62" s="86">
        <f>VLOOKUP($A62,'Data shares'!$C:$FA,78)</f>
        <v>25829925</v>
      </c>
      <c r="O62" s="87">
        <f>VLOOKUP($A62,'Data shares'!$C:$FA,81)</f>
        <v>-0.23269999999999999</v>
      </c>
    </row>
    <row r="63" spans="1:15" x14ac:dyDescent="0.25">
      <c r="A63" s="100" t="str">
        <f>'OI(Value)'!A63</f>
        <v>DMART</v>
      </c>
      <c r="B63" s="82">
        <f>VLOOKUP(A63,'Data shares'!$C$2:$CV$216,98,0)</f>
        <v>9387900</v>
      </c>
      <c r="C63" s="82">
        <f>VLOOKUP(A63,'Data shares'!$C$2:$CX$216,100,0)</f>
        <v>-1001700</v>
      </c>
      <c r="D63" s="141">
        <f>VLOOKUP(A63,'Data shares'!$C$2:$CY$539,101,0)</f>
        <v>-9.64E-2</v>
      </c>
      <c r="E63" s="86">
        <f>VLOOKUP($A63,'Data shares'!$C:$FA,74)</f>
        <v>6167550</v>
      </c>
      <c r="F63" s="86">
        <f>VLOOKUP($A63,'Data shares'!$C:$FA,76)</f>
        <v>-623100</v>
      </c>
      <c r="G63" s="87">
        <f>VLOOKUP(A63,'Data shares'!$C$2:$CA$216,77,0)</f>
        <v>-9.1800000000000007E-2</v>
      </c>
      <c r="H63" s="86">
        <f>VLOOKUP($A63,'Data shares'!$C:$FA,90)</f>
        <v>2206650</v>
      </c>
      <c r="I63" s="86">
        <f>VLOOKUP($A63,'Data shares'!$C:$FA,92)</f>
        <v>-326250</v>
      </c>
      <c r="J63" s="87">
        <f>VLOOKUP($A63,'Data shares'!$C:$FA,93)</f>
        <v>-0.1288</v>
      </c>
      <c r="K63" s="86">
        <f>VLOOKUP($A63,'Data shares'!$C:$FA,94)</f>
        <v>1013700</v>
      </c>
      <c r="L63" s="86">
        <f>VLOOKUP($A63,'Data shares'!$C:$FA,96)</f>
        <v>-52350</v>
      </c>
      <c r="M63" s="87">
        <f>VLOOKUP($A63,'Data shares'!$C:$FA,97)</f>
        <v>-4.9099999999999998E-2</v>
      </c>
      <c r="N63" s="86">
        <f>VLOOKUP($A63,'Data shares'!$C:$FA,78)</f>
        <v>3999000</v>
      </c>
      <c r="O63" s="87">
        <f>VLOOKUP($A63,'Data shares'!$C:$FA,81)</f>
        <v>-0.30299999999999999</v>
      </c>
    </row>
    <row r="64" spans="1:15" x14ac:dyDescent="0.25">
      <c r="A64" s="100" t="str">
        <f>'OI(Value)'!A64</f>
        <v>DRREDDY</v>
      </c>
      <c r="B64" s="82">
        <f>VLOOKUP(A64,'Data shares'!$C$2:$CV$216,98,0)</f>
        <v>31025000</v>
      </c>
      <c r="C64" s="82">
        <f>VLOOKUP(A64,'Data shares'!$C$2:$CX$216,100,0)</f>
        <v>-2046250</v>
      </c>
      <c r="D64" s="141">
        <f>VLOOKUP(A64,'Data shares'!$C$2:$CY$539,101,0)</f>
        <v>-6.1899999999999997E-2</v>
      </c>
      <c r="E64" s="86">
        <f>VLOOKUP($A64,'Data shares'!$C:$FA,74)</f>
        <v>15177500</v>
      </c>
      <c r="F64" s="86">
        <f>VLOOKUP($A64,'Data shares'!$C:$FA,76)</f>
        <v>-888750</v>
      </c>
      <c r="G64" s="87">
        <f>VLOOKUP(A64,'Data shares'!$C$2:$CA$216,77,0)</f>
        <v>-5.5300000000000002E-2</v>
      </c>
      <c r="H64" s="86">
        <f>VLOOKUP($A64,'Data shares'!$C:$FA,90)</f>
        <v>10650000</v>
      </c>
      <c r="I64" s="86">
        <f>VLOOKUP($A64,'Data shares'!$C:$FA,92)</f>
        <v>-1060625</v>
      </c>
      <c r="J64" s="87">
        <f>VLOOKUP($A64,'Data shares'!$C:$FA,93)</f>
        <v>-9.06E-2</v>
      </c>
      <c r="K64" s="86">
        <f>VLOOKUP($A64,'Data shares'!$C:$FA,94)</f>
        <v>5197500</v>
      </c>
      <c r="L64" s="86">
        <f>VLOOKUP($A64,'Data shares'!$C:$FA,96)</f>
        <v>-96875</v>
      </c>
      <c r="M64" s="87">
        <f>VLOOKUP($A64,'Data shares'!$C:$FA,97)</f>
        <v>-1.83E-2</v>
      </c>
      <c r="N64" s="86">
        <f>VLOOKUP($A64,'Data shares'!$C:$FA,78)</f>
        <v>9873125</v>
      </c>
      <c r="O64" s="87">
        <f>VLOOKUP($A64,'Data shares'!$C:$FA,81)</f>
        <v>-0.30630000000000002</v>
      </c>
    </row>
    <row r="65" spans="1:15" x14ac:dyDescent="0.25">
      <c r="A65" s="100" t="str">
        <f>'OI(Value)'!A65</f>
        <v>EICHERMOT</v>
      </c>
      <c r="B65" s="82">
        <f>VLOOKUP(A65,'Data shares'!$C$2:$CV$216,98,0)</f>
        <v>8298225</v>
      </c>
      <c r="C65" s="82">
        <f>VLOOKUP(A65,'Data shares'!$C$2:$CX$216,100,0)</f>
        <v>1028250</v>
      </c>
      <c r="D65" s="141">
        <f>VLOOKUP(A65,'Data shares'!$C$2:$CY$539,101,0)</f>
        <v>0.1414</v>
      </c>
      <c r="E65" s="86">
        <f>VLOOKUP($A65,'Data shares'!$C:$FA,74)</f>
        <v>3118550</v>
      </c>
      <c r="F65" s="86">
        <f>VLOOKUP($A65,'Data shares'!$C:$FA,76)</f>
        <v>10100</v>
      </c>
      <c r="G65" s="87">
        <f>VLOOKUP(A65,'Data shares'!$C$2:$CA$216,77,0)</f>
        <v>3.2000000000000002E-3</v>
      </c>
      <c r="H65" s="86">
        <f>VLOOKUP($A65,'Data shares'!$C:$FA,90)</f>
        <v>2741500</v>
      </c>
      <c r="I65" s="86">
        <f>VLOOKUP($A65,'Data shares'!$C:$FA,92)</f>
        <v>338100</v>
      </c>
      <c r="J65" s="87">
        <f>VLOOKUP($A65,'Data shares'!$C:$FA,93)</f>
        <v>0.14069999999999999</v>
      </c>
      <c r="K65" s="86">
        <f>VLOOKUP($A65,'Data shares'!$C:$FA,94)</f>
        <v>2438175</v>
      </c>
      <c r="L65" s="86">
        <f>VLOOKUP($A65,'Data shares'!$C:$FA,96)</f>
        <v>680050</v>
      </c>
      <c r="M65" s="87">
        <f>VLOOKUP($A65,'Data shares'!$C:$FA,97)</f>
        <v>0.38679999999999998</v>
      </c>
      <c r="N65" s="86">
        <f>VLOOKUP($A65,'Data shares'!$C:$FA,78)</f>
        <v>2156525</v>
      </c>
      <c r="O65" s="87">
        <f>VLOOKUP($A65,'Data shares'!$C:$FA,81)</f>
        <v>-0.22500000000000001</v>
      </c>
    </row>
    <row r="66" spans="1:15" x14ac:dyDescent="0.25">
      <c r="A66" s="100" t="str">
        <f>'OI(Value)'!A66</f>
        <v>ETERNAL</v>
      </c>
      <c r="B66" s="82">
        <f>VLOOKUP(A66,'Data shares'!$C$2:$CV$216,98,0)</f>
        <v>464263825</v>
      </c>
      <c r="C66" s="82">
        <f>VLOOKUP(A66,'Data shares'!$C$2:$CX$216,100,0)</f>
        <v>-8451125</v>
      </c>
      <c r="D66" s="141">
        <f>VLOOKUP(A66,'Data shares'!$C$2:$CY$539,101,0)</f>
        <v>-1.7899999999999999E-2</v>
      </c>
      <c r="E66" s="86">
        <f>VLOOKUP($A66,'Data shares'!$C:$FA,74)</f>
        <v>304221100</v>
      </c>
      <c r="F66" s="86">
        <f>VLOOKUP($A66,'Data shares'!$C:$FA,76)</f>
        <v>790550</v>
      </c>
      <c r="G66" s="87">
        <f>VLOOKUP(A66,'Data shares'!$C$2:$CA$216,77,0)</f>
        <v>2.5999999999999999E-3</v>
      </c>
      <c r="H66" s="86">
        <f>VLOOKUP($A66,'Data shares'!$C:$FA,90)</f>
        <v>106479325</v>
      </c>
      <c r="I66" s="86">
        <f>VLOOKUP($A66,'Data shares'!$C:$FA,92)</f>
        <v>-8514175</v>
      </c>
      <c r="J66" s="87">
        <f>VLOOKUP($A66,'Data shares'!$C:$FA,93)</f>
        <v>-7.3999999999999996E-2</v>
      </c>
      <c r="K66" s="86">
        <f>VLOOKUP($A66,'Data shares'!$C:$FA,94)</f>
        <v>53563400</v>
      </c>
      <c r="L66" s="86">
        <f>VLOOKUP($A66,'Data shares'!$C:$FA,96)</f>
        <v>-727500</v>
      </c>
      <c r="M66" s="87">
        <f>VLOOKUP($A66,'Data shares'!$C:$FA,97)</f>
        <v>-1.34E-2</v>
      </c>
      <c r="N66" s="86">
        <f>VLOOKUP($A66,'Data shares'!$C:$FA,78)</f>
        <v>190968750</v>
      </c>
      <c r="O66" s="87">
        <f>VLOOKUP($A66,'Data shares'!$C:$FA,81)</f>
        <v>-0.30459999999999998</v>
      </c>
    </row>
    <row r="67" spans="1:15" x14ac:dyDescent="0.25">
      <c r="A67" s="100" t="str">
        <f>'OI(Value)'!A67</f>
        <v>EXIDEIND</v>
      </c>
      <c r="B67" s="82">
        <f>VLOOKUP(A67,'Data shares'!$C$2:$CV$216,98,0)</f>
        <v>65622600</v>
      </c>
      <c r="C67" s="82">
        <f>VLOOKUP(A67,'Data shares'!$C$2:$CX$216,100,0)</f>
        <v>-1270800</v>
      </c>
      <c r="D67" s="141">
        <f>VLOOKUP(A67,'Data shares'!$C$2:$CY$539,101,0)</f>
        <v>-1.9E-2</v>
      </c>
      <c r="E67" s="86">
        <f>VLOOKUP($A67,'Data shares'!$C:$FA,74)</f>
        <v>36063000</v>
      </c>
      <c r="F67" s="86">
        <f>VLOOKUP($A67,'Data shares'!$C:$FA,76)</f>
        <v>-365400</v>
      </c>
      <c r="G67" s="87">
        <f>VLOOKUP(A67,'Data shares'!$C$2:$CA$216,77,0)</f>
        <v>-0.01</v>
      </c>
      <c r="H67" s="86">
        <f>VLOOKUP($A67,'Data shares'!$C:$FA,90)</f>
        <v>17897400</v>
      </c>
      <c r="I67" s="86">
        <f>VLOOKUP($A67,'Data shares'!$C:$FA,92)</f>
        <v>-385200</v>
      </c>
      <c r="J67" s="87">
        <f>VLOOKUP($A67,'Data shares'!$C:$FA,93)</f>
        <v>-2.1100000000000001E-2</v>
      </c>
      <c r="K67" s="86">
        <f>VLOOKUP($A67,'Data shares'!$C:$FA,94)</f>
        <v>11662200</v>
      </c>
      <c r="L67" s="86">
        <f>VLOOKUP($A67,'Data shares'!$C:$FA,96)</f>
        <v>-520200</v>
      </c>
      <c r="M67" s="87">
        <f>VLOOKUP($A67,'Data shares'!$C:$FA,97)</f>
        <v>-4.2700000000000002E-2</v>
      </c>
      <c r="N67" s="86">
        <f>VLOOKUP($A67,'Data shares'!$C:$FA,78)</f>
        <v>24222600</v>
      </c>
      <c r="O67" s="87">
        <f>VLOOKUP($A67,'Data shares'!$C:$FA,81)</f>
        <v>-0.14849999999999999</v>
      </c>
    </row>
    <row r="68" spans="1:15" x14ac:dyDescent="0.25">
      <c r="A68" s="100" t="str">
        <f>'OI(Value)'!A68</f>
        <v>FEDERALBNK</v>
      </c>
      <c r="B68" s="82">
        <f>VLOOKUP(A68,'Data shares'!$C$2:$CV$216,98,0)</f>
        <v>147865000</v>
      </c>
      <c r="C68" s="82">
        <f>VLOOKUP(A68,'Data shares'!$C$2:$CX$216,100,0)</f>
        <v>-13605000</v>
      </c>
      <c r="D68" s="141">
        <f>VLOOKUP(A68,'Data shares'!$C$2:$CY$539,101,0)</f>
        <v>-8.43E-2</v>
      </c>
      <c r="E68" s="86">
        <f>VLOOKUP($A68,'Data shares'!$C:$FA,74)</f>
        <v>59995000</v>
      </c>
      <c r="F68" s="86">
        <f>VLOOKUP($A68,'Data shares'!$C:$FA,76)</f>
        <v>-545000</v>
      </c>
      <c r="G68" s="87">
        <f>VLOOKUP(A68,'Data shares'!$C$2:$CA$216,77,0)</f>
        <v>-8.9999999999999993E-3</v>
      </c>
      <c r="H68" s="86">
        <f>VLOOKUP($A68,'Data shares'!$C:$FA,90)</f>
        <v>47085000</v>
      </c>
      <c r="I68" s="86">
        <f>VLOOKUP($A68,'Data shares'!$C:$FA,92)</f>
        <v>-5135000</v>
      </c>
      <c r="J68" s="87">
        <f>VLOOKUP($A68,'Data shares'!$C:$FA,93)</f>
        <v>-9.8299999999999998E-2</v>
      </c>
      <c r="K68" s="86">
        <f>VLOOKUP($A68,'Data shares'!$C:$FA,94)</f>
        <v>40785000</v>
      </c>
      <c r="L68" s="86">
        <f>VLOOKUP($A68,'Data shares'!$C:$FA,96)</f>
        <v>-7925000</v>
      </c>
      <c r="M68" s="87">
        <f>VLOOKUP($A68,'Data shares'!$C:$FA,97)</f>
        <v>-0.16270000000000001</v>
      </c>
      <c r="N68" s="86">
        <f>VLOOKUP($A68,'Data shares'!$C:$FA,78)</f>
        <v>42565000</v>
      </c>
      <c r="O68" s="87">
        <f>VLOOKUP($A68,'Data shares'!$C:$FA,81)</f>
        <v>-0.1749</v>
      </c>
    </row>
    <row r="69" spans="1:15" x14ac:dyDescent="0.25">
      <c r="A69" s="100" t="str">
        <f>'OI(Value)'!A69</f>
        <v>FINNIFTY</v>
      </c>
      <c r="B69" s="82">
        <f>VLOOKUP(A69,'Data shares'!$C$2:$CV$216,98,0)</f>
        <v>2620010</v>
      </c>
      <c r="C69" s="82">
        <f>VLOOKUP(A69,'Data shares'!$C$2:$CX$216,100,0)</f>
        <v>-159380</v>
      </c>
      <c r="D69" s="141">
        <f>VLOOKUP(A69,'Data shares'!$C$2:$CY$539,101,0)</f>
        <v>-5.7299999999999997E-2</v>
      </c>
      <c r="E69" s="86">
        <f>VLOOKUP($A69,'Data shares'!$C:$FA,74)</f>
        <v>41145</v>
      </c>
      <c r="F69" s="86">
        <f>VLOOKUP($A69,'Data shares'!$C:$FA,76)</f>
        <v>650</v>
      </c>
      <c r="G69" s="87">
        <f>VLOOKUP(A69,'Data shares'!$C$2:$CA$216,77,0)</f>
        <v>1.61E-2</v>
      </c>
      <c r="H69" s="86">
        <f>VLOOKUP($A69,'Data shares'!$C:$FA,90)</f>
        <v>1107860</v>
      </c>
      <c r="I69" s="86">
        <f>VLOOKUP($A69,'Data shares'!$C:$FA,92)</f>
        <v>-214110</v>
      </c>
      <c r="J69" s="87">
        <f>VLOOKUP($A69,'Data shares'!$C:$FA,93)</f>
        <v>-0.16200000000000001</v>
      </c>
      <c r="K69" s="86">
        <f>VLOOKUP($A69,'Data shares'!$C:$FA,94)</f>
        <v>1471005</v>
      </c>
      <c r="L69" s="86">
        <f>VLOOKUP($A69,'Data shares'!$C:$FA,96)</f>
        <v>54080</v>
      </c>
      <c r="M69" s="87">
        <f>VLOOKUP($A69,'Data shares'!$C:$FA,97)</f>
        <v>3.8199999999999998E-2</v>
      </c>
      <c r="N69" s="86">
        <f>VLOOKUP($A69,'Data shares'!$C:$FA,78)</f>
        <v>33735</v>
      </c>
      <c r="O69" s="87">
        <f>VLOOKUP($A69,'Data shares'!$C:$FA,81)</f>
        <v>-9.2700000000000005E-2</v>
      </c>
    </row>
    <row r="70" spans="1:15" x14ac:dyDescent="0.25">
      <c r="A70" s="100" t="str">
        <f>'OI(Value)'!A70</f>
        <v>FORTIS</v>
      </c>
      <c r="B70" s="82">
        <f>VLOOKUP(A70,'Data shares'!$C$2:$CV$216,98,0)</f>
        <v>26732850</v>
      </c>
      <c r="C70" s="82">
        <f>VLOOKUP(A70,'Data shares'!$C$2:$CX$216,100,0)</f>
        <v>-1501175</v>
      </c>
      <c r="D70" s="141">
        <f>VLOOKUP(A70,'Data shares'!$C$2:$CY$539,101,0)</f>
        <v>-5.3199999999999997E-2</v>
      </c>
      <c r="E70" s="86">
        <f>VLOOKUP($A70,'Data shares'!$C:$FA,74)</f>
        <v>13099825</v>
      </c>
      <c r="F70" s="86">
        <f>VLOOKUP($A70,'Data shares'!$C:$FA,76)</f>
        <v>-429350</v>
      </c>
      <c r="G70" s="87">
        <f>VLOOKUP(A70,'Data shares'!$C$2:$CA$216,77,0)</f>
        <v>-3.1699999999999999E-2</v>
      </c>
      <c r="H70" s="86">
        <f>VLOOKUP($A70,'Data shares'!$C:$FA,90)</f>
        <v>9677425</v>
      </c>
      <c r="I70" s="86">
        <f>VLOOKUP($A70,'Data shares'!$C:$FA,92)</f>
        <v>-1002075</v>
      </c>
      <c r="J70" s="87">
        <f>VLOOKUP($A70,'Data shares'!$C:$FA,93)</f>
        <v>-9.3799999999999994E-2</v>
      </c>
      <c r="K70" s="86">
        <f>VLOOKUP($A70,'Data shares'!$C:$FA,94)</f>
        <v>3955600</v>
      </c>
      <c r="L70" s="86">
        <f>VLOOKUP($A70,'Data shares'!$C:$FA,96)</f>
        <v>-69750</v>
      </c>
      <c r="M70" s="87">
        <f>VLOOKUP($A70,'Data shares'!$C:$FA,97)</f>
        <v>-1.7299999999999999E-2</v>
      </c>
      <c r="N70" s="86">
        <f>VLOOKUP($A70,'Data shares'!$C:$FA,78)</f>
        <v>9592950</v>
      </c>
      <c r="O70" s="87">
        <f>VLOOKUP($A70,'Data shares'!$C:$FA,81)</f>
        <v>-0.16339999999999999</v>
      </c>
    </row>
    <row r="71" spans="1:15" x14ac:dyDescent="0.25">
      <c r="A71" s="100" t="str">
        <f>'OI(Value)'!A71</f>
        <v>GAIL</v>
      </c>
      <c r="B71" s="82">
        <f>VLOOKUP(A71,'Data shares'!$C$2:$CV$216,98,0)</f>
        <v>147190050</v>
      </c>
      <c r="C71" s="82">
        <f>VLOOKUP(A71,'Data shares'!$C$2:$CX$216,100,0)</f>
        <v>-4687200</v>
      </c>
      <c r="D71" s="141">
        <f>VLOOKUP(A71,'Data shares'!$C$2:$CY$539,101,0)</f>
        <v>-3.09E-2</v>
      </c>
      <c r="E71" s="86">
        <f>VLOOKUP($A71,'Data shares'!$C:$FA,74)</f>
        <v>80769150</v>
      </c>
      <c r="F71" s="86">
        <f>VLOOKUP($A71,'Data shares'!$C:$FA,76)</f>
        <v>-217350</v>
      </c>
      <c r="G71" s="87">
        <f>VLOOKUP(A71,'Data shares'!$C$2:$CA$216,77,0)</f>
        <v>-2.7000000000000001E-3</v>
      </c>
      <c r="H71" s="86">
        <f>VLOOKUP($A71,'Data shares'!$C:$FA,90)</f>
        <v>39186000</v>
      </c>
      <c r="I71" s="86">
        <f>VLOOKUP($A71,'Data shares'!$C:$FA,92)</f>
        <v>-3625650</v>
      </c>
      <c r="J71" s="87">
        <f>VLOOKUP($A71,'Data shares'!$C:$FA,93)</f>
        <v>-8.4699999999999998E-2</v>
      </c>
      <c r="K71" s="86">
        <f>VLOOKUP($A71,'Data shares'!$C:$FA,94)</f>
        <v>27234900</v>
      </c>
      <c r="L71" s="86">
        <f>VLOOKUP($A71,'Data shares'!$C:$FA,96)</f>
        <v>-844200</v>
      </c>
      <c r="M71" s="87">
        <f>VLOOKUP($A71,'Data shares'!$C:$FA,97)</f>
        <v>-3.0099999999999998E-2</v>
      </c>
      <c r="N71" s="86">
        <f>VLOOKUP($A71,'Data shares'!$C:$FA,78)</f>
        <v>60331950</v>
      </c>
      <c r="O71" s="87">
        <f>VLOOKUP($A71,'Data shares'!$C:$FA,81)</f>
        <v>-0.1636</v>
      </c>
    </row>
    <row r="72" spans="1:15" x14ac:dyDescent="0.25">
      <c r="A72" s="100" t="str">
        <f>'OI(Value)'!A72</f>
        <v>GLENMARK</v>
      </c>
      <c r="B72" s="82">
        <f>VLOOKUP(A72,'Data shares'!$C$2:$CV$216,98,0)</f>
        <v>26897625</v>
      </c>
      <c r="C72" s="82">
        <f>VLOOKUP(A72,'Data shares'!$C$2:$CX$216,100,0)</f>
        <v>-2836125</v>
      </c>
      <c r="D72" s="141">
        <f>VLOOKUP(A72,'Data shares'!$C$2:$CY$539,101,0)</f>
        <v>-9.5399999999999999E-2</v>
      </c>
      <c r="E72" s="86">
        <f>VLOOKUP($A72,'Data shares'!$C:$FA,74)</f>
        <v>15547125</v>
      </c>
      <c r="F72" s="86">
        <f>VLOOKUP($A72,'Data shares'!$C:$FA,76)</f>
        <v>-84375</v>
      </c>
      <c r="G72" s="87">
        <f>VLOOKUP(A72,'Data shares'!$C$2:$CA$216,77,0)</f>
        <v>-5.4000000000000003E-3</v>
      </c>
      <c r="H72" s="86">
        <f>VLOOKUP($A72,'Data shares'!$C:$FA,90)</f>
        <v>7327875</v>
      </c>
      <c r="I72" s="86">
        <f>VLOOKUP($A72,'Data shares'!$C:$FA,92)</f>
        <v>-2435625</v>
      </c>
      <c r="J72" s="87">
        <f>VLOOKUP($A72,'Data shares'!$C:$FA,93)</f>
        <v>-0.2495</v>
      </c>
      <c r="K72" s="86">
        <f>VLOOKUP($A72,'Data shares'!$C:$FA,94)</f>
        <v>4022625</v>
      </c>
      <c r="L72" s="86">
        <f>VLOOKUP($A72,'Data shares'!$C:$FA,96)</f>
        <v>-316125</v>
      </c>
      <c r="M72" s="87">
        <f>VLOOKUP($A72,'Data shares'!$C:$FA,97)</f>
        <v>-7.2900000000000006E-2</v>
      </c>
      <c r="N72" s="86">
        <f>VLOOKUP($A72,'Data shares'!$C:$FA,78)</f>
        <v>8944875</v>
      </c>
      <c r="O72" s="87">
        <f>VLOOKUP($A72,'Data shares'!$C:$FA,81)</f>
        <v>-0.23250000000000001</v>
      </c>
    </row>
    <row r="73" spans="1:15" x14ac:dyDescent="0.25">
      <c r="A73" s="100" t="str">
        <f>'OI(Value)'!A73</f>
        <v>GMRAIRPORT</v>
      </c>
      <c r="B73" s="82">
        <f>VLOOKUP(A73,'Data shares'!$C$2:$CV$216,98,0)</f>
        <v>475667100</v>
      </c>
      <c r="C73" s="82">
        <f>VLOOKUP(A73,'Data shares'!$C$2:$CX$216,100,0)</f>
        <v>-13454775</v>
      </c>
      <c r="D73" s="141">
        <f>VLOOKUP(A73,'Data shares'!$C$2:$CY$539,101,0)</f>
        <v>-2.75E-2</v>
      </c>
      <c r="E73" s="86">
        <f>VLOOKUP($A73,'Data shares'!$C:$FA,74)</f>
        <v>222007275</v>
      </c>
      <c r="F73" s="86">
        <f>VLOOKUP($A73,'Data shares'!$C:$FA,76)</f>
        <v>-8293275</v>
      </c>
      <c r="G73" s="87">
        <f>VLOOKUP(A73,'Data shares'!$C$2:$CA$216,77,0)</f>
        <v>-3.5999999999999997E-2</v>
      </c>
      <c r="H73" s="86">
        <f>VLOOKUP($A73,'Data shares'!$C:$FA,90)</f>
        <v>158639400</v>
      </c>
      <c r="I73" s="86">
        <f>VLOOKUP($A73,'Data shares'!$C:$FA,92)</f>
        <v>-104625</v>
      </c>
      <c r="J73" s="87">
        <f>VLOOKUP($A73,'Data shares'!$C:$FA,93)</f>
        <v>-6.9999999999999999E-4</v>
      </c>
      <c r="K73" s="86">
        <f>VLOOKUP($A73,'Data shares'!$C:$FA,94)</f>
        <v>95020425</v>
      </c>
      <c r="L73" s="86">
        <f>VLOOKUP($A73,'Data shares'!$C:$FA,96)</f>
        <v>-5056875</v>
      </c>
      <c r="M73" s="87">
        <f>VLOOKUP($A73,'Data shares'!$C:$FA,97)</f>
        <v>-5.0500000000000003E-2</v>
      </c>
      <c r="N73" s="86">
        <f>VLOOKUP($A73,'Data shares'!$C:$FA,78)</f>
        <v>145261350</v>
      </c>
      <c r="O73" s="87">
        <f>VLOOKUP($A73,'Data shares'!$C:$FA,81)</f>
        <v>-0.21629999999999999</v>
      </c>
    </row>
    <row r="74" spans="1:15" x14ac:dyDescent="0.25">
      <c r="A74" s="100" t="str">
        <f>'OI(Value)'!A74</f>
        <v>GODREJCP</v>
      </c>
      <c r="B74" s="82">
        <f>VLOOKUP(A74,'Data shares'!$C$2:$CV$216,98,0)</f>
        <v>14639000</v>
      </c>
      <c r="C74" s="82">
        <f>VLOOKUP(A74,'Data shares'!$C$2:$CX$216,100,0)</f>
        <v>363000</v>
      </c>
      <c r="D74" s="141">
        <f>VLOOKUP(A74,'Data shares'!$C$2:$CY$539,101,0)</f>
        <v>2.5399999999999999E-2</v>
      </c>
      <c r="E74" s="86">
        <f>VLOOKUP($A74,'Data shares'!$C:$FA,74)</f>
        <v>10551500</v>
      </c>
      <c r="F74" s="86">
        <f>VLOOKUP($A74,'Data shares'!$C:$FA,76)</f>
        <v>506500</v>
      </c>
      <c r="G74" s="87">
        <f>VLOOKUP(A74,'Data shares'!$C$2:$CA$216,77,0)</f>
        <v>5.04E-2</v>
      </c>
      <c r="H74" s="86">
        <f>VLOOKUP($A74,'Data shares'!$C:$FA,90)</f>
        <v>2321000</v>
      </c>
      <c r="I74" s="86">
        <f>VLOOKUP($A74,'Data shares'!$C:$FA,92)</f>
        <v>-142500</v>
      </c>
      <c r="J74" s="87">
        <f>VLOOKUP($A74,'Data shares'!$C:$FA,93)</f>
        <v>-5.7799999999999997E-2</v>
      </c>
      <c r="K74" s="86">
        <f>VLOOKUP($A74,'Data shares'!$C:$FA,94)</f>
        <v>1766500</v>
      </c>
      <c r="L74" s="86">
        <f>VLOOKUP($A74,'Data shares'!$C:$FA,96)</f>
        <v>-1000</v>
      </c>
      <c r="M74" s="87">
        <f>VLOOKUP($A74,'Data shares'!$C:$FA,97)</f>
        <v>-5.9999999999999995E-4</v>
      </c>
      <c r="N74" s="86">
        <f>VLOOKUP($A74,'Data shares'!$C:$FA,78)</f>
        <v>7079000</v>
      </c>
      <c r="O74" s="87">
        <f>VLOOKUP($A74,'Data shares'!$C:$FA,81)</f>
        <v>-0.22919999999999999</v>
      </c>
    </row>
    <row r="75" spans="1:15" x14ac:dyDescent="0.25">
      <c r="A75" s="100" t="str">
        <f>'OI(Value)'!A75</f>
        <v>GODREJPROP</v>
      </c>
      <c r="B75" s="82">
        <f>VLOOKUP(A75,'Data shares'!$C$2:$CV$216,98,0)</f>
        <v>12924175</v>
      </c>
      <c r="C75" s="82">
        <f>VLOOKUP(A75,'Data shares'!$C$2:$CX$216,100,0)</f>
        <v>8250</v>
      </c>
      <c r="D75" s="141">
        <f>VLOOKUP(A75,'Data shares'!$C$2:$CY$539,101,0)</f>
        <v>5.9999999999999995E-4</v>
      </c>
      <c r="E75" s="86">
        <f>VLOOKUP($A75,'Data shares'!$C:$FA,74)</f>
        <v>8055300</v>
      </c>
      <c r="F75" s="86">
        <f>VLOOKUP($A75,'Data shares'!$C:$FA,76)</f>
        <v>-40425</v>
      </c>
      <c r="G75" s="87">
        <f>VLOOKUP(A75,'Data shares'!$C$2:$CA$216,77,0)</f>
        <v>-5.0000000000000001E-3</v>
      </c>
      <c r="H75" s="86">
        <f>VLOOKUP($A75,'Data shares'!$C:$FA,90)</f>
        <v>3081925</v>
      </c>
      <c r="I75" s="86">
        <f>VLOOKUP($A75,'Data shares'!$C:$FA,92)</f>
        <v>69575</v>
      </c>
      <c r="J75" s="87">
        <f>VLOOKUP($A75,'Data shares'!$C:$FA,93)</f>
        <v>2.3099999999999999E-2</v>
      </c>
      <c r="K75" s="86">
        <f>VLOOKUP($A75,'Data shares'!$C:$FA,94)</f>
        <v>1786950</v>
      </c>
      <c r="L75" s="86">
        <f>VLOOKUP($A75,'Data shares'!$C:$FA,96)</f>
        <v>-20900</v>
      </c>
      <c r="M75" s="87">
        <f>VLOOKUP($A75,'Data shares'!$C:$FA,97)</f>
        <v>-1.1599999999999999E-2</v>
      </c>
      <c r="N75" s="86">
        <f>VLOOKUP($A75,'Data shares'!$C:$FA,78)</f>
        <v>6207300</v>
      </c>
      <c r="O75" s="87">
        <f>VLOOKUP($A75,'Data shares'!$C:$FA,81)</f>
        <v>-0.16869999999999999</v>
      </c>
    </row>
    <row r="76" spans="1:15" x14ac:dyDescent="0.25">
      <c r="A76" s="100" t="str">
        <f>'OI(Value)'!A76</f>
        <v>GRASIM</v>
      </c>
      <c r="B76" s="82">
        <f>VLOOKUP(A76,'Data shares'!$C$2:$CV$216,98,0)</f>
        <v>23405000</v>
      </c>
      <c r="C76" s="82">
        <f>VLOOKUP(A76,'Data shares'!$C$2:$CX$216,100,0)</f>
        <v>-326500</v>
      </c>
      <c r="D76" s="141">
        <f>VLOOKUP(A76,'Data shares'!$C$2:$CY$539,101,0)</f>
        <v>-1.38E-2</v>
      </c>
      <c r="E76" s="86">
        <f>VLOOKUP($A76,'Data shares'!$C:$FA,74)</f>
        <v>16096000</v>
      </c>
      <c r="F76" s="86">
        <f>VLOOKUP($A76,'Data shares'!$C:$FA,76)</f>
        <v>-78750</v>
      </c>
      <c r="G76" s="87">
        <f>VLOOKUP(A76,'Data shares'!$C$2:$CA$216,77,0)</f>
        <v>-4.8999999999999998E-3</v>
      </c>
      <c r="H76" s="86">
        <f>VLOOKUP($A76,'Data shares'!$C:$FA,90)</f>
        <v>4752000</v>
      </c>
      <c r="I76" s="86">
        <f>VLOOKUP($A76,'Data shares'!$C:$FA,92)</f>
        <v>-232500</v>
      </c>
      <c r="J76" s="87">
        <f>VLOOKUP($A76,'Data shares'!$C:$FA,93)</f>
        <v>-4.6600000000000003E-2</v>
      </c>
      <c r="K76" s="86">
        <f>VLOOKUP($A76,'Data shares'!$C:$FA,94)</f>
        <v>2557000</v>
      </c>
      <c r="L76" s="86">
        <f>VLOOKUP($A76,'Data shares'!$C:$FA,96)</f>
        <v>-15250</v>
      </c>
      <c r="M76" s="87">
        <f>VLOOKUP($A76,'Data shares'!$C:$FA,97)</f>
        <v>-5.8999999999999999E-3</v>
      </c>
      <c r="N76" s="86">
        <f>VLOOKUP($A76,'Data shares'!$C:$FA,78)</f>
        <v>9388000</v>
      </c>
      <c r="O76" s="87">
        <f>VLOOKUP($A76,'Data shares'!$C:$FA,81)</f>
        <v>-0.23730000000000001</v>
      </c>
    </row>
    <row r="77" spans="1:15" x14ac:dyDescent="0.25">
      <c r="A77" s="100" t="str">
        <f>'OI(Value)'!A77</f>
        <v>HAL</v>
      </c>
      <c r="B77" s="82">
        <f>VLOOKUP(A77,'Data shares'!$C$2:$CV$216,98,0)</f>
        <v>20617200</v>
      </c>
      <c r="C77" s="82">
        <f>VLOOKUP(A77,'Data shares'!$C$2:$CX$216,100,0)</f>
        <v>-425400</v>
      </c>
      <c r="D77" s="141">
        <f>VLOOKUP(A77,'Data shares'!$C$2:$CY$539,101,0)</f>
        <v>-2.0199999999999999E-2</v>
      </c>
      <c r="E77" s="86">
        <f>VLOOKUP($A77,'Data shares'!$C:$FA,74)</f>
        <v>9960150</v>
      </c>
      <c r="F77" s="86">
        <f>VLOOKUP($A77,'Data shares'!$C:$FA,76)</f>
        <v>38100</v>
      </c>
      <c r="G77" s="87">
        <f>VLOOKUP(A77,'Data shares'!$C$2:$CA$216,77,0)</f>
        <v>3.8E-3</v>
      </c>
      <c r="H77" s="86">
        <f>VLOOKUP($A77,'Data shares'!$C:$FA,90)</f>
        <v>7304250</v>
      </c>
      <c r="I77" s="86">
        <f>VLOOKUP($A77,'Data shares'!$C:$FA,92)</f>
        <v>-372000</v>
      </c>
      <c r="J77" s="87">
        <f>VLOOKUP($A77,'Data shares'!$C:$FA,93)</f>
        <v>-4.8500000000000001E-2</v>
      </c>
      <c r="K77" s="86">
        <f>VLOOKUP($A77,'Data shares'!$C:$FA,94)</f>
        <v>3352800</v>
      </c>
      <c r="L77" s="86">
        <f>VLOOKUP($A77,'Data shares'!$C:$FA,96)</f>
        <v>-91500</v>
      </c>
      <c r="M77" s="87">
        <f>VLOOKUP($A77,'Data shares'!$C:$FA,97)</f>
        <v>-2.6599999999999999E-2</v>
      </c>
      <c r="N77" s="86">
        <f>VLOOKUP($A77,'Data shares'!$C:$FA,78)</f>
        <v>6949200</v>
      </c>
      <c r="O77" s="87">
        <f>VLOOKUP($A77,'Data shares'!$C:$FA,81)</f>
        <v>-0.1578</v>
      </c>
    </row>
    <row r="78" spans="1:15" x14ac:dyDescent="0.25">
      <c r="A78" s="100" t="str">
        <f>'OI(Value)'!A78</f>
        <v>HAVELLS</v>
      </c>
      <c r="B78" s="82">
        <f>VLOOKUP(A78,'Data shares'!$C$2:$CV$216,98,0)</f>
        <v>13527000</v>
      </c>
      <c r="C78" s="82">
        <f>VLOOKUP(A78,'Data shares'!$C$2:$CX$216,100,0)</f>
        <v>-400500</v>
      </c>
      <c r="D78" s="141">
        <f>VLOOKUP(A78,'Data shares'!$C$2:$CY$539,101,0)</f>
        <v>-2.8799999999999999E-2</v>
      </c>
      <c r="E78" s="86">
        <f>VLOOKUP($A78,'Data shares'!$C:$FA,74)</f>
        <v>8614000</v>
      </c>
      <c r="F78" s="86">
        <f>VLOOKUP($A78,'Data shares'!$C:$FA,76)</f>
        <v>-269000</v>
      </c>
      <c r="G78" s="87">
        <f>VLOOKUP(A78,'Data shares'!$C$2:$CA$216,77,0)</f>
        <v>-3.0300000000000001E-2</v>
      </c>
      <c r="H78" s="86">
        <f>VLOOKUP($A78,'Data shares'!$C:$FA,90)</f>
        <v>2854000</v>
      </c>
      <c r="I78" s="86">
        <f>VLOOKUP($A78,'Data shares'!$C:$FA,92)</f>
        <v>-181500</v>
      </c>
      <c r="J78" s="87">
        <f>VLOOKUP($A78,'Data shares'!$C:$FA,93)</f>
        <v>-5.9799999999999999E-2</v>
      </c>
      <c r="K78" s="86">
        <f>VLOOKUP($A78,'Data shares'!$C:$FA,94)</f>
        <v>2059000</v>
      </c>
      <c r="L78" s="86">
        <f>VLOOKUP($A78,'Data shares'!$C:$FA,96)</f>
        <v>50000</v>
      </c>
      <c r="M78" s="87">
        <f>VLOOKUP($A78,'Data shares'!$C:$FA,97)</f>
        <v>2.4899999999999999E-2</v>
      </c>
      <c r="N78" s="86">
        <f>VLOOKUP($A78,'Data shares'!$C:$FA,78)</f>
        <v>5662500</v>
      </c>
      <c r="O78" s="87">
        <f>VLOOKUP($A78,'Data shares'!$C:$FA,81)</f>
        <v>-0.28810000000000002</v>
      </c>
    </row>
    <row r="79" spans="1:15" x14ac:dyDescent="0.25">
      <c r="A79" s="100" t="str">
        <f>'OI(Value)'!A79</f>
        <v>HCLTECH</v>
      </c>
      <c r="B79" s="82">
        <f>VLOOKUP(A79,'Data shares'!$C$2:$CV$216,98,0)</f>
        <v>28318500</v>
      </c>
      <c r="C79" s="82">
        <f>VLOOKUP(A79,'Data shares'!$C$2:$CX$216,100,0)</f>
        <v>-688100</v>
      </c>
      <c r="D79" s="141">
        <f>VLOOKUP(A79,'Data shares'!$C$2:$CY$539,101,0)</f>
        <v>-2.3699999999999999E-2</v>
      </c>
      <c r="E79" s="86">
        <f>VLOOKUP($A79,'Data shares'!$C:$FA,74)</f>
        <v>15910650</v>
      </c>
      <c r="F79" s="86">
        <f>VLOOKUP($A79,'Data shares'!$C:$FA,76)</f>
        <v>-17500</v>
      </c>
      <c r="G79" s="87">
        <f>VLOOKUP(A79,'Data shares'!$C$2:$CA$216,77,0)</f>
        <v>-1.1000000000000001E-3</v>
      </c>
      <c r="H79" s="86">
        <f>VLOOKUP($A79,'Data shares'!$C:$FA,90)</f>
        <v>7007700</v>
      </c>
      <c r="I79" s="86">
        <f>VLOOKUP($A79,'Data shares'!$C:$FA,92)</f>
        <v>172900</v>
      </c>
      <c r="J79" s="87">
        <f>VLOOKUP($A79,'Data shares'!$C:$FA,93)</f>
        <v>2.53E-2</v>
      </c>
      <c r="K79" s="86">
        <f>VLOOKUP($A79,'Data shares'!$C:$FA,94)</f>
        <v>5400150</v>
      </c>
      <c r="L79" s="86">
        <f>VLOOKUP($A79,'Data shares'!$C:$FA,96)</f>
        <v>-843500</v>
      </c>
      <c r="M79" s="87">
        <f>VLOOKUP($A79,'Data shares'!$C:$FA,97)</f>
        <v>-0.1351</v>
      </c>
      <c r="N79" s="86">
        <f>VLOOKUP($A79,'Data shares'!$C:$FA,78)</f>
        <v>10245900</v>
      </c>
      <c r="O79" s="87">
        <f>VLOOKUP($A79,'Data shares'!$C:$FA,81)</f>
        <v>-0.26750000000000002</v>
      </c>
    </row>
    <row r="80" spans="1:15" x14ac:dyDescent="0.25">
      <c r="A80" s="100" t="str">
        <f>'OI(Value)'!A80</f>
        <v>HDFCAMC</v>
      </c>
      <c r="B80" s="82">
        <f>VLOOKUP(A80,'Data shares'!$C$2:$CV$216,98,0)</f>
        <v>5052450</v>
      </c>
      <c r="C80" s="82">
        <f>VLOOKUP(A80,'Data shares'!$C$2:$CX$216,100,0)</f>
        <v>-121800</v>
      </c>
      <c r="D80" s="141">
        <f>VLOOKUP(A80,'Data shares'!$C$2:$CY$539,101,0)</f>
        <v>-2.35E-2</v>
      </c>
      <c r="E80" s="86">
        <f>VLOOKUP($A80,'Data shares'!$C:$FA,74)</f>
        <v>2499450</v>
      </c>
      <c r="F80" s="86">
        <f>VLOOKUP($A80,'Data shares'!$C:$FA,76)</f>
        <v>9600</v>
      </c>
      <c r="G80" s="87">
        <f>VLOOKUP(A80,'Data shares'!$C$2:$CA$216,77,0)</f>
        <v>3.8999999999999998E-3</v>
      </c>
      <c r="H80" s="86">
        <f>VLOOKUP($A80,'Data shares'!$C:$FA,90)</f>
        <v>1584750</v>
      </c>
      <c r="I80" s="86">
        <f>VLOOKUP($A80,'Data shares'!$C:$FA,92)</f>
        <v>-117450</v>
      </c>
      <c r="J80" s="87">
        <f>VLOOKUP($A80,'Data shares'!$C:$FA,93)</f>
        <v>-6.9000000000000006E-2</v>
      </c>
      <c r="K80" s="86">
        <f>VLOOKUP($A80,'Data shares'!$C:$FA,94)</f>
        <v>968250</v>
      </c>
      <c r="L80" s="86">
        <f>VLOOKUP($A80,'Data shares'!$C:$FA,96)</f>
        <v>-13950</v>
      </c>
      <c r="M80" s="87">
        <f>VLOOKUP($A80,'Data shares'!$C:$FA,97)</f>
        <v>-1.4200000000000001E-2</v>
      </c>
      <c r="N80" s="86">
        <f>VLOOKUP($A80,'Data shares'!$C:$FA,78)</f>
        <v>1762500</v>
      </c>
      <c r="O80" s="87">
        <f>VLOOKUP($A80,'Data shares'!$C:$FA,81)</f>
        <v>-0.224</v>
      </c>
    </row>
    <row r="81" spans="1:15" x14ac:dyDescent="0.25">
      <c r="A81" s="100" t="str">
        <f>'OI(Value)'!A81</f>
        <v>HDFCBANK</v>
      </c>
      <c r="B81" s="82">
        <f>VLOOKUP(A81,'Data shares'!$C$2:$CV$216,98,0)</f>
        <v>274744800</v>
      </c>
      <c r="C81" s="82">
        <f>VLOOKUP(A81,'Data shares'!$C$2:$CX$216,100,0)</f>
        <v>-4723950</v>
      </c>
      <c r="D81" s="141">
        <f>VLOOKUP(A81,'Data shares'!$C$2:$CY$539,101,0)</f>
        <v>-1.6899999999999998E-2</v>
      </c>
      <c r="E81" s="86">
        <f>VLOOKUP($A81,'Data shares'!$C:$FA,74)</f>
        <v>216296300</v>
      </c>
      <c r="F81" s="86">
        <f>VLOOKUP($A81,'Data shares'!$C:$FA,76)</f>
        <v>851400</v>
      </c>
      <c r="G81" s="87">
        <f>VLOOKUP(A81,'Data shares'!$C$2:$CA$216,77,0)</f>
        <v>4.0000000000000001E-3</v>
      </c>
      <c r="H81" s="86">
        <f>VLOOKUP($A81,'Data shares'!$C:$FA,90)</f>
        <v>33656150</v>
      </c>
      <c r="I81" s="86">
        <f>VLOOKUP($A81,'Data shares'!$C:$FA,92)</f>
        <v>-5971900</v>
      </c>
      <c r="J81" s="87">
        <f>VLOOKUP($A81,'Data shares'!$C:$FA,93)</f>
        <v>-0.1507</v>
      </c>
      <c r="K81" s="86">
        <f>VLOOKUP($A81,'Data shares'!$C:$FA,94)</f>
        <v>24792350</v>
      </c>
      <c r="L81" s="86">
        <f>VLOOKUP($A81,'Data shares'!$C:$FA,96)</f>
        <v>396550</v>
      </c>
      <c r="M81" s="87">
        <f>VLOOKUP($A81,'Data shares'!$C:$FA,97)</f>
        <v>1.6299999999999999E-2</v>
      </c>
      <c r="N81" s="86">
        <f>VLOOKUP($A81,'Data shares'!$C:$FA,78)</f>
        <v>137464250</v>
      </c>
      <c r="O81" s="87">
        <f>VLOOKUP($A81,'Data shares'!$C:$FA,81)</f>
        <v>-0.26340000000000002</v>
      </c>
    </row>
    <row r="82" spans="1:15" x14ac:dyDescent="0.25">
      <c r="A82" s="100" t="str">
        <f>'OI(Value)'!A82</f>
        <v>HDFCLIFE</v>
      </c>
      <c r="B82" s="82">
        <f>VLOOKUP(A82,'Data shares'!$C$2:$CV$216,98,0)</f>
        <v>47650900</v>
      </c>
      <c r="C82" s="82">
        <f>VLOOKUP(A82,'Data shares'!$C$2:$CX$216,100,0)</f>
        <v>420200</v>
      </c>
      <c r="D82" s="141">
        <f>VLOOKUP(A82,'Data shares'!$C$2:$CY$539,101,0)</f>
        <v>8.8999999999999999E-3</v>
      </c>
      <c r="E82" s="86">
        <f>VLOOKUP($A82,'Data shares'!$C:$FA,74)</f>
        <v>29570200</v>
      </c>
      <c r="F82" s="86">
        <f>VLOOKUP($A82,'Data shares'!$C:$FA,76)</f>
        <v>135300</v>
      </c>
      <c r="G82" s="87">
        <f>VLOOKUP(A82,'Data shares'!$C$2:$CA$216,77,0)</f>
        <v>4.5999999999999999E-3</v>
      </c>
      <c r="H82" s="86">
        <f>VLOOKUP($A82,'Data shares'!$C:$FA,90)</f>
        <v>10588600</v>
      </c>
      <c r="I82" s="86">
        <f>VLOOKUP($A82,'Data shares'!$C:$FA,92)</f>
        <v>-92400</v>
      </c>
      <c r="J82" s="87">
        <f>VLOOKUP($A82,'Data shares'!$C:$FA,93)</f>
        <v>-8.6999999999999994E-3</v>
      </c>
      <c r="K82" s="86">
        <f>VLOOKUP($A82,'Data shares'!$C:$FA,94)</f>
        <v>7492100</v>
      </c>
      <c r="L82" s="86">
        <f>VLOOKUP($A82,'Data shares'!$C:$FA,96)</f>
        <v>377300</v>
      </c>
      <c r="M82" s="87">
        <f>VLOOKUP($A82,'Data shares'!$C:$FA,97)</f>
        <v>5.2999999999999999E-2</v>
      </c>
      <c r="N82" s="86">
        <f>VLOOKUP($A82,'Data shares'!$C:$FA,78)</f>
        <v>20323600</v>
      </c>
      <c r="O82" s="87">
        <f>VLOOKUP($A82,'Data shares'!$C:$FA,81)</f>
        <v>-0.252</v>
      </c>
    </row>
    <row r="83" spans="1:15" x14ac:dyDescent="0.25">
      <c r="A83" s="100" t="str">
        <f>'OI(Value)'!A83</f>
        <v>HEROMOTOCO</v>
      </c>
      <c r="B83" s="82">
        <f>VLOOKUP(A83,'Data shares'!$C$2:$CV$216,98,0)</f>
        <v>13916400</v>
      </c>
      <c r="C83" s="82">
        <f>VLOOKUP(A83,'Data shares'!$C$2:$CX$216,100,0)</f>
        <v>733350</v>
      </c>
      <c r="D83" s="141">
        <f>VLOOKUP(A83,'Data shares'!$C$2:$CY$539,101,0)</f>
        <v>5.5599999999999997E-2</v>
      </c>
      <c r="E83" s="86">
        <f>VLOOKUP($A83,'Data shares'!$C:$FA,74)</f>
        <v>5990700</v>
      </c>
      <c r="F83" s="86">
        <f>VLOOKUP($A83,'Data shares'!$C:$FA,76)</f>
        <v>29100</v>
      </c>
      <c r="G83" s="87">
        <f>VLOOKUP(A83,'Data shares'!$C$2:$CA$216,77,0)</f>
        <v>4.8999999999999998E-3</v>
      </c>
      <c r="H83" s="86">
        <f>VLOOKUP($A83,'Data shares'!$C:$FA,90)</f>
        <v>3872850</v>
      </c>
      <c r="I83" s="86">
        <f>VLOOKUP($A83,'Data shares'!$C:$FA,92)</f>
        <v>282300</v>
      </c>
      <c r="J83" s="87">
        <f>VLOOKUP($A83,'Data shares'!$C:$FA,93)</f>
        <v>7.8600000000000003E-2</v>
      </c>
      <c r="K83" s="86">
        <f>VLOOKUP($A83,'Data shares'!$C:$FA,94)</f>
        <v>4052850</v>
      </c>
      <c r="L83" s="86">
        <f>VLOOKUP($A83,'Data shares'!$C:$FA,96)</f>
        <v>421950</v>
      </c>
      <c r="M83" s="87">
        <f>VLOOKUP($A83,'Data shares'!$C:$FA,97)</f>
        <v>0.1162</v>
      </c>
      <c r="N83" s="86">
        <f>VLOOKUP($A83,'Data shares'!$C:$FA,78)</f>
        <v>4103100</v>
      </c>
      <c r="O83" s="87">
        <f>VLOOKUP($A83,'Data shares'!$C:$FA,81)</f>
        <v>-0.24879999999999999</v>
      </c>
    </row>
    <row r="84" spans="1:15" x14ac:dyDescent="0.25">
      <c r="A84" s="100" t="str">
        <f>'OI(Value)'!A84</f>
        <v>HFCL</v>
      </c>
      <c r="B84" s="82">
        <f>VLOOKUP(A84,'Data shares'!$C$2:$CV$216,98,0)</f>
        <v>205239000</v>
      </c>
      <c r="C84" s="82">
        <f>VLOOKUP(A84,'Data shares'!$C$2:$CX$216,100,0)</f>
        <v>-825600</v>
      </c>
      <c r="D84" s="141">
        <f>VLOOKUP(A84,'Data shares'!$C$2:$CY$539,101,0)</f>
        <v>-4.0000000000000001E-3</v>
      </c>
      <c r="E84" s="86">
        <f>VLOOKUP($A84,'Data shares'!$C:$FA,74)</f>
        <v>122769300</v>
      </c>
      <c r="F84" s="86">
        <f>VLOOKUP($A84,'Data shares'!$C:$FA,76)</f>
        <v>-1980150</v>
      </c>
      <c r="G84" s="87">
        <f>VLOOKUP(A84,'Data shares'!$C$2:$CA$216,77,0)</f>
        <v>-1.5900000000000001E-2</v>
      </c>
      <c r="H84" s="86">
        <f>VLOOKUP($A84,'Data shares'!$C:$FA,90)</f>
        <v>52844850</v>
      </c>
      <c r="I84" s="86">
        <f>VLOOKUP($A84,'Data shares'!$C:$FA,92)</f>
        <v>638550</v>
      </c>
      <c r="J84" s="87">
        <f>VLOOKUP($A84,'Data shares'!$C:$FA,93)</f>
        <v>1.2200000000000001E-2</v>
      </c>
      <c r="K84" s="86">
        <f>VLOOKUP($A84,'Data shares'!$C:$FA,94)</f>
        <v>29624850</v>
      </c>
      <c r="L84" s="86">
        <f>VLOOKUP($A84,'Data shares'!$C:$FA,96)</f>
        <v>516000</v>
      </c>
      <c r="M84" s="87">
        <f>VLOOKUP($A84,'Data shares'!$C:$FA,97)</f>
        <v>1.77E-2</v>
      </c>
      <c r="N84" s="86">
        <f>VLOOKUP($A84,'Data shares'!$C:$FA,78)</f>
        <v>76051950</v>
      </c>
      <c r="O84" s="87">
        <f>VLOOKUP($A84,'Data shares'!$C:$FA,81)</f>
        <v>-0.1888</v>
      </c>
    </row>
    <row r="85" spans="1:15" x14ac:dyDescent="0.25">
      <c r="A85" s="100" t="str">
        <f>'OI(Value)'!A85</f>
        <v>HINDALCO</v>
      </c>
      <c r="B85" s="82">
        <f>VLOOKUP(A85,'Data shares'!$C$2:$CV$216,98,0)</f>
        <v>122616900</v>
      </c>
      <c r="C85" s="82">
        <f>VLOOKUP(A85,'Data shares'!$C$2:$CX$216,100,0)</f>
        <v>-1120700</v>
      </c>
      <c r="D85" s="141">
        <f>VLOOKUP(A85,'Data shares'!$C$2:$CY$539,101,0)</f>
        <v>-9.1000000000000004E-3</v>
      </c>
      <c r="E85" s="86">
        <f>VLOOKUP($A85,'Data shares'!$C:$FA,74)</f>
        <v>81377100</v>
      </c>
      <c r="F85" s="86">
        <f>VLOOKUP($A85,'Data shares'!$C:$FA,76)</f>
        <v>336700</v>
      </c>
      <c r="G85" s="87">
        <f>VLOOKUP(A85,'Data shares'!$C$2:$CA$216,77,0)</f>
        <v>4.1999999999999997E-3</v>
      </c>
      <c r="H85" s="86">
        <f>VLOOKUP($A85,'Data shares'!$C:$FA,90)</f>
        <v>24368400</v>
      </c>
      <c r="I85" s="86">
        <f>VLOOKUP($A85,'Data shares'!$C:$FA,92)</f>
        <v>-1022000</v>
      </c>
      <c r="J85" s="87">
        <f>VLOOKUP($A85,'Data shares'!$C:$FA,93)</f>
        <v>-4.0300000000000002E-2</v>
      </c>
      <c r="K85" s="86">
        <f>VLOOKUP($A85,'Data shares'!$C:$FA,94)</f>
        <v>16871400</v>
      </c>
      <c r="L85" s="86">
        <f>VLOOKUP($A85,'Data shares'!$C:$FA,96)</f>
        <v>-435400</v>
      </c>
      <c r="M85" s="87">
        <f>VLOOKUP($A85,'Data shares'!$C:$FA,97)</f>
        <v>-2.52E-2</v>
      </c>
      <c r="N85" s="86">
        <f>VLOOKUP($A85,'Data shares'!$C:$FA,78)</f>
        <v>38987900</v>
      </c>
      <c r="O85" s="87">
        <f>VLOOKUP($A85,'Data shares'!$C:$FA,81)</f>
        <v>-0.34089999999999998</v>
      </c>
    </row>
    <row r="86" spans="1:15" x14ac:dyDescent="0.25">
      <c r="A86" s="100" t="str">
        <f>'OI(Value)'!A86</f>
        <v>HINDPETRO</v>
      </c>
      <c r="B86" s="82">
        <f>VLOOKUP(A86,'Data shares'!$C$2:$CV$216,98,0)</f>
        <v>64563075</v>
      </c>
      <c r="C86" s="82">
        <f>VLOOKUP(A86,'Data shares'!$C$2:$CX$216,100,0)</f>
        <v>-611550</v>
      </c>
      <c r="D86" s="141">
        <f>VLOOKUP(A86,'Data shares'!$C$2:$CY$539,101,0)</f>
        <v>-9.4000000000000004E-3</v>
      </c>
      <c r="E86" s="86">
        <f>VLOOKUP($A86,'Data shares'!$C:$FA,74)</f>
        <v>40046400</v>
      </c>
      <c r="F86" s="86">
        <f>VLOOKUP($A86,'Data shares'!$C:$FA,76)</f>
        <v>297675</v>
      </c>
      <c r="G86" s="87">
        <f>VLOOKUP(A86,'Data shares'!$C$2:$CA$216,77,0)</f>
        <v>7.4999999999999997E-3</v>
      </c>
      <c r="H86" s="86">
        <f>VLOOKUP($A86,'Data shares'!$C:$FA,90)</f>
        <v>14503050</v>
      </c>
      <c r="I86" s="86">
        <f>VLOOKUP($A86,'Data shares'!$C:$FA,92)</f>
        <v>-781650</v>
      </c>
      <c r="J86" s="87">
        <f>VLOOKUP($A86,'Data shares'!$C:$FA,93)</f>
        <v>-5.11E-2</v>
      </c>
      <c r="K86" s="86">
        <f>VLOOKUP($A86,'Data shares'!$C:$FA,94)</f>
        <v>10013625</v>
      </c>
      <c r="L86" s="86">
        <f>VLOOKUP($A86,'Data shares'!$C:$FA,96)</f>
        <v>-127575</v>
      </c>
      <c r="M86" s="87">
        <f>VLOOKUP($A86,'Data shares'!$C:$FA,97)</f>
        <v>-1.26E-2</v>
      </c>
      <c r="N86" s="86">
        <f>VLOOKUP($A86,'Data shares'!$C:$FA,78)</f>
        <v>25294275</v>
      </c>
      <c r="O86" s="87">
        <f>VLOOKUP($A86,'Data shares'!$C:$FA,81)</f>
        <v>-0.30659999999999998</v>
      </c>
    </row>
    <row r="87" spans="1:15" x14ac:dyDescent="0.25">
      <c r="A87" s="100" t="str">
        <f>'OI(Value)'!A87</f>
        <v>HINDUNILVR</v>
      </c>
      <c r="B87" s="82">
        <f>VLOOKUP(A87,'Data shares'!$C$2:$CV$216,98,0)</f>
        <v>34950600</v>
      </c>
      <c r="C87" s="82">
        <f>VLOOKUP(A87,'Data shares'!$C$2:$CX$216,100,0)</f>
        <v>-2545500</v>
      </c>
      <c r="D87" s="141">
        <f>VLOOKUP(A87,'Data shares'!$C$2:$CY$539,101,0)</f>
        <v>-6.7900000000000002E-2</v>
      </c>
      <c r="E87" s="86">
        <f>VLOOKUP($A87,'Data shares'!$C:$FA,74)</f>
        <v>18020700</v>
      </c>
      <c r="F87" s="86">
        <f>VLOOKUP($A87,'Data shares'!$C:$FA,76)</f>
        <v>-1331400</v>
      </c>
      <c r="G87" s="87">
        <f>VLOOKUP(A87,'Data shares'!$C$2:$CA$216,77,0)</f>
        <v>-6.88E-2</v>
      </c>
      <c r="H87" s="86">
        <f>VLOOKUP($A87,'Data shares'!$C:$FA,90)</f>
        <v>11681100</v>
      </c>
      <c r="I87" s="86">
        <f>VLOOKUP($A87,'Data shares'!$C:$FA,92)</f>
        <v>-845400</v>
      </c>
      <c r="J87" s="87">
        <f>VLOOKUP($A87,'Data shares'!$C:$FA,93)</f>
        <v>-6.7500000000000004E-2</v>
      </c>
      <c r="K87" s="86">
        <f>VLOOKUP($A87,'Data shares'!$C:$FA,94)</f>
        <v>5248800</v>
      </c>
      <c r="L87" s="86">
        <f>VLOOKUP($A87,'Data shares'!$C:$FA,96)</f>
        <v>-368700</v>
      </c>
      <c r="M87" s="87">
        <f>VLOOKUP($A87,'Data shares'!$C:$FA,97)</f>
        <v>-6.5600000000000006E-2</v>
      </c>
      <c r="N87" s="86">
        <f>VLOOKUP($A87,'Data shares'!$C:$FA,78)</f>
        <v>11541600</v>
      </c>
      <c r="O87" s="87">
        <f>VLOOKUP($A87,'Data shares'!$C:$FA,81)</f>
        <v>-0.28760000000000002</v>
      </c>
    </row>
    <row r="88" spans="1:15" x14ac:dyDescent="0.25">
      <c r="A88" s="100" t="str">
        <f>'OI(Value)'!A88</f>
        <v>HINDZINC</v>
      </c>
      <c r="B88" s="82">
        <f>VLOOKUP(A88,'Data shares'!$C$2:$CV$216,98,0)</f>
        <v>80243625</v>
      </c>
      <c r="C88" s="82">
        <f>VLOOKUP(A88,'Data shares'!$C$2:$CX$216,100,0)</f>
        <v>-1623125</v>
      </c>
      <c r="D88" s="141">
        <f>VLOOKUP(A88,'Data shares'!$C$2:$CY$539,101,0)</f>
        <v>-1.9800000000000002E-2</v>
      </c>
      <c r="E88" s="86">
        <f>VLOOKUP($A88,'Data shares'!$C:$FA,74)</f>
        <v>40336800</v>
      </c>
      <c r="F88" s="86">
        <f>VLOOKUP($A88,'Data shares'!$C:$FA,76)</f>
        <v>237650</v>
      </c>
      <c r="G88" s="87">
        <f>VLOOKUP(A88,'Data shares'!$C$2:$CA$216,77,0)</f>
        <v>5.8999999999999999E-3</v>
      </c>
      <c r="H88" s="86">
        <f>VLOOKUP($A88,'Data shares'!$C:$FA,90)</f>
        <v>26313000</v>
      </c>
      <c r="I88" s="86">
        <f>VLOOKUP($A88,'Data shares'!$C:$FA,92)</f>
        <v>-1677025</v>
      </c>
      <c r="J88" s="87">
        <f>VLOOKUP($A88,'Data shares'!$C:$FA,93)</f>
        <v>-5.9900000000000002E-2</v>
      </c>
      <c r="K88" s="86">
        <f>VLOOKUP($A88,'Data shares'!$C:$FA,94)</f>
        <v>13593825</v>
      </c>
      <c r="L88" s="86">
        <f>VLOOKUP($A88,'Data shares'!$C:$FA,96)</f>
        <v>-183750</v>
      </c>
      <c r="M88" s="87">
        <f>VLOOKUP($A88,'Data shares'!$C:$FA,97)</f>
        <v>-1.3299999999999999E-2</v>
      </c>
      <c r="N88" s="86">
        <f>VLOOKUP($A88,'Data shares'!$C:$FA,78)</f>
        <v>27315050</v>
      </c>
      <c r="O88" s="87">
        <f>VLOOKUP($A88,'Data shares'!$C:$FA,81)</f>
        <v>-0.15959999999999999</v>
      </c>
    </row>
    <row r="89" spans="1:15" x14ac:dyDescent="0.25">
      <c r="A89" s="100" t="str">
        <f>'OI(Value)'!A89</f>
        <v>HUDCO</v>
      </c>
      <c r="B89" s="82">
        <f>VLOOKUP(A89,'Data shares'!$C$2:$CV$216,98,0)</f>
        <v>86116575</v>
      </c>
      <c r="C89" s="82">
        <f>VLOOKUP(A89,'Data shares'!$C$2:$CX$216,100,0)</f>
        <v>-1842600</v>
      </c>
      <c r="D89" s="141">
        <f>VLOOKUP(A89,'Data shares'!$C$2:$CY$539,101,0)</f>
        <v>-2.0899999999999998E-2</v>
      </c>
      <c r="E89" s="86">
        <f>VLOOKUP($A89,'Data shares'!$C:$FA,74)</f>
        <v>36263700</v>
      </c>
      <c r="F89" s="86">
        <f>VLOOKUP($A89,'Data shares'!$C:$FA,76)</f>
        <v>582750</v>
      </c>
      <c r="G89" s="87">
        <f>VLOOKUP(A89,'Data shares'!$C$2:$CA$216,77,0)</f>
        <v>1.6299999999999999E-2</v>
      </c>
      <c r="H89" s="86">
        <f>VLOOKUP($A89,'Data shares'!$C:$FA,90)</f>
        <v>31798725</v>
      </c>
      <c r="I89" s="86">
        <f>VLOOKUP($A89,'Data shares'!$C:$FA,92)</f>
        <v>-2000775</v>
      </c>
      <c r="J89" s="87">
        <f>VLOOKUP($A89,'Data shares'!$C:$FA,93)</f>
        <v>-5.9200000000000003E-2</v>
      </c>
      <c r="K89" s="86">
        <f>VLOOKUP($A89,'Data shares'!$C:$FA,94)</f>
        <v>18054150</v>
      </c>
      <c r="L89" s="86">
        <f>VLOOKUP($A89,'Data shares'!$C:$FA,96)</f>
        <v>-424575</v>
      </c>
      <c r="M89" s="87">
        <f>VLOOKUP($A89,'Data shares'!$C:$FA,97)</f>
        <v>-2.3E-2</v>
      </c>
      <c r="N89" s="86">
        <f>VLOOKUP($A89,'Data shares'!$C:$FA,78)</f>
        <v>26742675</v>
      </c>
      <c r="O89" s="87">
        <f>VLOOKUP($A89,'Data shares'!$C:$FA,81)</f>
        <v>-9.3799999999999994E-2</v>
      </c>
    </row>
    <row r="90" spans="1:15" x14ac:dyDescent="0.25">
      <c r="A90" s="100" t="str">
        <f>'OI(Value)'!A90</f>
        <v>ICICIBANK</v>
      </c>
      <c r="B90" s="82">
        <f>VLOOKUP(A90,'Data shares'!$C$2:$CV$216,98,0)</f>
        <v>174922300</v>
      </c>
      <c r="C90" s="82">
        <f>VLOOKUP(A90,'Data shares'!$C$2:$CX$216,100,0)</f>
        <v>416500</v>
      </c>
      <c r="D90" s="141">
        <f>VLOOKUP(A90,'Data shares'!$C$2:$CY$539,101,0)</f>
        <v>2.3999999999999998E-3</v>
      </c>
      <c r="E90" s="86">
        <f>VLOOKUP($A90,'Data shares'!$C:$FA,74)</f>
        <v>112245000</v>
      </c>
      <c r="F90" s="86">
        <f>VLOOKUP($A90,'Data shares'!$C:$FA,76)</f>
        <v>1496600</v>
      </c>
      <c r="G90" s="87">
        <f>VLOOKUP(A90,'Data shares'!$C$2:$CA$216,77,0)</f>
        <v>1.35E-2</v>
      </c>
      <c r="H90" s="86">
        <f>VLOOKUP($A90,'Data shares'!$C:$FA,90)</f>
        <v>38777200</v>
      </c>
      <c r="I90" s="86">
        <f>VLOOKUP($A90,'Data shares'!$C:$FA,92)</f>
        <v>-518000</v>
      </c>
      <c r="J90" s="87">
        <f>VLOOKUP($A90,'Data shares'!$C:$FA,93)</f>
        <v>-1.32E-2</v>
      </c>
      <c r="K90" s="86">
        <f>VLOOKUP($A90,'Data shares'!$C:$FA,94)</f>
        <v>23900100</v>
      </c>
      <c r="L90" s="86">
        <f>VLOOKUP($A90,'Data shares'!$C:$FA,96)</f>
        <v>-562100</v>
      </c>
      <c r="M90" s="87">
        <f>VLOOKUP($A90,'Data shares'!$C:$FA,97)</f>
        <v>-2.3E-2</v>
      </c>
      <c r="N90" s="86">
        <f>VLOOKUP($A90,'Data shares'!$C:$FA,78)</f>
        <v>79351300</v>
      </c>
      <c r="O90" s="87">
        <f>VLOOKUP($A90,'Data shares'!$C:$FA,81)</f>
        <v>-0.161</v>
      </c>
    </row>
    <row r="91" spans="1:15" x14ac:dyDescent="0.25">
      <c r="A91" s="100" t="str">
        <f>'OI(Value)'!A91</f>
        <v>ICICIGI</v>
      </c>
      <c r="B91" s="82">
        <f>VLOOKUP(A91,'Data shares'!$C$2:$CV$216,98,0)</f>
        <v>8385975</v>
      </c>
      <c r="C91" s="82">
        <f>VLOOKUP(A91,'Data shares'!$C$2:$CX$216,100,0)</f>
        <v>-201175</v>
      </c>
      <c r="D91" s="141">
        <f>VLOOKUP(A91,'Data shares'!$C$2:$CY$539,101,0)</f>
        <v>-2.3400000000000001E-2</v>
      </c>
      <c r="E91" s="86">
        <f>VLOOKUP($A91,'Data shares'!$C:$FA,74)</f>
        <v>5865925</v>
      </c>
      <c r="F91" s="86">
        <f>VLOOKUP($A91,'Data shares'!$C:$FA,76)</f>
        <v>-178425</v>
      </c>
      <c r="G91" s="87">
        <f>VLOOKUP(A91,'Data shares'!$C$2:$CA$216,77,0)</f>
        <v>-2.9499999999999998E-2</v>
      </c>
      <c r="H91" s="86">
        <f>VLOOKUP($A91,'Data shares'!$C:$FA,90)</f>
        <v>1513525</v>
      </c>
      <c r="I91" s="86">
        <f>VLOOKUP($A91,'Data shares'!$C:$FA,92)</f>
        <v>-37050</v>
      </c>
      <c r="J91" s="87">
        <f>VLOOKUP($A91,'Data shares'!$C:$FA,93)</f>
        <v>-2.3900000000000001E-2</v>
      </c>
      <c r="K91" s="86">
        <f>VLOOKUP($A91,'Data shares'!$C:$FA,94)</f>
        <v>1006525</v>
      </c>
      <c r="L91" s="86">
        <f>VLOOKUP($A91,'Data shares'!$C:$FA,96)</f>
        <v>14300</v>
      </c>
      <c r="M91" s="87">
        <f>VLOOKUP($A91,'Data shares'!$C:$FA,97)</f>
        <v>1.44E-2</v>
      </c>
      <c r="N91" s="86">
        <f>VLOOKUP($A91,'Data shares'!$C:$FA,78)</f>
        <v>4485000</v>
      </c>
      <c r="O91" s="87">
        <f>VLOOKUP($A91,'Data shares'!$C:$FA,81)</f>
        <v>-0.19689999999999999</v>
      </c>
    </row>
    <row r="92" spans="1:15" x14ac:dyDescent="0.25">
      <c r="A92" s="100" t="str">
        <f>'OI(Value)'!A92</f>
        <v>ICICIPRULI</v>
      </c>
      <c r="B92" s="82">
        <f>VLOOKUP(A92,'Data shares'!$C$2:$CV$216,98,0)</f>
        <v>20358325</v>
      </c>
      <c r="C92" s="82">
        <f>VLOOKUP(A92,'Data shares'!$C$2:$CX$216,100,0)</f>
        <v>148000</v>
      </c>
      <c r="D92" s="141">
        <f>VLOOKUP(A92,'Data shares'!$C$2:$CY$539,101,0)</f>
        <v>7.3000000000000001E-3</v>
      </c>
      <c r="E92" s="86">
        <f>VLOOKUP($A92,'Data shares'!$C:$FA,74)</f>
        <v>13636350</v>
      </c>
      <c r="F92" s="86">
        <f>VLOOKUP($A92,'Data shares'!$C:$FA,76)</f>
        <v>65675</v>
      </c>
      <c r="G92" s="87">
        <f>VLOOKUP(A92,'Data shares'!$C$2:$CA$216,77,0)</f>
        <v>4.7999999999999996E-3</v>
      </c>
      <c r="H92" s="86">
        <f>VLOOKUP($A92,'Data shares'!$C:$FA,90)</f>
        <v>3824875</v>
      </c>
      <c r="I92" s="86">
        <f>VLOOKUP($A92,'Data shares'!$C:$FA,92)</f>
        <v>55500</v>
      </c>
      <c r="J92" s="87">
        <f>VLOOKUP($A92,'Data shares'!$C:$FA,93)</f>
        <v>1.47E-2</v>
      </c>
      <c r="K92" s="86">
        <f>VLOOKUP($A92,'Data shares'!$C:$FA,94)</f>
        <v>2897100</v>
      </c>
      <c r="L92" s="86">
        <f>VLOOKUP($A92,'Data shares'!$C:$FA,96)</f>
        <v>26825</v>
      </c>
      <c r="M92" s="87">
        <f>VLOOKUP($A92,'Data shares'!$C:$FA,97)</f>
        <v>9.2999999999999992E-3</v>
      </c>
      <c r="N92" s="86">
        <f>VLOOKUP($A92,'Data shares'!$C:$FA,78)</f>
        <v>10415500</v>
      </c>
      <c r="O92" s="87">
        <f>VLOOKUP($A92,'Data shares'!$C:$FA,81)</f>
        <v>-0.19370000000000001</v>
      </c>
    </row>
    <row r="93" spans="1:15" x14ac:dyDescent="0.25">
      <c r="A93" s="100" t="str">
        <f>'OI(Value)'!A93</f>
        <v>IDEA</v>
      </c>
      <c r="B93" s="82">
        <f>VLOOKUP(A93,'Data shares'!$C$2:$CV$216,98,0)</f>
        <v>10323491625</v>
      </c>
      <c r="C93" s="82">
        <f>VLOOKUP(A93,'Data shares'!$C$2:$CX$216,100,0)</f>
        <v>-154814850</v>
      </c>
      <c r="D93" s="141">
        <f>VLOOKUP(A93,'Data shares'!$C$2:$CY$539,101,0)</f>
        <v>-1.4800000000000001E-2</v>
      </c>
      <c r="E93" s="86">
        <f>VLOOKUP($A93,'Data shares'!$C:$FA,74)</f>
        <v>6317818200</v>
      </c>
      <c r="F93" s="86">
        <f>VLOOKUP($A93,'Data shares'!$C:$FA,76)</f>
        <v>-162605625</v>
      </c>
      <c r="G93" s="87">
        <f>VLOOKUP(A93,'Data shares'!$C$2:$CA$216,77,0)</f>
        <v>-2.5100000000000001E-2</v>
      </c>
      <c r="H93" s="86">
        <f>VLOOKUP($A93,'Data shares'!$C:$FA,90)</f>
        <v>2548083750</v>
      </c>
      <c r="I93" s="86">
        <f>VLOOKUP($A93,'Data shares'!$C:$FA,92)</f>
        <v>107498400</v>
      </c>
      <c r="J93" s="87">
        <f>VLOOKUP($A93,'Data shares'!$C:$FA,93)</f>
        <v>4.3999999999999997E-2</v>
      </c>
      <c r="K93" s="86">
        <f>VLOOKUP($A93,'Data shares'!$C:$FA,94)</f>
        <v>1457589675</v>
      </c>
      <c r="L93" s="86">
        <f>VLOOKUP($A93,'Data shares'!$C:$FA,96)</f>
        <v>-99707625</v>
      </c>
      <c r="M93" s="87">
        <f>VLOOKUP($A93,'Data shares'!$C:$FA,97)</f>
        <v>-6.4000000000000001E-2</v>
      </c>
      <c r="N93" s="86">
        <f>VLOOKUP($A93,'Data shares'!$C:$FA,78)</f>
        <v>3604412775</v>
      </c>
      <c r="O93" s="87">
        <f>VLOOKUP($A93,'Data shares'!$C:$FA,81)</f>
        <v>-0.25669999999999998</v>
      </c>
    </row>
    <row r="94" spans="1:15" x14ac:dyDescent="0.25">
      <c r="A94" s="100" t="str">
        <f>'OI(Value)'!A94</f>
        <v>IDFCFIRSTB</v>
      </c>
      <c r="B94" s="82">
        <f>VLOOKUP(A94,'Data shares'!$C$2:$CV$216,98,0)</f>
        <v>668217375</v>
      </c>
      <c r="C94" s="82">
        <f>VLOOKUP(A94,'Data shares'!$C$2:$CX$216,100,0)</f>
        <v>-12882975</v>
      </c>
      <c r="D94" s="141">
        <f>VLOOKUP(A94,'Data shares'!$C$2:$CY$539,101,0)</f>
        <v>-1.89E-2</v>
      </c>
      <c r="E94" s="86">
        <f>VLOOKUP($A94,'Data shares'!$C:$FA,74)</f>
        <v>366288300</v>
      </c>
      <c r="F94" s="86">
        <f>VLOOKUP($A94,'Data shares'!$C:$FA,76)</f>
        <v>-2912350</v>
      </c>
      <c r="G94" s="87">
        <f>VLOOKUP(A94,'Data shares'!$C$2:$CA$216,77,0)</f>
        <v>-7.9000000000000008E-3</v>
      </c>
      <c r="H94" s="86">
        <f>VLOOKUP($A94,'Data shares'!$C:$FA,90)</f>
        <v>198049075</v>
      </c>
      <c r="I94" s="86">
        <f>VLOOKUP($A94,'Data shares'!$C:$FA,92)</f>
        <v>-5194000</v>
      </c>
      <c r="J94" s="87">
        <f>VLOOKUP($A94,'Data shares'!$C:$FA,93)</f>
        <v>-2.5600000000000001E-2</v>
      </c>
      <c r="K94" s="86">
        <f>VLOOKUP($A94,'Data shares'!$C:$FA,94)</f>
        <v>103880000</v>
      </c>
      <c r="L94" s="86">
        <f>VLOOKUP($A94,'Data shares'!$C:$FA,96)</f>
        <v>-4776625</v>
      </c>
      <c r="M94" s="87">
        <f>VLOOKUP($A94,'Data shares'!$C:$FA,97)</f>
        <v>-4.3999999999999997E-2</v>
      </c>
      <c r="N94" s="86">
        <f>VLOOKUP($A94,'Data shares'!$C:$FA,78)</f>
        <v>233563050</v>
      </c>
      <c r="O94" s="87">
        <f>VLOOKUP($A94,'Data shares'!$C:$FA,81)</f>
        <v>-0.21540000000000001</v>
      </c>
    </row>
    <row r="95" spans="1:15" x14ac:dyDescent="0.25">
      <c r="A95" s="100" t="str">
        <f>'OI(Value)'!A95</f>
        <v>IEX</v>
      </c>
      <c r="B95" s="82">
        <f>VLOOKUP(A95,'Data shares'!$C$2:$CV$216,98,0)</f>
        <v>161347500</v>
      </c>
      <c r="C95" s="82">
        <f>VLOOKUP(A95,'Data shares'!$C$2:$CX$216,100,0)</f>
        <v>-4927500</v>
      </c>
      <c r="D95" s="141">
        <f>VLOOKUP(A95,'Data shares'!$C$2:$CY$539,101,0)</f>
        <v>-2.9600000000000001E-2</v>
      </c>
      <c r="E95" s="86">
        <f>VLOOKUP($A95,'Data shares'!$C:$FA,74)</f>
        <v>69798750</v>
      </c>
      <c r="F95" s="86">
        <f>VLOOKUP($A95,'Data shares'!$C:$FA,76)</f>
        <v>-7736250</v>
      </c>
      <c r="G95" s="87">
        <f>VLOOKUP(A95,'Data shares'!$C$2:$CA$216,77,0)</f>
        <v>-9.98E-2</v>
      </c>
      <c r="H95" s="86">
        <f>VLOOKUP($A95,'Data shares'!$C:$FA,90)</f>
        <v>55770000</v>
      </c>
      <c r="I95" s="86">
        <f>VLOOKUP($A95,'Data shares'!$C:$FA,92)</f>
        <v>292500</v>
      </c>
      <c r="J95" s="87">
        <f>VLOOKUP($A95,'Data shares'!$C:$FA,93)</f>
        <v>5.3E-3</v>
      </c>
      <c r="K95" s="86">
        <f>VLOOKUP($A95,'Data shares'!$C:$FA,94)</f>
        <v>35778750</v>
      </c>
      <c r="L95" s="86">
        <f>VLOOKUP($A95,'Data shares'!$C:$FA,96)</f>
        <v>2516250</v>
      </c>
      <c r="M95" s="87">
        <f>VLOOKUP($A95,'Data shares'!$C:$FA,97)</f>
        <v>7.5600000000000001E-2</v>
      </c>
      <c r="N95" s="86">
        <f>VLOOKUP($A95,'Data shares'!$C:$FA,78)</f>
        <v>50310000</v>
      </c>
      <c r="O95" s="87">
        <f>VLOOKUP($A95,'Data shares'!$C:$FA,81)</f>
        <v>-0.24540000000000001</v>
      </c>
    </row>
    <row r="96" spans="1:15" x14ac:dyDescent="0.25">
      <c r="A96" s="100" t="str">
        <f>'OI(Value)'!A96</f>
        <v>IGL</v>
      </c>
      <c r="B96" s="82">
        <f>VLOOKUP(A96,'Data shares'!$C$2:$CV$216,98,0)</f>
        <v>34941500</v>
      </c>
      <c r="C96" s="82">
        <f>VLOOKUP(A96,'Data shares'!$C$2:$CX$216,100,0)</f>
        <v>-1886500</v>
      </c>
      <c r="D96" s="141">
        <f>VLOOKUP(A96,'Data shares'!$C$2:$CY$539,101,0)</f>
        <v>-5.1200000000000002E-2</v>
      </c>
      <c r="E96" s="86">
        <f>VLOOKUP($A96,'Data shares'!$C:$FA,74)</f>
        <v>12672000</v>
      </c>
      <c r="F96" s="86">
        <f>VLOOKUP($A96,'Data shares'!$C:$FA,76)</f>
        <v>-599500</v>
      </c>
      <c r="G96" s="87">
        <f>VLOOKUP(A96,'Data shares'!$C$2:$CA$216,77,0)</f>
        <v>-4.5199999999999997E-2</v>
      </c>
      <c r="H96" s="86">
        <f>VLOOKUP($A96,'Data shares'!$C:$FA,90)</f>
        <v>14025000</v>
      </c>
      <c r="I96" s="86">
        <f>VLOOKUP($A96,'Data shares'!$C:$FA,92)</f>
        <v>-992750</v>
      </c>
      <c r="J96" s="87">
        <f>VLOOKUP($A96,'Data shares'!$C:$FA,93)</f>
        <v>-6.6100000000000006E-2</v>
      </c>
      <c r="K96" s="86">
        <f>VLOOKUP($A96,'Data shares'!$C:$FA,94)</f>
        <v>8244500</v>
      </c>
      <c r="L96" s="86">
        <f>VLOOKUP($A96,'Data shares'!$C:$FA,96)</f>
        <v>-294250</v>
      </c>
      <c r="M96" s="87">
        <f>VLOOKUP($A96,'Data shares'!$C:$FA,97)</f>
        <v>-3.4500000000000003E-2</v>
      </c>
      <c r="N96" s="86">
        <f>VLOOKUP($A96,'Data shares'!$C:$FA,78)</f>
        <v>12672000</v>
      </c>
      <c r="O96" s="87">
        <f>VLOOKUP($A96,'Data shares'!$C:$FA,81)</f>
        <v>-4.5199999999999997E-2</v>
      </c>
    </row>
    <row r="97" spans="1:15" x14ac:dyDescent="0.25">
      <c r="A97" s="100" t="str">
        <f>'OI(Value)'!A97</f>
        <v>IIFL</v>
      </c>
      <c r="B97" s="82">
        <f>VLOOKUP(A97,'Data shares'!$C$2:$CV$216,98,0)</f>
        <v>29079600</v>
      </c>
      <c r="C97" s="82">
        <f>VLOOKUP(A97,'Data shares'!$C$2:$CX$216,100,0)</f>
        <v>-1301850</v>
      </c>
      <c r="D97" s="141">
        <f>VLOOKUP(A97,'Data shares'!$C$2:$CY$539,101,0)</f>
        <v>-4.2900000000000001E-2</v>
      </c>
      <c r="E97" s="86">
        <f>VLOOKUP($A97,'Data shares'!$C:$FA,74)</f>
        <v>15508350</v>
      </c>
      <c r="F97" s="86">
        <f>VLOOKUP($A97,'Data shares'!$C:$FA,76)</f>
        <v>-755700</v>
      </c>
      <c r="G97" s="87">
        <f>VLOOKUP(A97,'Data shares'!$C$2:$CA$216,77,0)</f>
        <v>-4.65E-2</v>
      </c>
      <c r="H97" s="86">
        <f>VLOOKUP($A97,'Data shares'!$C:$FA,90)</f>
        <v>8256600</v>
      </c>
      <c r="I97" s="86">
        <f>VLOOKUP($A97,'Data shares'!$C:$FA,92)</f>
        <v>-450450</v>
      </c>
      <c r="J97" s="87">
        <f>VLOOKUP($A97,'Data shares'!$C:$FA,93)</f>
        <v>-5.1700000000000003E-2</v>
      </c>
      <c r="K97" s="86">
        <f>VLOOKUP($A97,'Data shares'!$C:$FA,94)</f>
        <v>5314650</v>
      </c>
      <c r="L97" s="86">
        <f>VLOOKUP($A97,'Data shares'!$C:$FA,96)</f>
        <v>-95700</v>
      </c>
      <c r="M97" s="87">
        <f>VLOOKUP($A97,'Data shares'!$C:$FA,97)</f>
        <v>-1.77E-2</v>
      </c>
      <c r="N97" s="86">
        <f>VLOOKUP($A97,'Data shares'!$C:$FA,78)</f>
        <v>11388300</v>
      </c>
      <c r="O97" s="87">
        <f>VLOOKUP($A97,'Data shares'!$C:$FA,81)</f>
        <v>-0.1981</v>
      </c>
    </row>
    <row r="98" spans="1:15" x14ac:dyDescent="0.25">
      <c r="A98" s="100" t="str">
        <f>'OI(Value)'!A98</f>
        <v>INDHOTEL</v>
      </c>
      <c r="B98" s="82">
        <f>VLOOKUP(A98,'Data shares'!$C$2:$CV$216,98,0)</f>
        <v>49870000</v>
      </c>
      <c r="C98" s="82">
        <f>VLOOKUP(A98,'Data shares'!$C$2:$CX$216,100,0)</f>
        <v>-1660000</v>
      </c>
      <c r="D98" s="141">
        <f>VLOOKUP(A98,'Data shares'!$C$2:$CY$539,101,0)</f>
        <v>-3.2199999999999999E-2</v>
      </c>
      <c r="E98" s="86">
        <f>VLOOKUP($A98,'Data shares'!$C:$FA,74)</f>
        <v>28250000</v>
      </c>
      <c r="F98" s="86">
        <f>VLOOKUP($A98,'Data shares'!$C:$FA,76)</f>
        <v>-1932000</v>
      </c>
      <c r="G98" s="87">
        <f>VLOOKUP(A98,'Data shares'!$C$2:$CA$216,77,0)</f>
        <v>-6.4000000000000001E-2</v>
      </c>
      <c r="H98" s="86">
        <f>VLOOKUP($A98,'Data shares'!$C:$FA,90)</f>
        <v>13196000</v>
      </c>
      <c r="I98" s="86">
        <f>VLOOKUP($A98,'Data shares'!$C:$FA,92)</f>
        <v>-54000</v>
      </c>
      <c r="J98" s="87">
        <f>VLOOKUP($A98,'Data shares'!$C:$FA,93)</f>
        <v>-4.1000000000000003E-3</v>
      </c>
      <c r="K98" s="86">
        <f>VLOOKUP($A98,'Data shares'!$C:$FA,94)</f>
        <v>8424000</v>
      </c>
      <c r="L98" s="86">
        <f>VLOOKUP($A98,'Data shares'!$C:$FA,96)</f>
        <v>326000</v>
      </c>
      <c r="M98" s="87">
        <f>VLOOKUP($A98,'Data shares'!$C:$FA,97)</f>
        <v>4.0300000000000002E-2</v>
      </c>
      <c r="N98" s="86">
        <f>VLOOKUP($A98,'Data shares'!$C:$FA,78)</f>
        <v>20364000</v>
      </c>
      <c r="O98" s="87">
        <f>VLOOKUP($A98,'Data shares'!$C:$FA,81)</f>
        <v>-0.22650000000000001</v>
      </c>
    </row>
    <row r="99" spans="1:15" x14ac:dyDescent="0.25">
      <c r="A99" s="100" t="str">
        <f>'OI(Value)'!A99</f>
        <v>INDIANB</v>
      </c>
      <c r="B99" s="82">
        <f>VLOOKUP(A99,'Data shares'!$C$2:$CV$216,98,0)</f>
        <v>22973000</v>
      </c>
      <c r="C99" s="82">
        <f>VLOOKUP(A99,'Data shares'!$C$2:$CX$216,100,0)</f>
        <v>-1581000</v>
      </c>
      <c r="D99" s="141">
        <f>VLOOKUP(A99,'Data shares'!$C$2:$CY$539,101,0)</f>
        <v>-6.4399999999999999E-2</v>
      </c>
      <c r="E99" s="86">
        <f>VLOOKUP($A99,'Data shares'!$C:$FA,74)</f>
        <v>12104000</v>
      </c>
      <c r="F99" s="86">
        <f>VLOOKUP($A99,'Data shares'!$C:$FA,76)</f>
        <v>-1032000</v>
      </c>
      <c r="G99" s="87">
        <f>VLOOKUP(A99,'Data shares'!$C$2:$CA$216,77,0)</f>
        <v>-7.8600000000000003E-2</v>
      </c>
      <c r="H99" s="86">
        <f>VLOOKUP($A99,'Data shares'!$C:$FA,90)</f>
        <v>6671000</v>
      </c>
      <c r="I99" s="86">
        <f>VLOOKUP($A99,'Data shares'!$C:$FA,92)</f>
        <v>-430000</v>
      </c>
      <c r="J99" s="87">
        <f>VLOOKUP($A99,'Data shares'!$C:$FA,93)</f>
        <v>-6.0600000000000001E-2</v>
      </c>
      <c r="K99" s="86">
        <f>VLOOKUP($A99,'Data shares'!$C:$FA,94)</f>
        <v>4198000</v>
      </c>
      <c r="L99" s="86">
        <f>VLOOKUP($A99,'Data shares'!$C:$FA,96)</f>
        <v>-119000</v>
      </c>
      <c r="M99" s="87">
        <f>VLOOKUP($A99,'Data shares'!$C:$FA,97)</f>
        <v>-2.76E-2</v>
      </c>
      <c r="N99" s="86">
        <f>VLOOKUP($A99,'Data shares'!$C:$FA,78)</f>
        <v>8670000</v>
      </c>
      <c r="O99" s="87">
        <f>VLOOKUP($A99,'Data shares'!$C:$FA,81)</f>
        <v>-0.25600000000000001</v>
      </c>
    </row>
    <row r="100" spans="1:15" x14ac:dyDescent="0.25">
      <c r="A100" s="100" t="str">
        <f>'OI(Value)'!A100</f>
        <v>INDIAVIX</v>
      </c>
      <c r="B100" s="82">
        <f>VLOOKUP(A100,'Data shares'!$C$2:$CV$216,98,0)</f>
        <v>0</v>
      </c>
      <c r="C100" s="82">
        <f>VLOOKUP(A100,'Data shares'!$C$2:$CX$216,100,0)</f>
        <v>0</v>
      </c>
      <c r="D100" s="141">
        <f>VLOOKUP(A100,'Data shares'!$C$2:$CY$539,101,0)</f>
        <v>0</v>
      </c>
      <c r="E100" s="86">
        <f>VLOOKUP($A100,'Data shares'!$C:$FA,74)</f>
        <v>0</v>
      </c>
      <c r="F100" s="86">
        <f>VLOOKUP($A100,'Data shares'!$C:$FA,76)</f>
        <v>0</v>
      </c>
      <c r="G100" s="87">
        <f>VLOOKUP(A100,'Data shares'!$C$2:$CA$216,77,0)</f>
        <v>0</v>
      </c>
      <c r="H100" s="86">
        <f>VLOOKUP($A100,'Data shares'!$C:$FA,90)</f>
        <v>0</v>
      </c>
      <c r="I100" s="86">
        <f>VLOOKUP($A100,'Data shares'!$C:$FA,92)</f>
        <v>0</v>
      </c>
      <c r="J100" s="87">
        <f>VLOOKUP($A100,'Data shares'!$C:$FA,93)</f>
        <v>0</v>
      </c>
      <c r="K100" s="86">
        <f>VLOOKUP($A100,'Data shares'!$C:$FA,94)</f>
        <v>0</v>
      </c>
      <c r="L100" s="86">
        <f>VLOOKUP($A100,'Data shares'!$C:$FA,96)</f>
        <v>0</v>
      </c>
      <c r="M100" s="87">
        <f>VLOOKUP($A100,'Data shares'!$C:$FA,97)</f>
        <v>0</v>
      </c>
      <c r="N100" s="86">
        <f>VLOOKUP($A100,'Data shares'!$C:$FA,78)</f>
        <v>0</v>
      </c>
      <c r="O100" s="87">
        <f>VLOOKUP($A100,'Data shares'!$C:$FA,81)</f>
        <v>0</v>
      </c>
    </row>
    <row r="101" spans="1:15" x14ac:dyDescent="0.25">
      <c r="A101" s="100" t="str">
        <f>'OI(Value)'!A101</f>
        <v>INDIGO</v>
      </c>
      <c r="B101" s="82">
        <f>VLOOKUP(A101,'Data shares'!$C$2:$CV$216,98,0)</f>
        <v>13776750</v>
      </c>
      <c r="C101" s="82">
        <f>VLOOKUP(A101,'Data shares'!$C$2:$CX$216,100,0)</f>
        <v>-185550</v>
      </c>
      <c r="D101" s="141">
        <f>VLOOKUP(A101,'Data shares'!$C$2:$CY$539,101,0)</f>
        <v>-1.3299999999999999E-2</v>
      </c>
      <c r="E101" s="86">
        <f>VLOOKUP($A101,'Data shares'!$C:$FA,74)</f>
        <v>7956000</v>
      </c>
      <c r="F101" s="86">
        <f>VLOOKUP($A101,'Data shares'!$C:$FA,76)</f>
        <v>147000</v>
      </c>
      <c r="G101" s="87">
        <f>VLOOKUP(A101,'Data shares'!$C$2:$CA$216,77,0)</f>
        <v>1.8800000000000001E-2</v>
      </c>
      <c r="H101" s="86">
        <f>VLOOKUP($A101,'Data shares'!$C:$FA,90)</f>
        <v>3648000</v>
      </c>
      <c r="I101" s="86">
        <f>VLOOKUP($A101,'Data shares'!$C:$FA,92)</f>
        <v>-257100</v>
      </c>
      <c r="J101" s="87">
        <f>VLOOKUP($A101,'Data shares'!$C:$FA,93)</f>
        <v>-6.5799999999999997E-2</v>
      </c>
      <c r="K101" s="86">
        <f>VLOOKUP($A101,'Data shares'!$C:$FA,94)</f>
        <v>2172750</v>
      </c>
      <c r="L101" s="86">
        <f>VLOOKUP($A101,'Data shares'!$C:$FA,96)</f>
        <v>-75450</v>
      </c>
      <c r="M101" s="87">
        <f>VLOOKUP($A101,'Data shares'!$C:$FA,97)</f>
        <v>-3.3599999999999998E-2</v>
      </c>
      <c r="N101" s="86">
        <f>VLOOKUP($A101,'Data shares'!$C:$FA,78)</f>
        <v>5069550</v>
      </c>
      <c r="O101" s="87">
        <f>VLOOKUP($A101,'Data shares'!$C:$FA,81)</f>
        <v>-0.25640000000000002</v>
      </c>
    </row>
    <row r="102" spans="1:15" x14ac:dyDescent="0.25">
      <c r="A102" s="100" t="str">
        <f>'OI(Value)'!A102</f>
        <v>INDUSINDBK</v>
      </c>
      <c r="B102" s="82">
        <f>VLOOKUP(A102,'Data shares'!$C$2:$CV$216,98,0)</f>
        <v>80395700</v>
      </c>
      <c r="C102" s="82">
        <f>VLOOKUP(A102,'Data shares'!$C$2:$CX$216,100,0)</f>
        <v>1053500</v>
      </c>
      <c r="D102" s="141">
        <f>VLOOKUP(A102,'Data shares'!$C$2:$CY$539,101,0)</f>
        <v>1.3299999999999999E-2</v>
      </c>
      <c r="E102" s="86">
        <f>VLOOKUP($A102,'Data shares'!$C:$FA,74)</f>
        <v>47874400</v>
      </c>
      <c r="F102" s="86">
        <f>VLOOKUP($A102,'Data shares'!$C:$FA,76)</f>
        <v>650300</v>
      </c>
      <c r="G102" s="87">
        <f>VLOOKUP(A102,'Data shares'!$C$2:$CA$216,77,0)</f>
        <v>1.38E-2</v>
      </c>
      <c r="H102" s="86">
        <f>VLOOKUP($A102,'Data shares'!$C:$FA,90)</f>
        <v>18829300</v>
      </c>
      <c r="I102" s="86">
        <f>VLOOKUP($A102,'Data shares'!$C:$FA,92)</f>
        <v>270900</v>
      </c>
      <c r="J102" s="87">
        <f>VLOOKUP($A102,'Data shares'!$C:$FA,93)</f>
        <v>1.46E-2</v>
      </c>
      <c r="K102" s="86">
        <f>VLOOKUP($A102,'Data shares'!$C:$FA,94)</f>
        <v>13692000</v>
      </c>
      <c r="L102" s="86">
        <f>VLOOKUP($A102,'Data shares'!$C:$FA,96)</f>
        <v>132300</v>
      </c>
      <c r="M102" s="87">
        <f>VLOOKUP($A102,'Data shares'!$C:$FA,97)</f>
        <v>9.7999999999999997E-3</v>
      </c>
      <c r="N102" s="86">
        <f>VLOOKUP($A102,'Data shares'!$C:$FA,78)</f>
        <v>29488200</v>
      </c>
      <c r="O102" s="87">
        <f>VLOOKUP($A102,'Data shares'!$C:$FA,81)</f>
        <v>-0.2288</v>
      </c>
    </row>
    <row r="103" spans="1:15" x14ac:dyDescent="0.25">
      <c r="A103" s="100" t="str">
        <f>'OI(Value)'!A103</f>
        <v>INDUSTOWER</v>
      </c>
      <c r="B103" s="82">
        <f>VLOOKUP(A103,'Data shares'!$C$2:$CV$216,98,0)</f>
        <v>141071100</v>
      </c>
      <c r="C103" s="82">
        <f>VLOOKUP(A103,'Data shares'!$C$2:$CX$216,100,0)</f>
        <v>-1774800</v>
      </c>
      <c r="D103" s="141">
        <f>VLOOKUP(A103,'Data shares'!$C$2:$CY$539,101,0)</f>
        <v>-1.24E-2</v>
      </c>
      <c r="E103" s="86">
        <f>VLOOKUP($A103,'Data shares'!$C:$FA,74)</f>
        <v>94044000</v>
      </c>
      <c r="F103" s="86">
        <f>VLOOKUP($A103,'Data shares'!$C:$FA,76)</f>
        <v>28900</v>
      </c>
      <c r="G103" s="87">
        <f>VLOOKUP(A103,'Data shares'!$C$2:$CA$216,77,0)</f>
        <v>2.9999999999999997E-4</v>
      </c>
      <c r="H103" s="86">
        <f>VLOOKUP($A103,'Data shares'!$C:$FA,90)</f>
        <v>27038500</v>
      </c>
      <c r="I103" s="86">
        <f>VLOOKUP($A103,'Data shares'!$C:$FA,92)</f>
        <v>-1001300</v>
      </c>
      <c r="J103" s="87">
        <f>VLOOKUP($A103,'Data shares'!$C:$FA,93)</f>
        <v>-3.5700000000000003E-2</v>
      </c>
      <c r="K103" s="86">
        <f>VLOOKUP($A103,'Data shares'!$C:$FA,94)</f>
        <v>19988600</v>
      </c>
      <c r="L103" s="86">
        <f>VLOOKUP($A103,'Data shares'!$C:$FA,96)</f>
        <v>-802400</v>
      </c>
      <c r="M103" s="87">
        <f>VLOOKUP($A103,'Data shares'!$C:$FA,97)</f>
        <v>-3.8600000000000002E-2</v>
      </c>
      <c r="N103" s="86">
        <f>VLOOKUP($A103,'Data shares'!$C:$FA,78)</f>
        <v>64042400</v>
      </c>
      <c r="O103" s="87">
        <f>VLOOKUP($A103,'Data shares'!$C:$FA,81)</f>
        <v>-0.15890000000000001</v>
      </c>
    </row>
    <row r="104" spans="1:15" x14ac:dyDescent="0.25">
      <c r="A104" s="100" t="str">
        <f>'OI(Value)'!A104</f>
        <v>INFY</v>
      </c>
      <c r="B104" s="82">
        <f>VLOOKUP(A104,'Data shares'!$C$2:$CV$216,98,0)</f>
        <v>119996000</v>
      </c>
      <c r="C104" s="82">
        <f>VLOOKUP(A104,'Data shares'!$C$2:$CX$216,100,0)</f>
        <v>1013200</v>
      </c>
      <c r="D104" s="141">
        <f>VLOOKUP(A104,'Data shares'!$C$2:$CY$539,101,0)</f>
        <v>8.5000000000000006E-3</v>
      </c>
      <c r="E104" s="86">
        <f>VLOOKUP($A104,'Data shares'!$C:$FA,74)</f>
        <v>75855600</v>
      </c>
      <c r="F104" s="86">
        <f>VLOOKUP($A104,'Data shares'!$C:$FA,76)</f>
        <v>2308000</v>
      </c>
      <c r="G104" s="87">
        <f>VLOOKUP(A104,'Data shares'!$C$2:$CA$216,77,0)</f>
        <v>3.1399999999999997E-2</v>
      </c>
      <c r="H104" s="86">
        <f>VLOOKUP($A104,'Data shares'!$C:$FA,90)</f>
        <v>25319600</v>
      </c>
      <c r="I104" s="86">
        <f>VLOOKUP($A104,'Data shares'!$C:$FA,92)</f>
        <v>-385200</v>
      </c>
      <c r="J104" s="87">
        <f>VLOOKUP($A104,'Data shares'!$C:$FA,93)</f>
        <v>-1.4999999999999999E-2</v>
      </c>
      <c r="K104" s="86">
        <f>VLOOKUP($A104,'Data shares'!$C:$FA,94)</f>
        <v>18820800</v>
      </c>
      <c r="L104" s="86">
        <f>VLOOKUP($A104,'Data shares'!$C:$FA,96)</f>
        <v>-909600</v>
      </c>
      <c r="M104" s="87">
        <f>VLOOKUP($A104,'Data shares'!$C:$FA,97)</f>
        <v>-4.6100000000000002E-2</v>
      </c>
      <c r="N104" s="86">
        <f>VLOOKUP($A104,'Data shares'!$C:$FA,78)</f>
        <v>38884800</v>
      </c>
      <c r="O104" s="87">
        <f>VLOOKUP($A104,'Data shares'!$C:$FA,81)</f>
        <v>-0.27779999999999999</v>
      </c>
    </row>
    <row r="105" spans="1:15" x14ac:dyDescent="0.25">
      <c r="A105" s="100" t="str">
        <f>'OI(Value)'!A105</f>
        <v>INOXWIND</v>
      </c>
      <c r="B105" s="82">
        <f>VLOOKUP(A105,'Data shares'!$C$2:$CV$216,98,0)</f>
        <v>149585314</v>
      </c>
      <c r="C105" s="82">
        <f>VLOOKUP(A105,'Data shares'!$C$2:$CX$216,100,0)</f>
        <v>-5342265</v>
      </c>
      <c r="D105" s="141">
        <f>VLOOKUP(A105,'Data shares'!$C$2:$CY$539,101,0)</f>
        <v>-3.4500000000000003E-2</v>
      </c>
      <c r="E105" s="86">
        <f>VLOOKUP($A105,'Data shares'!$C:$FA,74)</f>
        <v>82183688</v>
      </c>
      <c r="F105" s="86">
        <f>VLOOKUP($A105,'Data shares'!$C:$FA,76)</f>
        <v>-3873137</v>
      </c>
      <c r="G105" s="87">
        <f>VLOOKUP(A105,'Data shares'!$C$2:$CA$216,77,0)</f>
        <v>-4.4999999999999998E-2</v>
      </c>
      <c r="H105" s="86">
        <f>VLOOKUP($A105,'Data shares'!$C:$FA,90)</f>
        <v>47931286</v>
      </c>
      <c r="I105" s="86">
        <f>VLOOKUP($A105,'Data shares'!$C:$FA,92)</f>
        <v>-2002464</v>
      </c>
      <c r="J105" s="87">
        <f>VLOOKUP($A105,'Data shares'!$C:$FA,93)</f>
        <v>-4.0099999999999997E-2</v>
      </c>
      <c r="K105" s="86">
        <f>VLOOKUP($A105,'Data shares'!$C:$FA,94)</f>
        <v>19470340</v>
      </c>
      <c r="L105" s="86">
        <f>VLOOKUP($A105,'Data shares'!$C:$FA,96)</f>
        <v>533336</v>
      </c>
      <c r="M105" s="87">
        <f>VLOOKUP($A105,'Data shares'!$C:$FA,97)</f>
        <v>2.8199999999999999E-2</v>
      </c>
      <c r="N105" s="86">
        <f>VLOOKUP($A105,'Data shares'!$C:$FA,78)</f>
        <v>46704528</v>
      </c>
      <c r="O105" s="87">
        <f>VLOOKUP($A105,'Data shares'!$C:$FA,81)</f>
        <v>-0.25650000000000001</v>
      </c>
    </row>
    <row r="106" spans="1:15" x14ac:dyDescent="0.25">
      <c r="A106" s="100" t="str">
        <f>'OI(Value)'!A106</f>
        <v>IOC</v>
      </c>
      <c r="B106" s="82">
        <f>VLOOKUP(A106,'Data shares'!$C$2:$CV$216,98,0)</f>
        <v>209800500</v>
      </c>
      <c r="C106" s="82">
        <f>VLOOKUP(A106,'Data shares'!$C$2:$CX$216,100,0)</f>
        <v>-3792750</v>
      </c>
      <c r="D106" s="141">
        <f>VLOOKUP(A106,'Data shares'!$C$2:$CY$539,101,0)</f>
        <v>-1.78E-2</v>
      </c>
      <c r="E106" s="86">
        <f>VLOOKUP($A106,'Data shares'!$C:$FA,74)</f>
        <v>99844875</v>
      </c>
      <c r="F106" s="86">
        <f>VLOOKUP($A106,'Data shares'!$C:$FA,76)</f>
        <v>2929875</v>
      </c>
      <c r="G106" s="87">
        <f>VLOOKUP(A106,'Data shares'!$C$2:$CA$216,77,0)</f>
        <v>3.0200000000000001E-2</v>
      </c>
      <c r="H106" s="86">
        <f>VLOOKUP($A106,'Data shares'!$C:$FA,90)</f>
        <v>58524375</v>
      </c>
      <c r="I106" s="86">
        <f>VLOOKUP($A106,'Data shares'!$C:$FA,92)</f>
        <v>-3656250</v>
      </c>
      <c r="J106" s="87">
        <f>VLOOKUP($A106,'Data shares'!$C:$FA,93)</f>
        <v>-5.8799999999999998E-2</v>
      </c>
      <c r="K106" s="86">
        <f>VLOOKUP($A106,'Data shares'!$C:$FA,94)</f>
        <v>51431250</v>
      </c>
      <c r="L106" s="86">
        <f>VLOOKUP($A106,'Data shares'!$C:$FA,96)</f>
        <v>-3066375</v>
      </c>
      <c r="M106" s="87">
        <f>VLOOKUP($A106,'Data shares'!$C:$FA,97)</f>
        <v>-5.6300000000000003E-2</v>
      </c>
      <c r="N106" s="86">
        <f>VLOOKUP($A106,'Data shares'!$C:$FA,78)</f>
        <v>72671625</v>
      </c>
      <c r="O106" s="87">
        <f>VLOOKUP($A106,'Data shares'!$C:$FA,81)</f>
        <v>-0.17829999999999999</v>
      </c>
    </row>
    <row r="107" spans="1:15" x14ac:dyDescent="0.25">
      <c r="A107" s="100" t="str">
        <f>'OI(Value)'!A107</f>
        <v>IRCTC</v>
      </c>
      <c r="B107" s="82">
        <f>VLOOKUP(A107,'Data shares'!$C$2:$CV$216,98,0)</f>
        <v>39287500</v>
      </c>
      <c r="C107" s="82">
        <f>VLOOKUP(A107,'Data shares'!$C$2:$CX$216,100,0)</f>
        <v>-1158500</v>
      </c>
      <c r="D107" s="141">
        <f>VLOOKUP(A107,'Data shares'!$C$2:$CY$539,101,0)</f>
        <v>-2.86E-2</v>
      </c>
      <c r="E107" s="86">
        <f>VLOOKUP($A107,'Data shares'!$C:$FA,74)</f>
        <v>19031250</v>
      </c>
      <c r="F107" s="86">
        <f>VLOOKUP($A107,'Data shares'!$C:$FA,76)</f>
        <v>-427000</v>
      </c>
      <c r="G107" s="87">
        <f>VLOOKUP(A107,'Data shares'!$C$2:$CA$216,77,0)</f>
        <v>-2.1899999999999999E-2</v>
      </c>
      <c r="H107" s="86">
        <f>VLOOKUP($A107,'Data shares'!$C:$FA,90)</f>
        <v>12379500</v>
      </c>
      <c r="I107" s="86">
        <f>VLOOKUP($A107,'Data shares'!$C:$FA,92)</f>
        <v>-588000</v>
      </c>
      <c r="J107" s="87">
        <f>VLOOKUP($A107,'Data shares'!$C:$FA,93)</f>
        <v>-4.53E-2</v>
      </c>
      <c r="K107" s="86">
        <f>VLOOKUP($A107,'Data shares'!$C:$FA,94)</f>
        <v>7876750</v>
      </c>
      <c r="L107" s="86">
        <f>VLOOKUP($A107,'Data shares'!$C:$FA,96)</f>
        <v>-143500</v>
      </c>
      <c r="M107" s="87">
        <f>VLOOKUP($A107,'Data shares'!$C:$FA,97)</f>
        <v>-1.7899999999999999E-2</v>
      </c>
      <c r="N107" s="86">
        <f>VLOOKUP($A107,'Data shares'!$C:$FA,78)</f>
        <v>10875375</v>
      </c>
      <c r="O107" s="87">
        <f>VLOOKUP($A107,'Data shares'!$C:$FA,81)</f>
        <v>-0.30180000000000001</v>
      </c>
    </row>
    <row r="108" spans="1:15" x14ac:dyDescent="0.25">
      <c r="A108" s="100" t="str">
        <f>'OI(Value)'!A108</f>
        <v>IREDA</v>
      </c>
      <c r="B108" s="82">
        <f>VLOOKUP(A108,'Data shares'!$C$2:$CV$216,98,0)</f>
        <v>88999650</v>
      </c>
      <c r="C108" s="82">
        <f>VLOOKUP(A108,'Data shares'!$C$2:$CX$216,100,0)</f>
        <v>-4564350</v>
      </c>
      <c r="D108" s="141">
        <f>VLOOKUP(A108,'Data shares'!$C$2:$CY$539,101,0)</f>
        <v>-4.8800000000000003E-2</v>
      </c>
      <c r="E108" s="86">
        <f>VLOOKUP($A108,'Data shares'!$C:$FA,74)</f>
        <v>47137350</v>
      </c>
      <c r="F108" s="86">
        <f>VLOOKUP($A108,'Data shares'!$C:$FA,76)</f>
        <v>-2270100</v>
      </c>
      <c r="G108" s="87">
        <f>VLOOKUP(A108,'Data shares'!$C$2:$CA$216,77,0)</f>
        <v>-4.5900000000000003E-2</v>
      </c>
      <c r="H108" s="86">
        <f>VLOOKUP($A108,'Data shares'!$C:$FA,90)</f>
        <v>26820300</v>
      </c>
      <c r="I108" s="86">
        <f>VLOOKUP($A108,'Data shares'!$C:$FA,92)</f>
        <v>-2484000</v>
      </c>
      <c r="J108" s="87">
        <f>VLOOKUP($A108,'Data shares'!$C:$FA,93)</f>
        <v>-8.48E-2</v>
      </c>
      <c r="K108" s="86">
        <f>VLOOKUP($A108,'Data shares'!$C:$FA,94)</f>
        <v>15042000</v>
      </c>
      <c r="L108" s="86">
        <f>VLOOKUP($A108,'Data shares'!$C:$FA,96)</f>
        <v>189750</v>
      </c>
      <c r="M108" s="87">
        <f>VLOOKUP($A108,'Data shares'!$C:$FA,97)</f>
        <v>1.2800000000000001E-2</v>
      </c>
      <c r="N108" s="86">
        <f>VLOOKUP($A108,'Data shares'!$C:$FA,78)</f>
        <v>30170250</v>
      </c>
      <c r="O108" s="87">
        <f>VLOOKUP($A108,'Data shares'!$C:$FA,81)</f>
        <v>-0.18029999999999999</v>
      </c>
    </row>
    <row r="109" spans="1:15" x14ac:dyDescent="0.25">
      <c r="A109" s="100" t="str">
        <f>'OI(Value)'!A109</f>
        <v>IRFC</v>
      </c>
      <c r="B109" s="82">
        <f>VLOOKUP(A109,'Data shares'!$C$2:$CV$216,98,0)</f>
        <v>101558000</v>
      </c>
      <c r="C109" s="82">
        <f>VLOOKUP(A109,'Data shares'!$C$2:$CX$216,100,0)</f>
        <v>-2911250</v>
      </c>
      <c r="D109" s="141">
        <f>VLOOKUP(A109,'Data shares'!$C$2:$CY$539,101,0)</f>
        <v>-2.7900000000000001E-2</v>
      </c>
      <c r="E109" s="86">
        <f>VLOOKUP($A109,'Data shares'!$C:$FA,74)</f>
        <v>46282500</v>
      </c>
      <c r="F109" s="86">
        <f>VLOOKUP($A109,'Data shares'!$C:$FA,76)</f>
        <v>-1874250</v>
      </c>
      <c r="G109" s="87">
        <f>VLOOKUP(A109,'Data shares'!$C$2:$CA$216,77,0)</f>
        <v>-3.8899999999999997E-2</v>
      </c>
      <c r="H109" s="86">
        <f>VLOOKUP($A109,'Data shares'!$C:$FA,90)</f>
        <v>36996250</v>
      </c>
      <c r="I109" s="86">
        <f>VLOOKUP($A109,'Data shares'!$C:$FA,92)</f>
        <v>-1151750</v>
      </c>
      <c r="J109" s="87">
        <f>VLOOKUP($A109,'Data shares'!$C:$FA,93)</f>
        <v>-3.0200000000000001E-2</v>
      </c>
      <c r="K109" s="86">
        <f>VLOOKUP($A109,'Data shares'!$C:$FA,94)</f>
        <v>18279250</v>
      </c>
      <c r="L109" s="86">
        <f>VLOOKUP($A109,'Data shares'!$C:$FA,96)</f>
        <v>114750</v>
      </c>
      <c r="M109" s="87">
        <f>VLOOKUP($A109,'Data shares'!$C:$FA,97)</f>
        <v>6.3E-3</v>
      </c>
      <c r="N109" s="86">
        <f>VLOOKUP($A109,'Data shares'!$C:$FA,78)</f>
        <v>32074750</v>
      </c>
      <c r="O109" s="87">
        <f>VLOOKUP($A109,'Data shares'!$C:$FA,81)</f>
        <v>-0.1802</v>
      </c>
    </row>
    <row r="110" spans="1:15" x14ac:dyDescent="0.25">
      <c r="A110" s="100" t="str">
        <f>'OI(Value)'!A110</f>
        <v>ITC</v>
      </c>
      <c r="B110" s="82">
        <f>VLOOKUP(A110,'Data shares'!$C$2:$CV$216,98,0)</f>
        <v>276051200</v>
      </c>
      <c r="C110" s="82">
        <f>VLOOKUP(A110,'Data shares'!$C$2:$CX$216,100,0)</f>
        <v>-6872000</v>
      </c>
      <c r="D110" s="141">
        <f>VLOOKUP(A110,'Data shares'!$C$2:$CY$539,101,0)</f>
        <v>-2.4299999999999999E-2</v>
      </c>
      <c r="E110" s="86">
        <f>VLOOKUP($A110,'Data shares'!$C:$FA,74)</f>
        <v>174758400</v>
      </c>
      <c r="F110" s="86">
        <f>VLOOKUP($A110,'Data shares'!$C:$FA,76)</f>
        <v>-548800</v>
      </c>
      <c r="G110" s="87">
        <f>VLOOKUP(A110,'Data shares'!$C$2:$CA$216,77,0)</f>
        <v>-3.0999999999999999E-3</v>
      </c>
      <c r="H110" s="86">
        <f>VLOOKUP($A110,'Data shares'!$C:$FA,90)</f>
        <v>69395200</v>
      </c>
      <c r="I110" s="86">
        <f>VLOOKUP($A110,'Data shares'!$C:$FA,92)</f>
        <v>-4558400</v>
      </c>
      <c r="J110" s="87">
        <f>VLOOKUP($A110,'Data shares'!$C:$FA,93)</f>
        <v>-6.1600000000000002E-2</v>
      </c>
      <c r="K110" s="86">
        <f>VLOOKUP($A110,'Data shares'!$C:$FA,94)</f>
        <v>31897600</v>
      </c>
      <c r="L110" s="86">
        <f>VLOOKUP($A110,'Data shares'!$C:$FA,96)</f>
        <v>-1764800</v>
      </c>
      <c r="M110" s="87">
        <f>VLOOKUP($A110,'Data shares'!$C:$FA,97)</f>
        <v>-5.2400000000000002E-2</v>
      </c>
      <c r="N110" s="86">
        <f>VLOOKUP($A110,'Data shares'!$C:$FA,78)</f>
        <v>116472000</v>
      </c>
      <c r="O110" s="87">
        <f>VLOOKUP($A110,'Data shares'!$C:$FA,81)</f>
        <v>-0.23230000000000001</v>
      </c>
    </row>
    <row r="111" spans="1:15" x14ac:dyDescent="0.25">
      <c r="A111" s="100" t="str">
        <f>'OI(Value)'!A111</f>
        <v>JINDALSTEL</v>
      </c>
      <c r="B111" s="82">
        <f>VLOOKUP(A111,'Data shares'!$C$2:$CV$216,98,0)</f>
        <v>24088750</v>
      </c>
      <c r="C111" s="82">
        <f>VLOOKUP(A111,'Data shares'!$C$2:$CX$216,100,0)</f>
        <v>-945625</v>
      </c>
      <c r="D111" s="141">
        <f>VLOOKUP(A111,'Data shares'!$C$2:$CY$539,101,0)</f>
        <v>-3.78E-2</v>
      </c>
      <c r="E111" s="86">
        <f>VLOOKUP($A111,'Data shares'!$C:$FA,74)</f>
        <v>13206875</v>
      </c>
      <c r="F111" s="86">
        <f>VLOOKUP($A111,'Data shares'!$C:$FA,76)</f>
        <v>-251250</v>
      </c>
      <c r="G111" s="87">
        <f>VLOOKUP(A111,'Data shares'!$C$2:$CA$216,77,0)</f>
        <v>-1.8700000000000001E-2</v>
      </c>
      <c r="H111" s="86">
        <f>VLOOKUP($A111,'Data shares'!$C:$FA,90)</f>
        <v>5850625</v>
      </c>
      <c r="I111" s="86">
        <f>VLOOKUP($A111,'Data shares'!$C:$FA,92)</f>
        <v>-370000</v>
      </c>
      <c r="J111" s="87">
        <f>VLOOKUP($A111,'Data shares'!$C:$FA,93)</f>
        <v>-5.9499999999999997E-2</v>
      </c>
      <c r="K111" s="86">
        <f>VLOOKUP($A111,'Data shares'!$C:$FA,94)</f>
        <v>5031250</v>
      </c>
      <c r="L111" s="86">
        <f>VLOOKUP($A111,'Data shares'!$C:$FA,96)</f>
        <v>-324375</v>
      </c>
      <c r="M111" s="87">
        <f>VLOOKUP($A111,'Data shares'!$C:$FA,97)</f>
        <v>-6.0600000000000001E-2</v>
      </c>
      <c r="N111" s="86">
        <f>VLOOKUP($A111,'Data shares'!$C:$FA,78)</f>
        <v>8323750</v>
      </c>
      <c r="O111" s="87">
        <f>VLOOKUP($A111,'Data shares'!$C:$FA,81)</f>
        <v>-0.22950000000000001</v>
      </c>
    </row>
    <row r="112" spans="1:15" x14ac:dyDescent="0.25">
      <c r="A112" s="100" t="str">
        <f>'OI(Value)'!A112</f>
        <v>JIOFIN</v>
      </c>
      <c r="B112" s="82">
        <f>VLOOKUP(A112,'Data shares'!$C$2:$CV$216,98,0)</f>
        <v>268508650</v>
      </c>
      <c r="C112" s="82">
        <f>VLOOKUP(A112,'Data shares'!$C$2:$CX$216,100,0)</f>
        <v>-4288750</v>
      </c>
      <c r="D112" s="141">
        <f>VLOOKUP(A112,'Data shares'!$C$2:$CY$539,101,0)</f>
        <v>-1.5699999999999999E-2</v>
      </c>
      <c r="E112" s="86">
        <f>VLOOKUP($A112,'Data shares'!$C:$FA,74)</f>
        <v>152122550</v>
      </c>
      <c r="F112" s="86">
        <f>VLOOKUP($A112,'Data shares'!$C:$FA,76)</f>
        <v>-561650</v>
      </c>
      <c r="G112" s="87">
        <f>VLOOKUP(A112,'Data shares'!$C$2:$CA$216,77,0)</f>
        <v>-3.7000000000000002E-3</v>
      </c>
      <c r="H112" s="86">
        <f>VLOOKUP($A112,'Data shares'!$C:$FA,90)</f>
        <v>72455200</v>
      </c>
      <c r="I112" s="86">
        <f>VLOOKUP($A112,'Data shares'!$C:$FA,92)</f>
        <v>-3489750</v>
      </c>
      <c r="J112" s="87">
        <f>VLOOKUP($A112,'Data shares'!$C:$FA,93)</f>
        <v>-4.5999999999999999E-2</v>
      </c>
      <c r="K112" s="86">
        <f>VLOOKUP($A112,'Data shares'!$C:$FA,94)</f>
        <v>43930900</v>
      </c>
      <c r="L112" s="86">
        <f>VLOOKUP($A112,'Data shares'!$C:$FA,96)</f>
        <v>-237350</v>
      </c>
      <c r="M112" s="87">
        <f>VLOOKUP($A112,'Data shares'!$C:$FA,97)</f>
        <v>-5.4000000000000003E-3</v>
      </c>
      <c r="N112" s="86">
        <f>VLOOKUP($A112,'Data shares'!$C:$FA,78)</f>
        <v>95442900</v>
      </c>
      <c r="O112" s="87">
        <f>VLOOKUP($A112,'Data shares'!$C:$FA,81)</f>
        <v>-0.1792</v>
      </c>
    </row>
    <row r="113" spans="1:15" x14ac:dyDescent="0.25">
      <c r="A113" s="100" t="str">
        <f>'OI(Value)'!A113</f>
        <v>JSWENERGY</v>
      </c>
      <c r="B113" s="82">
        <f>VLOOKUP(A113,'Data shares'!$C$2:$CV$216,98,0)</f>
        <v>62673000</v>
      </c>
      <c r="C113" s="82">
        <f>VLOOKUP(A113,'Data shares'!$C$2:$CX$216,100,0)</f>
        <v>2155000</v>
      </c>
      <c r="D113" s="141">
        <f>VLOOKUP(A113,'Data shares'!$C$2:$CY$539,101,0)</f>
        <v>3.56E-2</v>
      </c>
      <c r="E113" s="86">
        <f>VLOOKUP($A113,'Data shares'!$C:$FA,74)</f>
        <v>42164000</v>
      </c>
      <c r="F113" s="86">
        <f>VLOOKUP($A113,'Data shares'!$C:$FA,76)</f>
        <v>366000</v>
      </c>
      <c r="G113" s="87">
        <f>VLOOKUP(A113,'Data shares'!$C$2:$CA$216,77,0)</f>
        <v>8.8000000000000005E-3</v>
      </c>
      <c r="H113" s="86">
        <f>VLOOKUP($A113,'Data shares'!$C:$FA,90)</f>
        <v>14222000</v>
      </c>
      <c r="I113" s="86">
        <f>VLOOKUP($A113,'Data shares'!$C:$FA,92)</f>
        <v>988000</v>
      </c>
      <c r="J113" s="87">
        <f>VLOOKUP($A113,'Data shares'!$C:$FA,93)</f>
        <v>7.4700000000000003E-2</v>
      </c>
      <c r="K113" s="86">
        <f>VLOOKUP($A113,'Data shares'!$C:$FA,94)</f>
        <v>6287000</v>
      </c>
      <c r="L113" s="86">
        <f>VLOOKUP($A113,'Data shares'!$C:$FA,96)</f>
        <v>801000</v>
      </c>
      <c r="M113" s="87">
        <f>VLOOKUP($A113,'Data shares'!$C:$FA,97)</f>
        <v>0.14599999999999999</v>
      </c>
      <c r="N113" s="86">
        <f>VLOOKUP($A113,'Data shares'!$C:$FA,78)</f>
        <v>31852000</v>
      </c>
      <c r="O113" s="87">
        <f>VLOOKUP($A113,'Data shares'!$C:$FA,81)</f>
        <v>-0.17100000000000001</v>
      </c>
    </row>
    <row r="114" spans="1:15" x14ac:dyDescent="0.25">
      <c r="A114" s="100" t="str">
        <f>'OI(Value)'!A114</f>
        <v>JSWSTEEL</v>
      </c>
      <c r="B114" s="82">
        <f>VLOOKUP(A114,'Data shares'!$C$2:$CV$216,98,0)</f>
        <v>58924800</v>
      </c>
      <c r="C114" s="82">
        <f>VLOOKUP(A114,'Data shares'!$C$2:$CX$216,100,0)</f>
        <v>-446850</v>
      </c>
      <c r="D114" s="141">
        <f>VLOOKUP(A114,'Data shares'!$C$2:$CY$539,101,0)</f>
        <v>-7.4999999999999997E-3</v>
      </c>
      <c r="E114" s="86">
        <f>VLOOKUP($A114,'Data shares'!$C:$FA,74)</f>
        <v>45245250</v>
      </c>
      <c r="F114" s="86">
        <f>VLOOKUP($A114,'Data shares'!$C:$FA,76)</f>
        <v>192375</v>
      </c>
      <c r="G114" s="87">
        <f>VLOOKUP(A114,'Data shares'!$C$2:$CA$216,77,0)</f>
        <v>4.3E-3</v>
      </c>
      <c r="H114" s="86">
        <f>VLOOKUP($A114,'Data shares'!$C:$FA,90)</f>
        <v>8662275</v>
      </c>
      <c r="I114" s="86">
        <f>VLOOKUP($A114,'Data shares'!$C:$FA,92)</f>
        <v>-562275</v>
      </c>
      <c r="J114" s="87">
        <f>VLOOKUP($A114,'Data shares'!$C:$FA,93)</f>
        <v>-6.0999999999999999E-2</v>
      </c>
      <c r="K114" s="86">
        <f>VLOOKUP($A114,'Data shares'!$C:$FA,94)</f>
        <v>5017275</v>
      </c>
      <c r="L114" s="86">
        <f>VLOOKUP($A114,'Data shares'!$C:$FA,96)</f>
        <v>-76950</v>
      </c>
      <c r="M114" s="87">
        <f>VLOOKUP($A114,'Data shares'!$C:$FA,97)</f>
        <v>-1.5100000000000001E-2</v>
      </c>
      <c r="N114" s="86">
        <f>VLOOKUP($A114,'Data shares'!$C:$FA,78)</f>
        <v>28624725</v>
      </c>
      <c r="O114" s="87">
        <f>VLOOKUP($A114,'Data shares'!$C:$FA,81)</f>
        <v>-0.28339999999999999</v>
      </c>
    </row>
    <row r="115" spans="1:15" x14ac:dyDescent="0.25">
      <c r="A115" s="100" t="str">
        <f>'OI(Value)'!A115</f>
        <v>JUBLFOOD</v>
      </c>
      <c r="B115" s="82">
        <f>VLOOKUP(A115,'Data shares'!$C$2:$CV$216,98,0)</f>
        <v>42770000</v>
      </c>
      <c r="C115" s="82">
        <f>VLOOKUP(A115,'Data shares'!$C$2:$CX$216,100,0)</f>
        <v>-1145000</v>
      </c>
      <c r="D115" s="141">
        <f>VLOOKUP(A115,'Data shares'!$C$2:$CY$539,101,0)</f>
        <v>-2.6100000000000002E-2</v>
      </c>
      <c r="E115" s="86">
        <f>VLOOKUP($A115,'Data shares'!$C:$FA,74)</f>
        <v>22897500</v>
      </c>
      <c r="F115" s="86">
        <f>VLOOKUP($A115,'Data shares'!$C:$FA,76)</f>
        <v>-228750</v>
      </c>
      <c r="G115" s="87">
        <f>VLOOKUP(A115,'Data shares'!$C$2:$CA$216,77,0)</f>
        <v>-9.9000000000000008E-3</v>
      </c>
      <c r="H115" s="86">
        <f>VLOOKUP($A115,'Data shares'!$C:$FA,90)</f>
        <v>12040000</v>
      </c>
      <c r="I115" s="86">
        <f>VLOOKUP($A115,'Data shares'!$C:$FA,92)</f>
        <v>-588750</v>
      </c>
      <c r="J115" s="87">
        <f>VLOOKUP($A115,'Data shares'!$C:$FA,93)</f>
        <v>-4.6600000000000003E-2</v>
      </c>
      <c r="K115" s="86">
        <f>VLOOKUP($A115,'Data shares'!$C:$FA,94)</f>
        <v>7832500</v>
      </c>
      <c r="L115" s="86">
        <f>VLOOKUP($A115,'Data shares'!$C:$FA,96)</f>
        <v>-327500</v>
      </c>
      <c r="M115" s="87">
        <f>VLOOKUP($A115,'Data shares'!$C:$FA,97)</f>
        <v>-4.0099999999999997E-2</v>
      </c>
      <c r="N115" s="86">
        <f>VLOOKUP($A115,'Data shares'!$C:$FA,78)</f>
        <v>15193750</v>
      </c>
      <c r="O115" s="87">
        <f>VLOOKUP($A115,'Data shares'!$C:$FA,81)</f>
        <v>-0.25409999999999999</v>
      </c>
    </row>
    <row r="116" spans="1:15" x14ac:dyDescent="0.25">
      <c r="A116" s="100" t="str">
        <f>'OI(Value)'!A116</f>
        <v>KALYANKJIL</v>
      </c>
      <c r="B116" s="82">
        <f>VLOOKUP(A116,'Data shares'!$C$2:$CV$216,98,0)</f>
        <v>48700225</v>
      </c>
      <c r="C116" s="82">
        <f>VLOOKUP(A116,'Data shares'!$C$2:$CX$216,100,0)</f>
        <v>-2621425</v>
      </c>
      <c r="D116" s="141">
        <f>VLOOKUP(A116,'Data shares'!$C$2:$CY$539,101,0)</f>
        <v>-5.11E-2</v>
      </c>
      <c r="E116" s="86">
        <f>VLOOKUP($A116,'Data shares'!$C:$FA,74)</f>
        <v>31438300</v>
      </c>
      <c r="F116" s="86">
        <f>VLOOKUP($A116,'Data shares'!$C:$FA,76)</f>
        <v>-795475</v>
      </c>
      <c r="G116" s="87">
        <f>VLOOKUP(A116,'Data shares'!$C$2:$CA$216,77,0)</f>
        <v>-2.47E-2</v>
      </c>
      <c r="H116" s="86">
        <f>VLOOKUP($A116,'Data shares'!$C:$FA,90)</f>
        <v>11332875</v>
      </c>
      <c r="I116" s="86">
        <f>VLOOKUP($A116,'Data shares'!$C:$FA,92)</f>
        <v>-1574500</v>
      </c>
      <c r="J116" s="87">
        <f>VLOOKUP($A116,'Data shares'!$C:$FA,93)</f>
        <v>-0.122</v>
      </c>
      <c r="K116" s="86">
        <f>VLOOKUP($A116,'Data shares'!$C:$FA,94)</f>
        <v>5929050</v>
      </c>
      <c r="L116" s="86">
        <f>VLOOKUP($A116,'Data shares'!$C:$FA,96)</f>
        <v>-251450</v>
      </c>
      <c r="M116" s="87">
        <f>VLOOKUP($A116,'Data shares'!$C:$FA,97)</f>
        <v>-4.07E-2</v>
      </c>
      <c r="N116" s="86">
        <f>VLOOKUP($A116,'Data shares'!$C:$FA,78)</f>
        <v>22181650</v>
      </c>
      <c r="O116" s="87">
        <f>VLOOKUP($A116,'Data shares'!$C:$FA,81)</f>
        <v>-0.27279999999999999</v>
      </c>
    </row>
    <row r="117" spans="1:15" x14ac:dyDescent="0.25">
      <c r="A117" s="100" t="str">
        <f>'OI(Value)'!A117</f>
        <v>KAYNES</v>
      </c>
      <c r="B117" s="82">
        <f>VLOOKUP(A117,'Data shares'!$C$2:$CV$216,98,0)</f>
        <v>6874700</v>
      </c>
      <c r="C117" s="82">
        <f>VLOOKUP(A117,'Data shares'!$C$2:$CX$216,100,0)</f>
        <v>-657600</v>
      </c>
      <c r="D117" s="141">
        <f>VLOOKUP(A117,'Data shares'!$C$2:$CY$539,101,0)</f>
        <v>-8.7300000000000003E-2</v>
      </c>
      <c r="E117" s="86">
        <f>VLOOKUP($A117,'Data shares'!$C:$FA,74)</f>
        <v>2233100</v>
      </c>
      <c r="F117" s="86">
        <f>VLOOKUP($A117,'Data shares'!$C:$FA,76)</f>
        <v>-205600</v>
      </c>
      <c r="G117" s="87">
        <f>VLOOKUP(A117,'Data shares'!$C$2:$CA$216,77,0)</f>
        <v>-8.43E-2</v>
      </c>
      <c r="H117" s="86">
        <f>VLOOKUP($A117,'Data shares'!$C:$FA,90)</f>
        <v>3496100</v>
      </c>
      <c r="I117" s="86">
        <f>VLOOKUP($A117,'Data shares'!$C:$FA,92)</f>
        <v>-380900</v>
      </c>
      <c r="J117" s="87">
        <f>VLOOKUP($A117,'Data shares'!$C:$FA,93)</f>
        <v>-9.8199999999999996E-2</v>
      </c>
      <c r="K117" s="86">
        <f>VLOOKUP($A117,'Data shares'!$C:$FA,94)</f>
        <v>1145500</v>
      </c>
      <c r="L117" s="86">
        <f>VLOOKUP($A117,'Data shares'!$C:$FA,96)</f>
        <v>-71100</v>
      </c>
      <c r="M117" s="87">
        <f>VLOOKUP($A117,'Data shares'!$C:$FA,97)</f>
        <v>-5.8400000000000001E-2</v>
      </c>
      <c r="N117" s="86">
        <f>VLOOKUP($A117,'Data shares'!$C:$FA,78)</f>
        <v>1441500</v>
      </c>
      <c r="O117" s="87">
        <f>VLOOKUP($A117,'Data shares'!$C:$FA,81)</f>
        <v>-0.17610000000000001</v>
      </c>
    </row>
    <row r="118" spans="1:15" x14ac:dyDescent="0.25">
      <c r="A118" s="100" t="str">
        <f>'OI(Value)'!A118</f>
        <v>KEI</v>
      </c>
      <c r="B118" s="82">
        <f>VLOOKUP(A118,'Data shares'!$C$2:$CV$216,98,0)</f>
        <v>2003925</v>
      </c>
      <c r="C118" s="82">
        <f>VLOOKUP(A118,'Data shares'!$C$2:$CX$216,100,0)</f>
        <v>-101150</v>
      </c>
      <c r="D118" s="141">
        <f>VLOOKUP(A118,'Data shares'!$C$2:$CY$539,101,0)</f>
        <v>-4.8099999999999997E-2</v>
      </c>
      <c r="E118" s="86">
        <f>VLOOKUP($A118,'Data shares'!$C:$FA,74)</f>
        <v>1060325</v>
      </c>
      <c r="F118" s="86">
        <f>VLOOKUP($A118,'Data shares'!$C:$FA,76)</f>
        <v>-24150</v>
      </c>
      <c r="G118" s="87">
        <f>VLOOKUP(A118,'Data shares'!$C$2:$CA$216,77,0)</f>
        <v>-2.23E-2</v>
      </c>
      <c r="H118" s="86">
        <f>VLOOKUP($A118,'Data shares'!$C:$FA,90)</f>
        <v>590800</v>
      </c>
      <c r="I118" s="86">
        <f>VLOOKUP($A118,'Data shares'!$C:$FA,92)</f>
        <v>-78050</v>
      </c>
      <c r="J118" s="87">
        <f>VLOOKUP($A118,'Data shares'!$C:$FA,93)</f>
        <v>-0.1167</v>
      </c>
      <c r="K118" s="86">
        <f>VLOOKUP($A118,'Data shares'!$C:$FA,94)</f>
        <v>352800</v>
      </c>
      <c r="L118" s="86">
        <f>VLOOKUP($A118,'Data shares'!$C:$FA,96)</f>
        <v>1050</v>
      </c>
      <c r="M118" s="87">
        <f>VLOOKUP($A118,'Data shares'!$C:$FA,97)</f>
        <v>3.0000000000000001E-3</v>
      </c>
      <c r="N118" s="86">
        <f>VLOOKUP($A118,'Data shares'!$C:$FA,78)</f>
        <v>747425</v>
      </c>
      <c r="O118" s="87">
        <f>VLOOKUP($A118,'Data shares'!$C:$FA,81)</f>
        <v>-0.25</v>
      </c>
    </row>
    <row r="119" spans="1:15" x14ac:dyDescent="0.25">
      <c r="A119" s="100" t="str">
        <f>'OI(Value)'!A119</f>
        <v>KFINTECH</v>
      </c>
      <c r="B119" s="82">
        <f>VLOOKUP(A119,'Data shares'!$C$2:$CV$216,98,0)</f>
        <v>10061350</v>
      </c>
      <c r="C119" s="82">
        <f>VLOOKUP(A119,'Data shares'!$C$2:$CX$216,100,0)</f>
        <v>-770250</v>
      </c>
      <c r="D119" s="141">
        <f>VLOOKUP(A119,'Data shares'!$C$2:$CY$539,101,0)</f>
        <v>-7.1099999999999997E-2</v>
      </c>
      <c r="E119" s="86">
        <f>VLOOKUP($A119,'Data shares'!$C:$FA,74)</f>
        <v>4298350</v>
      </c>
      <c r="F119" s="86">
        <f>VLOOKUP($A119,'Data shares'!$C:$FA,76)</f>
        <v>-327850</v>
      </c>
      <c r="G119" s="87">
        <f>VLOOKUP(A119,'Data shares'!$C$2:$CA$216,77,0)</f>
        <v>-7.0900000000000005E-2</v>
      </c>
      <c r="H119" s="86">
        <f>VLOOKUP($A119,'Data shares'!$C:$FA,90)</f>
        <v>3920300</v>
      </c>
      <c r="I119" s="86">
        <f>VLOOKUP($A119,'Data shares'!$C:$FA,92)</f>
        <v>-396850</v>
      </c>
      <c r="J119" s="87">
        <f>VLOOKUP($A119,'Data shares'!$C:$FA,93)</f>
        <v>-9.1899999999999996E-2</v>
      </c>
      <c r="K119" s="86">
        <f>VLOOKUP($A119,'Data shares'!$C:$FA,94)</f>
        <v>1842700</v>
      </c>
      <c r="L119" s="86">
        <f>VLOOKUP($A119,'Data shares'!$C:$FA,96)</f>
        <v>-45550</v>
      </c>
      <c r="M119" s="87">
        <f>VLOOKUP($A119,'Data shares'!$C:$FA,97)</f>
        <v>-2.41E-2</v>
      </c>
      <c r="N119" s="86">
        <f>VLOOKUP($A119,'Data shares'!$C:$FA,78)</f>
        <v>2565000</v>
      </c>
      <c r="O119" s="87">
        <f>VLOOKUP($A119,'Data shares'!$C:$FA,81)</f>
        <v>-0.23910000000000001</v>
      </c>
    </row>
    <row r="120" spans="1:15" x14ac:dyDescent="0.25">
      <c r="A120" s="100" t="str">
        <f>'OI(Value)'!A120</f>
        <v>KOTAKBANK</v>
      </c>
      <c r="B120" s="82">
        <f>VLOOKUP(A120,'Data shares'!$C$2:$CV$216,98,0)</f>
        <v>57849600</v>
      </c>
      <c r="C120" s="82">
        <f>VLOOKUP(A120,'Data shares'!$C$2:$CX$216,100,0)</f>
        <v>-1184800</v>
      </c>
      <c r="D120" s="141">
        <f>VLOOKUP(A120,'Data shares'!$C$2:$CY$539,101,0)</f>
        <v>-2.01E-2</v>
      </c>
      <c r="E120" s="86">
        <f>VLOOKUP($A120,'Data shares'!$C:$FA,74)</f>
        <v>36570800</v>
      </c>
      <c r="F120" s="86">
        <f>VLOOKUP($A120,'Data shares'!$C:$FA,76)</f>
        <v>-60000</v>
      </c>
      <c r="G120" s="87">
        <f>VLOOKUP(A120,'Data shares'!$C$2:$CA$216,77,0)</f>
        <v>-1.6000000000000001E-3</v>
      </c>
      <c r="H120" s="86">
        <f>VLOOKUP($A120,'Data shares'!$C:$FA,90)</f>
        <v>14040000</v>
      </c>
      <c r="I120" s="86">
        <f>VLOOKUP($A120,'Data shares'!$C:$FA,92)</f>
        <v>-928800</v>
      </c>
      <c r="J120" s="87">
        <f>VLOOKUP($A120,'Data shares'!$C:$FA,93)</f>
        <v>-6.2E-2</v>
      </c>
      <c r="K120" s="86">
        <f>VLOOKUP($A120,'Data shares'!$C:$FA,94)</f>
        <v>7238800</v>
      </c>
      <c r="L120" s="86">
        <f>VLOOKUP($A120,'Data shares'!$C:$FA,96)</f>
        <v>-196000</v>
      </c>
      <c r="M120" s="87">
        <f>VLOOKUP($A120,'Data shares'!$C:$FA,97)</f>
        <v>-2.64E-2</v>
      </c>
      <c r="N120" s="86">
        <f>VLOOKUP($A120,'Data shares'!$C:$FA,78)</f>
        <v>23024800</v>
      </c>
      <c r="O120" s="87">
        <f>VLOOKUP($A120,'Data shares'!$C:$FA,81)</f>
        <v>-0.25369999999999998</v>
      </c>
    </row>
    <row r="121" spans="1:15" x14ac:dyDescent="0.25">
      <c r="A121" s="100" t="str">
        <f>'OI(Value)'!A121</f>
        <v>KPITTECH</v>
      </c>
      <c r="B121" s="82">
        <f>VLOOKUP(A121,'Data shares'!$C$2:$CV$216,98,0)</f>
        <v>6972175</v>
      </c>
      <c r="C121" s="82">
        <f>VLOOKUP(A121,'Data shares'!$C$2:$CX$216,100,0)</f>
        <v>-212825</v>
      </c>
      <c r="D121" s="141">
        <f>VLOOKUP(A121,'Data shares'!$C$2:$CY$539,101,0)</f>
        <v>-2.9600000000000001E-2</v>
      </c>
      <c r="E121" s="86">
        <f>VLOOKUP($A121,'Data shares'!$C:$FA,74)</f>
        <v>3290650</v>
      </c>
      <c r="F121" s="86">
        <f>VLOOKUP($A121,'Data shares'!$C:$FA,76)</f>
        <v>-250025</v>
      </c>
      <c r="G121" s="87">
        <f>VLOOKUP(A121,'Data shares'!$C$2:$CA$216,77,0)</f>
        <v>-7.0599999999999996E-2</v>
      </c>
      <c r="H121" s="86">
        <f>VLOOKUP($A121,'Data shares'!$C:$FA,90)</f>
        <v>2057375</v>
      </c>
      <c r="I121" s="86">
        <f>VLOOKUP($A121,'Data shares'!$C:$FA,92)</f>
        <v>58000</v>
      </c>
      <c r="J121" s="87">
        <f>VLOOKUP($A121,'Data shares'!$C:$FA,93)</f>
        <v>2.9000000000000001E-2</v>
      </c>
      <c r="K121" s="86">
        <f>VLOOKUP($A121,'Data shares'!$C:$FA,94)</f>
        <v>1624150</v>
      </c>
      <c r="L121" s="86">
        <f>VLOOKUP($A121,'Data shares'!$C:$FA,96)</f>
        <v>-20800</v>
      </c>
      <c r="M121" s="87">
        <f>VLOOKUP($A121,'Data shares'!$C:$FA,97)</f>
        <v>-1.26E-2</v>
      </c>
      <c r="N121" s="86">
        <f>VLOOKUP($A121,'Data shares'!$C:$FA,78)</f>
        <v>2266800</v>
      </c>
      <c r="O121" s="87">
        <f>VLOOKUP($A121,'Data shares'!$C:$FA,81)</f>
        <v>-0.19470000000000001</v>
      </c>
    </row>
    <row r="122" spans="1:15" x14ac:dyDescent="0.25">
      <c r="A122" s="100" t="str">
        <f>'OI(Value)'!A122</f>
        <v>LAURUSLABS</v>
      </c>
      <c r="B122" s="82">
        <f>VLOOKUP(A122,'Data shares'!$C$2:$CV$216,98,0)</f>
        <v>37625250</v>
      </c>
      <c r="C122" s="82">
        <f>VLOOKUP(A122,'Data shares'!$C$2:$CX$216,100,0)</f>
        <v>-1550400</v>
      </c>
      <c r="D122" s="141">
        <f>VLOOKUP(A122,'Data shares'!$C$2:$CY$539,101,0)</f>
        <v>-3.9600000000000003E-2</v>
      </c>
      <c r="E122" s="86">
        <f>VLOOKUP($A122,'Data shares'!$C:$FA,74)</f>
        <v>16892900</v>
      </c>
      <c r="F122" s="86">
        <f>VLOOKUP($A122,'Data shares'!$C:$FA,76)</f>
        <v>-593300</v>
      </c>
      <c r="G122" s="87">
        <f>VLOOKUP(A122,'Data shares'!$C$2:$CA$216,77,0)</f>
        <v>-3.39E-2</v>
      </c>
      <c r="H122" s="86">
        <f>VLOOKUP($A122,'Data shares'!$C:$FA,90)</f>
        <v>12208550</v>
      </c>
      <c r="I122" s="86">
        <f>VLOOKUP($A122,'Data shares'!$C:$FA,92)</f>
        <v>-462400</v>
      </c>
      <c r="J122" s="87">
        <f>VLOOKUP($A122,'Data shares'!$C:$FA,93)</f>
        <v>-3.6499999999999998E-2</v>
      </c>
      <c r="K122" s="86">
        <f>VLOOKUP($A122,'Data shares'!$C:$FA,94)</f>
        <v>8523800</v>
      </c>
      <c r="L122" s="86">
        <f>VLOOKUP($A122,'Data shares'!$C:$FA,96)</f>
        <v>-494700</v>
      </c>
      <c r="M122" s="87">
        <f>VLOOKUP($A122,'Data shares'!$C:$FA,97)</f>
        <v>-5.4899999999999997E-2</v>
      </c>
      <c r="N122" s="86">
        <f>VLOOKUP($A122,'Data shares'!$C:$FA,78)</f>
        <v>12063200</v>
      </c>
      <c r="O122" s="87">
        <f>VLOOKUP($A122,'Data shares'!$C:$FA,81)</f>
        <v>-0.15509999999999999</v>
      </c>
    </row>
    <row r="123" spans="1:15" x14ac:dyDescent="0.25">
      <c r="A123" s="100" t="str">
        <f>'OI(Value)'!A123</f>
        <v>LICHSGFIN</v>
      </c>
      <c r="B123" s="82">
        <f>VLOOKUP(A123,'Data shares'!$C$2:$CV$216,98,0)</f>
        <v>55441000</v>
      </c>
      <c r="C123" s="82">
        <f>VLOOKUP(A123,'Data shares'!$C$2:$CX$216,100,0)</f>
        <v>2492000</v>
      </c>
      <c r="D123" s="141">
        <f>VLOOKUP(A123,'Data shares'!$C$2:$CY$539,101,0)</f>
        <v>4.7100000000000003E-2</v>
      </c>
      <c r="E123" s="86">
        <f>VLOOKUP($A123,'Data shares'!$C:$FA,74)</f>
        <v>33845000</v>
      </c>
      <c r="F123" s="86">
        <f>VLOOKUP($A123,'Data shares'!$C:$FA,76)</f>
        <v>1597000</v>
      </c>
      <c r="G123" s="87">
        <f>VLOOKUP(A123,'Data shares'!$C$2:$CA$216,77,0)</f>
        <v>4.9500000000000002E-2</v>
      </c>
      <c r="H123" s="86">
        <f>VLOOKUP($A123,'Data shares'!$C:$FA,90)</f>
        <v>12732000</v>
      </c>
      <c r="I123" s="86">
        <f>VLOOKUP($A123,'Data shares'!$C:$FA,92)</f>
        <v>269000</v>
      </c>
      <c r="J123" s="87">
        <f>VLOOKUP($A123,'Data shares'!$C:$FA,93)</f>
        <v>2.1600000000000001E-2</v>
      </c>
      <c r="K123" s="86">
        <f>VLOOKUP($A123,'Data shares'!$C:$FA,94)</f>
        <v>8864000</v>
      </c>
      <c r="L123" s="86">
        <f>VLOOKUP($A123,'Data shares'!$C:$FA,96)</f>
        <v>626000</v>
      </c>
      <c r="M123" s="87">
        <f>VLOOKUP($A123,'Data shares'!$C:$FA,97)</f>
        <v>7.5999999999999998E-2</v>
      </c>
      <c r="N123" s="86">
        <f>VLOOKUP($A123,'Data shares'!$C:$FA,78)</f>
        <v>25142000</v>
      </c>
      <c r="O123" s="87">
        <f>VLOOKUP($A123,'Data shares'!$C:$FA,81)</f>
        <v>-0.1106</v>
      </c>
    </row>
    <row r="124" spans="1:15" x14ac:dyDescent="0.25">
      <c r="A124" s="100" t="str">
        <f>'OI(Value)'!A124</f>
        <v>LICI</v>
      </c>
      <c r="B124" s="82">
        <f>VLOOKUP(A124,'Data shares'!$C$2:$CV$216,98,0)</f>
        <v>23296000</v>
      </c>
      <c r="C124" s="82">
        <f>VLOOKUP(A124,'Data shares'!$C$2:$CX$216,100,0)</f>
        <v>-767200</v>
      </c>
      <c r="D124" s="141">
        <f>VLOOKUP(A124,'Data shares'!$C$2:$CY$539,101,0)</f>
        <v>-3.1899999999999998E-2</v>
      </c>
      <c r="E124" s="86">
        <f>VLOOKUP($A124,'Data shares'!$C:$FA,74)</f>
        <v>10854900</v>
      </c>
      <c r="F124" s="86">
        <f>VLOOKUP($A124,'Data shares'!$C:$FA,76)</f>
        <v>-291900</v>
      </c>
      <c r="G124" s="87">
        <f>VLOOKUP(A124,'Data shares'!$C$2:$CA$216,77,0)</f>
        <v>-2.6200000000000001E-2</v>
      </c>
      <c r="H124" s="86">
        <f>VLOOKUP($A124,'Data shares'!$C:$FA,90)</f>
        <v>8239700</v>
      </c>
      <c r="I124" s="86">
        <f>VLOOKUP($A124,'Data shares'!$C:$FA,92)</f>
        <v>-297500</v>
      </c>
      <c r="J124" s="87">
        <f>VLOOKUP($A124,'Data shares'!$C:$FA,93)</f>
        <v>-3.4799999999999998E-2</v>
      </c>
      <c r="K124" s="86">
        <f>VLOOKUP($A124,'Data shares'!$C:$FA,94)</f>
        <v>4201400</v>
      </c>
      <c r="L124" s="86">
        <f>VLOOKUP($A124,'Data shares'!$C:$FA,96)</f>
        <v>-177800</v>
      </c>
      <c r="M124" s="87">
        <f>VLOOKUP($A124,'Data shares'!$C:$FA,97)</f>
        <v>-4.0599999999999997E-2</v>
      </c>
      <c r="N124" s="86">
        <f>VLOOKUP($A124,'Data shares'!$C:$FA,78)</f>
        <v>7590100</v>
      </c>
      <c r="O124" s="87">
        <f>VLOOKUP($A124,'Data shares'!$C:$FA,81)</f>
        <v>-0.18279999999999999</v>
      </c>
    </row>
    <row r="125" spans="1:15" x14ac:dyDescent="0.25">
      <c r="A125" s="100" t="str">
        <f>'OI(Value)'!A125</f>
        <v>LODHA</v>
      </c>
      <c r="B125" s="82">
        <f>VLOOKUP(A125,'Data shares'!$C$2:$CV$216,98,0)</f>
        <v>15213150</v>
      </c>
      <c r="C125" s="82">
        <f>VLOOKUP(A125,'Data shares'!$C$2:$CX$216,100,0)</f>
        <v>241200</v>
      </c>
      <c r="D125" s="141">
        <f>VLOOKUP(A125,'Data shares'!$C$2:$CY$539,101,0)</f>
        <v>1.61E-2</v>
      </c>
      <c r="E125" s="86">
        <f>VLOOKUP($A125,'Data shares'!$C:$FA,74)</f>
        <v>10395000</v>
      </c>
      <c r="F125" s="86">
        <f>VLOOKUP($A125,'Data shares'!$C:$FA,76)</f>
        <v>-63900</v>
      </c>
      <c r="G125" s="87">
        <f>VLOOKUP(A125,'Data shares'!$C$2:$CA$216,77,0)</f>
        <v>-6.1000000000000004E-3</v>
      </c>
      <c r="H125" s="86">
        <f>VLOOKUP($A125,'Data shares'!$C:$FA,90)</f>
        <v>2905200</v>
      </c>
      <c r="I125" s="86">
        <f>VLOOKUP($A125,'Data shares'!$C:$FA,92)</f>
        <v>197100</v>
      </c>
      <c r="J125" s="87">
        <f>VLOOKUP($A125,'Data shares'!$C:$FA,93)</f>
        <v>7.2800000000000004E-2</v>
      </c>
      <c r="K125" s="86">
        <f>VLOOKUP($A125,'Data shares'!$C:$FA,94)</f>
        <v>1912950</v>
      </c>
      <c r="L125" s="86">
        <f>VLOOKUP($A125,'Data shares'!$C:$FA,96)</f>
        <v>108000</v>
      </c>
      <c r="M125" s="87">
        <f>VLOOKUP($A125,'Data shares'!$C:$FA,97)</f>
        <v>5.9799999999999999E-2</v>
      </c>
      <c r="N125" s="86">
        <f>VLOOKUP($A125,'Data shares'!$C:$FA,78)</f>
        <v>6984450</v>
      </c>
      <c r="O125" s="87">
        <f>VLOOKUP($A125,'Data shares'!$C:$FA,81)</f>
        <v>-0.29699999999999999</v>
      </c>
    </row>
    <row r="126" spans="1:15" x14ac:dyDescent="0.25">
      <c r="A126" s="100" t="str">
        <f>'OI(Value)'!A126</f>
        <v>LT</v>
      </c>
      <c r="B126" s="82">
        <f>VLOOKUP(A126,'Data shares'!$C$2:$CV$216,98,0)</f>
        <v>23659825</v>
      </c>
      <c r="C126" s="82">
        <f>VLOOKUP(A126,'Data shares'!$C$2:$CX$216,100,0)</f>
        <v>-152425</v>
      </c>
      <c r="D126" s="141">
        <f>VLOOKUP(A126,'Data shares'!$C$2:$CY$539,101,0)</f>
        <v>-6.4000000000000003E-3</v>
      </c>
      <c r="E126" s="86">
        <f>VLOOKUP($A126,'Data shares'!$C:$FA,74)</f>
        <v>13295450</v>
      </c>
      <c r="F126" s="86">
        <f>VLOOKUP($A126,'Data shares'!$C:$FA,76)</f>
        <v>137725</v>
      </c>
      <c r="G126" s="87">
        <f>VLOOKUP(A126,'Data shares'!$C$2:$CA$216,77,0)</f>
        <v>1.0500000000000001E-2</v>
      </c>
      <c r="H126" s="86">
        <f>VLOOKUP($A126,'Data shares'!$C:$FA,90)</f>
        <v>6524350</v>
      </c>
      <c r="I126" s="86">
        <f>VLOOKUP($A126,'Data shares'!$C:$FA,92)</f>
        <v>-502775</v>
      </c>
      <c r="J126" s="87">
        <f>VLOOKUP($A126,'Data shares'!$C:$FA,93)</f>
        <v>-7.1499999999999994E-2</v>
      </c>
      <c r="K126" s="86">
        <f>VLOOKUP($A126,'Data shares'!$C:$FA,94)</f>
        <v>3840025</v>
      </c>
      <c r="L126" s="86">
        <f>VLOOKUP($A126,'Data shares'!$C:$FA,96)</f>
        <v>212625</v>
      </c>
      <c r="M126" s="87">
        <f>VLOOKUP($A126,'Data shares'!$C:$FA,97)</f>
        <v>5.8599999999999999E-2</v>
      </c>
      <c r="N126" s="86">
        <f>VLOOKUP($A126,'Data shares'!$C:$FA,78)</f>
        <v>7732550</v>
      </c>
      <c r="O126" s="87">
        <f>VLOOKUP($A126,'Data shares'!$C:$FA,81)</f>
        <v>-0.28870000000000001</v>
      </c>
    </row>
    <row r="127" spans="1:15" x14ac:dyDescent="0.25">
      <c r="A127" s="100" t="str">
        <f>'OI(Value)'!A127</f>
        <v>LTF</v>
      </c>
      <c r="B127" s="82">
        <f>VLOOKUP(A127,'Data shares'!$C$2:$CV$216,98,0)</f>
        <v>129101356</v>
      </c>
      <c r="C127" s="82">
        <f>VLOOKUP(A127,'Data shares'!$C$2:$CX$216,100,0)</f>
        <v>239458</v>
      </c>
      <c r="D127" s="141">
        <f>VLOOKUP(A127,'Data shares'!$C$2:$CY$539,101,0)</f>
        <v>1.9E-3</v>
      </c>
      <c r="E127" s="86">
        <f>VLOOKUP($A127,'Data shares'!$C:$FA,74)</f>
        <v>56117342</v>
      </c>
      <c r="F127" s="86">
        <f>VLOOKUP($A127,'Data shares'!$C:$FA,76)</f>
        <v>2162466</v>
      </c>
      <c r="G127" s="87">
        <f>VLOOKUP(A127,'Data shares'!$C$2:$CA$216,77,0)</f>
        <v>4.0099999999999997E-2</v>
      </c>
      <c r="H127" s="86">
        <f>VLOOKUP($A127,'Data shares'!$C:$FA,90)</f>
        <v>39670342</v>
      </c>
      <c r="I127" s="86">
        <f>VLOOKUP($A127,'Data shares'!$C:$FA,92)</f>
        <v>-1180180</v>
      </c>
      <c r="J127" s="87">
        <f>VLOOKUP($A127,'Data shares'!$C:$FA,93)</f>
        <v>-2.8899999999999999E-2</v>
      </c>
      <c r="K127" s="86">
        <f>VLOOKUP($A127,'Data shares'!$C:$FA,94)</f>
        <v>33313672</v>
      </c>
      <c r="L127" s="86">
        <f>VLOOKUP($A127,'Data shares'!$C:$FA,96)</f>
        <v>-742828</v>
      </c>
      <c r="M127" s="87">
        <f>VLOOKUP($A127,'Data shares'!$C:$FA,97)</f>
        <v>-2.18E-2</v>
      </c>
      <c r="N127" s="86">
        <f>VLOOKUP($A127,'Data shares'!$C:$FA,78)</f>
        <v>42665644</v>
      </c>
      <c r="O127" s="87">
        <f>VLOOKUP($A127,'Data shares'!$C:$FA,81)</f>
        <v>-0.127</v>
      </c>
    </row>
    <row r="128" spans="1:15" x14ac:dyDescent="0.25">
      <c r="A128" s="100" t="str">
        <f>'OI(Value)'!A128</f>
        <v>LTIM</v>
      </c>
      <c r="B128" s="82">
        <f>VLOOKUP(A128,'Data shares'!$C$2:$CV$216,98,0)</f>
        <v>4194000</v>
      </c>
      <c r="C128" s="82">
        <f>VLOOKUP(A128,'Data shares'!$C$2:$CX$216,100,0)</f>
        <v>-29850</v>
      </c>
      <c r="D128" s="141">
        <f>VLOOKUP(A128,'Data shares'!$C$2:$CY$539,101,0)</f>
        <v>-7.1000000000000004E-3</v>
      </c>
      <c r="E128" s="86">
        <f>VLOOKUP($A128,'Data shares'!$C:$FA,74)</f>
        <v>2287050</v>
      </c>
      <c r="F128" s="86">
        <f>VLOOKUP($A128,'Data shares'!$C:$FA,76)</f>
        <v>65100</v>
      </c>
      <c r="G128" s="87">
        <f>VLOOKUP(A128,'Data shares'!$C$2:$CA$216,77,0)</f>
        <v>2.93E-2</v>
      </c>
      <c r="H128" s="86">
        <f>VLOOKUP($A128,'Data shares'!$C:$FA,90)</f>
        <v>1083300</v>
      </c>
      <c r="I128" s="86">
        <f>VLOOKUP($A128,'Data shares'!$C:$FA,92)</f>
        <v>-127800</v>
      </c>
      <c r="J128" s="87">
        <f>VLOOKUP($A128,'Data shares'!$C:$FA,93)</f>
        <v>-0.1055</v>
      </c>
      <c r="K128" s="86">
        <f>VLOOKUP($A128,'Data shares'!$C:$FA,94)</f>
        <v>823650</v>
      </c>
      <c r="L128" s="86">
        <f>VLOOKUP($A128,'Data shares'!$C:$FA,96)</f>
        <v>32850</v>
      </c>
      <c r="M128" s="87">
        <f>VLOOKUP($A128,'Data shares'!$C:$FA,97)</f>
        <v>4.1500000000000002E-2</v>
      </c>
      <c r="N128" s="86">
        <f>VLOOKUP($A128,'Data shares'!$C:$FA,78)</f>
        <v>1050300</v>
      </c>
      <c r="O128" s="87">
        <f>VLOOKUP($A128,'Data shares'!$C:$FA,81)</f>
        <v>-0.45490000000000003</v>
      </c>
    </row>
    <row r="129" spans="1:15" x14ac:dyDescent="0.25">
      <c r="A129" s="100" t="str">
        <f>'OI(Value)'!A129</f>
        <v>LUPIN</v>
      </c>
      <c r="B129" s="82">
        <f>VLOOKUP(A129,'Data shares'!$C$2:$CV$216,98,0)</f>
        <v>18438200</v>
      </c>
      <c r="C129" s="82">
        <f>VLOOKUP(A129,'Data shares'!$C$2:$CX$216,100,0)</f>
        <v>-382075</v>
      </c>
      <c r="D129" s="141">
        <f>VLOOKUP(A129,'Data shares'!$C$2:$CY$539,101,0)</f>
        <v>-2.0299999999999999E-2</v>
      </c>
      <c r="E129" s="86">
        <f>VLOOKUP($A129,'Data shares'!$C:$FA,74)</f>
        <v>10676850</v>
      </c>
      <c r="F129" s="86">
        <f>VLOOKUP($A129,'Data shares'!$C:$FA,76)</f>
        <v>96475</v>
      </c>
      <c r="G129" s="87">
        <f>VLOOKUP(A129,'Data shares'!$C$2:$CA$216,77,0)</f>
        <v>9.1000000000000004E-3</v>
      </c>
      <c r="H129" s="86">
        <f>VLOOKUP($A129,'Data shares'!$C:$FA,90)</f>
        <v>4652475</v>
      </c>
      <c r="I129" s="86">
        <f>VLOOKUP($A129,'Data shares'!$C:$FA,92)</f>
        <v>-341275</v>
      </c>
      <c r="J129" s="87">
        <f>VLOOKUP($A129,'Data shares'!$C:$FA,93)</f>
        <v>-6.83E-2</v>
      </c>
      <c r="K129" s="86">
        <f>VLOOKUP($A129,'Data shares'!$C:$FA,94)</f>
        <v>3108875</v>
      </c>
      <c r="L129" s="86">
        <f>VLOOKUP($A129,'Data shares'!$C:$FA,96)</f>
        <v>-137275</v>
      </c>
      <c r="M129" s="87">
        <f>VLOOKUP($A129,'Data shares'!$C:$FA,97)</f>
        <v>-4.2299999999999997E-2</v>
      </c>
      <c r="N129" s="86">
        <f>VLOOKUP($A129,'Data shares'!$C:$FA,78)</f>
        <v>8014225</v>
      </c>
      <c r="O129" s="87">
        <f>VLOOKUP($A129,'Data shares'!$C:$FA,81)</f>
        <v>-0.17580000000000001</v>
      </c>
    </row>
    <row r="130" spans="1:15" x14ac:dyDescent="0.25">
      <c r="A130" s="100" t="str">
        <f>'OI(Value)'!A130</f>
        <v>M&amp;M</v>
      </c>
      <c r="B130" s="82">
        <f>VLOOKUP(A130,'Data shares'!$C$2:$CV$216,98,0)</f>
        <v>26852400</v>
      </c>
      <c r="C130" s="82">
        <f>VLOOKUP(A130,'Data shares'!$C$2:$CX$216,100,0)</f>
        <v>-314200</v>
      </c>
      <c r="D130" s="141">
        <f>VLOOKUP(A130,'Data shares'!$C$2:$CY$539,101,0)</f>
        <v>-1.1599999999999999E-2</v>
      </c>
      <c r="E130" s="86">
        <f>VLOOKUP($A130,'Data shares'!$C:$FA,74)</f>
        <v>18563000</v>
      </c>
      <c r="F130" s="86">
        <f>VLOOKUP($A130,'Data shares'!$C:$FA,76)</f>
        <v>-23400</v>
      </c>
      <c r="G130" s="87">
        <f>VLOOKUP(A130,'Data shares'!$C$2:$CA$216,77,0)</f>
        <v>-1.2999999999999999E-3</v>
      </c>
      <c r="H130" s="86">
        <f>VLOOKUP($A130,'Data shares'!$C:$FA,90)</f>
        <v>4712600</v>
      </c>
      <c r="I130" s="86">
        <f>VLOOKUP($A130,'Data shares'!$C:$FA,92)</f>
        <v>-246600</v>
      </c>
      <c r="J130" s="87">
        <f>VLOOKUP($A130,'Data shares'!$C:$FA,93)</f>
        <v>-4.9700000000000001E-2</v>
      </c>
      <c r="K130" s="86">
        <f>VLOOKUP($A130,'Data shares'!$C:$FA,94)</f>
        <v>3576800</v>
      </c>
      <c r="L130" s="86">
        <f>VLOOKUP($A130,'Data shares'!$C:$FA,96)</f>
        <v>-44200</v>
      </c>
      <c r="M130" s="87">
        <f>VLOOKUP($A130,'Data shares'!$C:$FA,97)</f>
        <v>-1.2200000000000001E-2</v>
      </c>
      <c r="N130" s="86">
        <f>VLOOKUP($A130,'Data shares'!$C:$FA,78)</f>
        <v>11351000</v>
      </c>
      <c r="O130" s="87">
        <f>VLOOKUP($A130,'Data shares'!$C:$FA,81)</f>
        <v>-0.31709999999999999</v>
      </c>
    </row>
    <row r="131" spans="1:15" x14ac:dyDescent="0.25">
      <c r="A131" s="100" t="str">
        <f>'OI(Value)'!A131</f>
        <v>MANAPPURAM</v>
      </c>
      <c r="B131" s="82">
        <f>VLOOKUP(A131,'Data shares'!$C$2:$CV$216,98,0)</f>
        <v>80040000</v>
      </c>
      <c r="C131" s="82">
        <f>VLOOKUP(A131,'Data shares'!$C$2:$CX$216,100,0)</f>
        <v>-3201000</v>
      </c>
      <c r="D131" s="141">
        <f>VLOOKUP(A131,'Data shares'!$C$2:$CY$539,101,0)</f>
        <v>-3.85E-2</v>
      </c>
      <c r="E131" s="86">
        <f>VLOOKUP($A131,'Data shares'!$C:$FA,74)</f>
        <v>45978000</v>
      </c>
      <c r="F131" s="86">
        <f>VLOOKUP($A131,'Data shares'!$C:$FA,76)</f>
        <v>-867000</v>
      </c>
      <c r="G131" s="87">
        <f>VLOOKUP(A131,'Data shares'!$C$2:$CA$216,77,0)</f>
        <v>-1.8499999999999999E-2</v>
      </c>
      <c r="H131" s="86">
        <f>VLOOKUP($A131,'Data shares'!$C:$FA,90)</f>
        <v>21534000</v>
      </c>
      <c r="I131" s="86">
        <f>VLOOKUP($A131,'Data shares'!$C:$FA,92)</f>
        <v>-2181000</v>
      </c>
      <c r="J131" s="87">
        <f>VLOOKUP($A131,'Data shares'!$C:$FA,93)</f>
        <v>-9.1999999999999998E-2</v>
      </c>
      <c r="K131" s="86">
        <f>VLOOKUP($A131,'Data shares'!$C:$FA,94)</f>
        <v>12528000</v>
      </c>
      <c r="L131" s="86">
        <f>VLOOKUP($A131,'Data shares'!$C:$FA,96)</f>
        <v>-153000</v>
      </c>
      <c r="M131" s="87">
        <f>VLOOKUP($A131,'Data shares'!$C:$FA,97)</f>
        <v>-1.21E-2</v>
      </c>
      <c r="N131" s="86">
        <f>VLOOKUP($A131,'Data shares'!$C:$FA,78)</f>
        <v>29637000</v>
      </c>
      <c r="O131" s="87">
        <f>VLOOKUP($A131,'Data shares'!$C:$FA,81)</f>
        <v>-0.19500000000000001</v>
      </c>
    </row>
    <row r="132" spans="1:15" x14ac:dyDescent="0.25">
      <c r="A132" s="100" t="str">
        <f>'OI(Value)'!A132</f>
        <v>MANKIND</v>
      </c>
      <c r="B132" s="82">
        <f>VLOOKUP(A132,'Data shares'!$C$2:$CV$216,98,0)</f>
        <v>4807125</v>
      </c>
      <c r="C132" s="82">
        <f>VLOOKUP(A132,'Data shares'!$C$2:$CX$216,100,0)</f>
        <v>-276750</v>
      </c>
      <c r="D132" s="141">
        <f>VLOOKUP(A132,'Data shares'!$C$2:$CY$539,101,0)</f>
        <v>-5.4399999999999997E-2</v>
      </c>
      <c r="E132" s="86">
        <f>VLOOKUP($A132,'Data shares'!$C:$FA,74)</f>
        <v>2902500</v>
      </c>
      <c r="F132" s="86">
        <f>VLOOKUP($A132,'Data shares'!$C:$FA,76)</f>
        <v>-31725</v>
      </c>
      <c r="G132" s="87">
        <f>VLOOKUP(A132,'Data shares'!$C$2:$CA$216,77,0)</f>
        <v>-1.0800000000000001E-2</v>
      </c>
      <c r="H132" s="86">
        <f>VLOOKUP($A132,'Data shares'!$C:$FA,90)</f>
        <v>1305900</v>
      </c>
      <c r="I132" s="86">
        <f>VLOOKUP($A132,'Data shares'!$C:$FA,92)</f>
        <v>-224550</v>
      </c>
      <c r="J132" s="87">
        <f>VLOOKUP($A132,'Data shares'!$C:$FA,93)</f>
        <v>-0.1467</v>
      </c>
      <c r="K132" s="86">
        <f>VLOOKUP($A132,'Data shares'!$C:$FA,94)</f>
        <v>598725</v>
      </c>
      <c r="L132" s="86">
        <f>VLOOKUP($A132,'Data shares'!$C:$FA,96)</f>
        <v>-20475</v>
      </c>
      <c r="M132" s="87">
        <f>VLOOKUP($A132,'Data shares'!$C:$FA,97)</f>
        <v>-3.3099999999999997E-2</v>
      </c>
      <c r="N132" s="86">
        <f>VLOOKUP($A132,'Data shares'!$C:$FA,78)</f>
        <v>2054025</v>
      </c>
      <c r="O132" s="87">
        <f>VLOOKUP($A132,'Data shares'!$C:$FA,81)</f>
        <v>-0.16220000000000001</v>
      </c>
    </row>
    <row r="133" spans="1:15" x14ac:dyDescent="0.25">
      <c r="A133" s="100" t="str">
        <f>'OI(Value)'!A133</f>
        <v>MARICO</v>
      </c>
      <c r="B133" s="82">
        <f>VLOOKUP(A133,'Data shares'!$C$2:$CV$216,98,0)</f>
        <v>43826400</v>
      </c>
      <c r="C133" s="82">
        <f>VLOOKUP(A133,'Data shares'!$C$2:$CX$216,100,0)</f>
        <v>-376800</v>
      </c>
      <c r="D133" s="141">
        <f>VLOOKUP(A133,'Data shares'!$C$2:$CY$539,101,0)</f>
        <v>-8.5000000000000006E-3</v>
      </c>
      <c r="E133" s="86">
        <f>VLOOKUP($A133,'Data shares'!$C:$FA,74)</f>
        <v>31051200</v>
      </c>
      <c r="F133" s="86">
        <f>VLOOKUP($A133,'Data shares'!$C:$FA,76)</f>
        <v>127200</v>
      </c>
      <c r="G133" s="87">
        <f>VLOOKUP(A133,'Data shares'!$C$2:$CA$216,77,0)</f>
        <v>4.1000000000000003E-3</v>
      </c>
      <c r="H133" s="86">
        <f>VLOOKUP($A133,'Data shares'!$C:$FA,90)</f>
        <v>7580400</v>
      </c>
      <c r="I133" s="86">
        <f>VLOOKUP($A133,'Data shares'!$C:$FA,92)</f>
        <v>208800</v>
      </c>
      <c r="J133" s="87">
        <f>VLOOKUP($A133,'Data shares'!$C:$FA,93)</f>
        <v>2.8299999999999999E-2</v>
      </c>
      <c r="K133" s="86">
        <f>VLOOKUP($A133,'Data shares'!$C:$FA,94)</f>
        <v>5194800</v>
      </c>
      <c r="L133" s="86">
        <f>VLOOKUP($A133,'Data shares'!$C:$FA,96)</f>
        <v>-712800</v>
      </c>
      <c r="M133" s="87">
        <f>VLOOKUP($A133,'Data shares'!$C:$FA,97)</f>
        <v>-0.1207</v>
      </c>
      <c r="N133" s="86">
        <f>VLOOKUP($A133,'Data shares'!$C:$FA,78)</f>
        <v>21865200</v>
      </c>
      <c r="O133" s="87">
        <f>VLOOKUP($A133,'Data shares'!$C:$FA,81)</f>
        <v>-0.2757</v>
      </c>
    </row>
    <row r="134" spans="1:15" x14ac:dyDescent="0.25">
      <c r="A134" s="100" t="str">
        <f>'OI(Value)'!A134</f>
        <v>MARUTI</v>
      </c>
      <c r="B134" s="82">
        <f>VLOOKUP(A134,'Data shares'!$C$2:$CV$216,98,0)</f>
        <v>6764600</v>
      </c>
      <c r="C134" s="82">
        <f>VLOOKUP(A134,'Data shares'!$C$2:$CX$216,100,0)</f>
        <v>-394350</v>
      </c>
      <c r="D134" s="141">
        <f>VLOOKUP(A134,'Data shares'!$C$2:$CY$539,101,0)</f>
        <v>-5.5100000000000003E-2</v>
      </c>
      <c r="E134" s="86">
        <f>VLOOKUP($A134,'Data shares'!$C:$FA,74)</f>
        <v>2600250</v>
      </c>
      <c r="F134" s="86">
        <f>VLOOKUP($A134,'Data shares'!$C:$FA,76)</f>
        <v>3250</v>
      </c>
      <c r="G134" s="87">
        <f>VLOOKUP(A134,'Data shares'!$C$2:$CA$216,77,0)</f>
        <v>1.2999999999999999E-3</v>
      </c>
      <c r="H134" s="86">
        <f>VLOOKUP($A134,'Data shares'!$C:$FA,90)</f>
        <v>2852050</v>
      </c>
      <c r="I134" s="86">
        <f>VLOOKUP($A134,'Data shares'!$C:$FA,92)</f>
        <v>-338450</v>
      </c>
      <c r="J134" s="87">
        <f>VLOOKUP($A134,'Data shares'!$C:$FA,93)</f>
        <v>-0.1061</v>
      </c>
      <c r="K134" s="86">
        <f>VLOOKUP($A134,'Data shares'!$C:$FA,94)</f>
        <v>1312300</v>
      </c>
      <c r="L134" s="86">
        <f>VLOOKUP($A134,'Data shares'!$C:$FA,96)</f>
        <v>-59150</v>
      </c>
      <c r="M134" s="87">
        <f>VLOOKUP($A134,'Data shares'!$C:$FA,97)</f>
        <v>-4.3099999999999999E-2</v>
      </c>
      <c r="N134" s="86">
        <f>VLOOKUP($A134,'Data shares'!$C:$FA,78)</f>
        <v>1762550</v>
      </c>
      <c r="O134" s="87">
        <f>VLOOKUP($A134,'Data shares'!$C:$FA,81)</f>
        <v>-0.2273</v>
      </c>
    </row>
    <row r="135" spans="1:15" x14ac:dyDescent="0.25">
      <c r="A135" s="100" t="str">
        <f>'OI(Value)'!A135</f>
        <v>MAXHEALTH</v>
      </c>
      <c r="B135" s="82">
        <f>VLOOKUP(A135,'Data shares'!$C$2:$CV$216,98,0)</f>
        <v>25030950</v>
      </c>
      <c r="C135" s="82">
        <f>VLOOKUP(A135,'Data shares'!$C$2:$CX$216,100,0)</f>
        <v>-1331400</v>
      </c>
      <c r="D135" s="141">
        <f>VLOOKUP(A135,'Data shares'!$C$2:$CY$539,101,0)</f>
        <v>-5.0500000000000003E-2</v>
      </c>
      <c r="E135" s="86">
        <f>VLOOKUP($A135,'Data shares'!$C:$FA,74)</f>
        <v>17123925</v>
      </c>
      <c r="F135" s="86">
        <f>VLOOKUP($A135,'Data shares'!$C:$FA,76)</f>
        <v>-209475</v>
      </c>
      <c r="G135" s="87">
        <f>VLOOKUP(A135,'Data shares'!$C$2:$CA$216,77,0)</f>
        <v>-1.21E-2</v>
      </c>
      <c r="H135" s="86">
        <f>VLOOKUP($A135,'Data shares'!$C:$FA,90)</f>
        <v>4645725</v>
      </c>
      <c r="I135" s="86">
        <f>VLOOKUP($A135,'Data shares'!$C:$FA,92)</f>
        <v>-647325</v>
      </c>
      <c r="J135" s="87">
        <f>VLOOKUP($A135,'Data shares'!$C:$FA,93)</f>
        <v>-0.12230000000000001</v>
      </c>
      <c r="K135" s="86">
        <f>VLOOKUP($A135,'Data shares'!$C:$FA,94)</f>
        <v>3261300</v>
      </c>
      <c r="L135" s="86">
        <f>VLOOKUP($A135,'Data shares'!$C:$FA,96)</f>
        <v>-474600</v>
      </c>
      <c r="M135" s="87">
        <f>VLOOKUP($A135,'Data shares'!$C:$FA,97)</f>
        <v>-0.127</v>
      </c>
      <c r="N135" s="86">
        <f>VLOOKUP($A135,'Data shares'!$C:$FA,78)</f>
        <v>11231850</v>
      </c>
      <c r="O135" s="87">
        <f>VLOOKUP($A135,'Data shares'!$C:$FA,81)</f>
        <v>-0.27850000000000003</v>
      </c>
    </row>
    <row r="136" spans="1:15" x14ac:dyDescent="0.25">
      <c r="A136" s="100" t="str">
        <f>'OI(Value)'!A136</f>
        <v>MAZDOCK</v>
      </c>
      <c r="B136" s="82">
        <f>VLOOKUP(A136,'Data shares'!$C$2:$CV$216,98,0)</f>
        <v>8985525</v>
      </c>
      <c r="C136" s="82">
        <f>VLOOKUP(A136,'Data shares'!$C$2:$CX$216,100,0)</f>
        <v>-719775</v>
      </c>
      <c r="D136" s="141">
        <f>VLOOKUP(A136,'Data shares'!$C$2:$CY$539,101,0)</f>
        <v>-7.4200000000000002E-2</v>
      </c>
      <c r="E136" s="86">
        <f>VLOOKUP($A136,'Data shares'!$C:$FA,74)</f>
        <v>4131350</v>
      </c>
      <c r="F136" s="86">
        <f>VLOOKUP($A136,'Data shares'!$C:$FA,76)</f>
        <v>-368350</v>
      </c>
      <c r="G136" s="87">
        <f>VLOOKUP(A136,'Data shares'!$C$2:$CA$216,77,0)</f>
        <v>-8.1900000000000001E-2</v>
      </c>
      <c r="H136" s="86">
        <f>VLOOKUP($A136,'Data shares'!$C:$FA,90)</f>
        <v>3293650</v>
      </c>
      <c r="I136" s="86">
        <f>VLOOKUP($A136,'Data shares'!$C:$FA,92)</f>
        <v>-367550</v>
      </c>
      <c r="J136" s="87">
        <f>VLOOKUP($A136,'Data shares'!$C:$FA,93)</f>
        <v>-0.1004</v>
      </c>
      <c r="K136" s="86">
        <f>VLOOKUP($A136,'Data shares'!$C:$FA,94)</f>
        <v>1560525</v>
      </c>
      <c r="L136" s="86">
        <f>VLOOKUP($A136,'Data shares'!$C:$FA,96)</f>
        <v>16125</v>
      </c>
      <c r="M136" s="87">
        <f>VLOOKUP($A136,'Data shares'!$C:$FA,97)</f>
        <v>1.04E-2</v>
      </c>
      <c r="N136" s="86">
        <f>VLOOKUP($A136,'Data shares'!$C:$FA,78)</f>
        <v>3000025</v>
      </c>
      <c r="O136" s="87">
        <f>VLOOKUP($A136,'Data shares'!$C:$FA,81)</f>
        <v>-0.25019999999999998</v>
      </c>
    </row>
    <row r="137" spans="1:15" x14ac:dyDescent="0.25">
      <c r="A137" s="100" t="str">
        <f>'OI(Value)'!A137</f>
        <v>MCX</v>
      </c>
      <c r="B137" s="82">
        <f>VLOOKUP(A137,'Data shares'!$C$2:$CV$216,98,0)</f>
        <v>7265125</v>
      </c>
      <c r="C137" s="82">
        <f>VLOOKUP(A137,'Data shares'!$C$2:$CX$216,100,0)</f>
        <v>-337125</v>
      </c>
      <c r="D137" s="141">
        <f>VLOOKUP(A137,'Data shares'!$C$2:$CY$539,101,0)</f>
        <v>-4.4299999999999999E-2</v>
      </c>
      <c r="E137" s="86">
        <f>VLOOKUP($A137,'Data shares'!$C:$FA,74)</f>
        <v>2649000</v>
      </c>
      <c r="F137" s="86">
        <f>VLOOKUP($A137,'Data shares'!$C:$FA,76)</f>
        <v>-53000</v>
      </c>
      <c r="G137" s="87">
        <f>VLOOKUP(A137,'Data shares'!$C$2:$CA$216,77,0)</f>
        <v>-1.9599999999999999E-2</v>
      </c>
      <c r="H137" s="86">
        <f>VLOOKUP($A137,'Data shares'!$C:$FA,90)</f>
        <v>2628875</v>
      </c>
      <c r="I137" s="86">
        <f>VLOOKUP($A137,'Data shares'!$C:$FA,92)</f>
        <v>-127875</v>
      </c>
      <c r="J137" s="87">
        <f>VLOOKUP($A137,'Data shares'!$C:$FA,93)</f>
        <v>-4.6399999999999997E-2</v>
      </c>
      <c r="K137" s="86">
        <f>VLOOKUP($A137,'Data shares'!$C:$FA,94)</f>
        <v>1987250</v>
      </c>
      <c r="L137" s="86">
        <f>VLOOKUP($A137,'Data shares'!$C:$FA,96)</f>
        <v>-156250</v>
      </c>
      <c r="M137" s="87">
        <f>VLOOKUP($A137,'Data shares'!$C:$FA,97)</f>
        <v>-7.2900000000000006E-2</v>
      </c>
      <c r="N137" s="86">
        <f>VLOOKUP($A137,'Data shares'!$C:$FA,78)</f>
        <v>1923000</v>
      </c>
      <c r="O137" s="87">
        <f>VLOOKUP($A137,'Data shares'!$C:$FA,81)</f>
        <v>-0.19</v>
      </c>
    </row>
    <row r="138" spans="1:15" x14ac:dyDescent="0.25">
      <c r="A138" s="100" t="str">
        <f>'OI(Value)'!A138</f>
        <v>MFSL</v>
      </c>
      <c r="B138" s="82">
        <f>VLOOKUP(A138,'Data shares'!$C$2:$CV$216,98,0)</f>
        <v>10548800</v>
      </c>
      <c r="C138" s="82">
        <f>VLOOKUP(A138,'Data shares'!$C$2:$CX$216,100,0)</f>
        <v>443600</v>
      </c>
      <c r="D138" s="141">
        <f>VLOOKUP(A138,'Data shares'!$C$2:$CY$539,101,0)</f>
        <v>4.3900000000000002E-2</v>
      </c>
      <c r="E138" s="86">
        <f>VLOOKUP($A138,'Data shares'!$C:$FA,74)</f>
        <v>7149200</v>
      </c>
      <c r="F138" s="86">
        <f>VLOOKUP($A138,'Data shares'!$C:$FA,76)</f>
        <v>210800</v>
      </c>
      <c r="G138" s="87">
        <f>VLOOKUP(A138,'Data shares'!$C$2:$CA$216,77,0)</f>
        <v>3.04E-2</v>
      </c>
      <c r="H138" s="86">
        <f>VLOOKUP($A138,'Data shares'!$C:$FA,90)</f>
        <v>2043200</v>
      </c>
      <c r="I138" s="86">
        <f>VLOOKUP($A138,'Data shares'!$C:$FA,92)</f>
        <v>162400</v>
      </c>
      <c r="J138" s="87">
        <f>VLOOKUP($A138,'Data shares'!$C:$FA,93)</f>
        <v>8.6300000000000002E-2</v>
      </c>
      <c r="K138" s="86">
        <f>VLOOKUP($A138,'Data shares'!$C:$FA,94)</f>
        <v>1356400</v>
      </c>
      <c r="L138" s="86">
        <f>VLOOKUP($A138,'Data shares'!$C:$FA,96)</f>
        <v>70400</v>
      </c>
      <c r="M138" s="87">
        <f>VLOOKUP($A138,'Data shares'!$C:$FA,97)</f>
        <v>5.4699999999999999E-2</v>
      </c>
      <c r="N138" s="86">
        <f>VLOOKUP($A138,'Data shares'!$C:$FA,78)</f>
        <v>4804800</v>
      </c>
      <c r="O138" s="87">
        <f>VLOOKUP($A138,'Data shares'!$C:$FA,81)</f>
        <v>-0.2853</v>
      </c>
    </row>
    <row r="139" spans="1:15" x14ac:dyDescent="0.25">
      <c r="A139" s="100" t="str">
        <f>'OI(Value)'!A139</f>
        <v>MIDCPNIFTY</v>
      </c>
      <c r="B139" s="82">
        <f>VLOOKUP(A139,'Data shares'!$C$2:$CV$216,98,0)</f>
        <v>25451820</v>
      </c>
      <c r="C139" s="82">
        <f>VLOOKUP(A139,'Data shares'!$C$2:$CX$216,100,0)</f>
        <v>-824220</v>
      </c>
      <c r="D139" s="141">
        <f>VLOOKUP(A139,'Data shares'!$C$2:$CY$539,101,0)</f>
        <v>-3.1399999999999997E-2</v>
      </c>
      <c r="E139" s="86">
        <f>VLOOKUP($A139,'Data shares'!$C:$FA,74)</f>
        <v>3020780</v>
      </c>
      <c r="F139" s="86">
        <f>VLOOKUP($A139,'Data shares'!$C:$FA,76)</f>
        <v>-444400</v>
      </c>
      <c r="G139" s="87">
        <f>VLOOKUP(A139,'Data shares'!$C$2:$CA$216,77,0)</f>
        <v>-0.12820000000000001</v>
      </c>
      <c r="H139" s="86">
        <f>VLOOKUP($A139,'Data shares'!$C:$FA,90)</f>
        <v>10673320</v>
      </c>
      <c r="I139" s="86">
        <f>VLOOKUP($A139,'Data shares'!$C:$FA,92)</f>
        <v>292740</v>
      </c>
      <c r="J139" s="87">
        <f>VLOOKUP($A139,'Data shares'!$C:$FA,93)</f>
        <v>2.8199999999999999E-2</v>
      </c>
      <c r="K139" s="86">
        <f>VLOOKUP($A139,'Data shares'!$C:$FA,94)</f>
        <v>11757720</v>
      </c>
      <c r="L139" s="86">
        <f>VLOOKUP($A139,'Data shares'!$C:$FA,96)</f>
        <v>-672560</v>
      </c>
      <c r="M139" s="87">
        <f>VLOOKUP($A139,'Data shares'!$C:$FA,97)</f>
        <v>-5.4100000000000002E-2</v>
      </c>
      <c r="N139" s="86">
        <f>VLOOKUP($A139,'Data shares'!$C:$FA,78)</f>
        <v>2356620</v>
      </c>
      <c r="O139" s="87">
        <f>VLOOKUP($A139,'Data shares'!$C:$FA,81)</f>
        <v>-0.28489999999999999</v>
      </c>
    </row>
    <row r="140" spans="1:15" x14ac:dyDescent="0.25">
      <c r="A140" s="100" t="str">
        <f>'OI(Value)'!A140</f>
        <v>MOTHERSON</v>
      </c>
      <c r="B140" s="82">
        <f>VLOOKUP(A140,'Data shares'!$C$2:$CV$216,98,0)</f>
        <v>327235350</v>
      </c>
      <c r="C140" s="82">
        <f>VLOOKUP(A140,'Data shares'!$C$2:$CX$216,100,0)</f>
        <v>-5817900</v>
      </c>
      <c r="D140" s="141">
        <f>VLOOKUP(A140,'Data shares'!$C$2:$CY$539,101,0)</f>
        <v>-1.7500000000000002E-2</v>
      </c>
      <c r="E140" s="86">
        <f>VLOOKUP($A140,'Data shares'!$C:$FA,74)</f>
        <v>173749800</v>
      </c>
      <c r="F140" s="86">
        <f>VLOOKUP($A140,'Data shares'!$C:$FA,76)</f>
        <v>-1894200</v>
      </c>
      <c r="G140" s="87">
        <f>VLOOKUP(A140,'Data shares'!$C$2:$CA$216,77,0)</f>
        <v>-1.0800000000000001E-2</v>
      </c>
      <c r="H140" s="86">
        <f>VLOOKUP($A140,'Data shares'!$C:$FA,90)</f>
        <v>95226600</v>
      </c>
      <c r="I140" s="86">
        <f>VLOOKUP($A140,'Data shares'!$C:$FA,92)</f>
        <v>-3130350</v>
      </c>
      <c r="J140" s="87">
        <f>VLOOKUP($A140,'Data shares'!$C:$FA,93)</f>
        <v>-3.1800000000000002E-2</v>
      </c>
      <c r="K140" s="86">
        <f>VLOOKUP($A140,'Data shares'!$C:$FA,94)</f>
        <v>58258950</v>
      </c>
      <c r="L140" s="86">
        <f>VLOOKUP($A140,'Data shares'!$C:$FA,96)</f>
        <v>-793350</v>
      </c>
      <c r="M140" s="87">
        <f>VLOOKUP($A140,'Data shares'!$C:$FA,97)</f>
        <v>-1.34E-2</v>
      </c>
      <c r="N140" s="86">
        <f>VLOOKUP($A140,'Data shares'!$C:$FA,78)</f>
        <v>119174700</v>
      </c>
      <c r="O140" s="87">
        <f>VLOOKUP($A140,'Data shares'!$C:$FA,81)</f>
        <v>-0.22439999999999999</v>
      </c>
    </row>
    <row r="141" spans="1:15" x14ac:dyDescent="0.25">
      <c r="A141" s="100" t="str">
        <f>'OI(Value)'!A141</f>
        <v>MPHASIS</v>
      </c>
      <c r="B141" s="82">
        <f>VLOOKUP(A141,'Data shares'!$C$2:$CV$216,98,0)</f>
        <v>11189475</v>
      </c>
      <c r="C141" s="82">
        <f>VLOOKUP(A141,'Data shares'!$C$2:$CX$216,100,0)</f>
        <v>-814000</v>
      </c>
      <c r="D141" s="141">
        <f>VLOOKUP(A141,'Data shares'!$C$2:$CY$539,101,0)</f>
        <v>-6.7799999999999999E-2</v>
      </c>
      <c r="E141" s="86">
        <f>VLOOKUP($A141,'Data shares'!$C:$FA,74)</f>
        <v>6804325</v>
      </c>
      <c r="F141" s="86">
        <f>VLOOKUP($A141,'Data shares'!$C:$FA,76)</f>
        <v>-197450</v>
      </c>
      <c r="G141" s="87">
        <f>VLOOKUP(A141,'Data shares'!$C$2:$CA$216,77,0)</f>
        <v>-2.8199999999999999E-2</v>
      </c>
      <c r="H141" s="86">
        <f>VLOOKUP($A141,'Data shares'!$C:$FA,90)</f>
        <v>2749175</v>
      </c>
      <c r="I141" s="86">
        <f>VLOOKUP($A141,'Data shares'!$C:$FA,92)</f>
        <v>-518100</v>
      </c>
      <c r="J141" s="87">
        <f>VLOOKUP($A141,'Data shares'!$C:$FA,93)</f>
        <v>-0.15859999999999999</v>
      </c>
      <c r="K141" s="86">
        <f>VLOOKUP($A141,'Data shares'!$C:$FA,94)</f>
        <v>1635975</v>
      </c>
      <c r="L141" s="86">
        <f>VLOOKUP($A141,'Data shares'!$C:$FA,96)</f>
        <v>-98450</v>
      </c>
      <c r="M141" s="87">
        <f>VLOOKUP($A141,'Data shares'!$C:$FA,97)</f>
        <v>-5.6800000000000003E-2</v>
      </c>
      <c r="N141" s="86">
        <f>VLOOKUP($A141,'Data shares'!$C:$FA,78)</f>
        <v>4959900</v>
      </c>
      <c r="O141" s="87">
        <f>VLOOKUP($A141,'Data shares'!$C:$FA,81)</f>
        <v>-0.20530000000000001</v>
      </c>
    </row>
    <row r="142" spans="1:15" x14ac:dyDescent="0.25">
      <c r="A142" s="100" t="str">
        <f>'OI(Value)'!A142</f>
        <v>MUTHOOTFIN</v>
      </c>
      <c r="B142" s="82">
        <f>VLOOKUP(A142,'Data shares'!$C$2:$CV$216,98,0)</f>
        <v>10718125</v>
      </c>
      <c r="C142" s="82">
        <f>VLOOKUP(A142,'Data shares'!$C$2:$CX$216,100,0)</f>
        <v>-760100</v>
      </c>
      <c r="D142" s="141">
        <f>VLOOKUP(A142,'Data shares'!$C$2:$CY$539,101,0)</f>
        <v>-6.6199999999999995E-2</v>
      </c>
      <c r="E142" s="86">
        <f>VLOOKUP($A142,'Data shares'!$C:$FA,74)</f>
        <v>3131700</v>
      </c>
      <c r="F142" s="86">
        <f>VLOOKUP($A142,'Data shares'!$C:$FA,76)</f>
        <v>6600</v>
      </c>
      <c r="G142" s="87">
        <f>VLOOKUP(A142,'Data shares'!$C$2:$CA$216,77,0)</f>
        <v>2.0999999999999999E-3</v>
      </c>
      <c r="H142" s="86">
        <f>VLOOKUP($A142,'Data shares'!$C:$FA,90)</f>
        <v>4093100</v>
      </c>
      <c r="I142" s="86">
        <f>VLOOKUP($A142,'Data shares'!$C:$FA,92)</f>
        <v>-362725</v>
      </c>
      <c r="J142" s="87">
        <f>VLOOKUP($A142,'Data shares'!$C:$FA,93)</f>
        <v>-8.14E-2</v>
      </c>
      <c r="K142" s="86">
        <f>VLOOKUP($A142,'Data shares'!$C:$FA,94)</f>
        <v>3493325</v>
      </c>
      <c r="L142" s="86">
        <f>VLOOKUP($A142,'Data shares'!$C:$FA,96)</f>
        <v>-403975</v>
      </c>
      <c r="M142" s="87">
        <f>VLOOKUP($A142,'Data shares'!$C:$FA,97)</f>
        <v>-0.1037</v>
      </c>
      <c r="N142" s="86">
        <f>VLOOKUP($A142,'Data shares'!$C:$FA,78)</f>
        <v>2003925</v>
      </c>
      <c r="O142" s="87">
        <f>VLOOKUP($A142,'Data shares'!$C:$FA,81)</f>
        <v>-0.22770000000000001</v>
      </c>
    </row>
    <row r="143" spans="1:15" x14ac:dyDescent="0.25">
      <c r="A143" s="100" t="str">
        <f>'OI(Value)'!A143</f>
        <v>NATIONALUM</v>
      </c>
      <c r="B143" s="82">
        <f>VLOOKUP(A143,'Data shares'!$C$2:$CV$216,98,0)</f>
        <v>149565000</v>
      </c>
      <c r="C143" s="82">
        <f>VLOOKUP(A143,'Data shares'!$C$2:$CX$216,100,0)</f>
        <v>-2160000</v>
      </c>
      <c r="D143" s="141">
        <f>VLOOKUP(A143,'Data shares'!$C$2:$CY$539,101,0)</f>
        <v>-1.4200000000000001E-2</v>
      </c>
      <c r="E143" s="86">
        <f>VLOOKUP($A143,'Data shares'!$C:$FA,74)</f>
        <v>73965000</v>
      </c>
      <c r="F143" s="86">
        <f>VLOOKUP($A143,'Data shares'!$C:$FA,76)</f>
        <v>-333750</v>
      </c>
      <c r="G143" s="87">
        <f>VLOOKUP(A143,'Data shares'!$C$2:$CA$216,77,0)</f>
        <v>-4.4999999999999997E-3</v>
      </c>
      <c r="H143" s="86">
        <f>VLOOKUP($A143,'Data shares'!$C:$FA,90)</f>
        <v>39240000</v>
      </c>
      <c r="I143" s="86">
        <f>VLOOKUP($A143,'Data shares'!$C:$FA,92)</f>
        <v>138750</v>
      </c>
      <c r="J143" s="87">
        <f>VLOOKUP($A143,'Data shares'!$C:$FA,93)</f>
        <v>3.5000000000000001E-3</v>
      </c>
      <c r="K143" s="86">
        <f>VLOOKUP($A143,'Data shares'!$C:$FA,94)</f>
        <v>36360000</v>
      </c>
      <c r="L143" s="86">
        <f>VLOOKUP($A143,'Data shares'!$C:$FA,96)</f>
        <v>-1965000</v>
      </c>
      <c r="M143" s="87">
        <f>VLOOKUP($A143,'Data shares'!$C:$FA,97)</f>
        <v>-5.1299999999999998E-2</v>
      </c>
      <c r="N143" s="86">
        <f>VLOOKUP($A143,'Data shares'!$C:$FA,78)</f>
        <v>52638750</v>
      </c>
      <c r="O143" s="87">
        <f>VLOOKUP($A143,'Data shares'!$C:$FA,81)</f>
        <v>-0.21299999999999999</v>
      </c>
    </row>
    <row r="144" spans="1:15" x14ac:dyDescent="0.25">
      <c r="A144" s="100" t="str">
        <f>'OI(Value)'!A144</f>
        <v>NAUKRI</v>
      </c>
      <c r="B144" s="82">
        <f>VLOOKUP(A144,'Data shares'!$C$2:$CV$216,98,0)</f>
        <v>13116375</v>
      </c>
      <c r="C144" s="82">
        <f>VLOOKUP(A144,'Data shares'!$C$2:$CX$216,100,0)</f>
        <v>-820125</v>
      </c>
      <c r="D144" s="141">
        <f>VLOOKUP(A144,'Data shares'!$C$2:$CY$539,101,0)</f>
        <v>-5.8799999999999998E-2</v>
      </c>
      <c r="E144" s="86">
        <f>VLOOKUP($A144,'Data shares'!$C:$FA,74)</f>
        <v>8115750</v>
      </c>
      <c r="F144" s="86">
        <f>VLOOKUP($A144,'Data shares'!$C:$FA,76)</f>
        <v>-465000</v>
      </c>
      <c r="G144" s="87">
        <f>VLOOKUP(A144,'Data shares'!$C$2:$CA$216,77,0)</f>
        <v>-5.4199999999999998E-2</v>
      </c>
      <c r="H144" s="86">
        <f>VLOOKUP($A144,'Data shares'!$C:$FA,90)</f>
        <v>3126750</v>
      </c>
      <c r="I144" s="86">
        <f>VLOOKUP($A144,'Data shares'!$C:$FA,92)</f>
        <v>-361500</v>
      </c>
      <c r="J144" s="87">
        <f>VLOOKUP($A144,'Data shares'!$C:$FA,93)</f>
        <v>-0.1036</v>
      </c>
      <c r="K144" s="86">
        <f>VLOOKUP($A144,'Data shares'!$C:$FA,94)</f>
        <v>1873875</v>
      </c>
      <c r="L144" s="86">
        <f>VLOOKUP($A144,'Data shares'!$C:$FA,96)</f>
        <v>6375</v>
      </c>
      <c r="M144" s="87">
        <f>VLOOKUP($A144,'Data shares'!$C:$FA,97)</f>
        <v>3.3999999999999998E-3</v>
      </c>
      <c r="N144" s="86">
        <f>VLOOKUP($A144,'Data shares'!$C:$FA,78)</f>
        <v>5043000</v>
      </c>
      <c r="O144" s="87">
        <f>VLOOKUP($A144,'Data shares'!$C:$FA,81)</f>
        <v>-0.37269999999999998</v>
      </c>
    </row>
    <row r="145" spans="1:15" x14ac:dyDescent="0.25">
      <c r="A145" s="100" t="str">
        <f>'OI(Value)'!A145</f>
        <v>NBCC</v>
      </c>
      <c r="B145" s="82">
        <f>VLOOKUP(A145,'Data shares'!$C$2:$CV$216,98,0)</f>
        <v>165353500</v>
      </c>
      <c r="C145" s="82">
        <f>VLOOKUP(A145,'Data shares'!$C$2:$CX$216,100,0)</f>
        <v>12980500</v>
      </c>
      <c r="D145" s="141">
        <f>VLOOKUP(A145,'Data shares'!$C$2:$CY$539,101,0)</f>
        <v>8.5199999999999998E-2</v>
      </c>
      <c r="E145" s="86">
        <f>VLOOKUP($A145,'Data shares'!$C:$FA,74)</f>
        <v>83427500</v>
      </c>
      <c r="F145" s="86">
        <f>VLOOKUP($A145,'Data shares'!$C:$FA,76)</f>
        <v>-552500</v>
      </c>
      <c r="G145" s="87">
        <f>VLOOKUP(A145,'Data shares'!$C$2:$CA$216,77,0)</f>
        <v>-6.6E-3</v>
      </c>
      <c r="H145" s="86">
        <f>VLOOKUP($A145,'Data shares'!$C:$FA,90)</f>
        <v>55204500</v>
      </c>
      <c r="I145" s="86">
        <f>VLOOKUP($A145,'Data shares'!$C:$FA,92)</f>
        <v>11102000</v>
      </c>
      <c r="J145" s="87">
        <f>VLOOKUP($A145,'Data shares'!$C:$FA,93)</f>
        <v>0.25169999999999998</v>
      </c>
      <c r="K145" s="86">
        <f>VLOOKUP($A145,'Data shares'!$C:$FA,94)</f>
        <v>26721500</v>
      </c>
      <c r="L145" s="86">
        <f>VLOOKUP($A145,'Data shares'!$C:$FA,96)</f>
        <v>2431000</v>
      </c>
      <c r="M145" s="87">
        <f>VLOOKUP($A145,'Data shares'!$C:$FA,97)</f>
        <v>0.10009999999999999</v>
      </c>
      <c r="N145" s="86">
        <f>VLOOKUP($A145,'Data shares'!$C:$FA,78)</f>
        <v>53222000</v>
      </c>
      <c r="O145" s="87">
        <f>VLOOKUP($A145,'Data shares'!$C:$FA,81)</f>
        <v>-0.21959999999999999</v>
      </c>
    </row>
    <row r="146" spans="1:15" x14ac:dyDescent="0.25">
      <c r="A146" s="100" t="str">
        <f>'OI(Value)'!A146</f>
        <v>NCC</v>
      </c>
      <c r="B146" s="82">
        <f>VLOOKUP(A146,'Data shares'!$C$2:$CV$216,98,0)</f>
        <v>59702400</v>
      </c>
      <c r="C146" s="82">
        <f>VLOOKUP(A146,'Data shares'!$C$2:$CX$216,100,0)</f>
        <v>-237600</v>
      </c>
      <c r="D146" s="141">
        <f>VLOOKUP(A146,'Data shares'!$C$2:$CY$539,101,0)</f>
        <v>-4.0000000000000001E-3</v>
      </c>
      <c r="E146" s="86">
        <f>VLOOKUP($A146,'Data shares'!$C:$FA,74)</f>
        <v>25042500</v>
      </c>
      <c r="F146" s="86">
        <f>VLOOKUP($A146,'Data shares'!$C:$FA,76)</f>
        <v>91800</v>
      </c>
      <c r="G146" s="87">
        <f>VLOOKUP(A146,'Data shares'!$C$2:$CA$216,77,0)</f>
        <v>3.7000000000000002E-3</v>
      </c>
      <c r="H146" s="86">
        <f>VLOOKUP($A146,'Data shares'!$C:$FA,90)</f>
        <v>23608800</v>
      </c>
      <c r="I146" s="86">
        <f>VLOOKUP($A146,'Data shares'!$C:$FA,92)</f>
        <v>-305100</v>
      </c>
      <c r="J146" s="87">
        <f>VLOOKUP($A146,'Data shares'!$C:$FA,93)</f>
        <v>-1.2800000000000001E-2</v>
      </c>
      <c r="K146" s="86">
        <f>VLOOKUP($A146,'Data shares'!$C:$FA,94)</f>
        <v>11051100</v>
      </c>
      <c r="L146" s="86">
        <f>VLOOKUP($A146,'Data shares'!$C:$FA,96)</f>
        <v>-24300</v>
      </c>
      <c r="M146" s="87">
        <f>VLOOKUP($A146,'Data shares'!$C:$FA,97)</f>
        <v>-2.2000000000000001E-3</v>
      </c>
      <c r="N146" s="86">
        <f>VLOOKUP($A146,'Data shares'!$C:$FA,78)</f>
        <v>17134200</v>
      </c>
      <c r="O146" s="87">
        <f>VLOOKUP($A146,'Data shares'!$C:$FA,81)</f>
        <v>-0.15210000000000001</v>
      </c>
    </row>
    <row r="147" spans="1:15" x14ac:dyDescent="0.25">
      <c r="A147" s="100" t="str">
        <f>'OI(Value)'!A147</f>
        <v>NESTLEIND</v>
      </c>
      <c r="B147" s="82">
        <f>VLOOKUP(A147,'Data shares'!$C$2:$CV$216,98,0)</f>
        <v>23785500</v>
      </c>
      <c r="C147" s="82">
        <f>VLOOKUP(A147,'Data shares'!$C$2:$CX$216,100,0)</f>
        <v>-315500</v>
      </c>
      <c r="D147" s="141">
        <f>VLOOKUP(A147,'Data shares'!$C$2:$CY$539,101,0)</f>
        <v>-1.3100000000000001E-2</v>
      </c>
      <c r="E147" s="86">
        <f>VLOOKUP($A147,'Data shares'!$C:$FA,74)</f>
        <v>16596500</v>
      </c>
      <c r="F147" s="86">
        <f>VLOOKUP($A147,'Data shares'!$C:$FA,76)</f>
        <v>-25500</v>
      </c>
      <c r="G147" s="87">
        <f>VLOOKUP(A147,'Data shares'!$C$2:$CA$216,77,0)</f>
        <v>-1.5E-3</v>
      </c>
      <c r="H147" s="86">
        <f>VLOOKUP($A147,'Data shares'!$C:$FA,90)</f>
        <v>5230500</v>
      </c>
      <c r="I147" s="86">
        <f>VLOOKUP($A147,'Data shares'!$C:$FA,92)</f>
        <v>-203500</v>
      </c>
      <c r="J147" s="87">
        <f>VLOOKUP($A147,'Data shares'!$C:$FA,93)</f>
        <v>-3.7400000000000003E-2</v>
      </c>
      <c r="K147" s="86">
        <f>VLOOKUP($A147,'Data shares'!$C:$FA,94)</f>
        <v>1958500</v>
      </c>
      <c r="L147" s="86">
        <f>VLOOKUP($A147,'Data shares'!$C:$FA,96)</f>
        <v>-86500</v>
      </c>
      <c r="M147" s="87">
        <f>VLOOKUP($A147,'Data shares'!$C:$FA,97)</f>
        <v>-4.2299999999999997E-2</v>
      </c>
      <c r="N147" s="86">
        <f>VLOOKUP($A147,'Data shares'!$C:$FA,78)</f>
        <v>11153500</v>
      </c>
      <c r="O147" s="87">
        <f>VLOOKUP($A147,'Data shares'!$C:$FA,81)</f>
        <v>-0.26769999999999999</v>
      </c>
    </row>
    <row r="148" spans="1:15" x14ac:dyDescent="0.25">
      <c r="A148" s="100" t="str">
        <f>'OI(Value)'!A148</f>
        <v>NHPC</v>
      </c>
      <c r="B148" s="82">
        <f>VLOOKUP(A148,'Data shares'!$C$2:$CV$216,98,0)</f>
        <v>123699200</v>
      </c>
      <c r="C148" s="82">
        <f>VLOOKUP(A148,'Data shares'!$C$2:$CX$216,100,0)</f>
        <v>-1849600</v>
      </c>
      <c r="D148" s="141">
        <f>VLOOKUP(A148,'Data shares'!$C$2:$CY$539,101,0)</f>
        <v>-1.47E-2</v>
      </c>
      <c r="E148" s="86">
        <f>VLOOKUP($A148,'Data shares'!$C:$FA,74)</f>
        <v>67027200</v>
      </c>
      <c r="F148" s="86">
        <f>VLOOKUP($A148,'Data shares'!$C:$FA,76)</f>
        <v>230400</v>
      </c>
      <c r="G148" s="87">
        <f>VLOOKUP(A148,'Data shares'!$C$2:$CA$216,77,0)</f>
        <v>3.3999999999999998E-3</v>
      </c>
      <c r="H148" s="86">
        <f>VLOOKUP($A148,'Data shares'!$C:$FA,90)</f>
        <v>39046400</v>
      </c>
      <c r="I148" s="86">
        <f>VLOOKUP($A148,'Data shares'!$C:$FA,92)</f>
        <v>-1593600</v>
      </c>
      <c r="J148" s="87">
        <f>VLOOKUP($A148,'Data shares'!$C:$FA,93)</f>
        <v>-3.9199999999999999E-2</v>
      </c>
      <c r="K148" s="86">
        <f>VLOOKUP($A148,'Data shares'!$C:$FA,94)</f>
        <v>17625600</v>
      </c>
      <c r="L148" s="86">
        <f>VLOOKUP($A148,'Data shares'!$C:$FA,96)</f>
        <v>-486400</v>
      </c>
      <c r="M148" s="87">
        <f>VLOOKUP($A148,'Data shares'!$C:$FA,97)</f>
        <v>-2.69E-2</v>
      </c>
      <c r="N148" s="86">
        <f>VLOOKUP($A148,'Data shares'!$C:$FA,78)</f>
        <v>44294400</v>
      </c>
      <c r="O148" s="87">
        <f>VLOOKUP($A148,'Data shares'!$C:$FA,81)</f>
        <v>-0.21820000000000001</v>
      </c>
    </row>
    <row r="149" spans="1:15" x14ac:dyDescent="0.25">
      <c r="A149" s="100" t="str">
        <f>'OI(Value)'!A149</f>
        <v>NIFTY</v>
      </c>
      <c r="B149" s="82">
        <f>VLOOKUP(A149,'Data shares'!$C$2:$CV$216,98,0)</f>
        <v>497077965</v>
      </c>
      <c r="C149" s="82">
        <f>VLOOKUP(A149,'Data shares'!$C$2:$CX$216,100,0)</f>
        <v>68197635</v>
      </c>
      <c r="D149" s="141">
        <f>VLOOKUP(A149,'Data shares'!$C$2:$CY$539,101,0)</f>
        <v>0.159</v>
      </c>
      <c r="E149" s="86">
        <f>VLOOKUP($A149,'Data shares'!$C:$FA,74)</f>
        <v>19784570</v>
      </c>
      <c r="F149" s="86">
        <f>VLOOKUP($A149,'Data shares'!$C:$FA,76)</f>
        <v>130695</v>
      </c>
      <c r="G149" s="87">
        <f>VLOOKUP(A149,'Data shares'!$C$2:$CA$216,77,0)</f>
        <v>6.6E-3</v>
      </c>
      <c r="H149" s="86">
        <f>VLOOKUP($A149,'Data shares'!$C:$FA,90)</f>
        <v>195577170</v>
      </c>
      <c r="I149" s="86">
        <f>VLOOKUP($A149,'Data shares'!$C:$FA,92)</f>
        <v>16585445</v>
      </c>
      <c r="J149" s="87">
        <f>VLOOKUP($A149,'Data shares'!$C:$FA,93)</f>
        <v>9.2700000000000005E-2</v>
      </c>
      <c r="K149" s="86">
        <f>VLOOKUP($A149,'Data shares'!$C:$FA,94)</f>
        <v>281716225</v>
      </c>
      <c r="L149" s="86">
        <f>VLOOKUP($A149,'Data shares'!$C:$FA,96)</f>
        <v>51481495</v>
      </c>
      <c r="M149" s="87">
        <f>VLOOKUP($A149,'Data shares'!$C:$FA,97)</f>
        <v>0.22359999999999999</v>
      </c>
      <c r="N149" s="86">
        <f>VLOOKUP($A149,'Data shares'!$C:$FA,78)</f>
        <v>14612850</v>
      </c>
      <c r="O149" s="87">
        <f>VLOOKUP($A149,'Data shares'!$C:$FA,81)</f>
        <v>-0.13</v>
      </c>
    </row>
    <row r="150" spans="1:15" x14ac:dyDescent="0.25">
      <c r="A150" s="100" t="str">
        <f>'OI(Value)'!A150</f>
        <v>NIFTYNXT50</v>
      </c>
      <c r="B150" s="82">
        <f>VLOOKUP(A150,'Data shares'!$C$2:$CV$216,98,0)</f>
        <v>59850</v>
      </c>
      <c r="C150" s="82">
        <f>VLOOKUP(A150,'Data shares'!$C$2:$CX$216,100,0)</f>
        <v>4925</v>
      </c>
      <c r="D150" s="141">
        <f>VLOOKUP(A150,'Data shares'!$C$2:$CY$539,101,0)</f>
        <v>8.9700000000000002E-2</v>
      </c>
      <c r="E150" s="86">
        <f>VLOOKUP($A150,'Data shares'!$C:$FA,74)</f>
        <v>23425</v>
      </c>
      <c r="F150" s="86">
        <f>VLOOKUP($A150,'Data shares'!$C:$FA,76)</f>
        <v>-350</v>
      </c>
      <c r="G150" s="87">
        <f>VLOOKUP(A150,'Data shares'!$C$2:$CA$216,77,0)</f>
        <v>-1.47E-2</v>
      </c>
      <c r="H150" s="86">
        <f>VLOOKUP($A150,'Data shares'!$C:$FA,90)</f>
        <v>20475</v>
      </c>
      <c r="I150" s="86">
        <f>VLOOKUP($A150,'Data shares'!$C:$FA,92)</f>
        <v>275</v>
      </c>
      <c r="J150" s="87">
        <f>VLOOKUP($A150,'Data shares'!$C:$FA,93)</f>
        <v>1.3599999999999999E-2</v>
      </c>
      <c r="K150" s="86">
        <f>VLOOKUP($A150,'Data shares'!$C:$FA,94)</f>
        <v>15950</v>
      </c>
      <c r="L150" s="86">
        <f>VLOOKUP($A150,'Data shares'!$C:$FA,96)</f>
        <v>5000</v>
      </c>
      <c r="M150" s="87">
        <f>VLOOKUP($A150,'Data shares'!$C:$FA,97)</f>
        <v>0.45660000000000001</v>
      </c>
      <c r="N150" s="86">
        <f>VLOOKUP($A150,'Data shares'!$C:$FA,78)</f>
        <v>17775</v>
      </c>
      <c r="O150" s="87">
        <f>VLOOKUP($A150,'Data shares'!$C:$FA,81)</f>
        <v>-6.2E-2</v>
      </c>
    </row>
    <row r="151" spans="1:15" x14ac:dyDescent="0.25">
      <c r="A151" s="100" t="str">
        <f>'OI(Value)'!A151</f>
        <v>NMDC</v>
      </c>
      <c r="B151" s="82">
        <f>VLOOKUP(A151,'Data shares'!$C$2:$CV$216,98,0)</f>
        <v>592616250</v>
      </c>
      <c r="C151" s="82">
        <f>VLOOKUP(A151,'Data shares'!$C$2:$CX$216,100,0)</f>
        <v>3915000</v>
      </c>
      <c r="D151" s="141">
        <f>VLOOKUP(A151,'Data shares'!$C$2:$CY$539,101,0)</f>
        <v>6.7000000000000002E-3</v>
      </c>
      <c r="E151" s="86">
        <f>VLOOKUP($A151,'Data shares'!$C:$FA,74)</f>
        <v>345816000</v>
      </c>
      <c r="F151" s="86">
        <f>VLOOKUP($A151,'Data shares'!$C:$FA,76)</f>
        <v>2315250</v>
      </c>
      <c r="G151" s="87">
        <f>VLOOKUP(A151,'Data shares'!$C$2:$CA$216,77,0)</f>
        <v>6.7000000000000002E-3</v>
      </c>
      <c r="H151" s="86">
        <f>VLOOKUP($A151,'Data shares'!$C:$FA,90)</f>
        <v>153758250</v>
      </c>
      <c r="I151" s="86">
        <f>VLOOKUP($A151,'Data shares'!$C:$FA,92)</f>
        <v>1053000</v>
      </c>
      <c r="J151" s="87">
        <f>VLOOKUP($A151,'Data shares'!$C:$FA,93)</f>
        <v>6.8999999999999999E-3</v>
      </c>
      <c r="K151" s="86">
        <f>VLOOKUP($A151,'Data shares'!$C:$FA,94)</f>
        <v>93042000</v>
      </c>
      <c r="L151" s="86">
        <f>VLOOKUP($A151,'Data shares'!$C:$FA,96)</f>
        <v>546750</v>
      </c>
      <c r="M151" s="87">
        <f>VLOOKUP($A151,'Data shares'!$C:$FA,97)</f>
        <v>5.8999999999999999E-3</v>
      </c>
      <c r="N151" s="86">
        <f>VLOOKUP($A151,'Data shares'!$C:$FA,78)</f>
        <v>156026250</v>
      </c>
      <c r="O151" s="87">
        <f>VLOOKUP($A151,'Data shares'!$C:$FA,81)</f>
        <v>-0.44990000000000002</v>
      </c>
    </row>
    <row r="152" spans="1:15" x14ac:dyDescent="0.25">
      <c r="A152" s="100" t="str">
        <f>'OI(Value)'!A152</f>
        <v>NTPC</v>
      </c>
      <c r="B152" s="82">
        <f>VLOOKUP(A152,'Data shares'!$C$2:$CV$216,98,0)</f>
        <v>176638500</v>
      </c>
      <c r="C152" s="82">
        <f>VLOOKUP(A152,'Data shares'!$C$2:$CX$216,100,0)</f>
        <v>-4615500</v>
      </c>
      <c r="D152" s="141">
        <f>VLOOKUP(A152,'Data shares'!$C$2:$CY$539,101,0)</f>
        <v>-2.5499999999999998E-2</v>
      </c>
      <c r="E152" s="86">
        <f>VLOOKUP($A152,'Data shares'!$C:$FA,74)</f>
        <v>93954000</v>
      </c>
      <c r="F152" s="86">
        <f>VLOOKUP($A152,'Data shares'!$C:$FA,76)</f>
        <v>-1269000</v>
      </c>
      <c r="G152" s="87">
        <f>VLOOKUP(A152,'Data shares'!$C$2:$CA$216,77,0)</f>
        <v>-1.3299999999999999E-2</v>
      </c>
      <c r="H152" s="86">
        <f>VLOOKUP($A152,'Data shares'!$C:$FA,90)</f>
        <v>59157000</v>
      </c>
      <c r="I152" s="86">
        <f>VLOOKUP($A152,'Data shares'!$C:$FA,92)</f>
        <v>-2112000</v>
      </c>
      <c r="J152" s="87">
        <f>VLOOKUP($A152,'Data shares'!$C:$FA,93)</f>
        <v>-3.4500000000000003E-2</v>
      </c>
      <c r="K152" s="86">
        <f>VLOOKUP($A152,'Data shares'!$C:$FA,94)</f>
        <v>23527500</v>
      </c>
      <c r="L152" s="86">
        <f>VLOOKUP($A152,'Data shares'!$C:$FA,96)</f>
        <v>-1234500</v>
      </c>
      <c r="M152" s="87">
        <f>VLOOKUP($A152,'Data shares'!$C:$FA,97)</f>
        <v>-4.99E-2</v>
      </c>
      <c r="N152" s="86">
        <f>VLOOKUP($A152,'Data shares'!$C:$FA,78)</f>
        <v>66204000</v>
      </c>
      <c r="O152" s="87">
        <f>VLOOKUP($A152,'Data shares'!$C:$FA,81)</f>
        <v>-0.19620000000000001</v>
      </c>
    </row>
    <row r="153" spans="1:15" x14ac:dyDescent="0.25">
      <c r="A153" s="100" t="str">
        <f>'OI(Value)'!A153</f>
        <v>NUVAMA</v>
      </c>
      <c r="B153" s="82">
        <f>VLOOKUP(A153,'Data shares'!$C$2:$CV$216,98,0)</f>
        <v>1008550</v>
      </c>
      <c r="C153" s="82">
        <f>VLOOKUP(A153,'Data shares'!$C$2:$CX$216,100,0)</f>
        <v>24750</v>
      </c>
      <c r="D153" s="141">
        <f>VLOOKUP(A153,'Data shares'!$C$2:$CY$539,101,0)</f>
        <v>2.52E-2</v>
      </c>
      <c r="E153" s="86">
        <f>VLOOKUP($A153,'Data shares'!$C:$FA,74)</f>
        <v>396025</v>
      </c>
      <c r="F153" s="86">
        <f>VLOOKUP($A153,'Data shares'!$C:$FA,76)</f>
        <v>17025</v>
      </c>
      <c r="G153" s="87">
        <f>VLOOKUP(A153,'Data shares'!$C$2:$CA$216,77,0)</f>
        <v>4.4900000000000002E-2</v>
      </c>
      <c r="H153" s="86">
        <f>VLOOKUP($A153,'Data shares'!$C:$FA,90)</f>
        <v>371400</v>
      </c>
      <c r="I153" s="86">
        <f>VLOOKUP($A153,'Data shares'!$C:$FA,92)</f>
        <v>-17100</v>
      </c>
      <c r="J153" s="87">
        <f>VLOOKUP($A153,'Data shares'!$C:$FA,93)</f>
        <v>-4.3999999999999997E-2</v>
      </c>
      <c r="K153" s="86">
        <f>VLOOKUP($A153,'Data shares'!$C:$FA,94)</f>
        <v>241125</v>
      </c>
      <c r="L153" s="86">
        <f>VLOOKUP($A153,'Data shares'!$C:$FA,96)</f>
        <v>24825</v>
      </c>
      <c r="M153" s="87">
        <f>VLOOKUP($A153,'Data shares'!$C:$FA,97)</f>
        <v>0.1148</v>
      </c>
      <c r="N153" s="86">
        <f>VLOOKUP($A153,'Data shares'!$C:$FA,78)</f>
        <v>298650</v>
      </c>
      <c r="O153" s="87">
        <f>VLOOKUP($A153,'Data shares'!$C:$FA,81)</f>
        <v>-0.14330000000000001</v>
      </c>
    </row>
    <row r="154" spans="1:15" x14ac:dyDescent="0.25">
      <c r="A154" s="100" t="str">
        <f>'OI(Value)'!A154</f>
        <v>NYKAA</v>
      </c>
      <c r="B154" s="82">
        <f>VLOOKUP(A154,'Data shares'!$C$2:$CV$216,98,0)</f>
        <v>91162500</v>
      </c>
      <c r="C154" s="82">
        <f>VLOOKUP(A154,'Data shares'!$C$2:$CX$216,100,0)</f>
        <v>-6590625</v>
      </c>
      <c r="D154" s="141">
        <f>VLOOKUP(A154,'Data shares'!$C$2:$CY$539,101,0)</f>
        <v>-6.7400000000000002E-2</v>
      </c>
      <c r="E154" s="86">
        <f>VLOOKUP($A154,'Data shares'!$C:$FA,74)</f>
        <v>60456250</v>
      </c>
      <c r="F154" s="86">
        <f>VLOOKUP($A154,'Data shares'!$C:$FA,76)</f>
        <v>-4212500</v>
      </c>
      <c r="G154" s="87">
        <f>VLOOKUP(A154,'Data shares'!$C$2:$CA$216,77,0)</f>
        <v>-6.5100000000000005E-2</v>
      </c>
      <c r="H154" s="86">
        <f>VLOOKUP($A154,'Data shares'!$C:$FA,90)</f>
        <v>19296875</v>
      </c>
      <c r="I154" s="86">
        <f>VLOOKUP($A154,'Data shares'!$C:$FA,92)</f>
        <v>-1315625</v>
      </c>
      <c r="J154" s="87">
        <f>VLOOKUP($A154,'Data shares'!$C:$FA,93)</f>
        <v>-6.3799999999999996E-2</v>
      </c>
      <c r="K154" s="86">
        <f>VLOOKUP($A154,'Data shares'!$C:$FA,94)</f>
        <v>11409375</v>
      </c>
      <c r="L154" s="86">
        <f>VLOOKUP($A154,'Data shares'!$C:$FA,96)</f>
        <v>-1062500</v>
      </c>
      <c r="M154" s="87">
        <f>VLOOKUP($A154,'Data shares'!$C:$FA,97)</f>
        <v>-8.5199999999999998E-2</v>
      </c>
      <c r="N154" s="86">
        <f>VLOOKUP($A154,'Data shares'!$C:$FA,78)</f>
        <v>41365625</v>
      </c>
      <c r="O154" s="87">
        <f>VLOOKUP($A154,'Data shares'!$C:$FA,81)</f>
        <v>-0.28089999999999998</v>
      </c>
    </row>
    <row r="155" spans="1:15" x14ac:dyDescent="0.25">
      <c r="A155" s="100" t="str">
        <f>'OI(Value)'!A155</f>
        <v>OBEROIRLTY</v>
      </c>
      <c r="B155" s="82">
        <f>VLOOKUP(A155,'Data shares'!$C$2:$CV$216,98,0)</f>
        <v>6752200</v>
      </c>
      <c r="C155" s="82">
        <f>VLOOKUP(A155,'Data shares'!$C$2:$CX$216,100,0)</f>
        <v>-593950</v>
      </c>
      <c r="D155" s="141">
        <f>VLOOKUP(A155,'Data shares'!$C$2:$CY$539,101,0)</f>
        <v>-8.09E-2</v>
      </c>
      <c r="E155" s="86">
        <f>VLOOKUP($A155,'Data shares'!$C:$FA,74)</f>
        <v>4333000</v>
      </c>
      <c r="F155" s="86">
        <f>VLOOKUP($A155,'Data shares'!$C:$FA,76)</f>
        <v>-493850</v>
      </c>
      <c r="G155" s="87">
        <f>VLOOKUP(A155,'Data shares'!$C$2:$CA$216,77,0)</f>
        <v>-0.1023</v>
      </c>
      <c r="H155" s="86">
        <f>VLOOKUP($A155,'Data shares'!$C:$FA,90)</f>
        <v>1459150</v>
      </c>
      <c r="I155" s="86">
        <f>VLOOKUP($A155,'Data shares'!$C:$FA,92)</f>
        <v>-102900</v>
      </c>
      <c r="J155" s="87">
        <f>VLOOKUP($A155,'Data shares'!$C:$FA,93)</f>
        <v>-6.59E-2</v>
      </c>
      <c r="K155" s="86">
        <f>VLOOKUP($A155,'Data shares'!$C:$FA,94)</f>
        <v>960050</v>
      </c>
      <c r="L155" s="86">
        <f>VLOOKUP($A155,'Data shares'!$C:$FA,96)</f>
        <v>2800</v>
      </c>
      <c r="M155" s="87">
        <f>VLOOKUP($A155,'Data shares'!$C:$FA,97)</f>
        <v>2.8999999999999998E-3</v>
      </c>
      <c r="N155" s="86">
        <f>VLOOKUP($A155,'Data shares'!$C:$FA,78)</f>
        <v>2613100</v>
      </c>
      <c r="O155" s="87">
        <f>VLOOKUP($A155,'Data shares'!$C:$FA,81)</f>
        <v>-0.37440000000000001</v>
      </c>
    </row>
    <row r="156" spans="1:15" x14ac:dyDescent="0.25">
      <c r="A156" s="100" t="str">
        <f>'OI(Value)'!A156</f>
        <v>OFSS</v>
      </c>
      <c r="B156" s="82">
        <f>VLOOKUP(A156,'Data shares'!$C$2:$CV$216,98,0)</f>
        <v>2740875</v>
      </c>
      <c r="C156" s="82">
        <f>VLOOKUP(A156,'Data shares'!$C$2:$CX$216,100,0)</f>
        <v>-65325</v>
      </c>
      <c r="D156" s="141">
        <f>VLOOKUP(A156,'Data shares'!$C$2:$CY$539,101,0)</f>
        <v>-2.3300000000000001E-2</v>
      </c>
      <c r="E156" s="86">
        <f>VLOOKUP($A156,'Data shares'!$C:$FA,74)</f>
        <v>1385475</v>
      </c>
      <c r="F156" s="86">
        <f>VLOOKUP($A156,'Data shares'!$C:$FA,76)</f>
        <v>-50025</v>
      </c>
      <c r="G156" s="87">
        <f>VLOOKUP(A156,'Data shares'!$C$2:$CA$216,77,0)</f>
        <v>-3.4799999999999998E-2</v>
      </c>
      <c r="H156" s="86">
        <f>VLOOKUP($A156,'Data shares'!$C:$FA,90)</f>
        <v>897225</v>
      </c>
      <c r="I156" s="86">
        <f>VLOOKUP($A156,'Data shares'!$C:$FA,92)</f>
        <v>-8100</v>
      </c>
      <c r="J156" s="87">
        <f>VLOOKUP($A156,'Data shares'!$C:$FA,93)</f>
        <v>-8.8999999999999999E-3</v>
      </c>
      <c r="K156" s="86">
        <f>VLOOKUP($A156,'Data shares'!$C:$FA,94)</f>
        <v>458175</v>
      </c>
      <c r="L156" s="86">
        <f>VLOOKUP($A156,'Data shares'!$C:$FA,96)</f>
        <v>-7200</v>
      </c>
      <c r="M156" s="87">
        <f>VLOOKUP($A156,'Data shares'!$C:$FA,97)</f>
        <v>-1.55E-2</v>
      </c>
      <c r="N156" s="86">
        <f>VLOOKUP($A156,'Data shares'!$C:$FA,78)</f>
        <v>925275</v>
      </c>
      <c r="O156" s="87">
        <f>VLOOKUP($A156,'Data shares'!$C:$FA,81)</f>
        <v>-0.27950000000000003</v>
      </c>
    </row>
    <row r="157" spans="1:15" x14ac:dyDescent="0.25">
      <c r="A157" s="100" t="str">
        <f>'OI(Value)'!A157</f>
        <v>OIL</v>
      </c>
      <c r="B157" s="82">
        <f>VLOOKUP(A157,'Data shares'!$C$2:$CV$216,98,0)</f>
        <v>22779400</v>
      </c>
      <c r="C157" s="82">
        <f>VLOOKUP(A157,'Data shares'!$C$2:$CX$216,100,0)</f>
        <v>-919800</v>
      </c>
      <c r="D157" s="141">
        <f>VLOOKUP(A157,'Data shares'!$C$2:$CY$539,101,0)</f>
        <v>-3.8800000000000001E-2</v>
      </c>
      <c r="E157" s="86">
        <f>VLOOKUP($A157,'Data shares'!$C:$FA,74)</f>
        <v>11985400</v>
      </c>
      <c r="F157" s="86">
        <f>VLOOKUP($A157,'Data shares'!$C:$FA,76)</f>
        <v>-323400</v>
      </c>
      <c r="G157" s="87">
        <f>VLOOKUP(A157,'Data shares'!$C$2:$CA$216,77,0)</f>
        <v>-2.63E-2</v>
      </c>
      <c r="H157" s="86">
        <f>VLOOKUP($A157,'Data shares'!$C:$FA,90)</f>
        <v>6906200</v>
      </c>
      <c r="I157" s="86">
        <f>VLOOKUP($A157,'Data shares'!$C:$FA,92)</f>
        <v>-550200</v>
      </c>
      <c r="J157" s="87">
        <f>VLOOKUP($A157,'Data shares'!$C:$FA,93)</f>
        <v>-7.3800000000000004E-2</v>
      </c>
      <c r="K157" s="86">
        <f>VLOOKUP($A157,'Data shares'!$C:$FA,94)</f>
        <v>3887800</v>
      </c>
      <c r="L157" s="86">
        <f>VLOOKUP($A157,'Data shares'!$C:$FA,96)</f>
        <v>-46200</v>
      </c>
      <c r="M157" s="87">
        <f>VLOOKUP($A157,'Data shares'!$C:$FA,97)</f>
        <v>-1.17E-2</v>
      </c>
      <c r="N157" s="86">
        <f>VLOOKUP($A157,'Data shares'!$C:$FA,78)</f>
        <v>7856800</v>
      </c>
      <c r="O157" s="87">
        <f>VLOOKUP($A157,'Data shares'!$C:$FA,81)</f>
        <v>-0.29499999999999998</v>
      </c>
    </row>
    <row r="158" spans="1:15" x14ac:dyDescent="0.25">
      <c r="A158" s="100" t="str">
        <f>'OI(Value)'!A158</f>
        <v>ONGC</v>
      </c>
      <c r="B158" s="82">
        <f>VLOOKUP(A158,'Data shares'!$C$2:$CV$216,98,0)</f>
        <v>173245500</v>
      </c>
      <c r="C158" s="82">
        <f>VLOOKUP(A158,'Data shares'!$C$2:$CX$216,100,0)</f>
        <v>1316250</v>
      </c>
      <c r="D158" s="141">
        <f>VLOOKUP(A158,'Data shares'!$C$2:$CY$539,101,0)</f>
        <v>7.7000000000000002E-3</v>
      </c>
      <c r="E158" s="86">
        <f>VLOOKUP($A158,'Data shares'!$C:$FA,74)</f>
        <v>92697750</v>
      </c>
      <c r="F158" s="86">
        <f>VLOOKUP($A158,'Data shares'!$C:$FA,76)</f>
        <v>-1010250</v>
      </c>
      <c r="G158" s="87">
        <f>VLOOKUP(A158,'Data shares'!$C$2:$CA$216,77,0)</f>
        <v>-1.0800000000000001E-2</v>
      </c>
      <c r="H158" s="86">
        <f>VLOOKUP($A158,'Data shares'!$C:$FA,90)</f>
        <v>58284000</v>
      </c>
      <c r="I158" s="86">
        <f>VLOOKUP($A158,'Data shares'!$C:$FA,92)</f>
        <v>1437750</v>
      </c>
      <c r="J158" s="87">
        <f>VLOOKUP($A158,'Data shares'!$C:$FA,93)</f>
        <v>2.53E-2</v>
      </c>
      <c r="K158" s="86">
        <f>VLOOKUP($A158,'Data shares'!$C:$FA,94)</f>
        <v>22263750</v>
      </c>
      <c r="L158" s="86">
        <f>VLOOKUP($A158,'Data shares'!$C:$FA,96)</f>
        <v>888750</v>
      </c>
      <c r="M158" s="87">
        <f>VLOOKUP($A158,'Data shares'!$C:$FA,97)</f>
        <v>4.1599999999999998E-2</v>
      </c>
      <c r="N158" s="86">
        <f>VLOOKUP($A158,'Data shares'!$C:$FA,78)</f>
        <v>63382500</v>
      </c>
      <c r="O158" s="87">
        <f>VLOOKUP($A158,'Data shares'!$C:$FA,81)</f>
        <v>-0.23050000000000001</v>
      </c>
    </row>
    <row r="159" spans="1:15" x14ac:dyDescent="0.25">
      <c r="A159" s="100" t="str">
        <f>'OI(Value)'!A159</f>
        <v>PAGEIND</v>
      </c>
      <c r="B159" s="82">
        <f>VLOOKUP(A159,'Data shares'!$C$2:$CV$216,98,0)</f>
        <v>546255</v>
      </c>
      <c r="C159" s="82">
        <f>VLOOKUP(A159,'Data shares'!$C$2:$CX$216,100,0)</f>
        <v>-9720</v>
      </c>
      <c r="D159" s="141">
        <f>VLOOKUP(A159,'Data shares'!$C$2:$CY$539,101,0)</f>
        <v>-1.7500000000000002E-2</v>
      </c>
      <c r="E159" s="86">
        <f>VLOOKUP($A159,'Data shares'!$C:$FA,74)</f>
        <v>271185</v>
      </c>
      <c r="F159" s="86">
        <f>VLOOKUP($A159,'Data shares'!$C:$FA,76)</f>
        <v>-14115</v>
      </c>
      <c r="G159" s="87">
        <f>VLOOKUP(A159,'Data shares'!$C$2:$CA$216,77,0)</f>
        <v>-4.9500000000000002E-2</v>
      </c>
      <c r="H159" s="86">
        <f>VLOOKUP($A159,'Data shares'!$C:$FA,90)</f>
        <v>202200</v>
      </c>
      <c r="I159" s="86">
        <f>VLOOKUP($A159,'Data shares'!$C:$FA,92)</f>
        <v>780</v>
      </c>
      <c r="J159" s="87">
        <f>VLOOKUP($A159,'Data shares'!$C:$FA,93)</f>
        <v>3.8999999999999998E-3</v>
      </c>
      <c r="K159" s="86">
        <f>VLOOKUP($A159,'Data shares'!$C:$FA,94)</f>
        <v>72870</v>
      </c>
      <c r="L159" s="86">
        <f>VLOOKUP($A159,'Data shares'!$C:$FA,96)</f>
        <v>3615</v>
      </c>
      <c r="M159" s="87">
        <f>VLOOKUP($A159,'Data shares'!$C:$FA,97)</f>
        <v>5.2200000000000003E-2</v>
      </c>
      <c r="N159" s="86">
        <f>VLOOKUP($A159,'Data shares'!$C:$FA,78)</f>
        <v>169950</v>
      </c>
      <c r="O159" s="87">
        <f>VLOOKUP($A159,'Data shares'!$C:$FA,81)</f>
        <v>-0.27479999999999999</v>
      </c>
    </row>
    <row r="160" spans="1:15" x14ac:dyDescent="0.25">
      <c r="A160" s="100" t="str">
        <f>'OI(Value)'!A160</f>
        <v>PATANJALI</v>
      </c>
      <c r="B160" s="82">
        <f>VLOOKUP(A160,'Data shares'!$C$2:$CV$216,98,0)</f>
        <v>48557700</v>
      </c>
      <c r="C160" s="82">
        <f>VLOOKUP(A160,'Data shares'!$C$2:$CX$216,100,0)</f>
        <v>-1008900</v>
      </c>
      <c r="D160" s="141">
        <f>VLOOKUP(A160,'Data shares'!$C$2:$CY$539,101,0)</f>
        <v>-2.0400000000000001E-2</v>
      </c>
      <c r="E160" s="86">
        <f>VLOOKUP($A160,'Data shares'!$C:$FA,74)</f>
        <v>34430400</v>
      </c>
      <c r="F160" s="86">
        <f>VLOOKUP($A160,'Data shares'!$C:$FA,76)</f>
        <v>-324900</v>
      </c>
      <c r="G160" s="87">
        <f>VLOOKUP(A160,'Data shares'!$C$2:$CA$216,77,0)</f>
        <v>-9.2999999999999992E-3</v>
      </c>
      <c r="H160" s="86">
        <f>VLOOKUP($A160,'Data shares'!$C:$FA,90)</f>
        <v>10307700</v>
      </c>
      <c r="I160" s="86">
        <f>VLOOKUP($A160,'Data shares'!$C:$FA,92)</f>
        <v>-452700</v>
      </c>
      <c r="J160" s="87">
        <f>VLOOKUP($A160,'Data shares'!$C:$FA,93)</f>
        <v>-4.2099999999999999E-2</v>
      </c>
      <c r="K160" s="86">
        <f>VLOOKUP($A160,'Data shares'!$C:$FA,94)</f>
        <v>3819600</v>
      </c>
      <c r="L160" s="86">
        <f>VLOOKUP($A160,'Data shares'!$C:$FA,96)</f>
        <v>-231300</v>
      </c>
      <c r="M160" s="87">
        <f>VLOOKUP($A160,'Data shares'!$C:$FA,97)</f>
        <v>-5.7099999999999998E-2</v>
      </c>
      <c r="N160" s="86">
        <f>VLOOKUP($A160,'Data shares'!$C:$FA,78)</f>
        <v>28200600</v>
      </c>
      <c r="O160" s="87">
        <f>VLOOKUP($A160,'Data shares'!$C:$FA,81)</f>
        <v>-0.12859999999999999</v>
      </c>
    </row>
    <row r="161" spans="1:15" x14ac:dyDescent="0.25">
      <c r="A161" s="100" t="str">
        <f>'OI(Value)'!A161</f>
        <v>PAYTM</v>
      </c>
      <c r="B161" s="82">
        <f>VLOOKUP(A161,'Data shares'!$C$2:$CV$216,98,0)</f>
        <v>39211625</v>
      </c>
      <c r="C161" s="82">
        <f>VLOOKUP(A161,'Data shares'!$C$2:$CX$216,100,0)</f>
        <v>650325</v>
      </c>
      <c r="D161" s="141">
        <f>VLOOKUP(A161,'Data shares'!$C$2:$CY$539,101,0)</f>
        <v>1.6899999999999998E-2</v>
      </c>
      <c r="E161" s="86">
        <f>VLOOKUP($A161,'Data shares'!$C:$FA,74)</f>
        <v>22621450</v>
      </c>
      <c r="F161" s="86">
        <f>VLOOKUP($A161,'Data shares'!$C:$FA,76)</f>
        <v>911325</v>
      </c>
      <c r="G161" s="87">
        <f>VLOOKUP(A161,'Data shares'!$C$2:$CA$216,77,0)</f>
        <v>4.2000000000000003E-2</v>
      </c>
      <c r="H161" s="86">
        <f>VLOOKUP($A161,'Data shares'!$C:$FA,90)</f>
        <v>10137675</v>
      </c>
      <c r="I161" s="86">
        <f>VLOOKUP($A161,'Data shares'!$C:$FA,92)</f>
        <v>-176175</v>
      </c>
      <c r="J161" s="87">
        <f>VLOOKUP($A161,'Data shares'!$C:$FA,93)</f>
        <v>-1.7100000000000001E-2</v>
      </c>
      <c r="K161" s="86">
        <f>VLOOKUP($A161,'Data shares'!$C:$FA,94)</f>
        <v>6452500</v>
      </c>
      <c r="L161" s="86">
        <f>VLOOKUP($A161,'Data shares'!$C:$FA,96)</f>
        <v>-84825</v>
      </c>
      <c r="M161" s="87">
        <f>VLOOKUP($A161,'Data shares'!$C:$FA,97)</f>
        <v>-1.2999999999999999E-2</v>
      </c>
      <c r="N161" s="86">
        <f>VLOOKUP($A161,'Data shares'!$C:$FA,78)</f>
        <v>16305250</v>
      </c>
      <c r="O161" s="87">
        <f>VLOOKUP($A161,'Data shares'!$C:$FA,81)</f>
        <v>-0.1419</v>
      </c>
    </row>
    <row r="162" spans="1:15" x14ac:dyDescent="0.25">
      <c r="A162" s="100" t="str">
        <f>'OI(Value)'!A162</f>
        <v>PERSISTENT</v>
      </c>
      <c r="B162" s="82">
        <f>VLOOKUP(A162,'Data shares'!$C$2:$CV$216,98,0)</f>
        <v>4374600</v>
      </c>
      <c r="C162" s="82">
        <f>VLOOKUP(A162,'Data shares'!$C$2:$CX$216,100,0)</f>
        <v>-122400</v>
      </c>
      <c r="D162" s="141">
        <f>VLOOKUP(A162,'Data shares'!$C$2:$CY$539,101,0)</f>
        <v>-2.7199999999999998E-2</v>
      </c>
      <c r="E162" s="86">
        <f>VLOOKUP($A162,'Data shares'!$C:$FA,74)</f>
        <v>2257700</v>
      </c>
      <c r="F162" s="86">
        <f>VLOOKUP($A162,'Data shares'!$C:$FA,76)</f>
        <v>-43300</v>
      </c>
      <c r="G162" s="87">
        <f>VLOOKUP(A162,'Data shares'!$C$2:$CA$216,77,0)</f>
        <v>-1.8800000000000001E-2</v>
      </c>
      <c r="H162" s="86">
        <f>VLOOKUP($A162,'Data shares'!$C:$FA,90)</f>
        <v>983100</v>
      </c>
      <c r="I162" s="86">
        <f>VLOOKUP($A162,'Data shares'!$C:$FA,92)</f>
        <v>-37700</v>
      </c>
      <c r="J162" s="87">
        <f>VLOOKUP($A162,'Data shares'!$C:$FA,93)</f>
        <v>-3.6900000000000002E-2</v>
      </c>
      <c r="K162" s="86">
        <f>VLOOKUP($A162,'Data shares'!$C:$FA,94)</f>
        <v>1133800</v>
      </c>
      <c r="L162" s="86">
        <f>VLOOKUP($A162,'Data shares'!$C:$FA,96)</f>
        <v>-41400</v>
      </c>
      <c r="M162" s="87">
        <f>VLOOKUP($A162,'Data shares'!$C:$FA,97)</f>
        <v>-3.5200000000000002E-2</v>
      </c>
      <c r="N162" s="86">
        <f>VLOOKUP($A162,'Data shares'!$C:$FA,78)</f>
        <v>1656200</v>
      </c>
      <c r="O162" s="87">
        <f>VLOOKUP($A162,'Data shares'!$C:$FA,81)</f>
        <v>-0.2195</v>
      </c>
    </row>
    <row r="163" spans="1:15" x14ac:dyDescent="0.25">
      <c r="A163" s="100" t="str">
        <f>'OI(Value)'!A163</f>
        <v>PETRONET</v>
      </c>
      <c r="B163" s="82">
        <f>VLOOKUP(A163,'Data shares'!$C$2:$CV$216,98,0)</f>
        <v>75117400</v>
      </c>
      <c r="C163" s="82">
        <f>VLOOKUP(A163,'Data shares'!$C$2:$CX$216,100,0)</f>
        <v>624700</v>
      </c>
      <c r="D163" s="141">
        <f>VLOOKUP(A163,'Data shares'!$C$2:$CY$539,101,0)</f>
        <v>8.3999999999999995E-3</v>
      </c>
      <c r="E163" s="86">
        <f>VLOOKUP($A163,'Data shares'!$C:$FA,74)</f>
        <v>43856700</v>
      </c>
      <c r="F163" s="86">
        <f>VLOOKUP($A163,'Data shares'!$C:$FA,76)</f>
        <v>-289700</v>
      </c>
      <c r="G163" s="87">
        <f>VLOOKUP(A163,'Data shares'!$C$2:$CA$216,77,0)</f>
        <v>-6.6E-3</v>
      </c>
      <c r="H163" s="86">
        <f>VLOOKUP($A163,'Data shares'!$C:$FA,90)</f>
        <v>14144500</v>
      </c>
      <c r="I163" s="86">
        <f>VLOOKUP($A163,'Data shares'!$C:$FA,92)</f>
        <v>336600</v>
      </c>
      <c r="J163" s="87">
        <f>VLOOKUP($A163,'Data shares'!$C:$FA,93)</f>
        <v>2.4400000000000002E-2</v>
      </c>
      <c r="K163" s="86">
        <f>VLOOKUP($A163,'Data shares'!$C:$FA,94)</f>
        <v>17116200</v>
      </c>
      <c r="L163" s="86">
        <f>VLOOKUP($A163,'Data shares'!$C:$FA,96)</f>
        <v>577800</v>
      </c>
      <c r="M163" s="87">
        <f>VLOOKUP($A163,'Data shares'!$C:$FA,97)</f>
        <v>3.49E-2</v>
      </c>
      <c r="N163" s="86">
        <f>VLOOKUP($A163,'Data shares'!$C:$FA,78)</f>
        <v>30078000</v>
      </c>
      <c r="O163" s="87">
        <f>VLOOKUP($A163,'Data shares'!$C:$FA,81)</f>
        <v>-0.27950000000000003</v>
      </c>
    </row>
    <row r="164" spans="1:15" x14ac:dyDescent="0.25">
      <c r="A164" s="100" t="str">
        <f>'OI(Value)'!A164</f>
        <v>PFC</v>
      </c>
      <c r="B164" s="82">
        <f>VLOOKUP(A164,'Data shares'!$C$2:$CV$216,98,0)</f>
        <v>149778200</v>
      </c>
      <c r="C164" s="82">
        <f>VLOOKUP(A164,'Data shares'!$C$2:$CX$216,100,0)</f>
        <v>-5639400</v>
      </c>
      <c r="D164" s="141">
        <f>VLOOKUP(A164,'Data shares'!$C$2:$CY$539,101,0)</f>
        <v>-3.6299999999999999E-2</v>
      </c>
      <c r="E164" s="86">
        <f>VLOOKUP($A164,'Data shares'!$C:$FA,74)</f>
        <v>75686000</v>
      </c>
      <c r="F164" s="86">
        <f>VLOOKUP($A164,'Data shares'!$C:$FA,76)</f>
        <v>-702000</v>
      </c>
      <c r="G164" s="87">
        <f>VLOOKUP(A164,'Data shares'!$C$2:$CA$216,77,0)</f>
        <v>-9.1999999999999998E-3</v>
      </c>
      <c r="H164" s="86">
        <f>VLOOKUP($A164,'Data shares'!$C:$FA,90)</f>
        <v>43401800</v>
      </c>
      <c r="I164" s="86">
        <f>VLOOKUP($A164,'Data shares'!$C:$FA,92)</f>
        <v>-4189900</v>
      </c>
      <c r="J164" s="87">
        <f>VLOOKUP($A164,'Data shares'!$C:$FA,93)</f>
        <v>-8.7999999999999995E-2</v>
      </c>
      <c r="K164" s="86">
        <f>VLOOKUP($A164,'Data shares'!$C:$FA,94)</f>
        <v>30690400</v>
      </c>
      <c r="L164" s="86">
        <f>VLOOKUP($A164,'Data shares'!$C:$FA,96)</f>
        <v>-747500</v>
      </c>
      <c r="M164" s="87">
        <f>VLOOKUP($A164,'Data shares'!$C:$FA,97)</f>
        <v>-2.3800000000000002E-2</v>
      </c>
      <c r="N164" s="86">
        <f>VLOOKUP($A164,'Data shares'!$C:$FA,78)</f>
        <v>40729000</v>
      </c>
      <c r="O164" s="87">
        <f>VLOOKUP($A164,'Data shares'!$C:$FA,81)</f>
        <v>-0.1729</v>
      </c>
    </row>
    <row r="165" spans="1:15" x14ac:dyDescent="0.25">
      <c r="A165" s="100" t="str">
        <f>'OI(Value)'!A165</f>
        <v>PGEL</v>
      </c>
      <c r="B165" s="82">
        <f>VLOOKUP(A165,'Data shares'!$C$2:$CV$216,98,0)</f>
        <v>29168150</v>
      </c>
      <c r="C165" s="82">
        <f>VLOOKUP(A165,'Data shares'!$C$2:$CX$216,100,0)</f>
        <v>-550650</v>
      </c>
      <c r="D165" s="141">
        <f>VLOOKUP(A165,'Data shares'!$C$2:$CY$539,101,0)</f>
        <v>-1.8499999999999999E-2</v>
      </c>
      <c r="E165" s="86">
        <f>VLOOKUP($A165,'Data shares'!$C:$FA,74)</f>
        <v>12055750</v>
      </c>
      <c r="F165" s="86">
        <f>VLOOKUP($A165,'Data shares'!$C:$FA,76)</f>
        <v>-496150</v>
      </c>
      <c r="G165" s="87">
        <f>VLOOKUP(A165,'Data shares'!$C$2:$CA$216,77,0)</f>
        <v>-3.95E-2</v>
      </c>
      <c r="H165" s="86">
        <f>VLOOKUP($A165,'Data shares'!$C:$FA,90)</f>
        <v>10287300</v>
      </c>
      <c r="I165" s="86">
        <f>VLOOKUP($A165,'Data shares'!$C:$FA,92)</f>
        <v>697300</v>
      </c>
      <c r="J165" s="87">
        <f>VLOOKUP($A165,'Data shares'!$C:$FA,93)</f>
        <v>7.2700000000000001E-2</v>
      </c>
      <c r="K165" s="86">
        <f>VLOOKUP($A165,'Data shares'!$C:$FA,94)</f>
        <v>6825100</v>
      </c>
      <c r="L165" s="86">
        <f>VLOOKUP($A165,'Data shares'!$C:$FA,96)</f>
        <v>-751800</v>
      </c>
      <c r="M165" s="87">
        <f>VLOOKUP($A165,'Data shares'!$C:$FA,97)</f>
        <v>-9.9199999999999997E-2</v>
      </c>
      <c r="N165" s="86">
        <f>VLOOKUP($A165,'Data shares'!$C:$FA,78)</f>
        <v>7485100</v>
      </c>
      <c r="O165" s="87">
        <f>VLOOKUP($A165,'Data shares'!$C:$FA,81)</f>
        <v>-0.24970000000000001</v>
      </c>
    </row>
    <row r="166" spans="1:15" x14ac:dyDescent="0.25">
      <c r="A166" s="100" t="str">
        <f>'OI(Value)'!A166</f>
        <v>PHOENIXLTD</v>
      </c>
      <c r="B166" s="82">
        <f>VLOOKUP(A166,'Data shares'!$C$2:$CV$216,98,0)</f>
        <v>5120850</v>
      </c>
      <c r="C166" s="82">
        <f>VLOOKUP(A166,'Data shares'!$C$2:$CX$216,100,0)</f>
        <v>-48300</v>
      </c>
      <c r="D166" s="141">
        <f>VLOOKUP(A166,'Data shares'!$C$2:$CY$539,101,0)</f>
        <v>-9.2999999999999992E-3</v>
      </c>
      <c r="E166" s="86">
        <f>VLOOKUP($A166,'Data shares'!$C:$FA,74)</f>
        <v>3566850</v>
      </c>
      <c r="F166" s="86">
        <f>VLOOKUP($A166,'Data shares'!$C:$FA,76)</f>
        <v>-3500</v>
      </c>
      <c r="G166" s="87">
        <f>VLOOKUP(A166,'Data shares'!$C$2:$CA$216,77,0)</f>
        <v>-1E-3</v>
      </c>
      <c r="H166" s="86">
        <f>VLOOKUP($A166,'Data shares'!$C:$FA,90)</f>
        <v>1059100</v>
      </c>
      <c r="I166" s="86">
        <f>VLOOKUP($A166,'Data shares'!$C:$FA,92)</f>
        <v>-28350</v>
      </c>
      <c r="J166" s="87">
        <f>VLOOKUP($A166,'Data shares'!$C:$FA,93)</f>
        <v>-2.6100000000000002E-2</v>
      </c>
      <c r="K166" s="86">
        <f>VLOOKUP($A166,'Data shares'!$C:$FA,94)</f>
        <v>494900</v>
      </c>
      <c r="L166" s="86">
        <f>VLOOKUP($A166,'Data shares'!$C:$FA,96)</f>
        <v>-16450</v>
      </c>
      <c r="M166" s="87">
        <f>VLOOKUP($A166,'Data shares'!$C:$FA,97)</f>
        <v>-3.2199999999999999E-2</v>
      </c>
      <c r="N166" s="86">
        <f>VLOOKUP($A166,'Data shares'!$C:$FA,78)</f>
        <v>2772700</v>
      </c>
      <c r="O166" s="87">
        <f>VLOOKUP($A166,'Data shares'!$C:$FA,81)</f>
        <v>-0.1928</v>
      </c>
    </row>
    <row r="167" spans="1:15" x14ac:dyDescent="0.25">
      <c r="A167" s="100" t="str">
        <f>'OI(Value)'!A167</f>
        <v>PIDILITIND</v>
      </c>
      <c r="B167" s="82">
        <f>VLOOKUP(A167,'Data shares'!$C$2:$CV$216,98,0)</f>
        <v>11896500</v>
      </c>
      <c r="C167" s="82">
        <f>VLOOKUP(A167,'Data shares'!$C$2:$CX$216,100,0)</f>
        <v>-634000</v>
      </c>
      <c r="D167" s="141">
        <f>VLOOKUP(A167,'Data shares'!$C$2:$CY$539,101,0)</f>
        <v>-5.0599999999999999E-2</v>
      </c>
      <c r="E167" s="86">
        <f>VLOOKUP($A167,'Data shares'!$C:$FA,74)</f>
        <v>7592000</v>
      </c>
      <c r="F167" s="86">
        <f>VLOOKUP($A167,'Data shares'!$C:$FA,76)</f>
        <v>-176000</v>
      </c>
      <c r="G167" s="87">
        <f>VLOOKUP(A167,'Data shares'!$C$2:$CA$216,77,0)</f>
        <v>-2.2700000000000001E-2</v>
      </c>
      <c r="H167" s="86">
        <f>VLOOKUP($A167,'Data shares'!$C:$FA,90)</f>
        <v>2717000</v>
      </c>
      <c r="I167" s="86">
        <f>VLOOKUP($A167,'Data shares'!$C:$FA,92)</f>
        <v>-342500</v>
      </c>
      <c r="J167" s="87">
        <f>VLOOKUP($A167,'Data shares'!$C:$FA,93)</f>
        <v>-0.1119</v>
      </c>
      <c r="K167" s="86">
        <f>VLOOKUP($A167,'Data shares'!$C:$FA,94)</f>
        <v>1587500</v>
      </c>
      <c r="L167" s="86">
        <f>VLOOKUP($A167,'Data shares'!$C:$FA,96)</f>
        <v>-115500</v>
      </c>
      <c r="M167" s="87">
        <f>VLOOKUP($A167,'Data shares'!$C:$FA,97)</f>
        <v>-6.7799999999999999E-2</v>
      </c>
      <c r="N167" s="86">
        <f>VLOOKUP($A167,'Data shares'!$C:$FA,78)</f>
        <v>5206500</v>
      </c>
      <c r="O167" s="87">
        <f>VLOOKUP($A167,'Data shares'!$C:$FA,81)</f>
        <v>-0.2712</v>
      </c>
    </row>
    <row r="168" spans="1:15" x14ac:dyDescent="0.25">
      <c r="A168" s="100" t="str">
        <f>'OI(Value)'!A168</f>
        <v>PIIND</v>
      </c>
      <c r="B168" s="82">
        <f>VLOOKUP(A168,'Data shares'!$C$2:$CV$216,98,0)</f>
        <v>4966325</v>
      </c>
      <c r="C168" s="82">
        <f>VLOOKUP(A168,'Data shares'!$C$2:$CX$216,100,0)</f>
        <v>-343700</v>
      </c>
      <c r="D168" s="141">
        <f>VLOOKUP(A168,'Data shares'!$C$2:$CY$539,101,0)</f>
        <v>-6.4699999999999994E-2</v>
      </c>
      <c r="E168" s="86">
        <f>VLOOKUP($A168,'Data shares'!$C:$FA,74)</f>
        <v>2643200</v>
      </c>
      <c r="F168" s="86">
        <f>VLOOKUP($A168,'Data shares'!$C:$FA,76)</f>
        <v>-114275</v>
      </c>
      <c r="G168" s="87">
        <f>VLOOKUP(A168,'Data shares'!$C$2:$CA$216,77,0)</f>
        <v>-4.1399999999999999E-2</v>
      </c>
      <c r="H168" s="86">
        <f>VLOOKUP($A168,'Data shares'!$C:$FA,90)</f>
        <v>1387225</v>
      </c>
      <c r="I168" s="86">
        <f>VLOOKUP($A168,'Data shares'!$C:$FA,92)</f>
        <v>-191625</v>
      </c>
      <c r="J168" s="87">
        <f>VLOOKUP($A168,'Data shares'!$C:$FA,93)</f>
        <v>-0.12139999999999999</v>
      </c>
      <c r="K168" s="86">
        <f>VLOOKUP($A168,'Data shares'!$C:$FA,94)</f>
        <v>935900</v>
      </c>
      <c r="L168" s="86">
        <f>VLOOKUP($A168,'Data shares'!$C:$FA,96)</f>
        <v>-37800</v>
      </c>
      <c r="M168" s="87">
        <f>VLOOKUP($A168,'Data shares'!$C:$FA,97)</f>
        <v>-3.8800000000000001E-2</v>
      </c>
      <c r="N168" s="86">
        <f>VLOOKUP($A168,'Data shares'!$C:$FA,78)</f>
        <v>1824025</v>
      </c>
      <c r="O168" s="87">
        <f>VLOOKUP($A168,'Data shares'!$C:$FA,81)</f>
        <v>-0.26050000000000001</v>
      </c>
    </row>
    <row r="169" spans="1:15" x14ac:dyDescent="0.25">
      <c r="A169" s="100" t="str">
        <f>'OI(Value)'!A169</f>
        <v>PNB</v>
      </c>
      <c r="B169" s="82">
        <f>VLOOKUP(A169,'Data shares'!$C$2:$CV$216,98,0)</f>
        <v>436792000</v>
      </c>
      <c r="C169" s="82">
        <f>VLOOKUP(A169,'Data shares'!$C$2:$CX$216,100,0)</f>
        <v>2352000</v>
      </c>
      <c r="D169" s="141">
        <f>VLOOKUP(A169,'Data shares'!$C$2:$CY$539,101,0)</f>
        <v>5.4000000000000003E-3</v>
      </c>
      <c r="E169" s="86">
        <f>VLOOKUP($A169,'Data shares'!$C:$FA,74)</f>
        <v>233096000</v>
      </c>
      <c r="F169" s="86">
        <f>VLOOKUP($A169,'Data shares'!$C:$FA,76)</f>
        <v>3616000</v>
      </c>
      <c r="G169" s="87">
        <f>VLOOKUP(A169,'Data shares'!$C$2:$CA$216,77,0)</f>
        <v>1.5800000000000002E-2</v>
      </c>
      <c r="H169" s="86">
        <f>VLOOKUP($A169,'Data shares'!$C:$FA,90)</f>
        <v>119448000</v>
      </c>
      <c r="I169" s="86">
        <f>VLOOKUP($A169,'Data shares'!$C:$FA,92)</f>
        <v>-296000</v>
      </c>
      <c r="J169" s="87">
        <f>VLOOKUP($A169,'Data shares'!$C:$FA,93)</f>
        <v>-2.5000000000000001E-3</v>
      </c>
      <c r="K169" s="86">
        <f>VLOOKUP($A169,'Data shares'!$C:$FA,94)</f>
        <v>84248000</v>
      </c>
      <c r="L169" s="86">
        <f>VLOOKUP($A169,'Data shares'!$C:$FA,96)</f>
        <v>-968000</v>
      </c>
      <c r="M169" s="87">
        <f>VLOOKUP($A169,'Data shares'!$C:$FA,97)</f>
        <v>-1.14E-2</v>
      </c>
      <c r="N169" s="86">
        <f>VLOOKUP($A169,'Data shares'!$C:$FA,78)</f>
        <v>148928000</v>
      </c>
      <c r="O169" s="87">
        <f>VLOOKUP($A169,'Data shares'!$C:$FA,81)</f>
        <v>-0.2001</v>
      </c>
    </row>
    <row r="170" spans="1:15" x14ac:dyDescent="0.25">
      <c r="A170" s="100" t="str">
        <f>'OI(Value)'!A170</f>
        <v>PNBHOUSING</v>
      </c>
      <c r="B170" s="82">
        <f>VLOOKUP(A170,'Data shares'!$C$2:$CV$216,98,0)</f>
        <v>26497250</v>
      </c>
      <c r="C170" s="82">
        <f>VLOOKUP(A170,'Data shares'!$C$2:$CX$216,100,0)</f>
        <v>-693550</v>
      </c>
      <c r="D170" s="141">
        <f>VLOOKUP(A170,'Data shares'!$C$2:$CY$539,101,0)</f>
        <v>-2.5499999999999998E-2</v>
      </c>
      <c r="E170" s="86">
        <f>VLOOKUP($A170,'Data shares'!$C:$FA,74)</f>
        <v>15870400</v>
      </c>
      <c r="F170" s="86">
        <f>VLOOKUP($A170,'Data shares'!$C:$FA,76)</f>
        <v>-295750</v>
      </c>
      <c r="G170" s="87">
        <f>VLOOKUP(A170,'Data shares'!$C$2:$CA$216,77,0)</f>
        <v>-1.83E-2</v>
      </c>
      <c r="H170" s="86">
        <f>VLOOKUP($A170,'Data shares'!$C:$FA,90)</f>
        <v>5909800</v>
      </c>
      <c r="I170" s="86">
        <f>VLOOKUP($A170,'Data shares'!$C:$FA,92)</f>
        <v>-293800</v>
      </c>
      <c r="J170" s="87">
        <f>VLOOKUP($A170,'Data shares'!$C:$FA,93)</f>
        <v>-4.7399999999999998E-2</v>
      </c>
      <c r="K170" s="86">
        <f>VLOOKUP($A170,'Data shares'!$C:$FA,94)</f>
        <v>4717050</v>
      </c>
      <c r="L170" s="86">
        <f>VLOOKUP($A170,'Data shares'!$C:$FA,96)</f>
        <v>-104000</v>
      </c>
      <c r="M170" s="87">
        <f>VLOOKUP($A170,'Data shares'!$C:$FA,97)</f>
        <v>-2.1600000000000001E-2</v>
      </c>
      <c r="N170" s="86">
        <f>VLOOKUP($A170,'Data shares'!$C:$FA,78)</f>
        <v>12636650</v>
      </c>
      <c r="O170" s="87">
        <f>VLOOKUP($A170,'Data shares'!$C:$FA,81)</f>
        <v>-0.15229999999999999</v>
      </c>
    </row>
    <row r="171" spans="1:15" x14ac:dyDescent="0.25">
      <c r="A171" s="100" t="str">
        <f>'OI(Value)'!A171</f>
        <v>POLICYBZR</v>
      </c>
      <c r="B171" s="82">
        <f>VLOOKUP(A171,'Data shares'!$C$2:$CV$216,98,0)</f>
        <v>12685050</v>
      </c>
      <c r="C171" s="82">
        <f>VLOOKUP(A171,'Data shares'!$C$2:$CX$216,100,0)</f>
        <v>-435750</v>
      </c>
      <c r="D171" s="141">
        <f>VLOOKUP(A171,'Data shares'!$C$2:$CY$539,101,0)</f>
        <v>-3.32E-2</v>
      </c>
      <c r="E171" s="86">
        <f>VLOOKUP($A171,'Data shares'!$C:$FA,74)</f>
        <v>8534400</v>
      </c>
      <c r="F171" s="86">
        <f>VLOOKUP($A171,'Data shares'!$C:$FA,76)</f>
        <v>-172200</v>
      </c>
      <c r="G171" s="87">
        <f>VLOOKUP(A171,'Data shares'!$C$2:$CA$216,77,0)</f>
        <v>-1.9800000000000002E-2</v>
      </c>
      <c r="H171" s="86">
        <f>VLOOKUP($A171,'Data shares'!$C:$FA,90)</f>
        <v>2612050</v>
      </c>
      <c r="I171" s="86">
        <f>VLOOKUP($A171,'Data shares'!$C:$FA,92)</f>
        <v>-194250</v>
      </c>
      <c r="J171" s="87">
        <f>VLOOKUP($A171,'Data shares'!$C:$FA,93)</f>
        <v>-6.9199999999999998E-2</v>
      </c>
      <c r="K171" s="86">
        <f>VLOOKUP($A171,'Data shares'!$C:$FA,94)</f>
        <v>1538600</v>
      </c>
      <c r="L171" s="86">
        <f>VLOOKUP($A171,'Data shares'!$C:$FA,96)</f>
        <v>-69300</v>
      </c>
      <c r="M171" s="87">
        <f>VLOOKUP($A171,'Data shares'!$C:$FA,97)</f>
        <v>-4.3099999999999999E-2</v>
      </c>
      <c r="N171" s="86">
        <f>VLOOKUP($A171,'Data shares'!$C:$FA,78)</f>
        <v>6220900</v>
      </c>
      <c r="O171" s="87">
        <f>VLOOKUP($A171,'Data shares'!$C:$FA,81)</f>
        <v>-0.2263</v>
      </c>
    </row>
    <row r="172" spans="1:15" x14ac:dyDescent="0.25">
      <c r="A172" s="100" t="str">
        <f>'OI(Value)'!A172</f>
        <v>POLYCAB</v>
      </c>
      <c r="B172" s="82">
        <f>VLOOKUP(A172,'Data shares'!$C$2:$CV$216,98,0)</f>
        <v>2665000</v>
      </c>
      <c r="C172" s="82">
        <f>VLOOKUP(A172,'Data shares'!$C$2:$CX$216,100,0)</f>
        <v>-55375</v>
      </c>
      <c r="D172" s="141">
        <f>VLOOKUP(A172,'Data shares'!$C$2:$CY$539,101,0)</f>
        <v>-2.0400000000000001E-2</v>
      </c>
      <c r="E172" s="86">
        <f>VLOOKUP($A172,'Data shares'!$C:$FA,74)</f>
        <v>1524875</v>
      </c>
      <c r="F172" s="86">
        <f>VLOOKUP($A172,'Data shares'!$C:$FA,76)</f>
        <v>65000</v>
      </c>
      <c r="G172" s="87">
        <f>VLOOKUP(A172,'Data shares'!$C$2:$CA$216,77,0)</f>
        <v>4.4499999999999998E-2</v>
      </c>
      <c r="H172" s="86">
        <f>VLOOKUP($A172,'Data shares'!$C:$FA,90)</f>
        <v>762875</v>
      </c>
      <c r="I172" s="86">
        <f>VLOOKUP($A172,'Data shares'!$C:$FA,92)</f>
        <v>-67000</v>
      </c>
      <c r="J172" s="87">
        <f>VLOOKUP($A172,'Data shares'!$C:$FA,93)</f>
        <v>-8.0699999999999994E-2</v>
      </c>
      <c r="K172" s="86">
        <f>VLOOKUP($A172,'Data shares'!$C:$FA,94)</f>
        <v>377250</v>
      </c>
      <c r="L172" s="86">
        <f>VLOOKUP($A172,'Data shares'!$C:$FA,96)</f>
        <v>-53375</v>
      </c>
      <c r="M172" s="87">
        <f>VLOOKUP($A172,'Data shares'!$C:$FA,97)</f>
        <v>-0.1239</v>
      </c>
      <c r="N172" s="86">
        <f>VLOOKUP($A172,'Data shares'!$C:$FA,78)</f>
        <v>1005250</v>
      </c>
      <c r="O172" s="87">
        <f>VLOOKUP($A172,'Data shares'!$C:$FA,81)</f>
        <v>-0.26929999999999998</v>
      </c>
    </row>
    <row r="173" spans="1:15" x14ac:dyDescent="0.25">
      <c r="A173" s="100" t="str">
        <f>'OI(Value)'!A173</f>
        <v>POWERGRID</v>
      </c>
      <c r="B173" s="82">
        <f>VLOOKUP(A173,'Data shares'!$C$2:$CV$216,98,0)</f>
        <v>135057700</v>
      </c>
      <c r="C173" s="82">
        <f>VLOOKUP(A173,'Data shares'!$C$2:$CX$216,100,0)</f>
        <v>-7940100</v>
      </c>
      <c r="D173" s="141">
        <f>VLOOKUP(A173,'Data shares'!$C$2:$CY$539,101,0)</f>
        <v>-5.5500000000000001E-2</v>
      </c>
      <c r="E173" s="86">
        <f>VLOOKUP($A173,'Data shares'!$C:$FA,74)</f>
        <v>77320500</v>
      </c>
      <c r="F173" s="86">
        <f>VLOOKUP($A173,'Data shares'!$C:$FA,76)</f>
        <v>-3496000</v>
      </c>
      <c r="G173" s="87">
        <f>VLOOKUP(A173,'Data shares'!$C$2:$CA$216,77,0)</f>
        <v>-4.3299999999999998E-2</v>
      </c>
      <c r="H173" s="86">
        <f>VLOOKUP($A173,'Data shares'!$C:$FA,90)</f>
        <v>36920800</v>
      </c>
      <c r="I173" s="86">
        <f>VLOOKUP($A173,'Data shares'!$C:$FA,92)</f>
        <v>-3608100</v>
      </c>
      <c r="J173" s="87">
        <f>VLOOKUP($A173,'Data shares'!$C:$FA,93)</f>
        <v>-8.8999999999999996E-2</v>
      </c>
      <c r="K173" s="86">
        <f>VLOOKUP($A173,'Data shares'!$C:$FA,94)</f>
        <v>20816400</v>
      </c>
      <c r="L173" s="86">
        <f>VLOOKUP($A173,'Data shares'!$C:$FA,96)</f>
        <v>-836000</v>
      </c>
      <c r="M173" s="87">
        <f>VLOOKUP($A173,'Data shares'!$C:$FA,97)</f>
        <v>-3.8600000000000002E-2</v>
      </c>
      <c r="N173" s="86">
        <f>VLOOKUP($A173,'Data shares'!$C:$FA,78)</f>
        <v>49329700</v>
      </c>
      <c r="O173" s="87">
        <f>VLOOKUP($A173,'Data shares'!$C:$FA,81)</f>
        <v>-0.2888</v>
      </c>
    </row>
    <row r="174" spans="1:15" x14ac:dyDescent="0.25">
      <c r="A174" s="100" t="str">
        <f>'OI(Value)'!A174</f>
        <v>POWERINDIA</v>
      </c>
      <c r="B174" s="82">
        <f>VLOOKUP(A174,'Data shares'!$C$2:$CV$216,98,0)</f>
        <v>890600</v>
      </c>
      <c r="C174" s="82">
        <f>VLOOKUP(A174,'Data shares'!$C$2:$CX$216,100,0)</f>
        <v>163200</v>
      </c>
      <c r="D174" s="141">
        <f>VLOOKUP(A174,'Data shares'!$C$2:$CY$539,101,0)</f>
        <v>0.22439999999999999</v>
      </c>
      <c r="E174" s="86">
        <f>VLOOKUP($A174,'Data shares'!$C:$FA,74)</f>
        <v>177250</v>
      </c>
      <c r="F174" s="86">
        <f>VLOOKUP($A174,'Data shares'!$C:$FA,76)</f>
        <v>9900</v>
      </c>
      <c r="G174" s="87">
        <f>VLOOKUP(A174,'Data shares'!$C$2:$CA$216,77,0)</f>
        <v>5.9200000000000003E-2</v>
      </c>
      <c r="H174" s="86">
        <f>VLOOKUP($A174,'Data shares'!$C:$FA,90)</f>
        <v>397600</v>
      </c>
      <c r="I174" s="86">
        <f>VLOOKUP($A174,'Data shares'!$C:$FA,92)</f>
        <v>112450</v>
      </c>
      <c r="J174" s="87">
        <f>VLOOKUP($A174,'Data shares'!$C:$FA,93)</f>
        <v>0.39439999999999997</v>
      </c>
      <c r="K174" s="86">
        <f>VLOOKUP($A174,'Data shares'!$C:$FA,94)</f>
        <v>315750</v>
      </c>
      <c r="L174" s="86">
        <f>VLOOKUP($A174,'Data shares'!$C:$FA,96)</f>
        <v>40850</v>
      </c>
      <c r="M174" s="87">
        <f>VLOOKUP($A174,'Data shares'!$C:$FA,97)</f>
        <v>0.14860000000000001</v>
      </c>
      <c r="N174" s="86">
        <f>VLOOKUP($A174,'Data shares'!$C:$FA,78)</f>
        <v>121500</v>
      </c>
      <c r="O174" s="87">
        <f>VLOOKUP($A174,'Data shares'!$C:$FA,81)</f>
        <v>-0.1726</v>
      </c>
    </row>
    <row r="175" spans="1:15" x14ac:dyDescent="0.25">
      <c r="A175" s="100" t="str">
        <f>'OI(Value)'!A175</f>
        <v>PPLPHARMA</v>
      </c>
      <c r="B175" s="82">
        <f>VLOOKUP(A175,'Data shares'!$C$2:$CV$216,98,0)</f>
        <v>46958625</v>
      </c>
      <c r="C175" s="82">
        <f>VLOOKUP(A175,'Data shares'!$C$2:$CX$216,100,0)</f>
        <v>-2768125</v>
      </c>
      <c r="D175" s="141">
        <f>VLOOKUP(A175,'Data shares'!$C$2:$CY$539,101,0)</f>
        <v>-5.57E-2</v>
      </c>
      <c r="E175" s="86">
        <f>VLOOKUP($A175,'Data shares'!$C:$FA,74)</f>
        <v>21829875</v>
      </c>
      <c r="F175" s="86">
        <f>VLOOKUP($A175,'Data shares'!$C:$FA,76)</f>
        <v>-2270875</v>
      </c>
      <c r="G175" s="87">
        <f>VLOOKUP(A175,'Data shares'!$C$2:$CA$216,77,0)</f>
        <v>-9.4200000000000006E-2</v>
      </c>
      <c r="H175" s="86">
        <f>VLOOKUP($A175,'Data shares'!$C:$FA,90)</f>
        <v>17490625</v>
      </c>
      <c r="I175" s="86">
        <f>VLOOKUP($A175,'Data shares'!$C:$FA,92)</f>
        <v>-459750</v>
      </c>
      <c r="J175" s="87">
        <f>VLOOKUP($A175,'Data shares'!$C:$FA,93)</f>
        <v>-2.5600000000000001E-2</v>
      </c>
      <c r="K175" s="86">
        <f>VLOOKUP($A175,'Data shares'!$C:$FA,94)</f>
        <v>7638125</v>
      </c>
      <c r="L175" s="86">
        <f>VLOOKUP($A175,'Data shares'!$C:$FA,96)</f>
        <v>-37500</v>
      </c>
      <c r="M175" s="87">
        <f>VLOOKUP($A175,'Data shares'!$C:$FA,97)</f>
        <v>-4.8999999999999998E-3</v>
      </c>
      <c r="N175" s="86">
        <f>VLOOKUP($A175,'Data shares'!$C:$FA,78)</f>
        <v>14262500</v>
      </c>
      <c r="O175" s="87">
        <f>VLOOKUP($A175,'Data shares'!$C:$FA,81)</f>
        <v>-0.27610000000000001</v>
      </c>
    </row>
    <row r="176" spans="1:15" x14ac:dyDescent="0.25">
      <c r="A176" s="100" t="str">
        <f>'OI(Value)'!A176</f>
        <v>PRESTIGE</v>
      </c>
      <c r="B176" s="82">
        <f>VLOOKUP(A176,'Data shares'!$C$2:$CV$216,98,0)</f>
        <v>7158150</v>
      </c>
      <c r="C176" s="82">
        <f>VLOOKUP(A176,'Data shares'!$C$2:$CX$216,100,0)</f>
        <v>-339300</v>
      </c>
      <c r="D176" s="141">
        <f>VLOOKUP(A176,'Data shares'!$C$2:$CY$539,101,0)</f>
        <v>-4.53E-2</v>
      </c>
      <c r="E176" s="86">
        <f>VLOOKUP($A176,'Data shares'!$C:$FA,74)</f>
        <v>3762000</v>
      </c>
      <c r="F176" s="86">
        <f>VLOOKUP($A176,'Data shares'!$C:$FA,76)</f>
        <v>3150</v>
      </c>
      <c r="G176" s="87">
        <f>VLOOKUP(A176,'Data shares'!$C$2:$CA$216,77,0)</f>
        <v>8.0000000000000004E-4</v>
      </c>
      <c r="H176" s="86">
        <f>VLOOKUP($A176,'Data shares'!$C:$FA,90)</f>
        <v>2170800</v>
      </c>
      <c r="I176" s="86">
        <f>VLOOKUP($A176,'Data shares'!$C:$FA,92)</f>
        <v>-300150</v>
      </c>
      <c r="J176" s="87">
        <f>VLOOKUP($A176,'Data shares'!$C:$FA,93)</f>
        <v>-0.1215</v>
      </c>
      <c r="K176" s="86">
        <f>VLOOKUP($A176,'Data shares'!$C:$FA,94)</f>
        <v>1225350</v>
      </c>
      <c r="L176" s="86">
        <f>VLOOKUP($A176,'Data shares'!$C:$FA,96)</f>
        <v>-42300</v>
      </c>
      <c r="M176" s="87">
        <f>VLOOKUP($A176,'Data shares'!$C:$FA,97)</f>
        <v>-3.3399999999999999E-2</v>
      </c>
      <c r="N176" s="86">
        <f>VLOOKUP($A176,'Data shares'!$C:$FA,78)</f>
        <v>2813400</v>
      </c>
      <c r="O176" s="87">
        <f>VLOOKUP($A176,'Data shares'!$C:$FA,81)</f>
        <v>-0.20039999999999999</v>
      </c>
    </row>
    <row r="177" spans="1:15" x14ac:dyDescent="0.25">
      <c r="A177" s="100" t="str">
        <f>'OI(Value)'!A177</f>
        <v>RBLBANK</v>
      </c>
      <c r="B177" s="82">
        <f>VLOOKUP(A177,'Data shares'!$C$2:$CV$216,98,0)</f>
        <v>116411375</v>
      </c>
      <c r="C177" s="82">
        <f>VLOOKUP(A177,'Data shares'!$C$2:$CX$216,100,0)</f>
        <v>-2425700</v>
      </c>
      <c r="D177" s="141">
        <f>VLOOKUP(A177,'Data shares'!$C$2:$CY$539,101,0)</f>
        <v>-2.0400000000000001E-2</v>
      </c>
      <c r="E177" s="86">
        <f>VLOOKUP($A177,'Data shares'!$C:$FA,74)</f>
        <v>78673325</v>
      </c>
      <c r="F177" s="86">
        <f>VLOOKUP($A177,'Data shares'!$C:$FA,76)</f>
        <v>-835025</v>
      </c>
      <c r="G177" s="87">
        <f>VLOOKUP(A177,'Data shares'!$C$2:$CA$216,77,0)</f>
        <v>-1.0500000000000001E-2</v>
      </c>
      <c r="H177" s="86">
        <f>VLOOKUP($A177,'Data shares'!$C:$FA,90)</f>
        <v>22139275</v>
      </c>
      <c r="I177" s="86">
        <f>VLOOKUP($A177,'Data shares'!$C:$FA,92)</f>
        <v>-774700</v>
      </c>
      <c r="J177" s="87">
        <f>VLOOKUP($A177,'Data shares'!$C:$FA,93)</f>
        <v>-3.3799999999999997E-2</v>
      </c>
      <c r="K177" s="86">
        <f>VLOOKUP($A177,'Data shares'!$C:$FA,94)</f>
        <v>15598775</v>
      </c>
      <c r="L177" s="86">
        <f>VLOOKUP($A177,'Data shares'!$C:$FA,96)</f>
        <v>-815975</v>
      </c>
      <c r="M177" s="87">
        <f>VLOOKUP($A177,'Data shares'!$C:$FA,97)</f>
        <v>-4.9700000000000001E-2</v>
      </c>
      <c r="N177" s="86">
        <f>VLOOKUP($A177,'Data shares'!$C:$FA,78)</f>
        <v>56610250</v>
      </c>
      <c r="O177" s="87">
        <f>VLOOKUP($A177,'Data shares'!$C:$FA,81)</f>
        <v>-0.18940000000000001</v>
      </c>
    </row>
    <row r="178" spans="1:15" x14ac:dyDescent="0.25">
      <c r="A178" s="100" t="str">
        <f>'OI(Value)'!A178</f>
        <v>RECLTD</v>
      </c>
      <c r="B178" s="82">
        <f>VLOOKUP(A178,'Data shares'!$C$2:$CV$216,98,0)</f>
        <v>176613375</v>
      </c>
      <c r="C178" s="82">
        <f>VLOOKUP(A178,'Data shares'!$C$2:$CX$216,100,0)</f>
        <v>-8695600</v>
      </c>
      <c r="D178" s="141">
        <f>VLOOKUP(A178,'Data shares'!$C$2:$CY$539,101,0)</f>
        <v>-4.6899999999999997E-2</v>
      </c>
      <c r="E178" s="86">
        <f>VLOOKUP($A178,'Data shares'!$C:$FA,74)</f>
        <v>103604125</v>
      </c>
      <c r="F178" s="86">
        <f>VLOOKUP($A178,'Data shares'!$C:$FA,76)</f>
        <v>-2481025</v>
      </c>
      <c r="G178" s="87">
        <f>VLOOKUP(A178,'Data shares'!$C$2:$CA$216,77,0)</f>
        <v>-2.3400000000000001E-2</v>
      </c>
      <c r="H178" s="86">
        <f>VLOOKUP($A178,'Data shares'!$C:$FA,90)</f>
        <v>42331950</v>
      </c>
      <c r="I178" s="86">
        <f>VLOOKUP($A178,'Data shares'!$C:$FA,92)</f>
        <v>-4810375</v>
      </c>
      <c r="J178" s="87">
        <f>VLOOKUP($A178,'Data shares'!$C:$FA,93)</f>
        <v>-0.10199999999999999</v>
      </c>
      <c r="K178" s="86">
        <f>VLOOKUP($A178,'Data shares'!$C:$FA,94)</f>
        <v>30677300</v>
      </c>
      <c r="L178" s="86">
        <f>VLOOKUP($A178,'Data shares'!$C:$FA,96)</f>
        <v>-1404200</v>
      </c>
      <c r="M178" s="87">
        <f>VLOOKUP($A178,'Data shares'!$C:$FA,97)</f>
        <v>-4.3799999999999999E-2</v>
      </c>
      <c r="N178" s="86">
        <f>VLOOKUP($A178,'Data shares'!$C:$FA,78)</f>
        <v>69876375</v>
      </c>
      <c r="O178" s="87">
        <f>VLOOKUP($A178,'Data shares'!$C:$FA,81)</f>
        <v>-0.18210000000000001</v>
      </c>
    </row>
    <row r="179" spans="1:15" x14ac:dyDescent="0.25">
      <c r="A179" s="100" t="str">
        <f>'OI(Value)'!A179</f>
        <v>RELIANCE</v>
      </c>
      <c r="B179" s="82">
        <f>VLOOKUP(A179,'Data shares'!$C$2:$CV$216,98,0)</f>
        <v>191335000</v>
      </c>
      <c r="C179" s="82">
        <f>VLOOKUP(A179,'Data shares'!$C$2:$CX$216,100,0)</f>
        <v>7317000</v>
      </c>
      <c r="D179" s="141">
        <f>VLOOKUP(A179,'Data shares'!$C$2:$CY$539,101,0)</f>
        <v>3.9800000000000002E-2</v>
      </c>
      <c r="E179" s="86">
        <f>VLOOKUP($A179,'Data shares'!$C:$FA,74)</f>
        <v>107776500</v>
      </c>
      <c r="F179" s="86">
        <f>VLOOKUP($A179,'Data shares'!$C:$FA,76)</f>
        <v>59000</v>
      </c>
      <c r="G179" s="87">
        <f>VLOOKUP(A179,'Data shares'!$C$2:$CA$216,77,0)</f>
        <v>5.0000000000000001E-4</v>
      </c>
      <c r="H179" s="86">
        <f>VLOOKUP($A179,'Data shares'!$C:$FA,90)</f>
        <v>48184500</v>
      </c>
      <c r="I179" s="86">
        <f>VLOOKUP($A179,'Data shares'!$C:$FA,92)</f>
        <v>1886000</v>
      </c>
      <c r="J179" s="87">
        <f>VLOOKUP($A179,'Data shares'!$C:$FA,93)</f>
        <v>4.07E-2</v>
      </c>
      <c r="K179" s="86">
        <f>VLOOKUP($A179,'Data shares'!$C:$FA,94)</f>
        <v>35374000</v>
      </c>
      <c r="L179" s="86">
        <f>VLOOKUP($A179,'Data shares'!$C:$FA,96)</f>
        <v>5372000</v>
      </c>
      <c r="M179" s="87">
        <f>VLOOKUP($A179,'Data shares'!$C:$FA,97)</f>
        <v>0.17910000000000001</v>
      </c>
      <c r="N179" s="86">
        <f>VLOOKUP($A179,'Data shares'!$C:$FA,78)</f>
        <v>68346500</v>
      </c>
      <c r="O179" s="87">
        <f>VLOOKUP($A179,'Data shares'!$C:$FA,81)</f>
        <v>-0.22969999999999999</v>
      </c>
    </row>
    <row r="180" spans="1:15" x14ac:dyDescent="0.25">
      <c r="A180" s="100" t="str">
        <f>'OI(Value)'!A180</f>
        <v>RVNL</v>
      </c>
      <c r="B180" s="82">
        <f>VLOOKUP(A180,'Data shares'!$C$2:$CV$216,98,0)</f>
        <v>65201575</v>
      </c>
      <c r="C180" s="82">
        <f>VLOOKUP(A180,'Data shares'!$C$2:$CX$216,100,0)</f>
        <v>-11190375</v>
      </c>
      <c r="D180" s="141">
        <f>VLOOKUP(A180,'Data shares'!$C$2:$CY$539,101,0)</f>
        <v>-0.14649999999999999</v>
      </c>
      <c r="E180" s="86">
        <f>VLOOKUP($A180,'Data shares'!$C:$FA,74)</f>
        <v>39582675</v>
      </c>
      <c r="F180" s="86">
        <f>VLOOKUP($A180,'Data shares'!$C:$FA,76)</f>
        <v>-8863250</v>
      </c>
      <c r="G180" s="87">
        <f>VLOOKUP(A180,'Data shares'!$C$2:$CA$216,77,0)</f>
        <v>-0.183</v>
      </c>
      <c r="H180" s="86">
        <f>VLOOKUP($A180,'Data shares'!$C:$FA,90)</f>
        <v>16655350</v>
      </c>
      <c r="I180" s="86">
        <f>VLOOKUP($A180,'Data shares'!$C:$FA,92)</f>
        <v>-1855500</v>
      </c>
      <c r="J180" s="87">
        <f>VLOOKUP($A180,'Data shares'!$C:$FA,93)</f>
        <v>-0.1002</v>
      </c>
      <c r="K180" s="86">
        <f>VLOOKUP($A180,'Data shares'!$C:$FA,94)</f>
        <v>8963550</v>
      </c>
      <c r="L180" s="86">
        <f>VLOOKUP($A180,'Data shares'!$C:$FA,96)</f>
        <v>-471625</v>
      </c>
      <c r="M180" s="87">
        <f>VLOOKUP($A180,'Data shares'!$C:$FA,97)</f>
        <v>-0.05</v>
      </c>
      <c r="N180" s="86">
        <f>VLOOKUP($A180,'Data shares'!$C:$FA,78)</f>
        <v>21088375</v>
      </c>
      <c r="O180" s="87">
        <f>VLOOKUP($A180,'Data shares'!$C:$FA,81)</f>
        <v>-0.38879999999999998</v>
      </c>
    </row>
    <row r="181" spans="1:15" x14ac:dyDescent="0.25">
      <c r="A181" s="100" t="str">
        <f>'OI(Value)'!A181</f>
        <v>SAIL</v>
      </c>
      <c r="B181" s="82">
        <f>VLOOKUP(A181,'Data shares'!$C$2:$CV$216,98,0)</f>
        <v>272515400</v>
      </c>
      <c r="C181" s="82">
        <f>VLOOKUP(A181,'Data shares'!$C$2:$CX$216,100,0)</f>
        <v>-3539100</v>
      </c>
      <c r="D181" s="141">
        <f>VLOOKUP(A181,'Data shares'!$C$2:$CY$539,101,0)</f>
        <v>-1.2800000000000001E-2</v>
      </c>
      <c r="E181" s="86">
        <f>VLOOKUP($A181,'Data shares'!$C:$FA,74)</f>
        <v>181791300</v>
      </c>
      <c r="F181" s="86">
        <f>VLOOKUP($A181,'Data shares'!$C:$FA,76)</f>
        <v>-1005800</v>
      </c>
      <c r="G181" s="87">
        <f>VLOOKUP(A181,'Data shares'!$C$2:$CA$216,77,0)</f>
        <v>-5.4999999999999997E-3</v>
      </c>
      <c r="H181" s="86">
        <f>VLOOKUP($A181,'Data shares'!$C:$FA,90)</f>
        <v>48076300</v>
      </c>
      <c r="I181" s="86">
        <f>VLOOKUP($A181,'Data shares'!$C:$FA,92)</f>
        <v>-1945800</v>
      </c>
      <c r="J181" s="87">
        <f>VLOOKUP($A181,'Data shares'!$C:$FA,93)</f>
        <v>-3.8899999999999997E-2</v>
      </c>
      <c r="K181" s="86">
        <f>VLOOKUP($A181,'Data shares'!$C:$FA,94)</f>
        <v>42647800</v>
      </c>
      <c r="L181" s="86">
        <f>VLOOKUP($A181,'Data shares'!$C:$FA,96)</f>
        <v>-587500</v>
      </c>
      <c r="M181" s="87">
        <f>VLOOKUP($A181,'Data shares'!$C:$FA,97)</f>
        <v>-1.3599999999999999E-2</v>
      </c>
      <c r="N181" s="86">
        <f>VLOOKUP($A181,'Data shares'!$C:$FA,78)</f>
        <v>163484800</v>
      </c>
      <c r="O181" s="87">
        <f>VLOOKUP($A181,'Data shares'!$C:$FA,81)</f>
        <v>-3.3599999999999998E-2</v>
      </c>
    </row>
    <row r="182" spans="1:15" x14ac:dyDescent="0.25">
      <c r="A182" s="100" t="str">
        <f>'OI(Value)'!A182</f>
        <v>SAMMAANCAP</v>
      </c>
      <c r="B182" s="82">
        <f>VLOOKUP(A182,'Data shares'!$C$2:$CV$216,98,0)</f>
        <v>215391300</v>
      </c>
      <c r="C182" s="82">
        <f>VLOOKUP(A182,'Data shares'!$C$2:$CX$216,100,0)</f>
        <v>-29971000</v>
      </c>
      <c r="D182" s="141">
        <f>VLOOKUP(A182,'Data shares'!$C$2:$CY$539,101,0)</f>
        <v>-0.1221</v>
      </c>
      <c r="E182" s="86">
        <f>VLOOKUP($A182,'Data shares'!$C:$FA,74)</f>
        <v>110217600</v>
      </c>
      <c r="F182" s="86">
        <f>VLOOKUP($A182,'Data shares'!$C:$FA,76)</f>
        <v>-12255000</v>
      </c>
      <c r="G182" s="87">
        <f>VLOOKUP(A182,'Data shares'!$C$2:$CA$216,77,0)</f>
        <v>-0.10009999999999999</v>
      </c>
      <c r="H182" s="86">
        <f>VLOOKUP($A182,'Data shares'!$C:$FA,90)</f>
        <v>66336100</v>
      </c>
      <c r="I182" s="86">
        <f>VLOOKUP($A182,'Data shares'!$C:$FA,92)</f>
        <v>-9563200</v>
      </c>
      <c r="J182" s="87">
        <f>VLOOKUP($A182,'Data shares'!$C:$FA,93)</f>
        <v>-0.126</v>
      </c>
      <c r="K182" s="86">
        <f>VLOOKUP($A182,'Data shares'!$C:$FA,94)</f>
        <v>38837600</v>
      </c>
      <c r="L182" s="86">
        <f>VLOOKUP($A182,'Data shares'!$C:$FA,96)</f>
        <v>-8152800</v>
      </c>
      <c r="M182" s="87">
        <f>VLOOKUP($A182,'Data shares'!$C:$FA,97)</f>
        <v>-0.17349999999999999</v>
      </c>
      <c r="N182" s="86">
        <f>VLOOKUP($A182,'Data shares'!$C:$FA,78)</f>
        <v>56910500</v>
      </c>
      <c r="O182" s="87">
        <f>VLOOKUP($A182,'Data shares'!$C:$FA,81)</f>
        <v>-0.19889999999999999</v>
      </c>
    </row>
    <row r="183" spans="1:15" x14ac:dyDescent="0.25">
      <c r="A183" s="100" t="str">
        <f>'OI(Value)'!A183</f>
        <v>SBICARD</v>
      </c>
      <c r="B183" s="82">
        <f>VLOOKUP(A183,'Data shares'!$C$2:$CV$216,98,0)</f>
        <v>32474400</v>
      </c>
      <c r="C183" s="82">
        <f>VLOOKUP(A183,'Data shares'!$C$2:$CX$216,100,0)</f>
        <v>-4232800</v>
      </c>
      <c r="D183" s="141">
        <f>VLOOKUP(A183,'Data shares'!$C$2:$CY$539,101,0)</f>
        <v>-0.1153</v>
      </c>
      <c r="E183" s="86">
        <f>VLOOKUP($A183,'Data shares'!$C:$FA,74)</f>
        <v>19987200</v>
      </c>
      <c r="F183" s="86">
        <f>VLOOKUP($A183,'Data shares'!$C:$FA,76)</f>
        <v>-2692800</v>
      </c>
      <c r="G183" s="87">
        <f>VLOOKUP(A183,'Data shares'!$C$2:$CA$216,77,0)</f>
        <v>-0.1187</v>
      </c>
      <c r="H183" s="86">
        <f>VLOOKUP($A183,'Data shares'!$C:$FA,90)</f>
        <v>8404800</v>
      </c>
      <c r="I183" s="86">
        <f>VLOOKUP($A183,'Data shares'!$C:$FA,92)</f>
        <v>-1188000</v>
      </c>
      <c r="J183" s="87">
        <f>VLOOKUP($A183,'Data shares'!$C:$FA,93)</f>
        <v>-0.12379999999999999</v>
      </c>
      <c r="K183" s="86">
        <f>VLOOKUP($A183,'Data shares'!$C:$FA,94)</f>
        <v>4082400</v>
      </c>
      <c r="L183" s="86">
        <f>VLOOKUP($A183,'Data shares'!$C:$FA,96)</f>
        <v>-352000</v>
      </c>
      <c r="M183" s="87">
        <f>VLOOKUP($A183,'Data shares'!$C:$FA,97)</f>
        <v>-7.9399999999999998E-2</v>
      </c>
      <c r="N183" s="86">
        <f>VLOOKUP($A183,'Data shares'!$C:$FA,78)</f>
        <v>13812000</v>
      </c>
      <c r="O183" s="87">
        <f>VLOOKUP($A183,'Data shares'!$C:$FA,81)</f>
        <v>-0.25779999999999997</v>
      </c>
    </row>
    <row r="184" spans="1:15" x14ac:dyDescent="0.25">
      <c r="A184" s="100" t="str">
        <f>'OI(Value)'!A184</f>
        <v>SBILIFE</v>
      </c>
      <c r="B184" s="82">
        <f>VLOOKUP(A184,'Data shares'!$C$2:$CV$216,98,0)</f>
        <v>17629500</v>
      </c>
      <c r="C184" s="82">
        <f>VLOOKUP(A184,'Data shares'!$C$2:$CX$216,100,0)</f>
        <v>1149750</v>
      </c>
      <c r="D184" s="141">
        <f>VLOOKUP(A184,'Data shares'!$C$2:$CY$539,101,0)</f>
        <v>6.9800000000000001E-2</v>
      </c>
      <c r="E184" s="86">
        <f>VLOOKUP($A184,'Data shares'!$C:$FA,74)</f>
        <v>8203125</v>
      </c>
      <c r="F184" s="86">
        <f>VLOOKUP($A184,'Data shares'!$C:$FA,76)</f>
        <v>322125</v>
      </c>
      <c r="G184" s="87">
        <f>VLOOKUP(A184,'Data shares'!$C$2:$CA$216,77,0)</f>
        <v>4.0899999999999999E-2</v>
      </c>
      <c r="H184" s="86">
        <f>VLOOKUP($A184,'Data shares'!$C:$FA,90)</f>
        <v>5697750</v>
      </c>
      <c r="I184" s="86">
        <f>VLOOKUP($A184,'Data shares'!$C:$FA,92)</f>
        <v>449625</v>
      </c>
      <c r="J184" s="87">
        <f>VLOOKUP($A184,'Data shares'!$C:$FA,93)</f>
        <v>8.5699999999999998E-2</v>
      </c>
      <c r="K184" s="86">
        <f>VLOOKUP($A184,'Data shares'!$C:$FA,94)</f>
        <v>3728625</v>
      </c>
      <c r="L184" s="86">
        <f>VLOOKUP($A184,'Data shares'!$C:$FA,96)</f>
        <v>378000</v>
      </c>
      <c r="M184" s="87">
        <f>VLOOKUP($A184,'Data shares'!$C:$FA,97)</f>
        <v>0.1128</v>
      </c>
      <c r="N184" s="86">
        <f>VLOOKUP($A184,'Data shares'!$C:$FA,78)</f>
        <v>5598375</v>
      </c>
      <c r="O184" s="87">
        <f>VLOOKUP($A184,'Data shares'!$C:$FA,81)</f>
        <v>-0.2235</v>
      </c>
    </row>
    <row r="185" spans="1:15" x14ac:dyDescent="0.25">
      <c r="A185" s="100" t="str">
        <f>'OI(Value)'!A185</f>
        <v>SBIN</v>
      </c>
      <c r="B185" s="82">
        <f>VLOOKUP(A185,'Data shares'!$C$2:$CV$216,98,0)</f>
        <v>166377000</v>
      </c>
      <c r="C185" s="82">
        <f>VLOOKUP(A185,'Data shares'!$C$2:$CX$216,100,0)</f>
        <v>-3439500</v>
      </c>
      <c r="D185" s="141">
        <f>VLOOKUP(A185,'Data shares'!$C$2:$CY$539,101,0)</f>
        <v>-2.0299999999999999E-2</v>
      </c>
      <c r="E185" s="86">
        <f>VLOOKUP($A185,'Data shares'!$C:$FA,74)</f>
        <v>74055750</v>
      </c>
      <c r="F185" s="86">
        <f>VLOOKUP($A185,'Data shares'!$C:$FA,76)</f>
        <v>-1100250</v>
      </c>
      <c r="G185" s="87">
        <f>VLOOKUP(A185,'Data shares'!$C$2:$CA$216,77,0)</f>
        <v>-1.46E-2</v>
      </c>
      <c r="H185" s="86">
        <f>VLOOKUP($A185,'Data shares'!$C:$FA,90)</f>
        <v>48297000</v>
      </c>
      <c r="I185" s="86">
        <f>VLOOKUP($A185,'Data shares'!$C:$FA,92)</f>
        <v>670500</v>
      </c>
      <c r="J185" s="87">
        <f>VLOOKUP($A185,'Data shares'!$C:$FA,93)</f>
        <v>1.41E-2</v>
      </c>
      <c r="K185" s="86">
        <f>VLOOKUP($A185,'Data shares'!$C:$FA,94)</f>
        <v>44024250</v>
      </c>
      <c r="L185" s="86">
        <f>VLOOKUP($A185,'Data shares'!$C:$FA,96)</f>
        <v>-3009750</v>
      </c>
      <c r="M185" s="87">
        <f>VLOOKUP($A185,'Data shares'!$C:$FA,97)</f>
        <v>-6.4000000000000001E-2</v>
      </c>
      <c r="N185" s="86">
        <f>VLOOKUP($A185,'Data shares'!$C:$FA,78)</f>
        <v>45949500</v>
      </c>
      <c r="O185" s="87">
        <f>VLOOKUP($A185,'Data shares'!$C:$FA,81)</f>
        <v>-0.26</v>
      </c>
    </row>
    <row r="186" spans="1:15" x14ac:dyDescent="0.25">
      <c r="A186" s="100" t="str">
        <f>'OI(Value)'!A186</f>
        <v>SHREECEM</v>
      </c>
      <c r="B186" s="82">
        <f>VLOOKUP(A186,'Data shares'!$C$2:$CV$216,98,0)</f>
        <v>521950</v>
      </c>
      <c r="C186" s="82">
        <f>VLOOKUP(A186,'Data shares'!$C$2:$CX$216,100,0)</f>
        <v>-29825</v>
      </c>
      <c r="D186" s="141">
        <f>VLOOKUP(A186,'Data shares'!$C$2:$CY$539,101,0)</f>
        <v>-5.4100000000000002E-2</v>
      </c>
      <c r="E186" s="86">
        <f>VLOOKUP($A186,'Data shares'!$C:$FA,74)</f>
        <v>299175</v>
      </c>
      <c r="F186" s="86">
        <f>VLOOKUP($A186,'Data shares'!$C:$FA,76)</f>
        <v>-8450</v>
      </c>
      <c r="G186" s="87">
        <f>VLOOKUP(A186,'Data shares'!$C$2:$CA$216,77,0)</f>
        <v>-2.75E-2</v>
      </c>
      <c r="H186" s="86">
        <f>VLOOKUP($A186,'Data shares'!$C:$FA,90)</f>
        <v>165475</v>
      </c>
      <c r="I186" s="86">
        <f>VLOOKUP($A186,'Data shares'!$C:$FA,92)</f>
        <v>-20525</v>
      </c>
      <c r="J186" s="87">
        <f>VLOOKUP($A186,'Data shares'!$C:$FA,93)</f>
        <v>-0.1103</v>
      </c>
      <c r="K186" s="86">
        <f>VLOOKUP($A186,'Data shares'!$C:$FA,94)</f>
        <v>57300</v>
      </c>
      <c r="L186" s="86">
        <f>VLOOKUP($A186,'Data shares'!$C:$FA,96)</f>
        <v>-850</v>
      </c>
      <c r="M186" s="87">
        <f>VLOOKUP($A186,'Data shares'!$C:$FA,97)</f>
        <v>-1.46E-2</v>
      </c>
      <c r="N186" s="86">
        <f>VLOOKUP($A186,'Data shares'!$C:$FA,78)</f>
        <v>211750</v>
      </c>
      <c r="O186" s="87">
        <f>VLOOKUP($A186,'Data shares'!$C:$FA,81)</f>
        <v>-0.25750000000000001</v>
      </c>
    </row>
    <row r="187" spans="1:15" x14ac:dyDescent="0.25">
      <c r="A187" s="100" t="str">
        <f>'OI(Value)'!A187</f>
        <v>SHRIRAMFIN</v>
      </c>
      <c r="B187" s="82">
        <f>VLOOKUP(A187,'Data shares'!$C$2:$CV$216,98,0)</f>
        <v>87690075</v>
      </c>
      <c r="C187" s="82">
        <f>VLOOKUP(A187,'Data shares'!$C$2:$CX$216,100,0)</f>
        <v>-2635875</v>
      </c>
      <c r="D187" s="141">
        <f>VLOOKUP(A187,'Data shares'!$C$2:$CY$539,101,0)</f>
        <v>-2.92E-2</v>
      </c>
      <c r="E187" s="86">
        <f>VLOOKUP($A187,'Data shares'!$C:$FA,74)</f>
        <v>56429175</v>
      </c>
      <c r="F187" s="86">
        <f>VLOOKUP($A187,'Data shares'!$C:$FA,76)</f>
        <v>-541200</v>
      </c>
      <c r="G187" s="87">
        <f>VLOOKUP(A187,'Data shares'!$C$2:$CA$216,77,0)</f>
        <v>-9.4999999999999998E-3</v>
      </c>
      <c r="H187" s="86">
        <f>VLOOKUP($A187,'Data shares'!$C:$FA,90)</f>
        <v>16382850</v>
      </c>
      <c r="I187" s="86">
        <f>VLOOKUP($A187,'Data shares'!$C:$FA,92)</f>
        <v>-1393425</v>
      </c>
      <c r="J187" s="87">
        <f>VLOOKUP($A187,'Data shares'!$C:$FA,93)</f>
        <v>-7.8399999999999997E-2</v>
      </c>
      <c r="K187" s="86">
        <f>VLOOKUP($A187,'Data shares'!$C:$FA,94)</f>
        <v>14878050</v>
      </c>
      <c r="L187" s="86">
        <f>VLOOKUP($A187,'Data shares'!$C:$FA,96)</f>
        <v>-701250</v>
      </c>
      <c r="M187" s="87">
        <f>VLOOKUP($A187,'Data shares'!$C:$FA,97)</f>
        <v>-4.4999999999999998E-2</v>
      </c>
      <c r="N187" s="86">
        <f>VLOOKUP($A187,'Data shares'!$C:$FA,78)</f>
        <v>36209250</v>
      </c>
      <c r="O187" s="87">
        <f>VLOOKUP($A187,'Data shares'!$C:$FA,81)</f>
        <v>-0.25009999999999999</v>
      </c>
    </row>
    <row r="188" spans="1:15" x14ac:dyDescent="0.25">
      <c r="A188" s="100" t="str">
        <f>'OI(Value)'!A188</f>
        <v>SIEMENS</v>
      </c>
      <c r="B188" s="82">
        <f>VLOOKUP(A188,'Data shares'!$C$2:$CV$216,98,0)</f>
        <v>5027425</v>
      </c>
      <c r="C188" s="82">
        <f>VLOOKUP(A188,'Data shares'!$C$2:$CX$216,100,0)</f>
        <v>-397025</v>
      </c>
      <c r="D188" s="141">
        <f>VLOOKUP(A188,'Data shares'!$C$2:$CY$539,101,0)</f>
        <v>-7.3200000000000001E-2</v>
      </c>
      <c r="E188" s="86">
        <f>VLOOKUP($A188,'Data shares'!$C:$FA,74)</f>
        <v>2874425</v>
      </c>
      <c r="F188" s="86">
        <f>VLOOKUP($A188,'Data shares'!$C:$FA,76)</f>
        <v>-81025</v>
      </c>
      <c r="G188" s="87">
        <f>VLOOKUP(A188,'Data shares'!$C$2:$CA$216,77,0)</f>
        <v>-2.7400000000000001E-2</v>
      </c>
      <c r="H188" s="86">
        <f>VLOOKUP($A188,'Data shares'!$C:$FA,90)</f>
        <v>1264275</v>
      </c>
      <c r="I188" s="86">
        <f>VLOOKUP($A188,'Data shares'!$C:$FA,92)</f>
        <v>-194500</v>
      </c>
      <c r="J188" s="87">
        <f>VLOOKUP($A188,'Data shares'!$C:$FA,93)</f>
        <v>-0.1333</v>
      </c>
      <c r="K188" s="86">
        <f>VLOOKUP($A188,'Data shares'!$C:$FA,94)</f>
        <v>888725</v>
      </c>
      <c r="L188" s="86">
        <f>VLOOKUP($A188,'Data shares'!$C:$FA,96)</f>
        <v>-121500</v>
      </c>
      <c r="M188" s="87">
        <f>VLOOKUP($A188,'Data shares'!$C:$FA,97)</f>
        <v>-0.1203</v>
      </c>
      <c r="N188" s="86">
        <f>VLOOKUP($A188,'Data shares'!$C:$FA,78)</f>
        <v>2033625</v>
      </c>
      <c r="O188" s="87">
        <f>VLOOKUP($A188,'Data shares'!$C:$FA,81)</f>
        <v>-0.23649999999999999</v>
      </c>
    </row>
    <row r="189" spans="1:15" x14ac:dyDescent="0.25">
      <c r="A189" s="100" t="str">
        <f>'OI(Value)'!A189</f>
        <v>ZYDUSLIFE</v>
      </c>
      <c r="B189" s="82">
        <f>VLOOKUP(A189,'Data shares'!$C$2:$CV$216,98,0)</f>
        <v>21375000</v>
      </c>
      <c r="C189" s="82">
        <f>VLOOKUP(A189,'Data shares'!$C$2:$CX$216,100,0)</f>
        <v>-907200</v>
      </c>
      <c r="D189" s="141">
        <f>VLOOKUP(A189,'Data shares'!$C$2:$CY$539,101,0)</f>
        <v>-4.07E-2</v>
      </c>
      <c r="E189" s="86">
        <f>VLOOKUP($A189,'Data shares'!$C:$FA,74)</f>
        <v>11221200</v>
      </c>
      <c r="F189" s="86">
        <f>VLOOKUP($A189,'Data shares'!$C:$FA,76)</f>
        <v>-1029600</v>
      </c>
      <c r="G189" s="87">
        <f>VLOOKUP(A189,'Data shares'!$C$2:$CA$216,77,0)</f>
        <v>-8.4000000000000005E-2</v>
      </c>
      <c r="H189" s="86">
        <f>VLOOKUP($A189,'Data shares'!$C:$FA,90)</f>
        <v>5937300</v>
      </c>
      <c r="I189" s="86">
        <f>VLOOKUP($A189,'Data shares'!$C:$FA,92)</f>
        <v>-172800</v>
      </c>
      <c r="J189" s="87">
        <f>VLOOKUP($A189,'Data shares'!$C:$FA,93)</f>
        <v>-2.8299999999999999E-2</v>
      </c>
      <c r="K189" s="86">
        <f>VLOOKUP($A189,'Data shares'!$C:$FA,94)</f>
        <v>4216500</v>
      </c>
      <c r="L189" s="86">
        <f>VLOOKUP($A189,'Data shares'!$C:$FA,96)</f>
        <v>295200</v>
      </c>
      <c r="M189" s="87">
        <f>VLOOKUP($A189,'Data shares'!$C:$FA,97)</f>
        <v>7.5300000000000006E-2</v>
      </c>
      <c r="N189" s="86">
        <f>VLOOKUP($A189,'Data shares'!$C:$FA,78)</f>
        <v>6447600</v>
      </c>
      <c r="O189" s="87">
        <f>VLOOKUP($A189,'Data shares'!$C:$FA,81)</f>
        <v>-0.35970000000000002</v>
      </c>
    </row>
    <row r="190" spans="1:15" x14ac:dyDescent="0.25">
      <c r="A190" s="100"/>
      <c r="B190" s="82"/>
      <c r="C190" s="82"/>
      <c r="D190" s="141"/>
      <c r="E190" s="86"/>
      <c r="F190" s="86"/>
      <c r="G190" s="87"/>
      <c r="H190" s="86"/>
      <c r="I190" s="86"/>
      <c r="J190" s="87"/>
      <c r="K190" s="86"/>
      <c r="L190" s="86"/>
      <c r="M190" s="87"/>
      <c r="N190" s="86"/>
      <c r="O190" s="87"/>
    </row>
    <row r="191" spans="1:15" x14ac:dyDescent="0.25">
      <c r="A191" s="100"/>
      <c r="B191" s="82"/>
      <c r="C191" s="82"/>
      <c r="D191" s="141"/>
      <c r="E191" s="86"/>
      <c r="F191" s="86"/>
      <c r="G191" s="87"/>
      <c r="H191" s="86"/>
      <c r="I191" s="86"/>
      <c r="J191" s="87"/>
      <c r="K191" s="86"/>
      <c r="L191" s="86"/>
      <c r="M191" s="87"/>
      <c r="N191" s="86"/>
      <c r="O191" s="87"/>
    </row>
    <row r="192" spans="1:15" x14ac:dyDescent="0.25">
      <c r="A192" s="100"/>
      <c r="B192" s="82"/>
      <c r="C192" s="82"/>
      <c r="D192" s="141"/>
      <c r="E192" s="86"/>
      <c r="F192" s="86"/>
      <c r="G192" s="87"/>
      <c r="H192" s="86"/>
      <c r="I192" s="86"/>
      <c r="J192" s="87"/>
      <c r="K192" s="86"/>
      <c r="L192" s="86"/>
      <c r="M192" s="87"/>
      <c r="N192" s="86"/>
      <c r="O192" s="87"/>
    </row>
    <row r="193" spans="1:15" x14ac:dyDescent="0.25">
      <c r="A193" s="100"/>
      <c r="B193" s="82"/>
      <c r="C193" s="82"/>
      <c r="D193" s="141"/>
      <c r="E193" s="86"/>
      <c r="F193" s="86"/>
      <c r="G193" s="87"/>
      <c r="H193" s="86"/>
      <c r="I193" s="86"/>
      <c r="J193" s="87"/>
      <c r="K193" s="86"/>
      <c r="L193" s="86"/>
      <c r="M193" s="87"/>
      <c r="N193" s="86"/>
      <c r="O193" s="87"/>
    </row>
    <row r="194" spans="1:15" x14ac:dyDescent="0.25">
      <c r="A194" s="100"/>
      <c r="B194" s="82"/>
      <c r="C194" s="82"/>
      <c r="D194" s="141"/>
      <c r="E194" s="86"/>
      <c r="F194" s="86"/>
      <c r="G194" s="87"/>
      <c r="H194" s="86"/>
      <c r="I194" s="86"/>
      <c r="J194" s="87"/>
      <c r="K194" s="86"/>
      <c r="L194" s="86"/>
      <c r="M194" s="87"/>
      <c r="N194" s="86"/>
      <c r="O194" s="87"/>
    </row>
    <row r="195" spans="1:15" x14ac:dyDescent="0.25">
      <c r="A195" s="100"/>
      <c r="B195" s="82"/>
      <c r="C195" s="82"/>
      <c r="D195" s="141"/>
      <c r="E195" s="86"/>
      <c r="F195" s="86"/>
      <c r="G195" s="87"/>
      <c r="H195" s="86"/>
      <c r="I195" s="86"/>
      <c r="J195" s="87"/>
      <c r="K195" s="86"/>
      <c r="L195" s="86"/>
      <c r="M195" s="87"/>
      <c r="N195" s="86"/>
      <c r="O195" s="87"/>
    </row>
    <row r="196" spans="1:15" x14ac:dyDescent="0.25">
      <c r="A196" s="100"/>
      <c r="B196" s="82"/>
      <c r="C196" s="82"/>
      <c r="D196" s="141"/>
      <c r="E196" s="86"/>
      <c r="F196" s="86"/>
      <c r="G196" s="87"/>
      <c r="H196" s="86"/>
      <c r="I196" s="86"/>
      <c r="J196" s="87"/>
      <c r="K196" s="86"/>
      <c r="L196" s="86"/>
      <c r="M196" s="87"/>
      <c r="N196" s="86"/>
      <c r="O196" s="87"/>
    </row>
    <row r="197" spans="1:15" x14ac:dyDescent="0.25">
      <c r="A197" s="100"/>
      <c r="B197" s="82"/>
      <c r="C197" s="82"/>
      <c r="D197" s="141"/>
      <c r="E197" s="86"/>
      <c r="F197" s="86"/>
      <c r="G197" s="87"/>
      <c r="H197" s="86"/>
      <c r="I197" s="86"/>
      <c r="J197" s="87"/>
      <c r="K197" s="86"/>
      <c r="L197" s="86"/>
      <c r="M197" s="87"/>
      <c r="N197" s="86"/>
      <c r="O197" s="87"/>
    </row>
    <row r="198" spans="1:15" x14ac:dyDescent="0.25">
      <c r="A198" s="100"/>
      <c r="B198" s="82"/>
      <c r="C198" s="82"/>
      <c r="D198" s="141"/>
      <c r="E198" s="86"/>
      <c r="F198" s="86"/>
      <c r="G198" s="87"/>
      <c r="H198" s="86"/>
      <c r="I198" s="86"/>
      <c r="J198" s="87"/>
      <c r="K198" s="86"/>
      <c r="L198" s="86"/>
      <c r="M198" s="87"/>
      <c r="N198" s="86"/>
      <c r="O198" s="87"/>
    </row>
    <row r="199" spans="1:15" x14ac:dyDescent="0.25">
      <c r="A199" s="100"/>
      <c r="B199" s="82"/>
      <c r="C199" s="82"/>
      <c r="D199" s="141"/>
      <c r="E199" s="86"/>
      <c r="F199" s="86"/>
      <c r="G199" s="87"/>
      <c r="H199" s="86"/>
      <c r="I199" s="86"/>
      <c r="J199" s="87"/>
      <c r="K199" s="86"/>
      <c r="L199" s="86"/>
      <c r="M199" s="87"/>
      <c r="N199" s="86"/>
      <c r="O199" s="87"/>
    </row>
    <row r="200" spans="1:15" x14ac:dyDescent="0.25">
      <c r="A200" s="100"/>
      <c r="B200" s="82"/>
      <c r="C200" s="82"/>
      <c r="D200" s="141"/>
      <c r="E200" s="86"/>
      <c r="F200" s="86"/>
      <c r="G200" s="87"/>
      <c r="H200" s="86"/>
      <c r="I200" s="86"/>
      <c r="J200" s="87"/>
      <c r="K200" s="86"/>
      <c r="L200" s="86"/>
      <c r="M200" s="87"/>
      <c r="N200" s="86"/>
      <c r="O200" s="87"/>
    </row>
    <row r="201" spans="1:15" x14ac:dyDescent="0.25">
      <c r="A201" s="100"/>
      <c r="B201" s="82"/>
      <c r="C201" s="82"/>
      <c r="D201" s="141"/>
      <c r="E201" s="86"/>
      <c r="F201" s="86"/>
      <c r="G201" s="87"/>
      <c r="H201" s="86"/>
      <c r="I201" s="86"/>
      <c r="J201" s="87"/>
      <c r="K201" s="86"/>
      <c r="L201" s="86"/>
      <c r="M201" s="87"/>
      <c r="N201" s="86"/>
      <c r="O201" s="87"/>
    </row>
    <row r="202" spans="1:15" x14ac:dyDescent="0.25">
      <c r="A202" s="100"/>
      <c r="B202" s="82"/>
      <c r="C202" s="82"/>
      <c r="D202" s="141"/>
      <c r="E202" s="86"/>
      <c r="F202" s="86"/>
      <c r="G202" s="87"/>
      <c r="H202" s="86"/>
      <c r="I202" s="86"/>
      <c r="J202" s="87"/>
      <c r="K202" s="86"/>
      <c r="L202" s="86"/>
      <c r="M202" s="87"/>
      <c r="N202" s="86"/>
      <c r="O202" s="87"/>
    </row>
    <row r="203" spans="1:15" x14ac:dyDescent="0.25">
      <c r="A203" s="100"/>
      <c r="B203" s="82"/>
      <c r="C203" s="82"/>
      <c r="D203" s="141"/>
      <c r="E203" s="86"/>
      <c r="F203" s="86"/>
      <c r="G203" s="87"/>
      <c r="H203" s="86"/>
      <c r="I203" s="86"/>
      <c r="J203" s="87"/>
      <c r="K203" s="86"/>
      <c r="L203" s="86"/>
      <c r="M203" s="87"/>
      <c r="N203" s="86"/>
      <c r="O203" s="87"/>
    </row>
    <row r="204" spans="1:15" x14ac:dyDescent="0.25">
      <c r="A204" s="100"/>
      <c r="B204" s="82"/>
      <c r="C204" s="82"/>
      <c r="D204" s="141"/>
      <c r="E204" s="86"/>
      <c r="F204" s="86"/>
      <c r="G204" s="87"/>
      <c r="H204" s="86"/>
      <c r="I204" s="86"/>
      <c r="J204" s="87"/>
      <c r="K204" s="86"/>
      <c r="L204" s="86"/>
      <c r="M204" s="87"/>
      <c r="N204" s="86"/>
      <c r="O204" s="87"/>
    </row>
    <row r="205" spans="1:15" x14ac:dyDescent="0.25">
      <c r="A205" s="100"/>
      <c r="B205" s="82"/>
      <c r="C205" s="82"/>
      <c r="D205" s="141"/>
      <c r="E205" s="86"/>
      <c r="F205" s="86"/>
      <c r="G205" s="87"/>
      <c r="H205" s="86"/>
      <c r="I205" s="86"/>
      <c r="J205" s="87"/>
      <c r="K205" s="86"/>
      <c r="L205" s="86"/>
      <c r="M205" s="87"/>
      <c r="N205" s="86"/>
      <c r="O205" s="87"/>
    </row>
    <row r="206" spans="1:15" x14ac:dyDescent="0.25">
      <c r="A206" s="100"/>
      <c r="B206" s="82"/>
      <c r="C206" s="82"/>
      <c r="D206" s="141"/>
      <c r="E206" s="86"/>
      <c r="F206" s="86"/>
      <c r="G206" s="87"/>
      <c r="H206" s="86"/>
      <c r="I206" s="86"/>
      <c r="J206" s="87"/>
      <c r="K206" s="86"/>
      <c r="L206" s="86"/>
      <c r="M206" s="87"/>
      <c r="N206" s="86"/>
      <c r="O206" s="87"/>
    </row>
    <row r="207" spans="1:15" x14ac:dyDescent="0.25">
      <c r="A207" s="100"/>
      <c r="B207" s="82"/>
      <c r="C207" s="82"/>
      <c r="D207" s="141"/>
      <c r="E207" s="86"/>
      <c r="F207" s="86"/>
      <c r="G207" s="87"/>
      <c r="H207" s="86"/>
      <c r="I207" s="86"/>
      <c r="J207" s="87"/>
      <c r="K207" s="86"/>
      <c r="L207" s="86"/>
      <c r="M207" s="87"/>
      <c r="N207" s="86"/>
      <c r="O207" s="87"/>
    </row>
    <row r="208" spans="1:15" x14ac:dyDescent="0.25">
      <c r="A208" s="100"/>
      <c r="B208" s="82"/>
      <c r="C208" s="82"/>
      <c r="D208" s="141"/>
      <c r="E208" s="86"/>
      <c r="F208" s="86"/>
      <c r="G208" s="87"/>
      <c r="H208" s="86"/>
      <c r="I208" s="86"/>
      <c r="J208" s="87"/>
      <c r="K208" s="86"/>
      <c r="L208" s="86"/>
      <c r="M208" s="87"/>
      <c r="N208" s="86"/>
      <c r="O208" s="87"/>
    </row>
    <row r="209" spans="1:15" x14ac:dyDescent="0.25">
      <c r="A209" s="100"/>
      <c r="B209" s="82"/>
      <c r="C209" s="82"/>
      <c r="D209" s="141"/>
      <c r="E209" s="86"/>
      <c r="F209" s="86"/>
      <c r="G209" s="87"/>
      <c r="H209" s="86"/>
      <c r="I209" s="86"/>
      <c r="J209" s="87"/>
      <c r="K209" s="86"/>
      <c r="L209" s="86"/>
      <c r="M209" s="87"/>
      <c r="N209" s="86"/>
      <c r="O209" s="87"/>
    </row>
    <row r="210" spans="1:15" x14ac:dyDescent="0.25">
      <c r="A210" s="100"/>
      <c r="B210" s="82"/>
      <c r="C210" s="82"/>
      <c r="D210" s="141"/>
      <c r="E210" s="86"/>
      <c r="F210" s="86"/>
      <c r="G210" s="87"/>
      <c r="H210" s="86"/>
      <c r="I210" s="86"/>
      <c r="J210" s="87"/>
      <c r="K210" s="86"/>
      <c r="L210" s="86"/>
      <c r="M210" s="87"/>
      <c r="N210" s="86"/>
      <c r="O210" s="87"/>
    </row>
    <row r="211" spans="1:15" x14ac:dyDescent="0.25">
      <c r="A211" s="100"/>
      <c r="B211" s="82"/>
      <c r="C211" s="82"/>
      <c r="D211" s="141"/>
      <c r="E211" s="86"/>
      <c r="F211" s="86"/>
      <c r="G211" s="87"/>
      <c r="H211" s="86"/>
      <c r="I211" s="86"/>
      <c r="J211" s="87"/>
      <c r="K211" s="86"/>
      <c r="L211" s="86"/>
      <c r="M211" s="87"/>
      <c r="N211" s="86"/>
      <c r="O211" s="87"/>
    </row>
    <row r="212" spans="1:15" x14ac:dyDescent="0.25">
      <c r="A212" s="100"/>
      <c r="B212" s="82"/>
      <c r="C212" s="82"/>
      <c r="D212" s="141"/>
      <c r="E212" s="86"/>
      <c r="F212" s="86"/>
      <c r="G212" s="87"/>
      <c r="H212" s="86"/>
      <c r="I212" s="86"/>
      <c r="J212" s="87"/>
      <c r="K212" s="86"/>
      <c r="L212" s="86"/>
      <c r="M212" s="87"/>
      <c r="N212" s="86"/>
      <c r="O212" s="87"/>
    </row>
    <row r="213" spans="1:15" x14ac:dyDescent="0.25">
      <c r="A213" s="100"/>
      <c r="B213" s="82"/>
      <c r="C213" s="82"/>
      <c r="D213" s="141"/>
      <c r="E213" s="86"/>
      <c r="F213" s="86"/>
      <c r="G213" s="87"/>
      <c r="H213" s="86"/>
      <c r="I213" s="86"/>
      <c r="J213" s="87"/>
      <c r="K213" s="86"/>
      <c r="L213" s="86"/>
      <c r="M213" s="87"/>
      <c r="N213" s="86"/>
      <c r="O213" s="87"/>
    </row>
    <row r="214" spans="1:15" x14ac:dyDescent="0.25">
      <c r="A214" s="100"/>
      <c r="B214" s="17"/>
      <c r="C214" s="17"/>
      <c r="D214" s="17"/>
      <c r="E214" s="17"/>
      <c r="F214" s="17"/>
      <c r="G214" s="17"/>
      <c r="H214" s="17"/>
      <c r="I214" s="17"/>
      <c r="J214" s="17"/>
      <c r="K214" s="17"/>
      <c r="L214" s="17"/>
      <c r="M214" s="17"/>
      <c r="N214" s="17"/>
      <c r="O214" s="17"/>
    </row>
    <row r="215" spans="1:15" x14ac:dyDescent="0.25">
      <c r="A215" s="98"/>
      <c r="B215" s="17"/>
      <c r="C215" s="17"/>
      <c r="D215" s="17"/>
      <c r="E215" s="17"/>
      <c r="F215" s="17"/>
      <c r="G215" s="17"/>
      <c r="H215" s="17"/>
      <c r="I215" s="17"/>
      <c r="J215" s="17"/>
      <c r="K215" s="17"/>
      <c r="L215" s="17"/>
      <c r="M215" s="17"/>
      <c r="N215" s="17"/>
      <c r="O215" s="17"/>
    </row>
    <row r="216" spans="1:15" s="89" customFormat="1" ht="16.5" customHeight="1" x14ac:dyDescent="0.25">
      <c r="A216" s="118" t="s">
        <v>391</v>
      </c>
      <c r="B216" s="119">
        <f>SUM(B7:B215)</f>
        <v>24556593707</v>
      </c>
      <c r="C216" s="119">
        <f>SUM(C7:C215)</f>
        <v>-402246696</v>
      </c>
      <c r="D216" s="120">
        <f>C216*100/(B216-C216)</f>
        <v>-1.6116401623837091</v>
      </c>
      <c r="E216" s="119">
        <f>SUM(E7:E215)</f>
        <v>13903739665</v>
      </c>
      <c r="F216" s="119">
        <f>SUM(F7:F215)</f>
        <v>-282043806</v>
      </c>
      <c r="G216" s="120">
        <f>F216*100/(E216-F216)</f>
        <v>-1.988214514739931</v>
      </c>
      <c r="H216" s="119">
        <f>SUM(H7:H215)</f>
        <v>6478921478</v>
      </c>
      <c r="I216" s="119">
        <f>SUM(I7:I215)</f>
        <v>-6691326</v>
      </c>
      <c r="J216" s="120">
        <f>I216*100/(H216-I216)</f>
        <v>-0.10317183899527776</v>
      </c>
      <c r="K216" s="119">
        <f>SUM(K7:K215)</f>
        <v>4173932564</v>
      </c>
      <c r="L216" s="119">
        <f>SUM(L7:L215)</f>
        <v>-113511564</v>
      </c>
      <c r="M216" s="120">
        <f>L216*100/(K216-L216)</f>
        <v>-2.6475345359882438</v>
      </c>
      <c r="N216" s="119">
        <f>SUM(N7:N215)</f>
        <v>8538360322</v>
      </c>
      <c r="O216" s="120">
        <f>(N216-FII!V3)/N216*100</f>
        <v>-55.414184112245522</v>
      </c>
    </row>
    <row r="217" spans="1:15" s="89" customFormat="1" ht="16.5" customHeight="1" x14ac:dyDescent="0.25">
      <c r="A217" s="118" t="s">
        <v>409</v>
      </c>
      <c r="B217" s="121">
        <f>B216/10000000</f>
        <v>2455.6593707000002</v>
      </c>
      <c r="C217" s="121">
        <f>C216/10000000</f>
        <v>-40.224669599999999</v>
      </c>
      <c r="D217" s="120">
        <f>D216</f>
        <v>-1.6116401623837091</v>
      </c>
      <c r="E217" s="121">
        <f>E216/10000000</f>
        <v>1390.3739665000001</v>
      </c>
      <c r="F217" s="121">
        <f>F216/10000000</f>
        <v>-28.2043806</v>
      </c>
      <c r="G217" s="120">
        <f>G216</f>
        <v>-1.988214514739931</v>
      </c>
      <c r="H217" s="121">
        <f>H216/10000000</f>
        <v>647.89214779999998</v>
      </c>
      <c r="I217" s="121">
        <f>I216/10000000</f>
        <v>-0.66913259999999997</v>
      </c>
      <c r="J217" s="120">
        <f>J216</f>
        <v>-0.10317183899527776</v>
      </c>
      <c r="K217" s="121">
        <f>K216/10000000</f>
        <v>417.39325639999998</v>
      </c>
      <c r="L217" s="121">
        <f>L216/10000000</f>
        <v>-11.351156400000001</v>
      </c>
      <c r="M217" s="120">
        <f>M216</f>
        <v>-2.6475345359882438</v>
      </c>
      <c r="N217" s="121">
        <f>N216/10000000</f>
        <v>853.83603219999998</v>
      </c>
      <c r="O217" s="120">
        <f>O216</f>
        <v>-55.414184112245522</v>
      </c>
    </row>
    <row r="225" spans="1:4" x14ac:dyDescent="0.25">
      <c r="A225" s="273" t="s">
        <v>410</v>
      </c>
      <c r="B225" s="273"/>
      <c r="C225" s="273"/>
      <c r="D225" s="273"/>
    </row>
    <row r="226" spans="1:4" x14ac:dyDescent="0.25">
      <c r="A226" s="35" t="s">
        <v>401</v>
      </c>
      <c r="B226" s="35" t="s">
        <v>402</v>
      </c>
      <c r="C226" s="35" t="s">
        <v>369</v>
      </c>
      <c r="D226" s="35" t="s">
        <v>407</v>
      </c>
    </row>
    <row r="227" spans="1:4" x14ac:dyDescent="0.25">
      <c r="A227" s="36" t="s">
        <v>403</v>
      </c>
      <c r="B227" s="37">
        <f>E217</f>
        <v>1390.3739665000001</v>
      </c>
      <c r="C227" s="37">
        <f>F217</f>
        <v>-28.2043806</v>
      </c>
      <c r="D227" s="39">
        <f>C227/B227</f>
        <v>-2.0285463680680904E-2</v>
      </c>
    </row>
    <row r="228" spans="1:4" x14ac:dyDescent="0.25">
      <c r="A228" s="36" t="s">
        <v>404</v>
      </c>
      <c r="B228" s="37">
        <f>H217</f>
        <v>647.89214779999998</v>
      </c>
      <c r="C228" s="37">
        <f>I217</f>
        <v>-0.66913259999999997</v>
      </c>
      <c r="D228" s="39">
        <f>C228/B228</f>
        <v>-1.0327839321284023E-3</v>
      </c>
    </row>
    <row r="229" spans="1:4" x14ac:dyDescent="0.25">
      <c r="A229" s="36" t="s">
        <v>405</v>
      </c>
      <c r="B229" s="37">
        <f>K217</f>
        <v>417.39325639999998</v>
      </c>
      <c r="C229" s="37">
        <f>L217</f>
        <v>-11.351156400000001</v>
      </c>
      <c r="D229" s="39">
        <f>C229/B229</f>
        <v>-2.7195351688005857E-2</v>
      </c>
    </row>
    <row r="230" spans="1:4" x14ac:dyDescent="0.25">
      <c r="A230" s="36" t="s">
        <v>406</v>
      </c>
      <c r="B230" s="40">
        <f>SUM(B227:B229)</f>
        <v>2455.6593707000002</v>
      </c>
      <c r="C230" s="40">
        <f>SUM(C227:C229)</f>
        <v>-40.224669599999999</v>
      </c>
      <c r="D230" s="41">
        <f>C230/B230</f>
        <v>-1.6380394642655068E-2</v>
      </c>
    </row>
  </sheetData>
  <mergeCells count="9">
    <mergeCell ref="A225:D225"/>
    <mergeCell ref="A3:O3"/>
    <mergeCell ref="A4:A5"/>
    <mergeCell ref="B4:O4"/>
    <mergeCell ref="B5:D5"/>
    <mergeCell ref="E5:G5"/>
    <mergeCell ref="H5:J5"/>
    <mergeCell ref="K5:M5"/>
    <mergeCell ref="N5:O5"/>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0"/>
  <sheetViews>
    <sheetView workbookViewId="0">
      <pane ySplit="6" topLeftCell="A157" activePane="bottomLeft" state="frozen"/>
      <selection pane="bottomLeft" activeCell="A2" sqref="A2:XFD2"/>
    </sheetView>
  </sheetViews>
  <sheetFormatPr defaultRowHeight="15" x14ac:dyDescent="0.25"/>
  <cols>
    <col min="1" max="1" width="10.7109375" customWidth="1"/>
    <col min="2" max="2" width="10.7109375" bestFit="1" customWidth="1"/>
    <col min="3" max="3" width="9.28515625" bestFit="1" customWidth="1"/>
    <col min="4" max="4" width="7.5703125" bestFit="1" customWidth="1"/>
  </cols>
  <sheetData>
    <row r="1" spans="1:15" ht="15.75" thickBot="1" x14ac:dyDescent="0.3"/>
    <row r="2" spans="1:15" ht="20.25" hidden="1" customHeight="1" thickBot="1" x14ac:dyDescent="0.3"/>
    <row r="3" spans="1:15" ht="20.25" customHeight="1" thickBot="1" x14ac:dyDescent="0.3">
      <c r="A3" s="279" t="s">
        <v>334</v>
      </c>
      <c r="B3" s="280"/>
      <c r="C3" s="280"/>
      <c r="D3" s="281"/>
      <c r="E3" s="282"/>
      <c r="F3" s="282"/>
      <c r="G3" s="282"/>
      <c r="H3" s="282"/>
      <c r="I3" s="282"/>
      <c r="J3" s="282"/>
      <c r="K3" s="282"/>
      <c r="L3" s="282"/>
      <c r="M3" s="282"/>
      <c r="N3" s="282"/>
      <c r="O3" s="283"/>
    </row>
    <row r="4" spans="1:15" x14ac:dyDescent="0.25">
      <c r="A4" s="284" t="s">
        <v>330</v>
      </c>
      <c r="B4" s="286" t="s">
        <v>309</v>
      </c>
      <c r="C4" s="287"/>
      <c r="D4" s="287"/>
      <c r="E4" s="287"/>
      <c r="F4" s="287"/>
      <c r="G4" s="287"/>
      <c r="H4" s="287"/>
      <c r="I4" s="287"/>
      <c r="J4" s="287"/>
      <c r="K4" s="287"/>
      <c r="L4" s="287"/>
      <c r="M4" s="287"/>
      <c r="N4" s="287"/>
      <c r="O4" s="288"/>
    </row>
    <row r="5" spans="1:15" x14ac:dyDescent="0.25">
      <c r="A5" s="285"/>
      <c r="B5" s="289" t="s">
        <v>314</v>
      </c>
      <c r="C5" s="289"/>
      <c r="D5" s="290"/>
      <c r="E5" s="289" t="s">
        <v>335</v>
      </c>
      <c r="F5" s="289"/>
      <c r="G5" s="290"/>
      <c r="H5" s="289" t="s">
        <v>336</v>
      </c>
      <c r="I5" s="289"/>
      <c r="J5" s="290"/>
      <c r="K5" s="289" t="s">
        <v>337</v>
      </c>
      <c r="L5" s="289"/>
      <c r="M5" s="290"/>
      <c r="N5" s="289" t="s">
        <v>338</v>
      </c>
      <c r="O5" s="290"/>
    </row>
    <row r="6" spans="1:15" x14ac:dyDescent="0.25">
      <c r="A6" s="3" t="s">
        <v>318</v>
      </c>
      <c r="B6" s="3">
        <f>'Sectorwise OI'!D6</f>
        <v>45981</v>
      </c>
      <c r="C6" s="76" t="s">
        <v>333</v>
      </c>
      <c r="D6" s="76" t="s">
        <v>328</v>
      </c>
      <c r="E6" s="3">
        <f>B6</f>
        <v>45981</v>
      </c>
      <c r="F6" s="76" t="s">
        <v>333</v>
      </c>
      <c r="G6" s="76" t="s">
        <v>328</v>
      </c>
      <c r="H6" s="3">
        <f>E6</f>
        <v>45981</v>
      </c>
      <c r="I6" s="76" t="s">
        <v>333</v>
      </c>
      <c r="J6" s="76" t="s">
        <v>328</v>
      </c>
      <c r="K6" s="3">
        <f>E6</f>
        <v>45981</v>
      </c>
      <c r="L6" s="76" t="s">
        <v>333</v>
      </c>
      <c r="M6" s="76" t="s">
        <v>328</v>
      </c>
      <c r="N6" s="76" t="s">
        <v>339</v>
      </c>
      <c r="O6" s="76" t="s">
        <v>328</v>
      </c>
    </row>
    <row r="7" spans="1:15" x14ac:dyDescent="0.25">
      <c r="A7" s="97" t="str">
        <f>'Data Vlaue (Cr)'!C2</f>
        <v>360ONE</v>
      </c>
      <c r="B7" s="142">
        <f>VLOOKUP(A7,'Data Vlaue (Cr)'!C2:CW216,99,0)</f>
        <v>616</v>
      </c>
      <c r="C7" s="90">
        <f>VLOOKUP(A7,'Data Vlaue (Cr)'!C2:CY216,101,0)</f>
        <v>-12</v>
      </c>
      <c r="D7" s="139">
        <f>VLOOKUP(A7,'Data Vlaue (Cr)'!C2:CZ216,102,0)</f>
        <v>-1.9099999999999999E-2</v>
      </c>
      <c r="E7" s="91">
        <f>VLOOKUP($A7,'Data Vlaue (Cr)'!$C:$FB,75)</f>
        <v>289</v>
      </c>
      <c r="F7" s="91">
        <f>VLOOKUP($A7,'Data Vlaue (Cr)'!$C:$FB,77)</f>
        <v>-19</v>
      </c>
      <c r="G7" s="92">
        <f>VLOOKUP(A7,'Data Vlaue (Cr)'!C2:CB216,78,0)</f>
        <v>-6.25E-2</v>
      </c>
      <c r="H7" s="91">
        <f>VLOOKUP($A7,'Data Vlaue (Cr)'!$C:$FB,91)</f>
        <v>196</v>
      </c>
      <c r="I7" s="91">
        <f>VLOOKUP($A7,'Data Vlaue (Cr)'!$C:$FB,93)</f>
        <v>-23</v>
      </c>
      <c r="J7" s="92">
        <f>VLOOKUP($A7,'Data Vlaue (Cr)'!$C:$FB,94)</f>
        <v>-0.10489999999999999</v>
      </c>
      <c r="K7" s="91">
        <f>VLOOKUP($A7,'Data Vlaue (Cr)'!$C:$FB,95)</f>
        <v>130</v>
      </c>
      <c r="L7" s="91">
        <f>VLOOKUP($A7,'Data Vlaue (Cr)'!$C:$FB,97)</f>
        <v>30</v>
      </c>
      <c r="M7" s="92">
        <f>VLOOKUP($A7,'Data Vlaue (Cr)'!$C:$FB,98)</f>
        <v>0.30270000000000002</v>
      </c>
      <c r="N7" s="91">
        <f>VLOOKUP($A7,'Data Vlaue (Cr)'!$C:$FB,79)</f>
        <v>191</v>
      </c>
      <c r="O7" s="92">
        <f>VLOOKUP($A7,'Data Vlaue (Cr)'!$C:$FB,82)</f>
        <v>-0.32640000000000002</v>
      </c>
    </row>
    <row r="8" spans="1:15" x14ac:dyDescent="0.25">
      <c r="A8" s="97" t="str">
        <f>'Data Vlaue (Cr)'!C3</f>
        <v>ABB</v>
      </c>
      <c r="B8" s="142">
        <f>VLOOKUP(A8,'Data Vlaue (Cr)'!C3:CW217,99,0)</f>
        <v>2885</v>
      </c>
      <c r="C8" s="90">
        <f>VLOOKUP(A8,'Data Vlaue (Cr)'!C3:CY217,101,0)</f>
        <v>-399</v>
      </c>
      <c r="D8" s="139">
        <f>VLOOKUP(A8,'Data Vlaue (Cr)'!C3:CZ217,102,0)</f>
        <v>-0.1215</v>
      </c>
      <c r="E8" s="91">
        <f>VLOOKUP($A8,'Data Vlaue (Cr)'!$C:$FB,75)</f>
        <v>1607</v>
      </c>
      <c r="F8" s="91">
        <f>VLOOKUP($A8,'Data Vlaue (Cr)'!$C:$FB,77)</f>
        <v>-249</v>
      </c>
      <c r="G8" s="92">
        <f>VLOOKUP(A8,'Data Vlaue (Cr)'!C3:CB217,78,0)</f>
        <v>-0.13400000000000001</v>
      </c>
      <c r="H8" s="91">
        <f>VLOOKUP($A8,'Data Vlaue (Cr)'!$C:$FB,91)</f>
        <v>759</v>
      </c>
      <c r="I8" s="91">
        <f>VLOOKUP($A8,'Data Vlaue (Cr)'!$C:$FB,93)</f>
        <v>-127</v>
      </c>
      <c r="J8" s="92">
        <f>VLOOKUP($A8,'Data Vlaue (Cr)'!$C:$FB,94)</f>
        <v>-0.14319999999999999</v>
      </c>
      <c r="K8" s="91">
        <f>VLOOKUP($A8,'Data Vlaue (Cr)'!$C:$FB,95)</f>
        <v>519</v>
      </c>
      <c r="L8" s="91">
        <f>VLOOKUP($A8,'Data Vlaue (Cr)'!$C:$FB,97)</f>
        <v>-24</v>
      </c>
      <c r="M8" s="92">
        <f>VLOOKUP($A8,'Data Vlaue (Cr)'!$C:$FB,98)</f>
        <v>-4.3400000000000001E-2</v>
      </c>
      <c r="N8" s="91">
        <f>VLOOKUP($A8,'Data Vlaue (Cr)'!$C:$FB,79)</f>
        <v>894</v>
      </c>
      <c r="O8" s="92">
        <f>VLOOKUP($A8,'Data Vlaue (Cr)'!$C:$FB,82)</f>
        <v>-0.38879999999999998</v>
      </c>
    </row>
    <row r="9" spans="1:15" x14ac:dyDescent="0.25">
      <c r="A9" s="97" t="str">
        <f>'Data Vlaue (Cr)'!C4</f>
        <v>ABCAPITAL</v>
      </c>
      <c r="B9" s="142">
        <f>VLOOKUP(A9,'Data Vlaue (Cr)'!C4:CW218,99,0)</f>
        <v>3636</v>
      </c>
      <c r="C9" s="90">
        <f>VLOOKUP(A9,'Data Vlaue (Cr)'!C4:CY218,101,0)</f>
        <v>-119</v>
      </c>
      <c r="D9" s="139">
        <f>VLOOKUP(A9,'Data Vlaue (Cr)'!C4:CZ218,102,0)</f>
        <v>-3.1800000000000002E-2</v>
      </c>
      <c r="E9" s="91">
        <f>VLOOKUP($A9,'Data Vlaue (Cr)'!$C:$FB,75)</f>
        <v>2556</v>
      </c>
      <c r="F9" s="91">
        <f>VLOOKUP($A9,'Data Vlaue (Cr)'!$C:$FB,77)</f>
        <v>-22</v>
      </c>
      <c r="G9" s="92">
        <f>VLOOKUP(A9,'Data Vlaue (Cr)'!C4:CB218,78,0)</f>
        <v>-8.6999999999999994E-3</v>
      </c>
      <c r="H9" s="91">
        <f>VLOOKUP($A9,'Data Vlaue (Cr)'!$C:$FB,91)</f>
        <v>609</v>
      </c>
      <c r="I9" s="91">
        <f>VLOOKUP($A9,'Data Vlaue (Cr)'!$C:$FB,93)</f>
        <v>-66</v>
      </c>
      <c r="J9" s="92">
        <f>VLOOKUP($A9,'Data Vlaue (Cr)'!$C:$FB,94)</f>
        <v>-9.7699999999999995E-2</v>
      </c>
      <c r="K9" s="91">
        <f>VLOOKUP($A9,'Data Vlaue (Cr)'!$C:$FB,95)</f>
        <v>471</v>
      </c>
      <c r="L9" s="91">
        <f>VLOOKUP($A9,'Data Vlaue (Cr)'!$C:$FB,97)</f>
        <v>-31</v>
      </c>
      <c r="M9" s="92">
        <f>VLOOKUP($A9,'Data Vlaue (Cr)'!$C:$FB,98)</f>
        <v>-6.1800000000000001E-2</v>
      </c>
      <c r="N9" s="91">
        <f>VLOOKUP($A9,'Data Vlaue (Cr)'!$C:$FB,79)</f>
        <v>1924</v>
      </c>
      <c r="O9" s="92">
        <f>VLOOKUP($A9,'Data Vlaue (Cr)'!$C:$FB,82)</f>
        <v>-0.22020000000000001</v>
      </c>
    </row>
    <row r="10" spans="1:15" x14ac:dyDescent="0.25">
      <c r="A10" s="97" t="str">
        <f>'Data Vlaue (Cr)'!C5</f>
        <v>ADANIENSOL</v>
      </c>
      <c r="B10" s="142">
        <f>VLOOKUP(A10,'Data Vlaue (Cr)'!C5:CW219,99,0)</f>
        <v>3074</v>
      </c>
      <c r="C10" s="90">
        <f>VLOOKUP(A10,'Data Vlaue (Cr)'!C5:CY219,101,0)</f>
        <v>-22</v>
      </c>
      <c r="D10" s="139">
        <f>VLOOKUP(A10,'Data Vlaue (Cr)'!C5:CZ219,102,0)</f>
        <v>-7.1000000000000004E-3</v>
      </c>
      <c r="E10" s="91">
        <f>VLOOKUP($A10,'Data Vlaue (Cr)'!$C:$FB,75)</f>
        <v>1954</v>
      </c>
      <c r="F10" s="91">
        <f>VLOOKUP($A10,'Data Vlaue (Cr)'!$C:$FB,77)</f>
        <v>-24</v>
      </c>
      <c r="G10" s="92">
        <f>VLOOKUP(A10,'Data Vlaue (Cr)'!C5:CB219,78,0)</f>
        <v>-1.2E-2</v>
      </c>
      <c r="H10" s="91">
        <f>VLOOKUP($A10,'Data Vlaue (Cr)'!$C:$FB,91)</f>
        <v>710</v>
      </c>
      <c r="I10" s="91">
        <f>VLOOKUP($A10,'Data Vlaue (Cr)'!$C:$FB,93)</f>
        <v>24</v>
      </c>
      <c r="J10" s="92">
        <f>VLOOKUP($A10,'Data Vlaue (Cr)'!$C:$FB,94)</f>
        <v>3.5099999999999999E-2</v>
      </c>
      <c r="K10" s="91">
        <f>VLOOKUP($A10,'Data Vlaue (Cr)'!$C:$FB,95)</f>
        <v>411</v>
      </c>
      <c r="L10" s="91">
        <f>VLOOKUP($A10,'Data Vlaue (Cr)'!$C:$FB,97)</f>
        <v>-22</v>
      </c>
      <c r="M10" s="92">
        <f>VLOOKUP($A10,'Data Vlaue (Cr)'!$C:$FB,98)</f>
        <v>-5.1499999999999997E-2</v>
      </c>
      <c r="N10" s="91">
        <f>VLOOKUP($A10,'Data Vlaue (Cr)'!$C:$FB,79)</f>
        <v>1159</v>
      </c>
      <c r="O10" s="92">
        <f>VLOOKUP($A10,'Data Vlaue (Cr)'!$C:$FB,82)</f>
        <v>-0.37959999999999999</v>
      </c>
    </row>
    <row r="11" spans="1:15" x14ac:dyDescent="0.25">
      <c r="A11" s="97" t="str">
        <f>'Data Vlaue (Cr)'!C6</f>
        <v>ADANIENT</v>
      </c>
      <c r="B11" s="142">
        <f>VLOOKUP(A11,'Data Vlaue (Cr)'!C6:CW220,99,0)</f>
        <v>7790</v>
      </c>
      <c r="C11" s="90">
        <f>VLOOKUP(A11,'Data Vlaue (Cr)'!C6:CY220,101,0)</f>
        <v>199</v>
      </c>
      <c r="D11" s="139">
        <f>VLOOKUP(A11,'Data Vlaue (Cr)'!C6:CZ220,102,0)</f>
        <v>2.63E-2</v>
      </c>
      <c r="E11" s="91">
        <f>VLOOKUP($A11,'Data Vlaue (Cr)'!$C:$FB,75)</f>
        <v>3203</v>
      </c>
      <c r="F11" s="91">
        <f>VLOOKUP($A11,'Data Vlaue (Cr)'!$C:$FB,77)</f>
        <v>73</v>
      </c>
      <c r="G11" s="92">
        <f>VLOOKUP(A11,'Data Vlaue (Cr)'!C6:CB220,78,0)</f>
        <v>2.3199999999999998E-2</v>
      </c>
      <c r="H11" s="91">
        <f>VLOOKUP($A11,'Data Vlaue (Cr)'!$C:$FB,91)</f>
        <v>2749</v>
      </c>
      <c r="I11" s="91">
        <f>VLOOKUP($A11,'Data Vlaue (Cr)'!$C:$FB,93)</f>
        <v>139</v>
      </c>
      <c r="J11" s="92">
        <f>VLOOKUP($A11,'Data Vlaue (Cr)'!$C:$FB,94)</f>
        <v>5.33E-2</v>
      </c>
      <c r="K11" s="91">
        <f>VLOOKUP($A11,'Data Vlaue (Cr)'!$C:$FB,95)</f>
        <v>1838</v>
      </c>
      <c r="L11" s="91">
        <f>VLOOKUP($A11,'Data Vlaue (Cr)'!$C:$FB,97)</f>
        <v>-12</v>
      </c>
      <c r="M11" s="92">
        <f>VLOOKUP($A11,'Data Vlaue (Cr)'!$C:$FB,98)</f>
        <v>-6.7000000000000002E-3</v>
      </c>
      <c r="N11" s="91">
        <f>VLOOKUP($A11,'Data Vlaue (Cr)'!$C:$FB,79)</f>
        <v>2129</v>
      </c>
      <c r="O11" s="92">
        <f>VLOOKUP($A11,'Data Vlaue (Cr)'!$C:$FB,82)</f>
        <v>-0.18559999999999999</v>
      </c>
    </row>
    <row r="12" spans="1:15" x14ac:dyDescent="0.25">
      <c r="A12" s="97" t="str">
        <f>'Data Vlaue (Cr)'!C7</f>
        <v>ADANIGREEN</v>
      </c>
      <c r="B12" s="142">
        <f>VLOOKUP(A12,'Data Vlaue (Cr)'!C7:CW221,99,0)</f>
        <v>5570</v>
      </c>
      <c r="C12" s="90">
        <f>VLOOKUP(A12,'Data Vlaue (Cr)'!C7:CY221,101,0)</f>
        <v>45</v>
      </c>
      <c r="D12" s="139">
        <f>VLOOKUP(A12,'Data Vlaue (Cr)'!C7:CZ221,102,0)</f>
        <v>8.0999999999999996E-3</v>
      </c>
      <c r="E12" s="91">
        <f>VLOOKUP($A12,'Data Vlaue (Cr)'!$C:$FB,75)</f>
        <v>2572</v>
      </c>
      <c r="F12" s="91">
        <f>VLOOKUP($A12,'Data Vlaue (Cr)'!$C:$FB,77)</f>
        <v>-6</v>
      </c>
      <c r="G12" s="92">
        <f>VLOOKUP(A12,'Data Vlaue (Cr)'!C7:CB221,78,0)</f>
        <v>-2.2000000000000001E-3</v>
      </c>
      <c r="H12" s="91">
        <f>VLOOKUP($A12,'Data Vlaue (Cr)'!$C:$FB,91)</f>
        <v>2064</v>
      </c>
      <c r="I12" s="91">
        <f>VLOOKUP($A12,'Data Vlaue (Cr)'!$C:$FB,93)</f>
        <v>41</v>
      </c>
      <c r="J12" s="92">
        <f>VLOOKUP($A12,'Data Vlaue (Cr)'!$C:$FB,94)</f>
        <v>2.0199999999999999E-2</v>
      </c>
      <c r="K12" s="91">
        <f>VLOOKUP($A12,'Data Vlaue (Cr)'!$C:$FB,95)</f>
        <v>934</v>
      </c>
      <c r="L12" s="91">
        <f>VLOOKUP($A12,'Data Vlaue (Cr)'!$C:$FB,97)</f>
        <v>10</v>
      </c>
      <c r="M12" s="92">
        <f>VLOOKUP($A12,'Data Vlaue (Cr)'!$C:$FB,98)</f>
        <v>1.04E-2</v>
      </c>
      <c r="N12" s="91">
        <f>VLOOKUP($A12,'Data Vlaue (Cr)'!$C:$FB,79)</f>
        <v>1851</v>
      </c>
      <c r="O12" s="92">
        <f>VLOOKUP($A12,'Data Vlaue (Cr)'!$C:$FB,82)</f>
        <v>-0.16619999999999999</v>
      </c>
    </row>
    <row r="13" spans="1:15" x14ac:dyDescent="0.25">
      <c r="A13" s="97" t="str">
        <f>'Data Vlaue (Cr)'!C8</f>
        <v>ADANIPORTS</v>
      </c>
      <c r="B13" s="142">
        <f>VLOOKUP(A13,'Data Vlaue (Cr)'!C8:CW222,99,0)</f>
        <v>6429</v>
      </c>
      <c r="C13" s="90">
        <f>VLOOKUP(A13,'Data Vlaue (Cr)'!C8:CY222,101,0)</f>
        <v>-63</v>
      </c>
      <c r="D13" s="139">
        <f>VLOOKUP(A13,'Data Vlaue (Cr)'!C8:CZ222,102,0)</f>
        <v>-9.7000000000000003E-3</v>
      </c>
      <c r="E13" s="91">
        <f>VLOOKUP($A13,'Data Vlaue (Cr)'!$C:$FB,75)</f>
        <v>3835</v>
      </c>
      <c r="F13" s="91">
        <f>VLOOKUP($A13,'Data Vlaue (Cr)'!$C:$FB,77)</f>
        <v>45</v>
      </c>
      <c r="G13" s="92">
        <f>VLOOKUP(A13,'Data Vlaue (Cr)'!C8:CB222,78,0)</f>
        <v>1.18E-2</v>
      </c>
      <c r="H13" s="91">
        <f>VLOOKUP($A13,'Data Vlaue (Cr)'!$C:$FB,91)</f>
        <v>1646</v>
      </c>
      <c r="I13" s="91">
        <f>VLOOKUP($A13,'Data Vlaue (Cr)'!$C:$FB,93)</f>
        <v>-80</v>
      </c>
      <c r="J13" s="92">
        <f>VLOOKUP($A13,'Data Vlaue (Cr)'!$C:$FB,94)</f>
        <v>-4.6600000000000003E-2</v>
      </c>
      <c r="K13" s="91">
        <f>VLOOKUP($A13,'Data Vlaue (Cr)'!$C:$FB,95)</f>
        <v>948</v>
      </c>
      <c r="L13" s="91">
        <f>VLOOKUP($A13,'Data Vlaue (Cr)'!$C:$FB,97)</f>
        <v>-27</v>
      </c>
      <c r="M13" s="92">
        <f>VLOOKUP($A13,'Data Vlaue (Cr)'!$C:$FB,98)</f>
        <v>-2.7799999999999998E-2</v>
      </c>
      <c r="N13" s="91">
        <f>VLOOKUP($A13,'Data Vlaue (Cr)'!$C:$FB,79)</f>
        <v>2540</v>
      </c>
      <c r="O13" s="92">
        <f>VLOOKUP($A13,'Data Vlaue (Cr)'!$C:$FB,82)</f>
        <v>-0.2112</v>
      </c>
    </row>
    <row r="14" spans="1:15" x14ac:dyDescent="0.25">
      <c r="A14" s="97" t="str">
        <f>'Data Vlaue (Cr)'!C9</f>
        <v>ALKEM</v>
      </c>
      <c r="B14" s="142">
        <f>VLOOKUP(A14,'Data Vlaue (Cr)'!C9:CW223,99,0)</f>
        <v>1569</v>
      </c>
      <c r="C14" s="90">
        <f>VLOOKUP(A14,'Data Vlaue (Cr)'!C9:CY223,101,0)</f>
        <v>34</v>
      </c>
      <c r="D14" s="139">
        <f>VLOOKUP(A14,'Data Vlaue (Cr)'!C9:CZ223,102,0)</f>
        <v>2.1999999999999999E-2</v>
      </c>
      <c r="E14" s="91">
        <f>VLOOKUP($A14,'Data Vlaue (Cr)'!$C:$FB,75)</f>
        <v>1007</v>
      </c>
      <c r="F14" s="91">
        <f>VLOOKUP($A14,'Data Vlaue (Cr)'!$C:$FB,77)</f>
        <v>42</v>
      </c>
      <c r="G14" s="92">
        <f>VLOOKUP(A14,'Data Vlaue (Cr)'!C9:CB223,78,0)</f>
        <v>4.3700000000000003E-2</v>
      </c>
      <c r="H14" s="91">
        <f>VLOOKUP($A14,'Data Vlaue (Cr)'!$C:$FB,91)</f>
        <v>361</v>
      </c>
      <c r="I14" s="91">
        <f>VLOOKUP($A14,'Data Vlaue (Cr)'!$C:$FB,93)</f>
        <v>8</v>
      </c>
      <c r="J14" s="92">
        <f>VLOOKUP($A14,'Data Vlaue (Cr)'!$C:$FB,94)</f>
        <v>2.1700000000000001E-2</v>
      </c>
      <c r="K14" s="91">
        <f>VLOOKUP($A14,'Data Vlaue (Cr)'!$C:$FB,95)</f>
        <v>201</v>
      </c>
      <c r="L14" s="91">
        <f>VLOOKUP($A14,'Data Vlaue (Cr)'!$C:$FB,97)</f>
        <v>-16</v>
      </c>
      <c r="M14" s="92">
        <f>VLOOKUP($A14,'Data Vlaue (Cr)'!$C:$FB,98)</f>
        <v>-7.3599999999999999E-2</v>
      </c>
      <c r="N14" s="91">
        <f>VLOOKUP($A14,'Data Vlaue (Cr)'!$C:$FB,79)</f>
        <v>821</v>
      </c>
      <c r="O14" s="92">
        <f>VLOOKUP($A14,'Data Vlaue (Cr)'!$C:$FB,82)</f>
        <v>-0.1087</v>
      </c>
    </row>
    <row r="15" spans="1:15" x14ac:dyDescent="0.25">
      <c r="A15" s="97" t="str">
        <f>'Data Vlaue (Cr)'!C10</f>
        <v>AMBER</v>
      </c>
      <c r="B15" s="142">
        <f>VLOOKUP(A15,'Data Vlaue (Cr)'!C10:CW224,99,0)</f>
        <v>2970</v>
      </c>
      <c r="C15" s="90">
        <f>VLOOKUP(A15,'Data Vlaue (Cr)'!C10:CY224,101,0)</f>
        <v>-271</v>
      </c>
      <c r="D15" s="139">
        <f>VLOOKUP(A15,'Data Vlaue (Cr)'!C10:CZ224,102,0)</f>
        <v>-8.3699999999999997E-2</v>
      </c>
      <c r="E15" s="91">
        <f>VLOOKUP($A15,'Data Vlaue (Cr)'!$C:$FB,75)</f>
        <v>1107</v>
      </c>
      <c r="F15" s="91">
        <f>VLOOKUP($A15,'Data Vlaue (Cr)'!$C:$FB,77)</f>
        <v>-144</v>
      </c>
      <c r="G15" s="92">
        <f>VLOOKUP(A15,'Data Vlaue (Cr)'!C10:CB224,78,0)</f>
        <v>-0.1148</v>
      </c>
      <c r="H15" s="91">
        <f>VLOOKUP($A15,'Data Vlaue (Cr)'!$C:$FB,91)</f>
        <v>1173</v>
      </c>
      <c r="I15" s="91">
        <f>VLOOKUP($A15,'Data Vlaue (Cr)'!$C:$FB,93)</f>
        <v>-49</v>
      </c>
      <c r="J15" s="92">
        <f>VLOOKUP($A15,'Data Vlaue (Cr)'!$C:$FB,94)</f>
        <v>-4.0300000000000002E-2</v>
      </c>
      <c r="K15" s="91">
        <f>VLOOKUP($A15,'Data Vlaue (Cr)'!$C:$FB,95)</f>
        <v>690</v>
      </c>
      <c r="L15" s="91">
        <f>VLOOKUP($A15,'Data Vlaue (Cr)'!$C:$FB,97)</f>
        <v>-78</v>
      </c>
      <c r="M15" s="92">
        <f>VLOOKUP($A15,'Data Vlaue (Cr)'!$C:$FB,98)</f>
        <v>-0.10199999999999999</v>
      </c>
      <c r="N15" s="91">
        <f>VLOOKUP($A15,'Data Vlaue (Cr)'!$C:$FB,79)</f>
        <v>612</v>
      </c>
      <c r="O15" s="92">
        <f>VLOOKUP($A15,'Data Vlaue (Cr)'!$C:$FB,82)</f>
        <v>-0.27950000000000003</v>
      </c>
    </row>
    <row r="16" spans="1:15" x14ac:dyDescent="0.25">
      <c r="A16" s="97" t="str">
        <f>'Data Vlaue (Cr)'!C11</f>
        <v>AMBUJACEM</v>
      </c>
      <c r="B16" s="142">
        <f>VLOOKUP(A16,'Data Vlaue (Cr)'!C11:CW225,99,0)</f>
        <v>4317</v>
      </c>
      <c r="C16" s="90">
        <f>VLOOKUP(A16,'Data Vlaue (Cr)'!C11:CY225,101,0)</f>
        <v>-23</v>
      </c>
      <c r="D16" s="139">
        <f>VLOOKUP(A16,'Data Vlaue (Cr)'!C11:CZ225,102,0)</f>
        <v>-5.1999999999999998E-3</v>
      </c>
      <c r="E16" s="91">
        <f>VLOOKUP($A16,'Data Vlaue (Cr)'!$C:$FB,75)</f>
        <v>2768</v>
      </c>
      <c r="F16" s="91">
        <f>VLOOKUP($A16,'Data Vlaue (Cr)'!$C:$FB,77)</f>
        <v>-7</v>
      </c>
      <c r="G16" s="92">
        <f>VLOOKUP(A16,'Data Vlaue (Cr)'!C11:CB225,78,0)</f>
        <v>-2.3999999999999998E-3</v>
      </c>
      <c r="H16" s="91">
        <f>VLOOKUP($A16,'Data Vlaue (Cr)'!$C:$FB,91)</f>
        <v>931</v>
      </c>
      <c r="I16" s="91">
        <f>VLOOKUP($A16,'Data Vlaue (Cr)'!$C:$FB,93)</f>
        <v>-19</v>
      </c>
      <c r="J16" s="92">
        <f>VLOOKUP($A16,'Data Vlaue (Cr)'!$C:$FB,94)</f>
        <v>-0.02</v>
      </c>
      <c r="K16" s="91">
        <f>VLOOKUP($A16,'Data Vlaue (Cr)'!$C:$FB,95)</f>
        <v>618</v>
      </c>
      <c r="L16" s="91">
        <f>VLOOKUP($A16,'Data Vlaue (Cr)'!$C:$FB,97)</f>
        <v>3</v>
      </c>
      <c r="M16" s="92">
        <f>VLOOKUP($A16,'Data Vlaue (Cr)'!$C:$FB,98)</f>
        <v>4.8999999999999998E-3</v>
      </c>
      <c r="N16" s="91">
        <f>VLOOKUP($A16,'Data Vlaue (Cr)'!$C:$FB,79)</f>
        <v>2081</v>
      </c>
      <c r="O16" s="92">
        <f>VLOOKUP($A16,'Data Vlaue (Cr)'!$C:$FB,82)</f>
        <v>-0.17180000000000001</v>
      </c>
    </row>
    <row r="17" spans="1:15" x14ac:dyDescent="0.25">
      <c r="A17" s="97" t="str">
        <f>'Data Vlaue (Cr)'!C12</f>
        <v>ANGELONE</v>
      </c>
      <c r="B17" s="142">
        <f>VLOOKUP(A17,'Data Vlaue (Cr)'!C12:CW226,99,0)</f>
        <v>2540</v>
      </c>
      <c r="C17" s="90">
        <f>VLOOKUP(A17,'Data Vlaue (Cr)'!C12:CY226,101,0)</f>
        <v>-11</v>
      </c>
      <c r="D17" s="139">
        <f>VLOOKUP(A17,'Data Vlaue (Cr)'!C12:CZ226,102,0)</f>
        <v>-4.4999999999999997E-3</v>
      </c>
      <c r="E17" s="91">
        <f>VLOOKUP($A17,'Data Vlaue (Cr)'!$C:$FB,75)</f>
        <v>961</v>
      </c>
      <c r="F17" s="91">
        <f>VLOOKUP($A17,'Data Vlaue (Cr)'!$C:$FB,77)</f>
        <v>-96</v>
      </c>
      <c r="G17" s="92">
        <f>VLOOKUP(A17,'Data Vlaue (Cr)'!C12:CB226,78,0)</f>
        <v>-9.0999999999999998E-2</v>
      </c>
      <c r="H17" s="91">
        <f>VLOOKUP($A17,'Data Vlaue (Cr)'!$C:$FB,91)</f>
        <v>749</v>
      </c>
      <c r="I17" s="91">
        <f>VLOOKUP($A17,'Data Vlaue (Cr)'!$C:$FB,93)</f>
        <v>28</v>
      </c>
      <c r="J17" s="92">
        <f>VLOOKUP($A17,'Data Vlaue (Cr)'!$C:$FB,94)</f>
        <v>3.9100000000000003E-2</v>
      </c>
      <c r="K17" s="91">
        <f>VLOOKUP($A17,'Data Vlaue (Cr)'!$C:$FB,95)</f>
        <v>829</v>
      </c>
      <c r="L17" s="91">
        <f>VLOOKUP($A17,'Data Vlaue (Cr)'!$C:$FB,97)</f>
        <v>57</v>
      </c>
      <c r="M17" s="92">
        <f>VLOOKUP($A17,'Data Vlaue (Cr)'!$C:$FB,98)</f>
        <v>7.3300000000000004E-2</v>
      </c>
      <c r="N17" s="91">
        <f>VLOOKUP($A17,'Data Vlaue (Cr)'!$C:$FB,79)</f>
        <v>626</v>
      </c>
      <c r="O17" s="92">
        <f>VLOOKUP($A17,'Data Vlaue (Cr)'!$C:$FB,82)</f>
        <v>-0.2545</v>
      </c>
    </row>
    <row r="18" spans="1:15" x14ac:dyDescent="0.25">
      <c r="A18" s="97" t="str">
        <f>'Data Vlaue (Cr)'!C13</f>
        <v>APLAPOLLO</v>
      </c>
      <c r="B18" s="142">
        <f>VLOOKUP(A18,'Data Vlaue (Cr)'!C13:CW227,99,0)</f>
        <v>1976</v>
      </c>
      <c r="C18" s="90">
        <f>VLOOKUP(A18,'Data Vlaue (Cr)'!C13:CY227,101,0)</f>
        <v>58</v>
      </c>
      <c r="D18" s="139">
        <f>VLOOKUP(A18,'Data Vlaue (Cr)'!C13:CZ227,102,0)</f>
        <v>3.0499999999999999E-2</v>
      </c>
      <c r="E18" s="91">
        <f>VLOOKUP($A18,'Data Vlaue (Cr)'!$C:$FB,75)</f>
        <v>1318</v>
      </c>
      <c r="F18" s="91">
        <f>VLOOKUP($A18,'Data Vlaue (Cr)'!$C:$FB,77)</f>
        <v>32</v>
      </c>
      <c r="G18" s="92">
        <f>VLOOKUP(A18,'Data Vlaue (Cr)'!C13:CB227,78,0)</f>
        <v>2.52E-2</v>
      </c>
      <c r="H18" s="91">
        <f>VLOOKUP($A18,'Data Vlaue (Cr)'!$C:$FB,91)</f>
        <v>397</v>
      </c>
      <c r="I18" s="91">
        <f>VLOOKUP($A18,'Data Vlaue (Cr)'!$C:$FB,93)</f>
        <v>23</v>
      </c>
      <c r="J18" s="92">
        <f>VLOOKUP($A18,'Data Vlaue (Cr)'!$C:$FB,94)</f>
        <v>6.1100000000000002E-2</v>
      </c>
      <c r="K18" s="91">
        <f>VLOOKUP($A18,'Data Vlaue (Cr)'!$C:$FB,95)</f>
        <v>262</v>
      </c>
      <c r="L18" s="91">
        <f>VLOOKUP($A18,'Data Vlaue (Cr)'!$C:$FB,97)</f>
        <v>3</v>
      </c>
      <c r="M18" s="92">
        <f>VLOOKUP($A18,'Data Vlaue (Cr)'!$C:$FB,98)</f>
        <v>1.21E-2</v>
      </c>
      <c r="N18" s="91">
        <f>VLOOKUP($A18,'Data Vlaue (Cr)'!$C:$FB,79)</f>
        <v>973</v>
      </c>
      <c r="O18" s="92">
        <f>VLOOKUP($A18,'Data Vlaue (Cr)'!$C:$FB,82)</f>
        <v>-0.19389999999999999</v>
      </c>
    </row>
    <row r="19" spans="1:15" x14ac:dyDescent="0.25">
      <c r="A19" s="97" t="str">
        <f>'Data Vlaue (Cr)'!C14</f>
        <v>APOLLOHOSP</v>
      </c>
      <c r="B19" s="142">
        <f>VLOOKUP(A19,'Data Vlaue (Cr)'!C14:CW228,99,0)</f>
        <v>4540</v>
      </c>
      <c r="C19" s="90">
        <f>VLOOKUP(A19,'Data Vlaue (Cr)'!C14:CY228,101,0)</f>
        <v>-116</v>
      </c>
      <c r="D19" s="139">
        <f>VLOOKUP(A19,'Data Vlaue (Cr)'!C14:CZ228,102,0)</f>
        <v>-2.4799999999999999E-2</v>
      </c>
      <c r="E19" s="91">
        <f>VLOOKUP($A19,'Data Vlaue (Cr)'!$C:$FB,75)</f>
        <v>2202</v>
      </c>
      <c r="F19" s="91">
        <f>VLOOKUP($A19,'Data Vlaue (Cr)'!$C:$FB,77)</f>
        <v>-12</v>
      </c>
      <c r="G19" s="92">
        <f>VLOOKUP(A19,'Data Vlaue (Cr)'!C14:CB228,78,0)</f>
        <v>-5.1999999999999998E-3</v>
      </c>
      <c r="H19" s="91">
        <f>VLOOKUP($A19,'Data Vlaue (Cr)'!$C:$FB,91)</f>
        <v>1657</v>
      </c>
      <c r="I19" s="91">
        <f>VLOOKUP($A19,'Data Vlaue (Cr)'!$C:$FB,93)</f>
        <v>-72</v>
      </c>
      <c r="J19" s="92">
        <f>VLOOKUP($A19,'Data Vlaue (Cr)'!$C:$FB,94)</f>
        <v>-4.1599999999999998E-2</v>
      </c>
      <c r="K19" s="91">
        <f>VLOOKUP($A19,'Data Vlaue (Cr)'!$C:$FB,95)</f>
        <v>681</v>
      </c>
      <c r="L19" s="91">
        <f>VLOOKUP($A19,'Data Vlaue (Cr)'!$C:$FB,97)</f>
        <v>-32</v>
      </c>
      <c r="M19" s="92">
        <f>VLOOKUP($A19,'Data Vlaue (Cr)'!$C:$FB,98)</f>
        <v>-4.5199999999999997E-2</v>
      </c>
      <c r="N19" s="91">
        <f>VLOOKUP($A19,'Data Vlaue (Cr)'!$C:$FB,79)</f>
        <v>1561</v>
      </c>
      <c r="O19" s="92">
        <f>VLOOKUP($A19,'Data Vlaue (Cr)'!$C:$FB,82)</f>
        <v>-0.1981</v>
      </c>
    </row>
    <row r="20" spans="1:15" x14ac:dyDescent="0.25">
      <c r="A20" s="97" t="str">
        <f>'Data Vlaue (Cr)'!C15</f>
        <v>ASHOKLEY</v>
      </c>
      <c r="B20" s="142">
        <f>VLOOKUP(A20,'Data Vlaue (Cr)'!C15:CW229,99,0)</f>
        <v>3688</v>
      </c>
      <c r="C20" s="90">
        <f>VLOOKUP(A20,'Data Vlaue (Cr)'!C15:CY229,101,0)</f>
        <v>-462</v>
      </c>
      <c r="D20" s="139">
        <f>VLOOKUP(A20,'Data Vlaue (Cr)'!C15:CZ229,102,0)</f>
        <v>-0.1113</v>
      </c>
      <c r="E20" s="91">
        <f>VLOOKUP($A20,'Data Vlaue (Cr)'!$C:$FB,75)</f>
        <v>1958</v>
      </c>
      <c r="F20" s="91">
        <f>VLOOKUP($A20,'Data Vlaue (Cr)'!$C:$FB,77)</f>
        <v>-446</v>
      </c>
      <c r="G20" s="92">
        <f>VLOOKUP(A20,'Data Vlaue (Cr)'!C15:CB229,78,0)</f>
        <v>-0.1855</v>
      </c>
      <c r="H20" s="91">
        <f>VLOOKUP($A20,'Data Vlaue (Cr)'!$C:$FB,91)</f>
        <v>1014</v>
      </c>
      <c r="I20" s="91">
        <f>VLOOKUP($A20,'Data Vlaue (Cr)'!$C:$FB,93)</f>
        <v>-8</v>
      </c>
      <c r="J20" s="92">
        <f>VLOOKUP($A20,'Data Vlaue (Cr)'!$C:$FB,94)</f>
        <v>-7.4999999999999997E-3</v>
      </c>
      <c r="K20" s="91">
        <f>VLOOKUP($A20,'Data Vlaue (Cr)'!$C:$FB,95)</f>
        <v>717</v>
      </c>
      <c r="L20" s="91">
        <f>VLOOKUP($A20,'Data Vlaue (Cr)'!$C:$FB,97)</f>
        <v>-8</v>
      </c>
      <c r="M20" s="92">
        <f>VLOOKUP($A20,'Data Vlaue (Cr)'!$C:$FB,98)</f>
        <v>-1.14E-2</v>
      </c>
      <c r="N20" s="91">
        <f>VLOOKUP($A20,'Data Vlaue (Cr)'!$C:$FB,79)</f>
        <v>1188</v>
      </c>
      <c r="O20" s="92">
        <f>VLOOKUP($A20,'Data Vlaue (Cr)'!$C:$FB,82)</f>
        <v>-0.36249999999999999</v>
      </c>
    </row>
    <row r="21" spans="1:15" x14ac:dyDescent="0.25">
      <c r="A21" s="97" t="str">
        <f>'Data Vlaue (Cr)'!C16</f>
        <v>ASIANPAINT</v>
      </c>
      <c r="B21" s="142">
        <f>VLOOKUP(A21,'Data Vlaue (Cr)'!C16:CW230,99,0)</f>
        <v>9590</v>
      </c>
      <c r="C21" s="90">
        <f>VLOOKUP(A21,'Data Vlaue (Cr)'!C16:CY230,101,0)</f>
        <v>-945</v>
      </c>
      <c r="D21" s="139">
        <f>VLOOKUP(A21,'Data Vlaue (Cr)'!C16:CZ230,102,0)</f>
        <v>-8.9700000000000002E-2</v>
      </c>
      <c r="E21" s="91">
        <f>VLOOKUP($A21,'Data Vlaue (Cr)'!$C:$FB,75)</f>
        <v>3899</v>
      </c>
      <c r="F21" s="91">
        <f>VLOOKUP($A21,'Data Vlaue (Cr)'!$C:$FB,77)</f>
        <v>-107</v>
      </c>
      <c r="G21" s="92">
        <f>VLOOKUP(A21,'Data Vlaue (Cr)'!C16:CB230,78,0)</f>
        <v>-2.6800000000000001E-2</v>
      </c>
      <c r="H21" s="91">
        <f>VLOOKUP($A21,'Data Vlaue (Cr)'!$C:$FB,91)</f>
        <v>3179</v>
      </c>
      <c r="I21" s="91">
        <f>VLOOKUP($A21,'Data Vlaue (Cr)'!$C:$FB,93)</f>
        <v>-291</v>
      </c>
      <c r="J21" s="92">
        <f>VLOOKUP($A21,'Data Vlaue (Cr)'!$C:$FB,94)</f>
        <v>-8.3900000000000002E-2</v>
      </c>
      <c r="K21" s="91">
        <f>VLOOKUP($A21,'Data Vlaue (Cr)'!$C:$FB,95)</f>
        <v>2513</v>
      </c>
      <c r="L21" s="91">
        <f>VLOOKUP($A21,'Data Vlaue (Cr)'!$C:$FB,97)</f>
        <v>-546</v>
      </c>
      <c r="M21" s="92">
        <f>VLOOKUP($A21,'Data Vlaue (Cr)'!$C:$FB,98)</f>
        <v>-0.17849999999999999</v>
      </c>
      <c r="N21" s="91">
        <f>VLOOKUP($A21,'Data Vlaue (Cr)'!$C:$FB,79)</f>
        <v>2879</v>
      </c>
      <c r="O21" s="92">
        <f>VLOOKUP($A21,'Data Vlaue (Cr)'!$C:$FB,82)</f>
        <v>-0.1537</v>
      </c>
    </row>
    <row r="22" spans="1:15" x14ac:dyDescent="0.25">
      <c r="A22" s="97" t="str">
        <f>'Data Vlaue (Cr)'!C17</f>
        <v>ASTRAL</v>
      </c>
      <c r="B22" s="142">
        <f>VLOOKUP(A22,'Data Vlaue (Cr)'!C17:CW231,99,0)</f>
        <v>2330</v>
      </c>
      <c r="C22" s="90">
        <f>VLOOKUP(A22,'Data Vlaue (Cr)'!C17:CY231,101,0)</f>
        <v>-241</v>
      </c>
      <c r="D22" s="139">
        <f>VLOOKUP(A22,'Data Vlaue (Cr)'!C17:CZ231,102,0)</f>
        <v>-9.3899999999999997E-2</v>
      </c>
      <c r="E22" s="91">
        <f>VLOOKUP($A22,'Data Vlaue (Cr)'!$C:$FB,75)</f>
        <v>1257</v>
      </c>
      <c r="F22" s="91">
        <f>VLOOKUP($A22,'Data Vlaue (Cr)'!$C:$FB,77)</f>
        <v>-154</v>
      </c>
      <c r="G22" s="92">
        <f>VLOOKUP(A22,'Data Vlaue (Cr)'!C17:CB231,78,0)</f>
        <v>-0.10920000000000001</v>
      </c>
      <c r="H22" s="91">
        <f>VLOOKUP($A22,'Data Vlaue (Cr)'!$C:$FB,91)</f>
        <v>685</v>
      </c>
      <c r="I22" s="91">
        <f>VLOOKUP($A22,'Data Vlaue (Cr)'!$C:$FB,93)</f>
        <v>-67</v>
      </c>
      <c r="J22" s="92">
        <f>VLOOKUP($A22,'Data Vlaue (Cr)'!$C:$FB,94)</f>
        <v>-8.8999999999999996E-2</v>
      </c>
      <c r="K22" s="91">
        <f>VLOOKUP($A22,'Data Vlaue (Cr)'!$C:$FB,95)</f>
        <v>388</v>
      </c>
      <c r="L22" s="91">
        <f>VLOOKUP($A22,'Data Vlaue (Cr)'!$C:$FB,97)</f>
        <v>-20</v>
      </c>
      <c r="M22" s="92">
        <f>VLOOKUP($A22,'Data Vlaue (Cr)'!$C:$FB,98)</f>
        <v>-4.99E-2</v>
      </c>
      <c r="N22" s="91">
        <f>VLOOKUP($A22,'Data Vlaue (Cr)'!$C:$FB,79)</f>
        <v>755</v>
      </c>
      <c r="O22" s="92">
        <f>VLOOKUP($A22,'Data Vlaue (Cr)'!$C:$FB,82)</f>
        <v>-0.36509999999999998</v>
      </c>
    </row>
    <row r="23" spans="1:15" x14ac:dyDescent="0.25">
      <c r="A23" s="97" t="str">
        <f>'Data Vlaue (Cr)'!C18</f>
        <v>AUBANK</v>
      </c>
      <c r="B23" s="142">
        <f>VLOOKUP(A23,'Data Vlaue (Cr)'!C18:CW232,99,0)</f>
        <v>2772</v>
      </c>
      <c r="C23" s="90">
        <f>VLOOKUP(A23,'Data Vlaue (Cr)'!C18:CY232,101,0)</f>
        <v>-44</v>
      </c>
      <c r="D23" s="139">
        <f>VLOOKUP(A23,'Data Vlaue (Cr)'!C18:CZ232,102,0)</f>
        <v>-1.55E-2</v>
      </c>
      <c r="E23" s="91">
        <f>VLOOKUP($A23,'Data Vlaue (Cr)'!$C:$FB,75)</f>
        <v>1569</v>
      </c>
      <c r="F23" s="91">
        <f>VLOOKUP($A23,'Data Vlaue (Cr)'!$C:$FB,77)</f>
        <v>19</v>
      </c>
      <c r="G23" s="92">
        <f>VLOOKUP(A23,'Data Vlaue (Cr)'!C18:CB232,78,0)</f>
        <v>1.23E-2</v>
      </c>
      <c r="H23" s="91">
        <f>VLOOKUP($A23,'Data Vlaue (Cr)'!$C:$FB,91)</f>
        <v>612</v>
      </c>
      <c r="I23" s="91">
        <f>VLOOKUP($A23,'Data Vlaue (Cr)'!$C:$FB,93)</f>
        <v>-5</v>
      </c>
      <c r="J23" s="92">
        <f>VLOOKUP($A23,'Data Vlaue (Cr)'!$C:$FB,94)</f>
        <v>-8.8000000000000005E-3</v>
      </c>
      <c r="K23" s="91">
        <f>VLOOKUP($A23,'Data Vlaue (Cr)'!$C:$FB,95)</f>
        <v>592</v>
      </c>
      <c r="L23" s="91">
        <f>VLOOKUP($A23,'Data Vlaue (Cr)'!$C:$FB,97)</f>
        <v>-57</v>
      </c>
      <c r="M23" s="92">
        <f>VLOOKUP($A23,'Data Vlaue (Cr)'!$C:$FB,98)</f>
        <v>-8.8400000000000006E-2</v>
      </c>
      <c r="N23" s="91">
        <f>VLOOKUP($A23,'Data Vlaue (Cr)'!$C:$FB,79)</f>
        <v>1019</v>
      </c>
      <c r="O23" s="92">
        <f>VLOOKUP($A23,'Data Vlaue (Cr)'!$C:$FB,82)</f>
        <v>-0.24179999999999999</v>
      </c>
    </row>
    <row r="24" spans="1:15" x14ac:dyDescent="0.25">
      <c r="A24" s="97" t="str">
        <f>'Data Vlaue (Cr)'!C19</f>
        <v>AUROPHARMA</v>
      </c>
      <c r="B24" s="142">
        <f>VLOOKUP(A24,'Data Vlaue (Cr)'!C19:CW233,99,0)</f>
        <v>3996</v>
      </c>
      <c r="C24" s="90">
        <f>VLOOKUP(A24,'Data Vlaue (Cr)'!C19:CY233,101,0)</f>
        <v>-56</v>
      </c>
      <c r="D24" s="139">
        <f>VLOOKUP(A24,'Data Vlaue (Cr)'!C19:CZ233,102,0)</f>
        <v>-1.38E-2</v>
      </c>
      <c r="E24" s="91">
        <f>VLOOKUP($A24,'Data Vlaue (Cr)'!$C:$FB,75)</f>
        <v>2902</v>
      </c>
      <c r="F24" s="91">
        <f>VLOOKUP($A24,'Data Vlaue (Cr)'!$C:$FB,77)</f>
        <v>-36</v>
      </c>
      <c r="G24" s="92">
        <f>VLOOKUP(A24,'Data Vlaue (Cr)'!C19:CB233,78,0)</f>
        <v>-1.23E-2</v>
      </c>
      <c r="H24" s="91">
        <f>VLOOKUP($A24,'Data Vlaue (Cr)'!$C:$FB,91)</f>
        <v>563</v>
      </c>
      <c r="I24" s="91">
        <f>VLOOKUP($A24,'Data Vlaue (Cr)'!$C:$FB,93)</f>
        <v>26</v>
      </c>
      <c r="J24" s="92">
        <f>VLOOKUP($A24,'Data Vlaue (Cr)'!$C:$FB,94)</f>
        <v>4.9200000000000001E-2</v>
      </c>
      <c r="K24" s="91">
        <f>VLOOKUP($A24,'Data Vlaue (Cr)'!$C:$FB,95)</f>
        <v>531</v>
      </c>
      <c r="L24" s="91">
        <f>VLOOKUP($A24,'Data Vlaue (Cr)'!$C:$FB,97)</f>
        <v>-46</v>
      </c>
      <c r="M24" s="92">
        <f>VLOOKUP($A24,'Data Vlaue (Cr)'!$C:$FB,98)</f>
        <v>-7.9899999999999999E-2</v>
      </c>
      <c r="N24" s="91">
        <f>VLOOKUP($A24,'Data Vlaue (Cr)'!$C:$FB,79)</f>
        <v>1651</v>
      </c>
      <c r="O24" s="92">
        <f>VLOOKUP($A24,'Data Vlaue (Cr)'!$C:$FB,82)</f>
        <v>-0.2888</v>
      </c>
    </row>
    <row r="25" spans="1:15" x14ac:dyDescent="0.25">
      <c r="A25" s="97" t="str">
        <f>'Data Vlaue (Cr)'!C20</f>
        <v>AXISBANK</v>
      </c>
      <c r="B25" s="142">
        <f>VLOOKUP(A25,'Data Vlaue (Cr)'!C20:CW234,99,0)</f>
        <v>13752</v>
      </c>
      <c r="C25" s="90">
        <f>VLOOKUP(A25,'Data Vlaue (Cr)'!C20:CY234,101,0)</f>
        <v>-210</v>
      </c>
      <c r="D25" s="139">
        <f>VLOOKUP(A25,'Data Vlaue (Cr)'!C20:CZ234,102,0)</f>
        <v>-1.4999999999999999E-2</v>
      </c>
      <c r="E25" s="91">
        <f>VLOOKUP($A25,'Data Vlaue (Cr)'!$C:$FB,75)</f>
        <v>9620</v>
      </c>
      <c r="F25" s="91">
        <f>VLOOKUP($A25,'Data Vlaue (Cr)'!$C:$FB,77)</f>
        <v>-84</v>
      </c>
      <c r="G25" s="92">
        <f>VLOOKUP(A25,'Data Vlaue (Cr)'!C20:CB234,78,0)</f>
        <v>-8.6999999999999994E-3</v>
      </c>
      <c r="H25" s="91">
        <f>VLOOKUP($A25,'Data Vlaue (Cr)'!$C:$FB,91)</f>
        <v>2349</v>
      </c>
      <c r="I25" s="91">
        <f>VLOOKUP($A25,'Data Vlaue (Cr)'!$C:$FB,93)</f>
        <v>-187</v>
      </c>
      <c r="J25" s="92">
        <f>VLOOKUP($A25,'Data Vlaue (Cr)'!$C:$FB,94)</f>
        <v>-7.3700000000000002E-2</v>
      </c>
      <c r="K25" s="91">
        <f>VLOOKUP($A25,'Data Vlaue (Cr)'!$C:$FB,95)</f>
        <v>1783</v>
      </c>
      <c r="L25" s="91">
        <f>VLOOKUP($A25,'Data Vlaue (Cr)'!$C:$FB,97)</f>
        <v>61</v>
      </c>
      <c r="M25" s="92">
        <f>VLOOKUP($A25,'Data Vlaue (Cr)'!$C:$FB,98)</f>
        <v>3.5700000000000003E-2</v>
      </c>
      <c r="N25" s="91">
        <f>VLOOKUP($A25,'Data Vlaue (Cr)'!$C:$FB,79)</f>
        <v>4545</v>
      </c>
      <c r="O25" s="92">
        <f>VLOOKUP($A25,'Data Vlaue (Cr)'!$C:$FB,82)</f>
        <v>-0.44829999999999998</v>
      </c>
    </row>
    <row r="26" spans="1:15" x14ac:dyDescent="0.25">
      <c r="A26" s="97" t="str">
        <f>'Data Vlaue (Cr)'!C21</f>
        <v>BAJAJ-AUTO</v>
      </c>
      <c r="B26" s="142">
        <f>VLOOKUP(A26,'Data Vlaue (Cr)'!C21:CW235,99,0)</f>
        <v>5961</v>
      </c>
      <c r="C26" s="90">
        <f>VLOOKUP(A26,'Data Vlaue (Cr)'!C21:CY235,101,0)</f>
        <v>-531</v>
      </c>
      <c r="D26" s="139">
        <f>VLOOKUP(A26,'Data Vlaue (Cr)'!C21:CZ235,102,0)</f>
        <v>-8.1900000000000001E-2</v>
      </c>
      <c r="E26" s="91">
        <f>VLOOKUP($A26,'Data Vlaue (Cr)'!$C:$FB,75)</f>
        <v>3037</v>
      </c>
      <c r="F26" s="91">
        <f>VLOOKUP($A26,'Data Vlaue (Cr)'!$C:$FB,77)</f>
        <v>-339</v>
      </c>
      <c r="G26" s="92">
        <f>VLOOKUP(A26,'Data Vlaue (Cr)'!C21:CB235,78,0)</f>
        <v>-0.1003</v>
      </c>
      <c r="H26" s="91">
        <f>VLOOKUP($A26,'Data Vlaue (Cr)'!$C:$FB,91)</f>
        <v>1825</v>
      </c>
      <c r="I26" s="91">
        <f>VLOOKUP($A26,'Data Vlaue (Cr)'!$C:$FB,93)</f>
        <v>-132</v>
      </c>
      <c r="J26" s="92">
        <f>VLOOKUP($A26,'Data Vlaue (Cr)'!$C:$FB,94)</f>
        <v>-6.7299999999999999E-2</v>
      </c>
      <c r="K26" s="91">
        <f>VLOOKUP($A26,'Data Vlaue (Cr)'!$C:$FB,95)</f>
        <v>1099</v>
      </c>
      <c r="L26" s="91">
        <f>VLOOKUP($A26,'Data Vlaue (Cr)'!$C:$FB,97)</f>
        <v>-61</v>
      </c>
      <c r="M26" s="92">
        <f>VLOOKUP($A26,'Data Vlaue (Cr)'!$C:$FB,98)</f>
        <v>-5.2699999999999997E-2</v>
      </c>
      <c r="N26" s="91">
        <f>VLOOKUP($A26,'Data Vlaue (Cr)'!$C:$FB,79)</f>
        <v>1861</v>
      </c>
      <c r="O26" s="92">
        <f>VLOOKUP($A26,'Data Vlaue (Cr)'!$C:$FB,82)</f>
        <v>-0.36749999999999999</v>
      </c>
    </row>
    <row r="27" spans="1:15" x14ac:dyDescent="0.25">
      <c r="A27" s="97" t="str">
        <f>'Data Vlaue (Cr)'!C22</f>
        <v>BAJAJFINSV</v>
      </c>
      <c r="B27" s="142">
        <f>VLOOKUP(A27,'Data Vlaue (Cr)'!C22:CW236,99,0)</f>
        <v>6449</v>
      </c>
      <c r="C27" s="90">
        <f>VLOOKUP(A27,'Data Vlaue (Cr)'!C22:CY236,101,0)</f>
        <v>-30</v>
      </c>
      <c r="D27" s="139">
        <f>VLOOKUP(A27,'Data Vlaue (Cr)'!C22:CZ236,102,0)</f>
        <v>-4.7000000000000002E-3</v>
      </c>
      <c r="E27" s="91">
        <f>VLOOKUP($A27,'Data Vlaue (Cr)'!$C:$FB,75)</f>
        <v>4025</v>
      </c>
      <c r="F27" s="91">
        <f>VLOOKUP($A27,'Data Vlaue (Cr)'!$C:$FB,77)</f>
        <v>-4</v>
      </c>
      <c r="G27" s="92">
        <f>VLOOKUP(A27,'Data Vlaue (Cr)'!C22:CB236,78,0)</f>
        <v>-1.1000000000000001E-3</v>
      </c>
      <c r="H27" s="91">
        <f>VLOOKUP($A27,'Data Vlaue (Cr)'!$C:$FB,91)</f>
        <v>1409</v>
      </c>
      <c r="I27" s="91">
        <f>VLOOKUP($A27,'Data Vlaue (Cr)'!$C:$FB,93)</f>
        <v>-113</v>
      </c>
      <c r="J27" s="92">
        <f>VLOOKUP($A27,'Data Vlaue (Cr)'!$C:$FB,94)</f>
        <v>-7.4499999999999997E-2</v>
      </c>
      <c r="K27" s="91">
        <f>VLOOKUP($A27,'Data Vlaue (Cr)'!$C:$FB,95)</f>
        <v>1015</v>
      </c>
      <c r="L27" s="91">
        <f>VLOOKUP($A27,'Data Vlaue (Cr)'!$C:$FB,97)</f>
        <v>87</v>
      </c>
      <c r="M27" s="92">
        <f>VLOOKUP($A27,'Data Vlaue (Cr)'!$C:$FB,98)</f>
        <v>9.4100000000000003E-2</v>
      </c>
      <c r="N27" s="91">
        <f>VLOOKUP($A27,'Data Vlaue (Cr)'!$C:$FB,79)</f>
        <v>2465</v>
      </c>
      <c r="O27" s="92">
        <f>VLOOKUP($A27,'Data Vlaue (Cr)'!$C:$FB,82)</f>
        <v>-0.29759999999999998</v>
      </c>
    </row>
    <row r="28" spans="1:15" x14ac:dyDescent="0.25">
      <c r="A28" s="97" t="str">
        <f>'Data Vlaue (Cr)'!C23</f>
        <v>BAJFINANCE</v>
      </c>
      <c r="B28" s="142">
        <f>VLOOKUP(A28,'Data Vlaue (Cr)'!C23:CW237,99,0)</f>
        <v>14206</v>
      </c>
      <c r="C28" s="90">
        <f>VLOOKUP(A28,'Data Vlaue (Cr)'!C23:CY237,101,0)</f>
        <v>-862</v>
      </c>
      <c r="D28" s="139">
        <f>VLOOKUP(A28,'Data Vlaue (Cr)'!C23:CZ237,102,0)</f>
        <v>-5.7200000000000001E-2</v>
      </c>
      <c r="E28" s="91">
        <f>VLOOKUP($A28,'Data Vlaue (Cr)'!$C:$FB,75)</f>
        <v>9579</v>
      </c>
      <c r="F28" s="91">
        <f>VLOOKUP($A28,'Data Vlaue (Cr)'!$C:$FB,77)</f>
        <v>-125</v>
      </c>
      <c r="G28" s="92">
        <f>VLOOKUP(A28,'Data Vlaue (Cr)'!C23:CB237,78,0)</f>
        <v>-1.29E-2</v>
      </c>
      <c r="H28" s="91">
        <f>VLOOKUP($A28,'Data Vlaue (Cr)'!$C:$FB,91)</f>
        <v>2844</v>
      </c>
      <c r="I28" s="91">
        <f>VLOOKUP($A28,'Data Vlaue (Cr)'!$C:$FB,93)</f>
        <v>-597</v>
      </c>
      <c r="J28" s="92">
        <f>VLOOKUP($A28,'Data Vlaue (Cr)'!$C:$FB,94)</f>
        <v>-0.1734</v>
      </c>
      <c r="K28" s="91">
        <f>VLOOKUP($A28,'Data Vlaue (Cr)'!$C:$FB,95)</f>
        <v>1783</v>
      </c>
      <c r="L28" s="91">
        <f>VLOOKUP($A28,'Data Vlaue (Cr)'!$C:$FB,97)</f>
        <v>-140</v>
      </c>
      <c r="M28" s="92">
        <f>VLOOKUP($A28,'Data Vlaue (Cr)'!$C:$FB,98)</f>
        <v>-7.2900000000000006E-2</v>
      </c>
      <c r="N28" s="91">
        <f>VLOOKUP($A28,'Data Vlaue (Cr)'!$C:$FB,79)</f>
        <v>5450</v>
      </c>
      <c r="O28" s="92">
        <f>VLOOKUP($A28,'Data Vlaue (Cr)'!$C:$FB,82)</f>
        <v>-0.34949999999999998</v>
      </c>
    </row>
    <row r="29" spans="1:15" x14ac:dyDescent="0.25">
      <c r="A29" s="97" t="str">
        <f>'Data Vlaue (Cr)'!C24</f>
        <v>BANDHANBNK</v>
      </c>
      <c r="B29" s="142">
        <f>VLOOKUP(A29,'Data Vlaue (Cr)'!C24:CW238,99,0)</f>
        <v>3927</v>
      </c>
      <c r="C29" s="90">
        <f>VLOOKUP(A29,'Data Vlaue (Cr)'!C24:CY238,101,0)</f>
        <v>-90</v>
      </c>
      <c r="D29" s="139">
        <f>VLOOKUP(A29,'Data Vlaue (Cr)'!C24:CZ238,102,0)</f>
        <v>-2.2499999999999999E-2</v>
      </c>
      <c r="E29" s="91">
        <f>VLOOKUP($A29,'Data Vlaue (Cr)'!$C:$FB,75)</f>
        <v>1999</v>
      </c>
      <c r="F29" s="91">
        <f>VLOOKUP($A29,'Data Vlaue (Cr)'!$C:$FB,77)</f>
        <v>-23</v>
      </c>
      <c r="G29" s="92">
        <f>VLOOKUP(A29,'Data Vlaue (Cr)'!C24:CB238,78,0)</f>
        <v>-1.15E-2</v>
      </c>
      <c r="H29" s="91">
        <f>VLOOKUP($A29,'Data Vlaue (Cr)'!$C:$FB,91)</f>
        <v>1250</v>
      </c>
      <c r="I29" s="91">
        <f>VLOOKUP($A29,'Data Vlaue (Cr)'!$C:$FB,93)</f>
        <v>-65</v>
      </c>
      <c r="J29" s="92">
        <f>VLOOKUP($A29,'Data Vlaue (Cr)'!$C:$FB,94)</f>
        <v>-4.9700000000000001E-2</v>
      </c>
      <c r="K29" s="91">
        <f>VLOOKUP($A29,'Data Vlaue (Cr)'!$C:$FB,95)</f>
        <v>678</v>
      </c>
      <c r="L29" s="91">
        <f>VLOOKUP($A29,'Data Vlaue (Cr)'!$C:$FB,97)</f>
        <v>-2</v>
      </c>
      <c r="M29" s="92">
        <f>VLOOKUP($A29,'Data Vlaue (Cr)'!$C:$FB,98)</f>
        <v>-2.3999999999999998E-3</v>
      </c>
      <c r="N29" s="91">
        <f>VLOOKUP($A29,'Data Vlaue (Cr)'!$C:$FB,79)</f>
        <v>1180</v>
      </c>
      <c r="O29" s="92">
        <f>VLOOKUP($A29,'Data Vlaue (Cr)'!$C:$FB,82)</f>
        <v>-0.1681</v>
      </c>
    </row>
    <row r="30" spans="1:15" x14ac:dyDescent="0.25">
      <c r="A30" s="97" t="str">
        <f>'Data Vlaue (Cr)'!C25</f>
        <v>BANKBARODA</v>
      </c>
      <c r="B30" s="142">
        <f>VLOOKUP(A30,'Data Vlaue (Cr)'!C25:CW239,99,0)</f>
        <v>5543</v>
      </c>
      <c r="C30" s="90">
        <f>VLOOKUP(A30,'Data Vlaue (Cr)'!C25:CY239,101,0)</f>
        <v>21</v>
      </c>
      <c r="D30" s="139">
        <f>VLOOKUP(A30,'Data Vlaue (Cr)'!C25:CZ239,102,0)</f>
        <v>3.8E-3</v>
      </c>
      <c r="E30" s="91">
        <f>VLOOKUP($A30,'Data Vlaue (Cr)'!$C:$FB,75)</f>
        <v>2927</v>
      </c>
      <c r="F30" s="91">
        <f>VLOOKUP($A30,'Data Vlaue (Cr)'!$C:$FB,77)</f>
        <v>32</v>
      </c>
      <c r="G30" s="92">
        <f>VLOOKUP(A30,'Data Vlaue (Cr)'!C25:CB239,78,0)</f>
        <v>1.11E-2</v>
      </c>
      <c r="H30" s="91">
        <f>VLOOKUP($A30,'Data Vlaue (Cr)'!$C:$FB,91)</f>
        <v>1511</v>
      </c>
      <c r="I30" s="91">
        <f>VLOOKUP($A30,'Data Vlaue (Cr)'!$C:$FB,93)</f>
        <v>35</v>
      </c>
      <c r="J30" s="92">
        <f>VLOOKUP($A30,'Data Vlaue (Cr)'!$C:$FB,94)</f>
        <v>2.3400000000000001E-2</v>
      </c>
      <c r="K30" s="91">
        <f>VLOOKUP($A30,'Data Vlaue (Cr)'!$C:$FB,95)</f>
        <v>1105</v>
      </c>
      <c r="L30" s="91">
        <f>VLOOKUP($A30,'Data Vlaue (Cr)'!$C:$FB,97)</f>
        <v>-46</v>
      </c>
      <c r="M30" s="92">
        <f>VLOOKUP($A30,'Data Vlaue (Cr)'!$C:$FB,98)</f>
        <v>-0.04</v>
      </c>
      <c r="N30" s="91">
        <f>VLOOKUP($A30,'Data Vlaue (Cr)'!$C:$FB,79)</f>
        <v>2110</v>
      </c>
      <c r="O30" s="92">
        <f>VLOOKUP($A30,'Data Vlaue (Cr)'!$C:$FB,82)</f>
        <v>-0.15609999999999999</v>
      </c>
    </row>
    <row r="31" spans="1:15" x14ac:dyDescent="0.25">
      <c r="A31" s="97" t="str">
        <f>'Data Vlaue (Cr)'!C26</f>
        <v>BANKINDIA</v>
      </c>
      <c r="B31" s="142">
        <f>VLOOKUP(A31,'Data Vlaue (Cr)'!C26:CW240,99,0)</f>
        <v>1597</v>
      </c>
      <c r="C31" s="90">
        <f>VLOOKUP(A31,'Data Vlaue (Cr)'!C26:CY240,101,0)</f>
        <v>-15</v>
      </c>
      <c r="D31" s="139">
        <f>VLOOKUP(A31,'Data Vlaue (Cr)'!C26:CZ240,102,0)</f>
        <v>-9.4999999999999998E-3</v>
      </c>
      <c r="E31" s="91">
        <f>VLOOKUP($A31,'Data Vlaue (Cr)'!$C:$FB,75)</f>
        <v>780</v>
      </c>
      <c r="F31" s="91">
        <f>VLOOKUP($A31,'Data Vlaue (Cr)'!$C:$FB,77)</f>
        <v>-27</v>
      </c>
      <c r="G31" s="92">
        <f>VLOOKUP(A31,'Data Vlaue (Cr)'!C26:CB240,78,0)</f>
        <v>-3.2899999999999999E-2</v>
      </c>
      <c r="H31" s="91">
        <f>VLOOKUP($A31,'Data Vlaue (Cr)'!$C:$FB,91)</f>
        <v>433</v>
      </c>
      <c r="I31" s="91">
        <f>VLOOKUP($A31,'Data Vlaue (Cr)'!$C:$FB,93)</f>
        <v>-15</v>
      </c>
      <c r="J31" s="92">
        <f>VLOOKUP($A31,'Data Vlaue (Cr)'!$C:$FB,94)</f>
        <v>-3.39E-2</v>
      </c>
      <c r="K31" s="91">
        <f>VLOOKUP($A31,'Data Vlaue (Cr)'!$C:$FB,95)</f>
        <v>384</v>
      </c>
      <c r="L31" s="91">
        <f>VLOOKUP($A31,'Data Vlaue (Cr)'!$C:$FB,97)</f>
        <v>26</v>
      </c>
      <c r="M31" s="92">
        <f>VLOOKUP($A31,'Data Vlaue (Cr)'!$C:$FB,98)</f>
        <v>7.3800000000000004E-2</v>
      </c>
      <c r="N31" s="91">
        <f>VLOOKUP($A31,'Data Vlaue (Cr)'!$C:$FB,79)</f>
        <v>481</v>
      </c>
      <c r="O31" s="92">
        <f>VLOOKUP($A31,'Data Vlaue (Cr)'!$C:$FB,82)</f>
        <v>-0.27439999999999998</v>
      </c>
    </row>
    <row r="32" spans="1:15" x14ac:dyDescent="0.25">
      <c r="A32" s="97" t="str">
        <f>'Data Vlaue (Cr)'!C27</f>
        <v>BANKNIFTY</v>
      </c>
      <c r="B32" s="142">
        <f>VLOOKUP(A32,'Data Vlaue (Cr)'!C27:CW241,99,0)</f>
        <v>276242</v>
      </c>
      <c r="C32" s="90">
        <f>VLOOKUP(A32,'Data Vlaue (Cr)'!C27:CY241,101,0)</f>
        <v>8830</v>
      </c>
      <c r="D32" s="139">
        <f>VLOOKUP(A32,'Data Vlaue (Cr)'!C27:CZ241,102,0)</f>
        <v>3.3000000000000002E-2</v>
      </c>
      <c r="E32" s="91">
        <f>VLOOKUP($A32,'Data Vlaue (Cr)'!$C:$FB,75)</f>
        <v>12959</v>
      </c>
      <c r="F32" s="91">
        <f>VLOOKUP($A32,'Data Vlaue (Cr)'!$C:$FB,77)</f>
        <v>480</v>
      </c>
      <c r="G32" s="92">
        <f>VLOOKUP(A32,'Data Vlaue (Cr)'!C27:CB241,78,0)</f>
        <v>3.85E-2</v>
      </c>
      <c r="H32" s="91">
        <f>VLOOKUP($A32,'Data Vlaue (Cr)'!$C:$FB,91)</f>
        <v>116913</v>
      </c>
      <c r="I32" s="91">
        <f>VLOOKUP($A32,'Data Vlaue (Cr)'!$C:$FB,93)</f>
        <v>2450</v>
      </c>
      <c r="J32" s="92">
        <f>VLOOKUP($A32,'Data Vlaue (Cr)'!$C:$FB,94)</f>
        <v>2.1399999999999999E-2</v>
      </c>
      <c r="K32" s="91">
        <f>VLOOKUP($A32,'Data Vlaue (Cr)'!$C:$FB,95)</f>
        <v>146369</v>
      </c>
      <c r="L32" s="91">
        <f>VLOOKUP($A32,'Data Vlaue (Cr)'!$C:$FB,97)</f>
        <v>5901</v>
      </c>
      <c r="M32" s="92">
        <f>VLOOKUP($A32,'Data Vlaue (Cr)'!$C:$FB,98)</f>
        <v>4.2000000000000003E-2</v>
      </c>
      <c r="N32" s="91">
        <f>VLOOKUP($A32,'Data Vlaue (Cr)'!$C:$FB,79)</f>
        <v>9558</v>
      </c>
      <c r="O32" s="92">
        <f>VLOOKUP($A32,'Data Vlaue (Cr)'!$C:$FB,82)</f>
        <v>-3.8399999999999997E-2</v>
      </c>
    </row>
    <row r="33" spans="1:15" x14ac:dyDescent="0.25">
      <c r="A33" s="97" t="str">
        <f>'Data Vlaue (Cr)'!C28</f>
        <v>BDL</v>
      </c>
      <c r="B33" s="142">
        <f>VLOOKUP(A33,'Data Vlaue (Cr)'!C28:CW242,99,0)</f>
        <v>2132</v>
      </c>
      <c r="C33" s="90">
        <f>VLOOKUP(A33,'Data Vlaue (Cr)'!C28:CY242,101,0)</f>
        <v>-38</v>
      </c>
      <c r="D33" s="139">
        <f>VLOOKUP(A33,'Data Vlaue (Cr)'!C28:CZ242,102,0)</f>
        <v>-1.77E-2</v>
      </c>
      <c r="E33" s="91">
        <f>VLOOKUP($A33,'Data Vlaue (Cr)'!$C:$FB,75)</f>
        <v>878</v>
      </c>
      <c r="F33" s="91">
        <f>VLOOKUP($A33,'Data Vlaue (Cr)'!$C:$FB,77)</f>
        <v>23</v>
      </c>
      <c r="G33" s="92">
        <f>VLOOKUP(A33,'Data Vlaue (Cr)'!C28:CB242,78,0)</f>
        <v>2.7199999999999998E-2</v>
      </c>
      <c r="H33" s="91">
        <f>VLOOKUP($A33,'Data Vlaue (Cr)'!$C:$FB,91)</f>
        <v>785</v>
      </c>
      <c r="I33" s="91">
        <f>VLOOKUP($A33,'Data Vlaue (Cr)'!$C:$FB,93)</f>
        <v>-43</v>
      </c>
      <c r="J33" s="92">
        <f>VLOOKUP($A33,'Data Vlaue (Cr)'!$C:$FB,94)</f>
        <v>-5.1999999999999998E-2</v>
      </c>
      <c r="K33" s="91">
        <f>VLOOKUP($A33,'Data Vlaue (Cr)'!$C:$FB,95)</f>
        <v>469</v>
      </c>
      <c r="L33" s="91">
        <f>VLOOKUP($A33,'Data Vlaue (Cr)'!$C:$FB,97)</f>
        <v>-19</v>
      </c>
      <c r="M33" s="92">
        <f>VLOOKUP($A33,'Data Vlaue (Cr)'!$C:$FB,98)</f>
        <v>-3.7999999999999999E-2</v>
      </c>
      <c r="N33" s="91">
        <f>VLOOKUP($A33,'Data Vlaue (Cr)'!$C:$FB,79)</f>
        <v>611</v>
      </c>
      <c r="O33" s="92">
        <f>VLOOKUP($A33,'Data Vlaue (Cr)'!$C:$FB,82)</f>
        <v>-0.1237</v>
      </c>
    </row>
    <row r="34" spans="1:15" x14ac:dyDescent="0.25">
      <c r="A34" s="97" t="str">
        <f>'Data Vlaue (Cr)'!C29</f>
        <v>BEL</v>
      </c>
      <c r="B34" s="142">
        <f>VLOOKUP(A34,'Data Vlaue (Cr)'!C29:CW243,99,0)</f>
        <v>9181</v>
      </c>
      <c r="C34" s="90">
        <f>VLOOKUP(A34,'Data Vlaue (Cr)'!C29:CY243,101,0)</f>
        <v>-775</v>
      </c>
      <c r="D34" s="139">
        <f>VLOOKUP(A34,'Data Vlaue (Cr)'!C29:CZ243,102,0)</f>
        <v>-7.7899999999999997E-2</v>
      </c>
      <c r="E34" s="91">
        <f>VLOOKUP($A34,'Data Vlaue (Cr)'!$C:$FB,75)</f>
        <v>4760</v>
      </c>
      <c r="F34" s="91">
        <f>VLOOKUP($A34,'Data Vlaue (Cr)'!$C:$FB,77)</f>
        <v>-164</v>
      </c>
      <c r="G34" s="92">
        <f>VLOOKUP(A34,'Data Vlaue (Cr)'!C29:CB243,78,0)</f>
        <v>-3.32E-2</v>
      </c>
      <c r="H34" s="91">
        <f>VLOOKUP($A34,'Data Vlaue (Cr)'!$C:$FB,91)</f>
        <v>2833</v>
      </c>
      <c r="I34" s="91">
        <f>VLOOKUP($A34,'Data Vlaue (Cr)'!$C:$FB,93)</f>
        <v>-448</v>
      </c>
      <c r="J34" s="92">
        <f>VLOOKUP($A34,'Data Vlaue (Cr)'!$C:$FB,94)</f>
        <v>-0.13669999999999999</v>
      </c>
      <c r="K34" s="91">
        <f>VLOOKUP($A34,'Data Vlaue (Cr)'!$C:$FB,95)</f>
        <v>1588</v>
      </c>
      <c r="L34" s="91">
        <f>VLOOKUP($A34,'Data Vlaue (Cr)'!$C:$FB,97)</f>
        <v>-163</v>
      </c>
      <c r="M34" s="92">
        <f>VLOOKUP($A34,'Data Vlaue (Cr)'!$C:$FB,98)</f>
        <v>-9.3100000000000002E-2</v>
      </c>
      <c r="N34" s="91">
        <f>VLOOKUP($A34,'Data Vlaue (Cr)'!$C:$FB,79)</f>
        <v>3201</v>
      </c>
      <c r="O34" s="92">
        <f>VLOOKUP($A34,'Data Vlaue (Cr)'!$C:$FB,82)</f>
        <v>-0.18740000000000001</v>
      </c>
    </row>
    <row r="35" spans="1:15" x14ac:dyDescent="0.25">
      <c r="A35" s="97" t="str">
        <f>'Data Vlaue (Cr)'!C30</f>
        <v>BHARATFORG</v>
      </c>
      <c r="B35" s="142">
        <f>VLOOKUP(A35,'Data Vlaue (Cr)'!C30:CW244,99,0)</f>
        <v>2486</v>
      </c>
      <c r="C35" s="90">
        <f>VLOOKUP(A35,'Data Vlaue (Cr)'!C30:CY244,101,0)</f>
        <v>-155</v>
      </c>
      <c r="D35" s="139">
        <f>VLOOKUP(A35,'Data Vlaue (Cr)'!C30:CZ244,102,0)</f>
        <v>-5.8500000000000003E-2</v>
      </c>
      <c r="E35" s="91">
        <f>VLOOKUP($A35,'Data Vlaue (Cr)'!$C:$FB,75)</f>
        <v>1358</v>
      </c>
      <c r="F35" s="91">
        <f>VLOOKUP($A35,'Data Vlaue (Cr)'!$C:$FB,77)</f>
        <v>-94</v>
      </c>
      <c r="G35" s="92">
        <f>VLOOKUP(A35,'Data Vlaue (Cr)'!C30:CB244,78,0)</f>
        <v>-6.4899999999999999E-2</v>
      </c>
      <c r="H35" s="91">
        <f>VLOOKUP($A35,'Data Vlaue (Cr)'!$C:$FB,91)</f>
        <v>628</v>
      </c>
      <c r="I35" s="91">
        <f>VLOOKUP($A35,'Data Vlaue (Cr)'!$C:$FB,93)</f>
        <v>-6</v>
      </c>
      <c r="J35" s="92">
        <f>VLOOKUP($A35,'Data Vlaue (Cr)'!$C:$FB,94)</f>
        <v>-9.7999999999999997E-3</v>
      </c>
      <c r="K35" s="91">
        <f>VLOOKUP($A35,'Data Vlaue (Cr)'!$C:$FB,95)</f>
        <v>500</v>
      </c>
      <c r="L35" s="91">
        <f>VLOOKUP($A35,'Data Vlaue (Cr)'!$C:$FB,97)</f>
        <v>-54</v>
      </c>
      <c r="M35" s="92">
        <f>VLOOKUP($A35,'Data Vlaue (Cr)'!$C:$FB,98)</f>
        <v>-9.7500000000000003E-2</v>
      </c>
      <c r="N35" s="91">
        <f>VLOOKUP($A35,'Data Vlaue (Cr)'!$C:$FB,79)</f>
        <v>880</v>
      </c>
      <c r="O35" s="92">
        <f>VLOOKUP($A35,'Data Vlaue (Cr)'!$C:$FB,82)</f>
        <v>-0.26200000000000001</v>
      </c>
    </row>
    <row r="36" spans="1:15" x14ac:dyDescent="0.25">
      <c r="A36" s="97" t="str">
        <f>'Data Vlaue (Cr)'!C31</f>
        <v>BHARTIARTL</v>
      </c>
      <c r="B36" s="142">
        <f>VLOOKUP(A36,'Data Vlaue (Cr)'!C31:CW245,99,0)</f>
        <v>16496</v>
      </c>
      <c r="C36" s="90">
        <f>VLOOKUP(A36,'Data Vlaue (Cr)'!C31:CY245,101,0)</f>
        <v>-234</v>
      </c>
      <c r="D36" s="139">
        <f>VLOOKUP(A36,'Data Vlaue (Cr)'!C31:CZ245,102,0)</f>
        <v>-1.4E-2</v>
      </c>
      <c r="E36" s="91">
        <f>VLOOKUP($A36,'Data Vlaue (Cr)'!$C:$FB,75)</f>
        <v>9259</v>
      </c>
      <c r="F36" s="91">
        <f>VLOOKUP($A36,'Data Vlaue (Cr)'!$C:$FB,77)</f>
        <v>233</v>
      </c>
      <c r="G36" s="92">
        <f>VLOOKUP(A36,'Data Vlaue (Cr)'!C31:CB245,78,0)</f>
        <v>2.58E-2</v>
      </c>
      <c r="H36" s="91">
        <f>VLOOKUP($A36,'Data Vlaue (Cr)'!$C:$FB,91)</f>
        <v>4335</v>
      </c>
      <c r="I36" s="91">
        <f>VLOOKUP($A36,'Data Vlaue (Cr)'!$C:$FB,93)</f>
        <v>-269</v>
      </c>
      <c r="J36" s="92">
        <f>VLOOKUP($A36,'Data Vlaue (Cr)'!$C:$FB,94)</f>
        <v>-5.8400000000000001E-2</v>
      </c>
      <c r="K36" s="91">
        <f>VLOOKUP($A36,'Data Vlaue (Cr)'!$C:$FB,95)</f>
        <v>2901</v>
      </c>
      <c r="L36" s="91">
        <f>VLOOKUP($A36,'Data Vlaue (Cr)'!$C:$FB,97)</f>
        <v>-198</v>
      </c>
      <c r="M36" s="92">
        <f>VLOOKUP($A36,'Data Vlaue (Cr)'!$C:$FB,98)</f>
        <v>-6.3899999999999998E-2</v>
      </c>
      <c r="N36" s="91">
        <f>VLOOKUP($A36,'Data Vlaue (Cr)'!$C:$FB,79)</f>
        <v>5022</v>
      </c>
      <c r="O36" s="92">
        <f>VLOOKUP($A36,'Data Vlaue (Cr)'!$C:$FB,82)</f>
        <v>-0.30320000000000003</v>
      </c>
    </row>
    <row r="37" spans="1:15" x14ac:dyDescent="0.25">
      <c r="A37" s="97" t="str">
        <f>'Data Vlaue (Cr)'!C32</f>
        <v>BHEL</v>
      </c>
      <c r="B37" s="142">
        <f>VLOOKUP(A37,'Data Vlaue (Cr)'!C32:CW246,99,0)</f>
        <v>4412</v>
      </c>
      <c r="C37" s="90">
        <f>VLOOKUP(A37,'Data Vlaue (Cr)'!C32:CY246,101,0)</f>
        <v>-189</v>
      </c>
      <c r="D37" s="139">
        <f>VLOOKUP(A37,'Data Vlaue (Cr)'!C32:CZ246,102,0)</f>
        <v>-4.1099999999999998E-2</v>
      </c>
      <c r="E37" s="91">
        <f>VLOOKUP($A37,'Data Vlaue (Cr)'!$C:$FB,75)</f>
        <v>1724</v>
      </c>
      <c r="F37" s="91">
        <f>VLOOKUP($A37,'Data Vlaue (Cr)'!$C:$FB,77)</f>
        <v>-37</v>
      </c>
      <c r="G37" s="92">
        <f>VLOOKUP(A37,'Data Vlaue (Cr)'!C32:CB246,78,0)</f>
        <v>-2.0899999999999998E-2</v>
      </c>
      <c r="H37" s="91">
        <f>VLOOKUP($A37,'Data Vlaue (Cr)'!$C:$FB,91)</f>
        <v>1493</v>
      </c>
      <c r="I37" s="91">
        <f>VLOOKUP($A37,'Data Vlaue (Cr)'!$C:$FB,93)</f>
        <v>-38</v>
      </c>
      <c r="J37" s="92">
        <f>VLOOKUP($A37,'Data Vlaue (Cr)'!$C:$FB,94)</f>
        <v>-2.5100000000000001E-2</v>
      </c>
      <c r="K37" s="91">
        <f>VLOOKUP($A37,'Data Vlaue (Cr)'!$C:$FB,95)</f>
        <v>1195</v>
      </c>
      <c r="L37" s="91">
        <f>VLOOKUP($A37,'Data Vlaue (Cr)'!$C:$FB,97)</f>
        <v>-114</v>
      </c>
      <c r="M37" s="92">
        <f>VLOOKUP($A37,'Data Vlaue (Cr)'!$C:$FB,98)</f>
        <v>-8.6900000000000005E-2</v>
      </c>
      <c r="N37" s="91">
        <f>VLOOKUP($A37,'Data Vlaue (Cr)'!$C:$FB,79)</f>
        <v>1184</v>
      </c>
      <c r="O37" s="92">
        <f>VLOOKUP($A37,'Data Vlaue (Cr)'!$C:$FB,82)</f>
        <v>-0.23180000000000001</v>
      </c>
    </row>
    <row r="38" spans="1:15" x14ac:dyDescent="0.25">
      <c r="A38" s="97" t="str">
        <f>'Data Vlaue (Cr)'!C33</f>
        <v>BIOCON</v>
      </c>
      <c r="B38" s="142">
        <f>VLOOKUP(A38,'Data Vlaue (Cr)'!C33:CW247,99,0)</f>
        <v>4491</v>
      </c>
      <c r="C38" s="90">
        <f>VLOOKUP(A38,'Data Vlaue (Cr)'!C33:CY247,101,0)</f>
        <v>386</v>
      </c>
      <c r="D38" s="139">
        <f>VLOOKUP(A38,'Data Vlaue (Cr)'!C33:CZ247,102,0)</f>
        <v>9.3899999999999997E-2</v>
      </c>
      <c r="E38" s="91">
        <f>VLOOKUP($A38,'Data Vlaue (Cr)'!$C:$FB,75)</f>
        <v>2099</v>
      </c>
      <c r="F38" s="91">
        <f>VLOOKUP($A38,'Data Vlaue (Cr)'!$C:$FB,77)</f>
        <v>65</v>
      </c>
      <c r="G38" s="92">
        <f>VLOOKUP(A38,'Data Vlaue (Cr)'!C33:CB247,78,0)</f>
        <v>3.1800000000000002E-2</v>
      </c>
      <c r="H38" s="91">
        <f>VLOOKUP($A38,'Data Vlaue (Cr)'!$C:$FB,91)</f>
        <v>1404</v>
      </c>
      <c r="I38" s="91">
        <f>VLOOKUP($A38,'Data Vlaue (Cr)'!$C:$FB,93)</f>
        <v>257</v>
      </c>
      <c r="J38" s="92">
        <f>VLOOKUP($A38,'Data Vlaue (Cr)'!$C:$FB,94)</f>
        <v>0.2243</v>
      </c>
      <c r="K38" s="91">
        <f>VLOOKUP($A38,'Data Vlaue (Cr)'!$C:$FB,95)</f>
        <v>987</v>
      </c>
      <c r="L38" s="91">
        <f>VLOOKUP($A38,'Data Vlaue (Cr)'!$C:$FB,97)</f>
        <v>64</v>
      </c>
      <c r="M38" s="92">
        <f>VLOOKUP($A38,'Data Vlaue (Cr)'!$C:$FB,98)</f>
        <v>6.8900000000000003E-2</v>
      </c>
      <c r="N38" s="91">
        <f>VLOOKUP($A38,'Data Vlaue (Cr)'!$C:$FB,79)</f>
        <v>1372</v>
      </c>
      <c r="O38" s="92">
        <f>VLOOKUP($A38,'Data Vlaue (Cr)'!$C:$FB,82)</f>
        <v>-0.15540000000000001</v>
      </c>
    </row>
    <row r="39" spans="1:15" x14ac:dyDescent="0.25">
      <c r="A39" s="97" t="str">
        <f>'Data Vlaue (Cr)'!C34</f>
        <v>BLUESTARCO</v>
      </c>
      <c r="B39" s="142">
        <f>VLOOKUP(A39,'Data Vlaue (Cr)'!C34:CW248,99,0)</f>
        <v>855</v>
      </c>
      <c r="C39" s="90">
        <f>VLOOKUP(A39,'Data Vlaue (Cr)'!C34:CY248,101,0)</f>
        <v>-127</v>
      </c>
      <c r="D39" s="139">
        <f>VLOOKUP(A39,'Data Vlaue (Cr)'!C34:CZ248,102,0)</f>
        <v>-0.129</v>
      </c>
      <c r="E39" s="91">
        <f>VLOOKUP($A39,'Data Vlaue (Cr)'!$C:$FB,75)</f>
        <v>318</v>
      </c>
      <c r="F39" s="91">
        <f>VLOOKUP($A39,'Data Vlaue (Cr)'!$C:$FB,77)</f>
        <v>-37</v>
      </c>
      <c r="G39" s="92">
        <f>VLOOKUP(A39,'Data Vlaue (Cr)'!C34:CB248,78,0)</f>
        <v>-0.1051</v>
      </c>
      <c r="H39" s="91">
        <f>VLOOKUP($A39,'Data Vlaue (Cr)'!$C:$FB,91)</f>
        <v>397</v>
      </c>
      <c r="I39" s="91">
        <f>VLOOKUP($A39,'Data Vlaue (Cr)'!$C:$FB,93)</f>
        <v>-53</v>
      </c>
      <c r="J39" s="92">
        <f>VLOOKUP($A39,'Data Vlaue (Cr)'!$C:$FB,94)</f>
        <v>-0.1176</v>
      </c>
      <c r="K39" s="91">
        <f>VLOOKUP($A39,'Data Vlaue (Cr)'!$C:$FB,95)</f>
        <v>140</v>
      </c>
      <c r="L39" s="91">
        <f>VLOOKUP($A39,'Data Vlaue (Cr)'!$C:$FB,97)</f>
        <v>-36</v>
      </c>
      <c r="M39" s="92">
        <f>VLOOKUP($A39,'Data Vlaue (Cr)'!$C:$FB,98)</f>
        <v>-0.20610000000000001</v>
      </c>
      <c r="N39" s="91">
        <f>VLOOKUP($A39,'Data Vlaue (Cr)'!$C:$FB,79)</f>
        <v>197</v>
      </c>
      <c r="O39" s="92">
        <f>VLOOKUP($A39,'Data Vlaue (Cr)'!$C:$FB,82)</f>
        <v>-0.30609999999999998</v>
      </c>
    </row>
    <row r="40" spans="1:15" x14ac:dyDescent="0.25">
      <c r="A40" s="97" t="str">
        <f>'Data Vlaue (Cr)'!C35</f>
        <v>BOSCHLTD</v>
      </c>
      <c r="B40" s="142">
        <f>VLOOKUP(A40,'Data Vlaue (Cr)'!C35:CW249,99,0)</f>
        <v>1799</v>
      </c>
      <c r="C40" s="90">
        <f>VLOOKUP(A40,'Data Vlaue (Cr)'!C35:CY249,101,0)</f>
        <v>-143</v>
      </c>
      <c r="D40" s="139">
        <f>VLOOKUP(A40,'Data Vlaue (Cr)'!C35:CZ249,102,0)</f>
        <v>-7.3800000000000004E-2</v>
      </c>
      <c r="E40" s="91">
        <f>VLOOKUP($A40,'Data Vlaue (Cr)'!$C:$FB,75)</f>
        <v>866</v>
      </c>
      <c r="F40" s="91">
        <f>VLOOKUP($A40,'Data Vlaue (Cr)'!$C:$FB,77)</f>
        <v>-24</v>
      </c>
      <c r="G40" s="92">
        <f>VLOOKUP(A40,'Data Vlaue (Cr)'!C35:CB249,78,0)</f>
        <v>-2.6599999999999999E-2</v>
      </c>
      <c r="H40" s="91">
        <f>VLOOKUP($A40,'Data Vlaue (Cr)'!$C:$FB,91)</f>
        <v>664</v>
      </c>
      <c r="I40" s="91">
        <f>VLOOKUP($A40,'Data Vlaue (Cr)'!$C:$FB,93)</f>
        <v>-102</v>
      </c>
      <c r="J40" s="92">
        <f>VLOOKUP($A40,'Data Vlaue (Cr)'!$C:$FB,94)</f>
        <v>-0.13289999999999999</v>
      </c>
      <c r="K40" s="91">
        <f>VLOOKUP($A40,'Data Vlaue (Cr)'!$C:$FB,95)</f>
        <v>269</v>
      </c>
      <c r="L40" s="91">
        <f>VLOOKUP($A40,'Data Vlaue (Cr)'!$C:$FB,97)</f>
        <v>-18</v>
      </c>
      <c r="M40" s="92">
        <f>VLOOKUP($A40,'Data Vlaue (Cr)'!$C:$FB,98)</f>
        <v>-6.2E-2</v>
      </c>
      <c r="N40" s="91">
        <f>VLOOKUP($A40,'Data Vlaue (Cr)'!$C:$FB,79)</f>
        <v>543</v>
      </c>
      <c r="O40" s="92">
        <f>VLOOKUP($A40,'Data Vlaue (Cr)'!$C:$FB,82)</f>
        <v>-0.31609999999999999</v>
      </c>
    </row>
    <row r="41" spans="1:15" x14ac:dyDescent="0.25">
      <c r="A41" s="97" t="str">
        <f>'Data Vlaue (Cr)'!C36</f>
        <v>BPCL</v>
      </c>
      <c r="B41" s="142">
        <f>VLOOKUP(A41,'Data Vlaue (Cr)'!C36:CW250,99,0)</f>
        <v>2620</v>
      </c>
      <c r="C41" s="90">
        <f>VLOOKUP(A41,'Data Vlaue (Cr)'!C36:CY250,101,0)</f>
        <v>207</v>
      </c>
      <c r="D41" s="139">
        <f>VLOOKUP(A41,'Data Vlaue (Cr)'!C36:CZ250,102,0)</f>
        <v>8.5900000000000004E-2</v>
      </c>
      <c r="E41" s="91">
        <f>VLOOKUP($A41,'Data Vlaue (Cr)'!$C:$FB,75)</f>
        <v>1267</v>
      </c>
      <c r="F41" s="91">
        <f>VLOOKUP($A41,'Data Vlaue (Cr)'!$C:$FB,77)</f>
        <v>166</v>
      </c>
      <c r="G41" s="92">
        <f>VLOOKUP(A41,'Data Vlaue (Cr)'!C36:CB250,78,0)</f>
        <v>0.15110000000000001</v>
      </c>
      <c r="H41" s="91">
        <f>VLOOKUP($A41,'Data Vlaue (Cr)'!$C:$FB,91)</f>
        <v>739</v>
      </c>
      <c r="I41" s="91">
        <f>VLOOKUP($A41,'Data Vlaue (Cr)'!$C:$FB,93)</f>
        <v>52</v>
      </c>
      <c r="J41" s="92">
        <f>VLOOKUP($A41,'Data Vlaue (Cr)'!$C:$FB,94)</f>
        <v>7.6399999999999996E-2</v>
      </c>
      <c r="K41" s="91">
        <f>VLOOKUP($A41,'Data Vlaue (Cr)'!$C:$FB,95)</f>
        <v>614</v>
      </c>
      <c r="L41" s="91">
        <f>VLOOKUP($A41,'Data Vlaue (Cr)'!$C:$FB,97)</f>
        <v>-12</v>
      </c>
      <c r="M41" s="92">
        <f>VLOOKUP($A41,'Data Vlaue (Cr)'!$C:$FB,98)</f>
        <v>-1.8499999999999999E-2</v>
      </c>
      <c r="N41" s="91">
        <f>VLOOKUP($A41,'Data Vlaue (Cr)'!$C:$FB,79)</f>
        <v>799</v>
      </c>
      <c r="O41" s="92">
        <f>VLOOKUP($A41,'Data Vlaue (Cr)'!$C:$FB,82)</f>
        <v>-0.19819999999999999</v>
      </c>
    </row>
    <row r="42" spans="1:15" x14ac:dyDescent="0.25">
      <c r="A42" s="97" t="str">
        <f>'Data Vlaue (Cr)'!C37</f>
        <v>BRITANNIA</v>
      </c>
      <c r="B42" s="142">
        <f>VLOOKUP(A42,'Data Vlaue (Cr)'!C37:CW251,99,0)</f>
        <v>3781</v>
      </c>
      <c r="C42" s="90">
        <f>VLOOKUP(A42,'Data Vlaue (Cr)'!C37:CY251,101,0)</f>
        <v>-63</v>
      </c>
      <c r="D42" s="139">
        <f>VLOOKUP(A42,'Data Vlaue (Cr)'!C37:CZ251,102,0)</f>
        <v>-1.6299999999999999E-2</v>
      </c>
      <c r="E42" s="91">
        <f>VLOOKUP($A42,'Data Vlaue (Cr)'!$C:$FB,75)</f>
        <v>1967</v>
      </c>
      <c r="F42" s="91">
        <f>VLOOKUP($A42,'Data Vlaue (Cr)'!$C:$FB,77)</f>
        <v>-23</v>
      </c>
      <c r="G42" s="92">
        <f>VLOOKUP(A42,'Data Vlaue (Cr)'!C37:CB251,78,0)</f>
        <v>-1.17E-2</v>
      </c>
      <c r="H42" s="91">
        <f>VLOOKUP($A42,'Data Vlaue (Cr)'!$C:$FB,91)</f>
        <v>1171</v>
      </c>
      <c r="I42" s="91">
        <f>VLOOKUP($A42,'Data Vlaue (Cr)'!$C:$FB,93)</f>
        <v>-38</v>
      </c>
      <c r="J42" s="92">
        <f>VLOOKUP($A42,'Data Vlaue (Cr)'!$C:$FB,94)</f>
        <v>-3.1199999999999999E-2</v>
      </c>
      <c r="K42" s="91">
        <f>VLOOKUP($A42,'Data Vlaue (Cr)'!$C:$FB,95)</f>
        <v>644</v>
      </c>
      <c r="L42" s="91">
        <f>VLOOKUP($A42,'Data Vlaue (Cr)'!$C:$FB,97)</f>
        <v>-2</v>
      </c>
      <c r="M42" s="92">
        <f>VLOOKUP($A42,'Data Vlaue (Cr)'!$C:$FB,98)</f>
        <v>-2.5000000000000001E-3</v>
      </c>
      <c r="N42" s="91">
        <f>VLOOKUP($A42,'Data Vlaue (Cr)'!$C:$FB,79)</f>
        <v>1581</v>
      </c>
      <c r="O42" s="92">
        <f>VLOOKUP($A42,'Data Vlaue (Cr)'!$C:$FB,82)</f>
        <v>-0.17399999999999999</v>
      </c>
    </row>
    <row r="43" spans="1:15" x14ac:dyDescent="0.25">
      <c r="A43" s="97" t="str">
        <f>'Data Vlaue (Cr)'!C38</f>
        <v>BSE</v>
      </c>
      <c r="B43" s="142">
        <f>VLOOKUP(A43,'Data Vlaue (Cr)'!C38:CW252,99,0)</f>
        <v>9536</v>
      </c>
      <c r="C43" s="90">
        <f>VLOOKUP(A43,'Data Vlaue (Cr)'!C38:CY252,101,0)</f>
        <v>-73</v>
      </c>
      <c r="D43" s="139">
        <f>VLOOKUP(A43,'Data Vlaue (Cr)'!C38:CZ252,102,0)</f>
        <v>-7.6E-3</v>
      </c>
      <c r="E43" s="91">
        <f>VLOOKUP($A43,'Data Vlaue (Cr)'!$C:$FB,75)</f>
        <v>3649</v>
      </c>
      <c r="F43" s="91">
        <f>VLOOKUP($A43,'Data Vlaue (Cr)'!$C:$FB,77)</f>
        <v>-145</v>
      </c>
      <c r="G43" s="92">
        <f>VLOOKUP(A43,'Data Vlaue (Cr)'!C38:CB252,78,0)</f>
        <v>-3.8100000000000002E-2</v>
      </c>
      <c r="H43" s="91">
        <f>VLOOKUP($A43,'Data Vlaue (Cr)'!$C:$FB,91)</f>
        <v>3081</v>
      </c>
      <c r="I43" s="91">
        <f>VLOOKUP($A43,'Data Vlaue (Cr)'!$C:$FB,93)</f>
        <v>223</v>
      </c>
      <c r="J43" s="92">
        <f>VLOOKUP($A43,'Data Vlaue (Cr)'!$C:$FB,94)</f>
        <v>7.8100000000000003E-2</v>
      </c>
      <c r="K43" s="91">
        <f>VLOOKUP($A43,'Data Vlaue (Cr)'!$C:$FB,95)</f>
        <v>2806</v>
      </c>
      <c r="L43" s="91">
        <f>VLOOKUP($A43,'Data Vlaue (Cr)'!$C:$FB,97)</f>
        <v>-152</v>
      </c>
      <c r="M43" s="92">
        <f>VLOOKUP($A43,'Data Vlaue (Cr)'!$C:$FB,98)</f>
        <v>-5.1400000000000001E-2</v>
      </c>
      <c r="N43" s="91">
        <f>VLOOKUP($A43,'Data Vlaue (Cr)'!$C:$FB,79)</f>
        <v>2520</v>
      </c>
      <c r="O43" s="92">
        <f>VLOOKUP($A43,'Data Vlaue (Cr)'!$C:$FB,82)</f>
        <v>-0.20480000000000001</v>
      </c>
    </row>
    <row r="44" spans="1:15" x14ac:dyDescent="0.25">
      <c r="A44" s="97" t="str">
        <f>'Data Vlaue (Cr)'!C39</f>
        <v>CAMS</v>
      </c>
      <c r="B44" s="142">
        <f>VLOOKUP(A44,'Data Vlaue (Cr)'!C39:CW253,99,0)</f>
        <v>1874</v>
      </c>
      <c r="C44" s="90">
        <f>VLOOKUP(A44,'Data Vlaue (Cr)'!C39:CY253,101,0)</f>
        <v>-75</v>
      </c>
      <c r="D44" s="139">
        <f>VLOOKUP(A44,'Data Vlaue (Cr)'!C39:CZ253,102,0)</f>
        <v>-3.8600000000000002E-2</v>
      </c>
      <c r="E44" s="91">
        <f>VLOOKUP($A44,'Data Vlaue (Cr)'!$C:$FB,75)</f>
        <v>714</v>
      </c>
      <c r="F44" s="91">
        <f>VLOOKUP($A44,'Data Vlaue (Cr)'!$C:$FB,77)</f>
        <v>-30</v>
      </c>
      <c r="G44" s="92">
        <f>VLOOKUP(A44,'Data Vlaue (Cr)'!C39:CB253,78,0)</f>
        <v>-4.0300000000000002E-2</v>
      </c>
      <c r="H44" s="91">
        <f>VLOOKUP($A44,'Data Vlaue (Cr)'!$C:$FB,91)</f>
        <v>690</v>
      </c>
      <c r="I44" s="91">
        <f>VLOOKUP($A44,'Data Vlaue (Cr)'!$C:$FB,93)</f>
        <v>-82</v>
      </c>
      <c r="J44" s="92">
        <f>VLOOKUP($A44,'Data Vlaue (Cr)'!$C:$FB,94)</f>
        <v>-0.10639999999999999</v>
      </c>
      <c r="K44" s="91">
        <f>VLOOKUP($A44,'Data Vlaue (Cr)'!$C:$FB,95)</f>
        <v>470</v>
      </c>
      <c r="L44" s="91">
        <f>VLOOKUP($A44,'Data Vlaue (Cr)'!$C:$FB,97)</f>
        <v>37</v>
      </c>
      <c r="M44" s="92">
        <f>VLOOKUP($A44,'Data Vlaue (Cr)'!$C:$FB,98)</f>
        <v>8.5199999999999998E-2</v>
      </c>
      <c r="N44" s="91">
        <f>VLOOKUP($A44,'Data Vlaue (Cr)'!$C:$FB,79)</f>
        <v>444</v>
      </c>
      <c r="O44" s="92">
        <f>VLOOKUP($A44,'Data Vlaue (Cr)'!$C:$FB,82)</f>
        <v>-0.27229999999999999</v>
      </c>
    </row>
    <row r="45" spans="1:15" x14ac:dyDescent="0.25">
      <c r="A45" s="97" t="str">
        <f>'Data Vlaue (Cr)'!C40</f>
        <v>CANBK</v>
      </c>
      <c r="B45" s="142">
        <f>VLOOKUP(A45,'Data Vlaue (Cr)'!C40:CW254,99,0)</f>
        <v>6296</v>
      </c>
      <c r="C45" s="90">
        <f>VLOOKUP(A45,'Data Vlaue (Cr)'!C40:CY254,101,0)</f>
        <v>-261</v>
      </c>
      <c r="D45" s="139">
        <f>VLOOKUP(A45,'Data Vlaue (Cr)'!C40:CZ254,102,0)</f>
        <v>-3.9800000000000002E-2</v>
      </c>
      <c r="E45" s="91">
        <f>VLOOKUP($A45,'Data Vlaue (Cr)'!$C:$FB,75)</f>
        <v>2389</v>
      </c>
      <c r="F45" s="91">
        <f>VLOOKUP($A45,'Data Vlaue (Cr)'!$C:$FB,77)</f>
        <v>-84</v>
      </c>
      <c r="G45" s="92">
        <f>VLOOKUP(A45,'Data Vlaue (Cr)'!C40:CB254,78,0)</f>
        <v>-3.3799999999999997E-2</v>
      </c>
      <c r="H45" s="91">
        <f>VLOOKUP($A45,'Data Vlaue (Cr)'!$C:$FB,91)</f>
        <v>1822</v>
      </c>
      <c r="I45" s="91">
        <f>VLOOKUP($A45,'Data Vlaue (Cr)'!$C:$FB,93)</f>
        <v>-59</v>
      </c>
      <c r="J45" s="92">
        <f>VLOOKUP($A45,'Data Vlaue (Cr)'!$C:$FB,94)</f>
        <v>-3.1399999999999997E-2</v>
      </c>
      <c r="K45" s="91">
        <f>VLOOKUP($A45,'Data Vlaue (Cr)'!$C:$FB,95)</f>
        <v>2085</v>
      </c>
      <c r="L45" s="91">
        <f>VLOOKUP($A45,'Data Vlaue (Cr)'!$C:$FB,97)</f>
        <v>-118</v>
      </c>
      <c r="M45" s="92">
        <f>VLOOKUP($A45,'Data Vlaue (Cr)'!$C:$FB,98)</f>
        <v>-5.3499999999999999E-2</v>
      </c>
      <c r="N45" s="91">
        <f>VLOOKUP($A45,'Data Vlaue (Cr)'!$C:$FB,79)</f>
        <v>1634</v>
      </c>
      <c r="O45" s="92">
        <f>VLOOKUP($A45,'Data Vlaue (Cr)'!$C:$FB,82)</f>
        <v>-0.20519999999999999</v>
      </c>
    </row>
    <row r="46" spans="1:15" x14ac:dyDescent="0.25">
      <c r="A46" s="97" t="str">
        <f>'Data Vlaue (Cr)'!C41</f>
        <v>CDSL</v>
      </c>
      <c r="B46" s="142">
        <f>VLOOKUP(A46,'Data Vlaue (Cr)'!C41:CW255,99,0)</f>
        <v>3891</v>
      </c>
      <c r="C46" s="90">
        <f>VLOOKUP(A46,'Data Vlaue (Cr)'!C41:CY255,101,0)</f>
        <v>-116</v>
      </c>
      <c r="D46" s="139">
        <f>VLOOKUP(A46,'Data Vlaue (Cr)'!C41:CZ255,102,0)</f>
        <v>-2.8899999999999999E-2</v>
      </c>
      <c r="E46" s="91">
        <f>VLOOKUP($A46,'Data Vlaue (Cr)'!$C:$FB,75)</f>
        <v>1571</v>
      </c>
      <c r="F46" s="91">
        <f>VLOOKUP($A46,'Data Vlaue (Cr)'!$C:$FB,77)</f>
        <v>-169</v>
      </c>
      <c r="G46" s="92">
        <f>VLOOKUP(A46,'Data Vlaue (Cr)'!C41:CB255,78,0)</f>
        <v>-9.7100000000000006E-2</v>
      </c>
      <c r="H46" s="91">
        <f>VLOOKUP($A46,'Data Vlaue (Cr)'!$C:$FB,91)</f>
        <v>1455</v>
      </c>
      <c r="I46" s="91">
        <f>VLOOKUP($A46,'Data Vlaue (Cr)'!$C:$FB,93)</f>
        <v>50</v>
      </c>
      <c r="J46" s="92">
        <f>VLOOKUP($A46,'Data Vlaue (Cr)'!$C:$FB,94)</f>
        <v>3.5900000000000001E-2</v>
      </c>
      <c r="K46" s="91">
        <f>VLOOKUP($A46,'Data Vlaue (Cr)'!$C:$FB,95)</f>
        <v>865</v>
      </c>
      <c r="L46" s="91">
        <f>VLOOKUP($A46,'Data Vlaue (Cr)'!$C:$FB,97)</f>
        <v>3</v>
      </c>
      <c r="M46" s="92">
        <f>VLOOKUP($A46,'Data Vlaue (Cr)'!$C:$FB,98)</f>
        <v>3.3E-3</v>
      </c>
      <c r="N46" s="91">
        <f>VLOOKUP($A46,'Data Vlaue (Cr)'!$C:$FB,79)</f>
        <v>958</v>
      </c>
      <c r="O46" s="92">
        <f>VLOOKUP($A46,'Data Vlaue (Cr)'!$C:$FB,82)</f>
        <v>-0.30740000000000001</v>
      </c>
    </row>
    <row r="47" spans="1:15" x14ac:dyDescent="0.25">
      <c r="A47" s="97" t="str">
        <f>'Data Vlaue (Cr)'!C42</f>
        <v>CGPOWER</v>
      </c>
      <c r="B47" s="142">
        <f>VLOOKUP(A47,'Data Vlaue (Cr)'!C42:CW256,99,0)</f>
        <v>2016</v>
      </c>
      <c r="C47" s="90">
        <f>VLOOKUP(A47,'Data Vlaue (Cr)'!C42:CY256,101,0)</f>
        <v>-20</v>
      </c>
      <c r="D47" s="139">
        <f>VLOOKUP(A47,'Data Vlaue (Cr)'!C42:CZ256,102,0)</f>
        <v>-9.9000000000000008E-3</v>
      </c>
      <c r="E47" s="91">
        <f>VLOOKUP($A47,'Data Vlaue (Cr)'!$C:$FB,75)</f>
        <v>1180</v>
      </c>
      <c r="F47" s="91">
        <f>VLOOKUP($A47,'Data Vlaue (Cr)'!$C:$FB,77)</f>
        <v>8</v>
      </c>
      <c r="G47" s="92">
        <f>VLOOKUP(A47,'Data Vlaue (Cr)'!C42:CB256,78,0)</f>
        <v>6.8999999999999999E-3</v>
      </c>
      <c r="H47" s="91">
        <f>VLOOKUP($A47,'Data Vlaue (Cr)'!$C:$FB,91)</f>
        <v>537</v>
      </c>
      <c r="I47" s="91">
        <f>VLOOKUP($A47,'Data Vlaue (Cr)'!$C:$FB,93)</f>
        <v>-17</v>
      </c>
      <c r="J47" s="92">
        <f>VLOOKUP($A47,'Data Vlaue (Cr)'!$C:$FB,94)</f>
        <v>-3.0599999999999999E-2</v>
      </c>
      <c r="K47" s="91">
        <f>VLOOKUP($A47,'Data Vlaue (Cr)'!$C:$FB,95)</f>
        <v>299</v>
      </c>
      <c r="L47" s="91">
        <f>VLOOKUP($A47,'Data Vlaue (Cr)'!$C:$FB,97)</f>
        <v>-11</v>
      </c>
      <c r="M47" s="92">
        <f>VLOOKUP($A47,'Data Vlaue (Cr)'!$C:$FB,98)</f>
        <v>-3.6600000000000001E-2</v>
      </c>
      <c r="N47" s="91">
        <f>VLOOKUP($A47,'Data Vlaue (Cr)'!$C:$FB,79)</f>
        <v>786</v>
      </c>
      <c r="O47" s="92">
        <f>VLOOKUP($A47,'Data Vlaue (Cr)'!$C:$FB,82)</f>
        <v>-0.24709999999999999</v>
      </c>
    </row>
    <row r="48" spans="1:15" x14ac:dyDescent="0.25">
      <c r="A48" s="97" t="str">
        <f>'Data Vlaue (Cr)'!C43</f>
        <v>CHOLAFIN</v>
      </c>
      <c r="B48" s="142">
        <f>VLOOKUP(A48,'Data Vlaue (Cr)'!C43:CW257,99,0)</f>
        <v>3702</v>
      </c>
      <c r="C48" s="90">
        <f>VLOOKUP(A48,'Data Vlaue (Cr)'!C43:CY257,101,0)</f>
        <v>-492</v>
      </c>
      <c r="D48" s="139">
        <f>VLOOKUP(A48,'Data Vlaue (Cr)'!C43:CZ257,102,0)</f>
        <v>-0.1173</v>
      </c>
      <c r="E48" s="91">
        <f>VLOOKUP($A48,'Data Vlaue (Cr)'!$C:$FB,75)</f>
        <v>2579</v>
      </c>
      <c r="F48" s="91">
        <f>VLOOKUP($A48,'Data Vlaue (Cr)'!$C:$FB,77)</f>
        <v>-418</v>
      </c>
      <c r="G48" s="92">
        <f>VLOOKUP(A48,'Data Vlaue (Cr)'!C43:CB257,78,0)</f>
        <v>-0.1396</v>
      </c>
      <c r="H48" s="91">
        <f>VLOOKUP($A48,'Data Vlaue (Cr)'!$C:$FB,91)</f>
        <v>573</v>
      </c>
      <c r="I48" s="91">
        <f>VLOOKUP($A48,'Data Vlaue (Cr)'!$C:$FB,93)</f>
        <v>-56</v>
      </c>
      <c r="J48" s="92">
        <f>VLOOKUP($A48,'Data Vlaue (Cr)'!$C:$FB,94)</f>
        <v>-8.9700000000000002E-2</v>
      </c>
      <c r="K48" s="91">
        <f>VLOOKUP($A48,'Data Vlaue (Cr)'!$C:$FB,95)</f>
        <v>550</v>
      </c>
      <c r="L48" s="91">
        <f>VLOOKUP($A48,'Data Vlaue (Cr)'!$C:$FB,97)</f>
        <v>-17</v>
      </c>
      <c r="M48" s="92">
        <f>VLOOKUP($A48,'Data Vlaue (Cr)'!$C:$FB,98)</f>
        <v>-3.0499999999999999E-2</v>
      </c>
      <c r="N48" s="91">
        <f>VLOOKUP($A48,'Data Vlaue (Cr)'!$C:$FB,79)</f>
        <v>1543</v>
      </c>
      <c r="O48" s="92">
        <f>VLOOKUP($A48,'Data Vlaue (Cr)'!$C:$FB,82)</f>
        <v>-0.32969999999999999</v>
      </c>
    </row>
    <row r="49" spans="1:15" x14ac:dyDescent="0.25">
      <c r="A49" s="97" t="str">
        <f>'Data Vlaue (Cr)'!C44</f>
        <v>CIPLA</v>
      </c>
      <c r="B49" s="142">
        <f>VLOOKUP(A49,'Data Vlaue (Cr)'!C44:CW258,99,0)</f>
        <v>4333</v>
      </c>
      <c r="C49" s="90">
        <f>VLOOKUP(A49,'Data Vlaue (Cr)'!C44:CY258,101,0)</f>
        <v>-211</v>
      </c>
      <c r="D49" s="139">
        <f>VLOOKUP(A49,'Data Vlaue (Cr)'!C44:CZ258,102,0)</f>
        <v>-4.6300000000000001E-2</v>
      </c>
      <c r="E49" s="91">
        <f>VLOOKUP($A49,'Data Vlaue (Cr)'!$C:$FB,75)</f>
        <v>2252</v>
      </c>
      <c r="F49" s="91">
        <f>VLOOKUP($A49,'Data Vlaue (Cr)'!$C:$FB,77)</f>
        <v>-63</v>
      </c>
      <c r="G49" s="92">
        <f>VLOOKUP(A49,'Data Vlaue (Cr)'!C44:CB258,78,0)</f>
        <v>-2.7099999999999999E-2</v>
      </c>
      <c r="H49" s="91">
        <f>VLOOKUP($A49,'Data Vlaue (Cr)'!$C:$FB,91)</f>
        <v>1383</v>
      </c>
      <c r="I49" s="91">
        <f>VLOOKUP($A49,'Data Vlaue (Cr)'!$C:$FB,93)</f>
        <v>-108</v>
      </c>
      <c r="J49" s="92">
        <f>VLOOKUP($A49,'Data Vlaue (Cr)'!$C:$FB,94)</f>
        <v>-7.2499999999999995E-2</v>
      </c>
      <c r="K49" s="91">
        <f>VLOOKUP($A49,'Data Vlaue (Cr)'!$C:$FB,95)</f>
        <v>699</v>
      </c>
      <c r="L49" s="91">
        <f>VLOOKUP($A49,'Data Vlaue (Cr)'!$C:$FB,97)</f>
        <v>-40</v>
      </c>
      <c r="M49" s="92">
        <f>VLOOKUP($A49,'Data Vlaue (Cr)'!$C:$FB,98)</f>
        <v>-5.3900000000000003E-2</v>
      </c>
      <c r="N49" s="91">
        <f>VLOOKUP($A49,'Data Vlaue (Cr)'!$C:$FB,79)</f>
        <v>1546</v>
      </c>
      <c r="O49" s="92">
        <f>VLOOKUP($A49,'Data Vlaue (Cr)'!$C:$FB,82)</f>
        <v>-0.25319999999999998</v>
      </c>
    </row>
    <row r="50" spans="1:15" x14ac:dyDescent="0.25">
      <c r="A50" s="97" t="str">
        <f>'Data Vlaue (Cr)'!C45</f>
        <v>COALINDIA</v>
      </c>
      <c r="B50" s="142">
        <f>VLOOKUP(A50,'Data Vlaue (Cr)'!C45:CW259,99,0)</f>
        <v>4195</v>
      </c>
      <c r="C50" s="90">
        <f>VLOOKUP(A50,'Data Vlaue (Cr)'!C45:CY259,101,0)</f>
        <v>-27</v>
      </c>
      <c r="D50" s="139">
        <f>VLOOKUP(A50,'Data Vlaue (Cr)'!C45:CZ259,102,0)</f>
        <v>-6.4999999999999997E-3</v>
      </c>
      <c r="E50" s="91">
        <f>VLOOKUP($A50,'Data Vlaue (Cr)'!$C:$FB,75)</f>
        <v>2298</v>
      </c>
      <c r="F50" s="91">
        <f>VLOOKUP($A50,'Data Vlaue (Cr)'!$C:$FB,77)</f>
        <v>5</v>
      </c>
      <c r="G50" s="92">
        <f>VLOOKUP(A50,'Data Vlaue (Cr)'!C45:CB259,78,0)</f>
        <v>2E-3</v>
      </c>
      <c r="H50" s="91">
        <f>VLOOKUP($A50,'Data Vlaue (Cr)'!$C:$FB,91)</f>
        <v>1055</v>
      </c>
      <c r="I50" s="91">
        <f>VLOOKUP($A50,'Data Vlaue (Cr)'!$C:$FB,93)</f>
        <v>-31</v>
      </c>
      <c r="J50" s="92">
        <f>VLOOKUP($A50,'Data Vlaue (Cr)'!$C:$FB,94)</f>
        <v>-2.8500000000000001E-2</v>
      </c>
      <c r="K50" s="91">
        <f>VLOOKUP($A50,'Data Vlaue (Cr)'!$C:$FB,95)</f>
        <v>842</v>
      </c>
      <c r="L50" s="91">
        <f>VLOOKUP($A50,'Data Vlaue (Cr)'!$C:$FB,97)</f>
        <v>-1</v>
      </c>
      <c r="M50" s="92">
        <f>VLOOKUP($A50,'Data Vlaue (Cr)'!$C:$FB,98)</f>
        <v>-1.2999999999999999E-3</v>
      </c>
      <c r="N50" s="91">
        <f>VLOOKUP($A50,'Data Vlaue (Cr)'!$C:$FB,79)</f>
        <v>1555</v>
      </c>
      <c r="O50" s="92">
        <f>VLOOKUP($A50,'Data Vlaue (Cr)'!$C:$FB,82)</f>
        <v>-0.24160000000000001</v>
      </c>
    </row>
    <row r="51" spans="1:15" x14ac:dyDescent="0.25">
      <c r="A51" s="97" t="str">
        <f>'Data Vlaue (Cr)'!C46</f>
        <v>COFORGE</v>
      </c>
      <c r="B51" s="142">
        <f>VLOOKUP(A51,'Data Vlaue (Cr)'!C46:CW260,99,0)</f>
        <v>4006</v>
      </c>
      <c r="C51" s="90">
        <f>VLOOKUP(A51,'Data Vlaue (Cr)'!C46:CY260,101,0)</f>
        <v>-101</v>
      </c>
      <c r="D51" s="139">
        <f>VLOOKUP(A51,'Data Vlaue (Cr)'!C46:CZ260,102,0)</f>
        <v>-2.4500000000000001E-2</v>
      </c>
      <c r="E51" s="91">
        <f>VLOOKUP($A51,'Data Vlaue (Cr)'!$C:$FB,75)</f>
        <v>2408</v>
      </c>
      <c r="F51" s="91">
        <f>VLOOKUP($A51,'Data Vlaue (Cr)'!$C:$FB,77)</f>
        <v>-62</v>
      </c>
      <c r="G51" s="92">
        <f>VLOOKUP(A51,'Data Vlaue (Cr)'!C46:CB260,78,0)</f>
        <v>-2.5000000000000001E-2</v>
      </c>
      <c r="H51" s="91">
        <f>VLOOKUP($A51,'Data Vlaue (Cr)'!$C:$FB,91)</f>
        <v>1068</v>
      </c>
      <c r="I51" s="91">
        <f>VLOOKUP($A51,'Data Vlaue (Cr)'!$C:$FB,93)</f>
        <v>15</v>
      </c>
      <c r="J51" s="92">
        <f>VLOOKUP($A51,'Data Vlaue (Cr)'!$C:$FB,94)</f>
        <v>1.46E-2</v>
      </c>
      <c r="K51" s="91">
        <f>VLOOKUP($A51,'Data Vlaue (Cr)'!$C:$FB,95)</f>
        <v>530</v>
      </c>
      <c r="L51" s="91">
        <f>VLOOKUP($A51,'Data Vlaue (Cr)'!$C:$FB,97)</f>
        <v>-54</v>
      </c>
      <c r="M51" s="92">
        <f>VLOOKUP($A51,'Data Vlaue (Cr)'!$C:$FB,98)</f>
        <v>-9.3100000000000002E-2</v>
      </c>
      <c r="N51" s="91">
        <f>VLOOKUP($A51,'Data Vlaue (Cr)'!$C:$FB,79)</f>
        <v>1729</v>
      </c>
      <c r="O51" s="92">
        <f>VLOOKUP($A51,'Data Vlaue (Cr)'!$C:$FB,82)</f>
        <v>-0.24629999999999999</v>
      </c>
    </row>
    <row r="52" spans="1:15" x14ac:dyDescent="0.25">
      <c r="A52" s="97" t="str">
        <f>'Data Vlaue (Cr)'!C47</f>
        <v>COLPAL</v>
      </c>
      <c r="B52" s="142">
        <f>VLOOKUP(A52,'Data Vlaue (Cr)'!C47:CW261,99,0)</f>
        <v>2432</v>
      </c>
      <c r="C52" s="90">
        <f>VLOOKUP(A52,'Data Vlaue (Cr)'!C47:CY261,101,0)</f>
        <v>-116</v>
      </c>
      <c r="D52" s="139">
        <f>VLOOKUP(A52,'Data Vlaue (Cr)'!C47:CZ261,102,0)</f>
        <v>-4.5600000000000002E-2</v>
      </c>
      <c r="E52" s="91">
        <f>VLOOKUP($A52,'Data Vlaue (Cr)'!$C:$FB,75)</f>
        <v>1438</v>
      </c>
      <c r="F52" s="91">
        <f>VLOOKUP($A52,'Data Vlaue (Cr)'!$C:$FB,77)</f>
        <v>-151</v>
      </c>
      <c r="G52" s="92">
        <f>VLOOKUP(A52,'Data Vlaue (Cr)'!C47:CB261,78,0)</f>
        <v>-9.5200000000000007E-2</v>
      </c>
      <c r="H52" s="91">
        <f>VLOOKUP($A52,'Data Vlaue (Cr)'!$C:$FB,91)</f>
        <v>607</v>
      </c>
      <c r="I52" s="91">
        <f>VLOOKUP($A52,'Data Vlaue (Cr)'!$C:$FB,93)</f>
        <v>24</v>
      </c>
      <c r="J52" s="92">
        <f>VLOOKUP($A52,'Data Vlaue (Cr)'!$C:$FB,94)</f>
        <v>4.1599999999999998E-2</v>
      </c>
      <c r="K52" s="91">
        <f>VLOOKUP($A52,'Data Vlaue (Cr)'!$C:$FB,95)</f>
        <v>387</v>
      </c>
      <c r="L52" s="91">
        <f>VLOOKUP($A52,'Data Vlaue (Cr)'!$C:$FB,97)</f>
        <v>11</v>
      </c>
      <c r="M52" s="92">
        <f>VLOOKUP($A52,'Data Vlaue (Cr)'!$C:$FB,98)</f>
        <v>2.8799999999999999E-2</v>
      </c>
      <c r="N52" s="91">
        <f>VLOOKUP($A52,'Data Vlaue (Cr)'!$C:$FB,79)</f>
        <v>807</v>
      </c>
      <c r="O52" s="92">
        <f>VLOOKUP($A52,'Data Vlaue (Cr)'!$C:$FB,82)</f>
        <v>-0.41720000000000002</v>
      </c>
    </row>
    <row r="53" spans="1:15" x14ac:dyDescent="0.25">
      <c r="A53" s="97" t="str">
        <f>'Data Vlaue (Cr)'!C48</f>
        <v>CONCOR</v>
      </c>
      <c r="B53" s="142">
        <f>VLOOKUP(A53,'Data Vlaue (Cr)'!C48:CW262,99,0)</f>
        <v>3513</v>
      </c>
      <c r="C53" s="90">
        <f>VLOOKUP(A53,'Data Vlaue (Cr)'!C48:CY262,101,0)</f>
        <v>-62</v>
      </c>
      <c r="D53" s="139">
        <f>VLOOKUP(A53,'Data Vlaue (Cr)'!C48:CZ262,102,0)</f>
        <v>-1.7399999999999999E-2</v>
      </c>
      <c r="E53" s="91">
        <f>VLOOKUP($A53,'Data Vlaue (Cr)'!$C:$FB,75)</f>
        <v>2095</v>
      </c>
      <c r="F53" s="91">
        <f>VLOOKUP($A53,'Data Vlaue (Cr)'!$C:$FB,77)</f>
        <v>2</v>
      </c>
      <c r="G53" s="92">
        <f>VLOOKUP(A53,'Data Vlaue (Cr)'!C48:CB262,78,0)</f>
        <v>8.0000000000000004E-4</v>
      </c>
      <c r="H53" s="91">
        <f>VLOOKUP($A53,'Data Vlaue (Cr)'!$C:$FB,91)</f>
        <v>851</v>
      </c>
      <c r="I53" s="91">
        <f>VLOOKUP($A53,'Data Vlaue (Cr)'!$C:$FB,93)</f>
        <v>-74</v>
      </c>
      <c r="J53" s="92">
        <f>VLOOKUP($A53,'Data Vlaue (Cr)'!$C:$FB,94)</f>
        <v>-8.0299999999999996E-2</v>
      </c>
      <c r="K53" s="91">
        <f>VLOOKUP($A53,'Data Vlaue (Cr)'!$C:$FB,95)</f>
        <v>567</v>
      </c>
      <c r="L53" s="91">
        <f>VLOOKUP($A53,'Data Vlaue (Cr)'!$C:$FB,97)</f>
        <v>10</v>
      </c>
      <c r="M53" s="92">
        <f>VLOOKUP($A53,'Data Vlaue (Cr)'!$C:$FB,98)</f>
        <v>1.84E-2</v>
      </c>
      <c r="N53" s="91">
        <f>VLOOKUP($A53,'Data Vlaue (Cr)'!$C:$FB,79)</f>
        <v>1377</v>
      </c>
      <c r="O53" s="92">
        <f>VLOOKUP($A53,'Data Vlaue (Cr)'!$C:$FB,82)</f>
        <v>-0.19220000000000001</v>
      </c>
    </row>
    <row r="54" spans="1:15" x14ac:dyDescent="0.25">
      <c r="A54" s="97" t="str">
        <f>'Data Vlaue (Cr)'!C49</f>
        <v>CROMPTON</v>
      </c>
      <c r="B54" s="142">
        <f>VLOOKUP(A54,'Data Vlaue (Cr)'!C49:CW263,99,0)</f>
        <v>2628</v>
      </c>
      <c r="C54" s="90">
        <f>VLOOKUP(A54,'Data Vlaue (Cr)'!C49:CY263,101,0)</f>
        <v>-6</v>
      </c>
      <c r="D54" s="139">
        <f>VLOOKUP(A54,'Data Vlaue (Cr)'!C49:CZ263,102,0)</f>
        <v>-2.2000000000000001E-3</v>
      </c>
      <c r="E54" s="91">
        <f>VLOOKUP($A54,'Data Vlaue (Cr)'!$C:$FB,75)</f>
        <v>1499</v>
      </c>
      <c r="F54" s="91">
        <f>VLOOKUP($A54,'Data Vlaue (Cr)'!$C:$FB,77)</f>
        <v>-9</v>
      </c>
      <c r="G54" s="92">
        <f>VLOOKUP(A54,'Data Vlaue (Cr)'!C49:CB263,78,0)</f>
        <v>-5.7999999999999996E-3</v>
      </c>
      <c r="H54" s="91">
        <f>VLOOKUP($A54,'Data Vlaue (Cr)'!$C:$FB,91)</f>
        <v>748</v>
      </c>
      <c r="I54" s="91">
        <f>VLOOKUP($A54,'Data Vlaue (Cr)'!$C:$FB,93)</f>
        <v>-9</v>
      </c>
      <c r="J54" s="92">
        <f>VLOOKUP($A54,'Data Vlaue (Cr)'!$C:$FB,94)</f>
        <v>-1.17E-2</v>
      </c>
      <c r="K54" s="91">
        <f>VLOOKUP($A54,'Data Vlaue (Cr)'!$C:$FB,95)</f>
        <v>380</v>
      </c>
      <c r="L54" s="91">
        <f>VLOOKUP($A54,'Data Vlaue (Cr)'!$C:$FB,97)</f>
        <v>12</v>
      </c>
      <c r="M54" s="92">
        <f>VLOOKUP($A54,'Data Vlaue (Cr)'!$C:$FB,98)</f>
        <v>3.2000000000000001E-2</v>
      </c>
      <c r="N54" s="91">
        <f>VLOOKUP($A54,'Data Vlaue (Cr)'!$C:$FB,79)</f>
        <v>1074</v>
      </c>
      <c r="O54" s="92">
        <f>VLOOKUP($A54,'Data Vlaue (Cr)'!$C:$FB,82)</f>
        <v>-0.18090000000000001</v>
      </c>
    </row>
    <row r="55" spans="1:15" x14ac:dyDescent="0.25">
      <c r="A55" s="97" t="str">
        <f>'Data Vlaue (Cr)'!C50</f>
        <v>CUMMINSIND</v>
      </c>
      <c r="B55" s="142">
        <f>VLOOKUP(A55,'Data Vlaue (Cr)'!C50:CW264,99,0)</f>
        <v>2609</v>
      </c>
      <c r="C55" s="90">
        <f>VLOOKUP(A55,'Data Vlaue (Cr)'!C50:CY264,101,0)</f>
        <v>46</v>
      </c>
      <c r="D55" s="139">
        <f>VLOOKUP(A55,'Data Vlaue (Cr)'!C50:CZ264,102,0)</f>
        <v>1.7999999999999999E-2</v>
      </c>
      <c r="E55" s="91">
        <f>VLOOKUP($A55,'Data Vlaue (Cr)'!$C:$FB,75)</f>
        <v>1561</v>
      </c>
      <c r="F55" s="91">
        <f>VLOOKUP($A55,'Data Vlaue (Cr)'!$C:$FB,77)</f>
        <v>-42</v>
      </c>
      <c r="G55" s="92">
        <f>VLOOKUP(A55,'Data Vlaue (Cr)'!C50:CB264,78,0)</f>
        <v>-2.6200000000000001E-2</v>
      </c>
      <c r="H55" s="91">
        <f>VLOOKUP($A55,'Data Vlaue (Cr)'!$C:$FB,91)</f>
        <v>651</v>
      </c>
      <c r="I55" s="91">
        <f>VLOOKUP($A55,'Data Vlaue (Cr)'!$C:$FB,93)</f>
        <v>65</v>
      </c>
      <c r="J55" s="92">
        <f>VLOOKUP($A55,'Data Vlaue (Cr)'!$C:$FB,94)</f>
        <v>0.1105</v>
      </c>
      <c r="K55" s="91">
        <f>VLOOKUP($A55,'Data Vlaue (Cr)'!$C:$FB,95)</f>
        <v>398</v>
      </c>
      <c r="L55" s="91">
        <f>VLOOKUP($A55,'Data Vlaue (Cr)'!$C:$FB,97)</f>
        <v>23</v>
      </c>
      <c r="M55" s="92">
        <f>VLOOKUP($A55,'Data Vlaue (Cr)'!$C:$FB,98)</f>
        <v>6.2700000000000006E-2</v>
      </c>
      <c r="N55" s="91">
        <f>VLOOKUP($A55,'Data Vlaue (Cr)'!$C:$FB,79)</f>
        <v>1062</v>
      </c>
      <c r="O55" s="92">
        <f>VLOOKUP($A55,'Data Vlaue (Cr)'!$C:$FB,82)</f>
        <v>-0.26290000000000002</v>
      </c>
    </row>
    <row r="56" spans="1:15" x14ac:dyDescent="0.25">
      <c r="A56" s="97" t="str">
        <f>'Data Vlaue (Cr)'!C51</f>
        <v>CYIENT</v>
      </c>
      <c r="B56" s="142">
        <f>VLOOKUP(A56,'Data Vlaue (Cr)'!C51:CW265,99,0)</f>
        <v>963</v>
      </c>
      <c r="C56" s="90">
        <f>VLOOKUP(A56,'Data Vlaue (Cr)'!C51:CY265,101,0)</f>
        <v>-30</v>
      </c>
      <c r="D56" s="139">
        <f>VLOOKUP(A56,'Data Vlaue (Cr)'!C51:CZ265,102,0)</f>
        <v>-0.03</v>
      </c>
      <c r="E56" s="91">
        <f>VLOOKUP($A56,'Data Vlaue (Cr)'!$C:$FB,75)</f>
        <v>518</v>
      </c>
      <c r="F56" s="91">
        <f>VLOOKUP($A56,'Data Vlaue (Cr)'!$C:$FB,77)</f>
        <v>-9</v>
      </c>
      <c r="G56" s="92">
        <f>VLOOKUP(A56,'Data Vlaue (Cr)'!C51:CB265,78,0)</f>
        <v>-1.7100000000000001E-2</v>
      </c>
      <c r="H56" s="91">
        <f>VLOOKUP($A56,'Data Vlaue (Cr)'!$C:$FB,91)</f>
        <v>282</v>
      </c>
      <c r="I56" s="91">
        <f>VLOOKUP($A56,'Data Vlaue (Cr)'!$C:$FB,93)</f>
        <v>-9</v>
      </c>
      <c r="J56" s="92">
        <f>VLOOKUP($A56,'Data Vlaue (Cr)'!$C:$FB,94)</f>
        <v>-3.2000000000000001E-2</v>
      </c>
      <c r="K56" s="91">
        <f>VLOOKUP($A56,'Data Vlaue (Cr)'!$C:$FB,95)</f>
        <v>163</v>
      </c>
      <c r="L56" s="91">
        <f>VLOOKUP($A56,'Data Vlaue (Cr)'!$C:$FB,97)</f>
        <v>-11</v>
      </c>
      <c r="M56" s="92">
        <f>VLOOKUP($A56,'Data Vlaue (Cr)'!$C:$FB,98)</f>
        <v>-6.5500000000000003E-2</v>
      </c>
      <c r="N56" s="91">
        <f>VLOOKUP($A56,'Data Vlaue (Cr)'!$C:$FB,79)</f>
        <v>350</v>
      </c>
      <c r="O56" s="92">
        <f>VLOOKUP($A56,'Data Vlaue (Cr)'!$C:$FB,82)</f>
        <v>-0.24529999999999999</v>
      </c>
    </row>
    <row r="57" spans="1:15" x14ac:dyDescent="0.25">
      <c r="A57" s="97" t="str">
        <f>'Data Vlaue (Cr)'!C52</f>
        <v>DABUR</v>
      </c>
      <c r="B57" s="142">
        <f>VLOOKUP(A57,'Data Vlaue (Cr)'!C52:CW266,99,0)</f>
        <v>2705</v>
      </c>
      <c r="C57" s="90">
        <f>VLOOKUP(A57,'Data Vlaue (Cr)'!C52:CY266,101,0)</f>
        <v>-151</v>
      </c>
      <c r="D57" s="139">
        <f>VLOOKUP(A57,'Data Vlaue (Cr)'!C52:CZ266,102,0)</f>
        <v>-5.28E-2</v>
      </c>
      <c r="E57" s="91">
        <f>VLOOKUP($A57,'Data Vlaue (Cr)'!$C:$FB,75)</f>
        <v>1213</v>
      </c>
      <c r="F57" s="91">
        <f>VLOOKUP($A57,'Data Vlaue (Cr)'!$C:$FB,77)</f>
        <v>-69</v>
      </c>
      <c r="G57" s="92">
        <f>VLOOKUP(A57,'Data Vlaue (Cr)'!C52:CB266,78,0)</f>
        <v>-5.4100000000000002E-2</v>
      </c>
      <c r="H57" s="91">
        <f>VLOOKUP($A57,'Data Vlaue (Cr)'!$C:$FB,91)</f>
        <v>938</v>
      </c>
      <c r="I57" s="91">
        <f>VLOOKUP($A57,'Data Vlaue (Cr)'!$C:$FB,93)</f>
        <v>-76</v>
      </c>
      <c r="J57" s="92">
        <f>VLOOKUP($A57,'Data Vlaue (Cr)'!$C:$FB,94)</f>
        <v>-7.4999999999999997E-2</v>
      </c>
      <c r="K57" s="91">
        <f>VLOOKUP($A57,'Data Vlaue (Cr)'!$C:$FB,95)</f>
        <v>555</v>
      </c>
      <c r="L57" s="91">
        <f>VLOOKUP($A57,'Data Vlaue (Cr)'!$C:$FB,97)</f>
        <v>-5</v>
      </c>
      <c r="M57" s="92">
        <f>VLOOKUP($A57,'Data Vlaue (Cr)'!$C:$FB,98)</f>
        <v>-9.7000000000000003E-3</v>
      </c>
      <c r="N57" s="91">
        <f>VLOOKUP($A57,'Data Vlaue (Cr)'!$C:$FB,79)</f>
        <v>828</v>
      </c>
      <c r="O57" s="92">
        <f>VLOOKUP($A57,'Data Vlaue (Cr)'!$C:$FB,82)</f>
        <v>-0.31609999999999999</v>
      </c>
    </row>
    <row r="58" spans="1:15" x14ac:dyDescent="0.25">
      <c r="A58" s="97" t="str">
        <f>'Data Vlaue (Cr)'!C53</f>
        <v>DALBHARAT</v>
      </c>
      <c r="B58" s="142">
        <f>VLOOKUP(A58,'Data Vlaue (Cr)'!C53:CW267,99,0)</f>
        <v>992</v>
      </c>
      <c r="C58" s="90">
        <f>VLOOKUP(A58,'Data Vlaue (Cr)'!C53:CY267,101,0)</f>
        <v>-35</v>
      </c>
      <c r="D58" s="139">
        <f>VLOOKUP(A58,'Data Vlaue (Cr)'!C53:CZ267,102,0)</f>
        <v>-3.39E-2</v>
      </c>
      <c r="E58" s="91">
        <f>VLOOKUP($A58,'Data Vlaue (Cr)'!$C:$FB,75)</f>
        <v>560</v>
      </c>
      <c r="F58" s="91">
        <f>VLOOKUP($A58,'Data Vlaue (Cr)'!$C:$FB,77)</f>
        <v>4</v>
      </c>
      <c r="G58" s="92">
        <f>VLOOKUP(A58,'Data Vlaue (Cr)'!C53:CB267,78,0)</f>
        <v>6.6E-3</v>
      </c>
      <c r="H58" s="91">
        <f>VLOOKUP($A58,'Data Vlaue (Cr)'!$C:$FB,91)</f>
        <v>260</v>
      </c>
      <c r="I58" s="91">
        <f>VLOOKUP($A58,'Data Vlaue (Cr)'!$C:$FB,93)</f>
        <v>-26</v>
      </c>
      <c r="J58" s="92">
        <f>VLOOKUP($A58,'Data Vlaue (Cr)'!$C:$FB,94)</f>
        <v>-9.1700000000000004E-2</v>
      </c>
      <c r="K58" s="91">
        <f>VLOOKUP($A58,'Data Vlaue (Cr)'!$C:$FB,95)</f>
        <v>173</v>
      </c>
      <c r="L58" s="91">
        <f>VLOOKUP($A58,'Data Vlaue (Cr)'!$C:$FB,97)</f>
        <v>-12</v>
      </c>
      <c r="M58" s="92">
        <f>VLOOKUP($A58,'Data Vlaue (Cr)'!$C:$FB,98)</f>
        <v>-6.6199999999999995E-2</v>
      </c>
      <c r="N58" s="91">
        <f>VLOOKUP($A58,'Data Vlaue (Cr)'!$C:$FB,79)</f>
        <v>392</v>
      </c>
      <c r="O58" s="92">
        <f>VLOOKUP($A58,'Data Vlaue (Cr)'!$C:$FB,82)</f>
        <v>-0.14899999999999999</v>
      </c>
    </row>
    <row r="59" spans="1:15" x14ac:dyDescent="0.25">
      <c r="A59" s="97" t="str">
        <f>'Data Vlaue (Cr)'!C54</f>
        <v>DELHIVERY</v>
      </c>
      <c r="B59" s="142">
        <f>VLOOKUP(A59,'Data Vlaue (Cr)'!C54:CW268,99,0)</f>
        <v>2299</v>
      </c>
      <c r="C59" s="90">
        <f>VLOOKUP(A59,'Data Vlaue (Cr)'!C54:CY268,101,0)</f>
        <v>-201</v>
      </c>
      <c r="D59" s="139">
        <f>VLOOKUP(A59,'Data Vlaue (Cr)'!C54:CZ268,102,0)</f>
        <v>-8.0600000000000005E-2</v>
      </c>
      <c r="E59" s="91">
        <f>VLOOKUP($A59,'Data Vlaue (Cr)'!$C:$FB,75)</f>
        <v>852</v>
      </c>
      <c r="F59" s="91">
        <f>VLOOKUP($A59,'Data Vlaue (Cr)'!$C:$FB,77)</f>
        <v>-9</v>
      </c>
      <c r="G59" s="92">
        <f>VLOOKUP(A59,'Data Vlaue (Cr)'!C54:CB268,78,0)</f>
        <v>-1.0999999999999999E-2</v>
      </c>
      <c r="H59" s="91">
        <f>VLOOKUP($A59,'Data Vlaue (Cr)'!$C:$FB,91)</f>
        <v>980</v>
      </c>
      <c r="I59" s="91">
        <f>VLOOKUP($A59,'Data Vlaue (Cr)'!$C:$FB,93)</f>
        <v>-158</v>
      </c>
      <c r="J59" s="92">
        <f>VLOOKUP($A59,'Data Vlaue (Cr)'!$C:$FB,94)</f>
        <v>-0.13900000000000001</v>
      </c>
      <c r="K59" s="91">
        <f>VLOOKUP($A59,'Data Vlaue (Cr)'!$C:$FB,95)</f>
        <v>466</v>
      </c>
      <c r="L59" s="91">
        <f>VLOOKUP($A59,'Data Vlaue (Cr)'!$C:$FB,97)</f>
        <v>-34</v>
      </c>
      <c r="M59" s="92">
        <f>VLOOKUP($A59,'Data Vlaue (Cr)'!$C:$FB,98)</f>
        <v>-6.7299999999999999E-2</v>
      </c>
      <c r="N59" s="91">
        <f>VLOOKUP($A59,'Data Vlaue (Cr)'!$C:$FB,79)</f>
        <v>664</v>
      </c>
      <c r="O59" s="92">
        <f>VLOOKUP($A59,'Data Vlaue (Cr)'!$C:$FB,82)</f>
        <v>-0.16189999999999999</v>
      </c>
    </row>
    <row r="60" spans="1:15" x14ac:dyDescent="0.25">
      <c r="A60" s="97" t="str">
        <f>'Data Vlaue (Cr)'!C55</f>
        <v>DIVISLAB</v>
      </c>
      <c r="B60" s="142">
        <f>VLOOKUP(A60,'Data Vlaue (Cr)'!C55:CW269,99,0)</f>
        <v>4536</v>
      </c>
      <c r="C60" s="90">
        <f>VLOOKUP(A60,'Data Vlaue (Cr)'!C55:CY269,101,0)</f>
        <v>-207</v>
      </c>
      <c r="D60" s="139">
        <f>VLOOKUP(A60,'Data Vlaue (Cr)'!C55:CZ269,102,0)</f>
        <v>-4.36E-2</v>
      </c>
      <c r="E60" s="91">
        <f>VLOOKUP($A60,'Data Vlaue (Cr)'!$C:$FB,75)</f>
        <v>2190</v>
      </c>
      <c r="F60" s="91">
        <f>VLOOKUP($A60,'Data Vlaue (Cr)'!$C:$FB,77)</f>
        <v>-10</v>
      </c>
      <c r="G60" s="92">
        <f>VLOOKUP(A60,'Data Vlaue (Cr)'!C55:CB269,78,0)</f>
        <v>-4.4000000000000003E-3</v>
      </c>
      <c r="H60" s="91">
        <f>VLOOKUP($A60,'Data Vlaue (Cr)'!$C:$FB,91)</f>
        <v>1378</v>
      </c>
      <c r="I60" s="91">
        <f>VLOOKUP($A60,'Data Vlaue (Cr)'!$C:$FB,93)</f>
        <v>-141</v>
      </c>
      <c r="J60" s="92">
        <f>VLOOKUP($A60,'Data Vlaue (Cr)'!$C:$FB,94)</f>
        <v>-9.2700000000000005E-2</v>
      </c>
      <c r="K60" s="91">
        <f>VLOOKUP($A60,'Data Vlaue (Cr)'!$C:$FB,95)</f>
        <v>968</v>
      </c>
      <c r="L60" s="91">
        <f>VLOOKUP($A60,'Data Vlaue (Cr)'!$C:$FB,97)</f>
        <v>-56</v>
      </c>
      <c r="M60" s="92">
        <f>VLOOKUP($A60,'Data Vlaue (Cr)'!$C:$FB,98)</f>
        <v>-5.4600000000000003E-2</v>
      </c>
      <c r="N60" s="91">
        <f>VLOOKUP($A60,'Data Vlaue (Cr)'!$C:$FB,79)</f>
        <v>1668</v>
      </c>
      <c r="O60" s="92">
        <f>VLOOKUP($A60,'Data Vlaue (Cr)'!$C:$FB,82)</f>
        <v>-0.16039999999999999</v>
      </c>
    </row>
    <row r="61" spans="1:15" x14ac:dyDescent="0.25">
      <c r="A61" s="97" t="str">
        <f>'Data Vlaue (Cr)'!C56</f>
        <v>DIXON</v>
      </c>
      <c r="B61" s="142">
        <f>VLOOKUP(A61,'Data Vlaue (Cr)'!C56:CW270,99,0)</f>
        <v>7528</v>
      </c>
      <c r="C61" s="90">
        <f>VLOOKUP(A61,'Data Vlaue (Cr)'!C56:CY270,101,0)</f>
        <v>-321</v>
      </c>
      <c r="D61" s="139">
        <f>VLOOKUP(A61,'Data Vlaue (Cr)'!C56:CZ270,102,0)</f>
        <v>-4.0899999999999999E-2</v>
      </c>
      <c r="E61" s="91">
        <f>VLOOKUP($A61,'Data Vlaue (Cr)'!$C:$FB,75)</f>
        <v>3269</v>
      </c>
      <c r="F61" s="91">
        <f>VLOOKUP($A61,'Data Vlaue (Cr)'!$C:$FB,77)</f>
        <v>-97</v>
      </c>
      <c r="G61" s="92">
        <f>VLOOKUP(A61,'Data Vlaue (Cr)'!C56:CB270,78,0)</f>
        <v>-2.8799999999999999E-2</v>
      </c>
      <c r="H61" s="91">
        <f>VLOOKUP($A61,'Data Vlaue (Cr)'!$C:$FB,91)</f>
        <v>2836</v>
      </c>
      <c r="I61" s="91">
        <f>VLOOKUP($A61,'Data Vlaue (Cr)'!$C:$FB,93)</f>
        <v>-217</v>
      </c>
      <c r="J61" s="92">
        <f>VLOOKUP($A61,'Data Vlaue (Cr)'!$C:$FB,94)</f>
        <v>-7.0999999999999994E-2</v>
      </c>
      <c r="K61" s="91">
        <f>VLOOKUP($A61,'Data Vlaue (Cr)'!$C:$FB,95)</f>
        <v>1423</v>
      </c>
      <c r="L61" s="91">
        <f>VLOOKUP($A61,'Data Vlaue (Cr)'!$C:$FB,97)</f>
        <v>-7</v>
      </c>
      <c r="M61" s="92">
        <f>VLOOKUP($A61,'Data Vlaue (Cr)'!$C:$FB,98)</f>
        <v>-4.8999999999999998E-3</v>
      </c>
      <c r="N61" s="91">
        <f>VLOOKUP($A61,'Data Vlaue (Cr)'!$C:$FB,79)</f>
        <v>2369</v>
      </c>
      <c r="O61" s="92">
        <f>VLOOKUP($A61,'Data Vlaue (Cr)'!$C:$FB,82)</f>
        <v>-0.16919999999999999</v>
      </c>
    </row>
    <row r="62" spans="1:15" x14ac:dyDescent="0.25">
      <c r="A62" s="97" t="str">
        <f>'Data Vlaue (Cr)'!C57</f>
        <v>DLF</v>
      </c>
      <c r="B62" s="142">
        <f>VLOOKUP(A62,'Data Vlaue (Cr)'!C57:CW271,99,0)</f>
        <v>5080</v>
      </c>
      <c r="C62" s="90">
        <f>VLOOKUP(A62,'Data Vlaue (Cr)'!C57:CY271,101,0)</f>
        <v>17</v>
      </c>
      <c r="D62" s="139">
        <f>VLOOKUP(A62,'Data Vlaue (Cr)'!C57:CZ271,102,0)</f>
        <v>3.3999999999999998E-3</v>
      </c>
      <c r="E62" s="91">
        <f>VLOOKUP($A62,'Data Vlaue (Cr)'!$C:$FB,75)</f>
        <v>3056</v>
      </c>
      <c r="F62" s="91">
        <f>VLOOKUP($A62,'Data Vlaue (Cr)'!$C:$FB,77)</f>
        <v>64</v>
      </c>
      <c r="G62" s="92">
        <f>VLOOKUP(A62,'Data Vlaue (Cr)'!C57:CB271,78,0)</f>
        <v>2.1399999999999999E-2</v>
      </c>
      <c r="H62" s="91">
        <f>VLOOKUP($A62,'Data Vlaue (Cr)'!$C:$FB,91)</f>
        <v>1176</v>
      </c>
      <c r="I62" s="91">
        <f>VLOOKUP($A62,'Data Vlaue (Cr)'!$C:$FB,93)</f>
        <v>-39</v>
      </c>
      <c r="J62" s="92">
        <f>VLOOKUP($A62,'Data Vlaue (Cr)'!$C:$FB,94)</f>
        <v>-3.2000000000000001E-2</v>
      </c>
      <c r="K62" s="91">
        <f>VLOOKUP($A62,'Data Vlaue (Cr)'!$C:$FB,95)</f>
        <v>848</v>
      </c>
      <c r="L62" s="91">
        <f>VLOOKUP($A62,'Data Vlaue (Cr)'!$C:$FB,97)</f>
        <v>-8</v>
      </c>
      <c r="M62" s="92">
        <f>VLOOKUP($A62,'Data Vlaue (Cr)'!$C:$FB,98)</f>
        <v>-9.2999999999999992E-3</v>
      </c>
      <c r="N62" s="91">
        <f>VLOOKUP($A62,'Data Vlaue (Cr)'!$C:$FB,79)</f>
        <v>1918</v>
      </c>
      <c r="O62" s="92">
        <f>VLOOKUP($A62,'Data Vlaue (Cr)'!$C:$FB,82)</f>
        <v>-0.23269999999999999</v>
      </c>
    </row>
    <row r="63" spans="1:15" x14ac:dyDescent="0.25">
      <c r="A63" s="97" t="str">
        <f>'Data Vlaue (Cr)'!C58</f>
        <v>DMART</v>
      </c>
      <c r="B63" s="142">
        <f>VLOOKUP(A63,'Data Vlaue (Cr)'!C58:CW272,99,0)</f>
        <v>3847</v>
      </c>
      <c r="C63" s="90">
        <f>VLOOKUP(A63,'Data Vlaue (Cr)'!C58:CY272,101,0)</f>
        <v>-410</v>
      </c>
      <c r="D63" s="139">
        <f>VLOOKUP(A63,'Data Vlaue (Cr)'!C58:CZ272,102,0)</f>
        <v>-9.64E-2</v>
      </c>
      <c r="E63" s="91">
        <f>VLOOKUP($A63,'Data Vlaue (Cr)'!$C:$FB,75)</f>
        <v>2527</v>
      </c>
      <c r="F63" s="91">
        <f>VLOOKUP($A63,'Data Vlaue (Cr)'!$C:$FB,77)</f>
        <v>-255</v>
      </c>
      <c r="G63" s="92">
        <f>VLOOKUP(A63,'Data Vlaue (Cr)'!C58:CB272,78,0)</f>
        <v>-9.1800000000000007E-2</v>
      </c>
      <c r="H63" s="91">
        <f>VLOOKUP($A63,'Data Vlaue (Cr)'!$C:$FB,91)</f>
        <v>904</v>
      </c>
      <c r="I63" s="91">
        <f>VLOOKUP($A63,'Data Vlaue (Cr)'!$C:$FB,93)</f>
        <v>-134</v>
      </c>
      <c r="J63" s="92">
        <f>VLOOKUP($A63,'Data Vlaue (Cr)'!$C:$FB,94)</f>
        <v>-0.1288</v>
      </c>
      <c r="K63" s="91">
        <f>VLOOKUP($A63,'Data Vlaue (Cr)'!$C:$FB,95)</f>
        <v>415</v>
      </c>
      <c r="L63" s="91">
        <f>VLOOKUP($A63,'Data Vlaue (Cr)'!$C:$FB,97)</f>
        <v>-21</v>
      </c>
      <c r="M63" s="92">
        <f>VLOOKUP($A63,'Data Vlaue (Cr)'!$C:$FB,98)</f>
        <v>-4.9099999999999998E-2</v>
      </c>
      <c r="N63" s="91">
        <f>VLOOKUP($A63,'Data Vlaue (Cr)'!$C:$FB,79)</f>
        <v>1639</v>
      </c>
      <c r="O63" s="92">
        <f>VLOOKUP($A63,'Data Vlaue (Cr)'!$C:$FB,82)</f>
        <v>-0.30299999999999999</v>
      </c>
    </row>
    <row r="64" spans="1:15" x14ac:dyDescent="0.25">
      <c r="A64" s="97" t="str">
        <f>'Data Vlaue (Cr)'!C59</f>
        <v>DRREDDY</v>
      </c>
      <c r="B64" s="142">
        <f>VLOOKUP(A64,'Data Vlaue (Cr)'!C59:CW273,99,0)</f>
        <v>3871</v>
      </c>
      <c r="C64" s="90">
        <f>VLOOKUP(A64,'Data Vlaue (Cr)'!C59:CY273,101,0)</f>
        <v>-255</v>
      </c>
      <c r="D64" s="139">
        <f>VLOOKUP(A64,'Data Vlaue (Cr)'!C59:CZ273,102,0)</f>
        <v>-6.1899999999999997E-2</v>
      </c>
      <c r="E64" s="91">
        <f>VLOOKUP($A64,'Data Vlaue (Cr)'!$C:$FB,75)</f>
        <v>1894</v>
      </c>
      <c r="F64" s="91">
        <f>VLOOKUP($A64,'Data Vlaue (Cr)'!$C:$FB,77)</f>
        <v>-111</v>
      </c>
      <c r="G64" s="92">
        <f>VLOOKUP(A64,'Data Vlaue (Cr)'!C59:CB273,78,0)</f>
        <v>-5.5300000000000002E-2</v>
      </c>
      <c r="H64" s="91">
        <f>VLOOKUP($A64,'Data Vlaue (Cr)'!$C:$FB,91)</f>
        <v>1329</v>
      </c>
      <c r="I64" s="91">
        <f>VLOOKUP($A64,'Data Vlaue (Cr)'!$C:$FB,93)</f>
        <v>-132</v>
      </c>
      <c r="J64" s="92">
        <f>VLOOKUP($A64,'Data Vlaue (Cr)'!$C:$FB,94)</f>
        <v>-9.06E-2</v>
      </c>
      <c r="K64" s="91">
        <f>VLOOKUP($A64,'Data Vlaue (Cr)'!$C:$FB,95)</f>
        <v>648</v>
      </c>
      <c r="L64" s="91">
        <f>VLOOKUP($A64,'Data Vlaue (Cr)'!$C:$FB,97)</f>
        <v>-12</v>
      </c>
      <c r="M64" s="92">
        <f>VLOOKUP($A64,'Data Vlaue (Cr)'!$C:$FB,98)</f>
        <v>-1.83E-2</v>
      </c>
      <c r="N64" s="91">
        <f>VLOOKUP($A64,'Data Vlaue (Cr)'!$C:$FB,79)</f>
        <v>1232</v>
      </c>
      <c r="O64" s="92">
        <f>VLOOKUP($A64,'Data Vlaue (Cr)'!$C:$FB,82)</f>
        <v>-0.30630000000000002</v>
      </c>
    </row>
    <row r="65" spans="1:15" x14ac:dyDescent="0.25">
      <c r="A65" s="97" t="str">
        <f>'Data Vlaue (Cr)'!C60</f>
        <v>EICHERMOT</v>
      </c>
      <c r="B65" s="142">
        <f>VLOOKUP(A65,'Data Vlaue (Cr)'!C60:CW274,99,0)</f>
        <v>5903</v>
      </c>
      <c r="C65" s="90">
        <f>VLOOKUP(A65,'Data Vlaue (Cr)'!C60:CY274,101,0)</f>
        <v>731</v>
      </c>
      <c r="D65" s="139">
        <f>VLOOKUP(A65,'Data Vlaue (Cr)'!C60:CZ274,102,0)</f>
        <v>0.1414</v>
      </c>
      <c r="E65" s="91">
        <f>VLOOKUP($A65,'Data Vlaue (Cr)'!$C:$FB,75)</f>
        <v>2218</v>
      </c>
      <c r="F65" s="91">
        <f>VLOOKUP($A65,'Data Vlaue (Cr)'!$C:$FB,77)</f>
        <v>7</v>
      </c>
      <c r="G65" s="92">
        <f>VLOOKUP(A65,'Data Vlaue (Cr)'!C60:CB274,78,0)</f>
        <v>3.2000000000000002E-3</v>
      </c>
      <c r="H65" s="91">
        <f>VLOOKUP($A65,'Data Vlaue (Cr)'!$C:$FB,91)</f>
        <v>1950</v>
      </c>
      <c r="I65" s="91">
        <f>VLOOKUP($A65,'Data Vlaue (Cr)'!$C:$FB,93)</f>
        <v>241</v>
      </c>
      <c r="J65" s="92">
        <f>VLOOKUP($A65,'Data Vlaue (Cr)'!$C:$FB,94)</f>
        <v>0.14069999999999999</v>
      </c>
      <c r="K65" s="91">
        <f>VLOOKUP($A65,'Data Vlaue (Cr)'!$C:$FB,95)</f>
        <v>1734</v>
      </c>
      <c r="L65" s="91">
        <f>VLOOKUP($A65,'Data Vlaue (Cr)'!$C:$FB,97)</f>
        <v>484</v>
      </c>
      <c r="M65" s="92">
        <f>VLOOKUP($A65,'Data Vlaue (Cr)'!$C:$FB,98)</f>
        <v>0.38679999999999998</v>
      </c>
      <c r="N65" s="91">
        <f>VLOOKUP($A65,'Data Vlaue (Cr)'!$C:$FB,79)</f>
        <v>1534</v>
      </c>
      <c r="O65" s="92">
        <f>VLOOKUP($A65,'Data Vlaue (Cr)'!$C:$FB,82)</f>
        <v>-0.22500000000000001</v>
      </c>
    </row>
    <row r="66" spans="1:15" x14ac:dyDescent="0.25">
      <c r="A66" s="97" t="str">
        <f>'Data Vlaue (Cr)'!C61</f>
        <v>ETERNAL</v>
      </c>
      <c r="B66" s="142">
        <f>VLOOKUP(A66,'Data Vlaue (Cr)'!C61:CW275,99,0)</f>
        <v>14241</v>
      </c>
      <c r="C66" s="90">
        <f>VLOOKUP(A66,'Data Vlaue (Cr)'!C61:CY275,101,0)</f>
        <v>-259</v>
      </c>
      <c r="D66" s="139">
        <f>VLOOKUP(A66,'Data Vlaue (Cr)'!C61:CZ275,102,0)</f>
        <v>-1.7899999999999999E-2</v>
      </c>
      <c r="E66" s="91">
        <f>VLOOKUP($A66,'Data Vlaue (Cr)'!$C:$FB,75)</f>
        <v>9332</v>
      </c>
      <c r="F66" s="91">
        <f>VLOOKUP($A66,'Data Vlaue (Cr)'!$C:$FB,77)</f>
        <v>24</v>
      </c>
      <c r="G66" s="92">
        <f>VLOOKUP(A66,'Data Vlaue (Cr)'!C61:CB275,78,0)</f>
        <v>2.5999999999999999E-3</v>
      </c>
      <c r="H66" s="91">
        <f>VLOOKUP($A66,'Data Vlaue (Cr)'!$C:$FB,91)</f>
        <v>3266</v>
      </c>
      <c r="I66" s="91">
        <f>VLOOKUP($A66,'Data Vlaue (Cr)'!$C:$FB,93)</f>
        <v>-261</v>
      </c>
      <c r="J66" s="92">
        <f>VLOOKUP($A66,'Data Vlaue (Cr)'!$C:$FB,94)</f>
        <v>-7.3999999999999996E-2</v>
      </c>
      <c r="K66" s="91">
        <f>VLOOKUP($A66,'Data Vlaue (Cr)'!$C:$FB,95)</f>
        <v>1643</v>
      </c>
      <c r="L66" s="91">
        <f>VLOOKUP($A66,'Data Vlaue (Cr)'!$C:$FB,97)</f>
        <v>-22</v>
      </c>
      <c r="M66" s="92">
        <f>VLOOKUP($A66,'Data Vlaue (Cr)'!$C:$FB,98)</f>
        <v>-1.34E-2</v>
      </c>
      <c r="N66" s="91">
        <f>VLOOKUP($A66,'Data Vlaue (Cr)'!$C:$FB,79)</f>
        <v>5858</v>
      </c>
      <c r="O66" s="92">
        <f>VLOOKUP($A66,'Data Vlaue (Cr)'!$C:$FB,82)</f>
        <v>-0.30459999999999998</v>
      </c>
    </row>
    <row r="67" spans="1:15" x14ac:dyDescent="0.25">
      <c r="A67" s="97" t="str">
        <f>'Data Vlaue (Cr)'!C62</f>
        <v>EXIDEIND</v>
      </c>
      <c r="B67" s="142">
        <f>VLOOKUP(A67,'Data Vlaue (Cr)'!C62:CW276,99,0)</f>
        <v>2503</v>
      </c>
      <c r="C67" s="90">
        <f>VLOOKUP(A67,'Data Vlaue (Cr)'!C62:CY276,101,0)</f>
        <v>-48</v>
      </c>
      <c r="D67" s="139">
        <f>VLOOKUP(A67,'Data Vlaue (Cr)'!C62:CZ276,102,0)</f>
        <v>-1.9E-2</v>
      </c>
      <c r="E67" s="91">
        <f>VLOOKUP($A67,'Data Vlaue (Cr)'!$C:$FB,75)</f>
        <v>1375</v>
      </c>
      <c r="F67" s="91">
        <f>VLOOKUP($A67,'Data Vlaue (Cr)'!$C:$FB,77)</f>
        <v>-14</v>
      </c>
      <c r="G67" s="92">
        <f>VLOOKUP(A67,'Data Vlaue (Cr)'!C62:CB276,78,0)</f>
        <v>-0.01</v>
      </c>
      <c r="H67" s="91">
        <f>VLOOKUP($A67,'Data Vlaue (Cr)'!$C:$FB,91)</f>
        <v>683</v>
      </c>
      <c r="I67" s="91">
        <f>VLOOKUP($A67,'Data Vlaue (Cr)'!$C:$FB,93)</f>
        <v>-15</v>
      </c>
      <c r="J67" s="92">
        <f>VLOOKUP($A67,'Data Vlaue (Cr)'!$C:$FB,94)</f>
        <v>-2.1100000000000001E-2</v>
      </c>
      <c r="K67" s="91">
        <f>VLOOKUP($A67,'Data Vlaue (Cr)'!$C:$FB,95)</f>
        <v>445</v>
      </c>
      <c r="L67" s="91">
        <f>VLOOKUP($A67,'Data Vlaue (Cr)'!$C:$FB,97)</f>
        <v>-20</v>
      </c>
      <c r="M67" s="92">
        <f>VLOOKUP($A67,'Data Vlaue (Cr)'!$C:$FB,98)</f>
        <v>-4.2700000000000002E-2</v>
      </c>
      <c r="N67" s="91">
        <f>VLOOKUP($A67,'Data Vlaue (Cr)'!$C:$FB,79)</f>
        <v>924</v>
      </c>
      <c r="O67" s="92">
        <f>VLOOKUP($A67,'Data Vlaue (Cr)'!$C:$FB,82)</f>
        <v>-0.14849999999999999</v>
      </c>
    </row>
    <row r="68" spans="1:15" x14ac:dyDescent="0.25">
      <c r="A68" s="97" t="str">
        <f>'Data Vlaue (Cr)'!C63</f>
        <v>FEDERALBNK</v>
      </c>
      <c r="B68" s="142">
        <f>VLOOKUP(A68,'Data Vlaue (Cr)'!C63:CW277,99,0)</f>
        <v>3620</v>
      </c>
      <c r="C68" s="90">
        <f>VLOOKUP(A68,'Data Vlaue (Cr)'!C63:CY277,101,0)</f>
        <v>-333</v>
      </c>
      <c r="D68" s="139">
        <f>VLOOKUP(A68,'Data Vlaue (Cr)'!C63:CZ277,102,0)</f>
        <v>-8.43E-2</v>
      </c>
      <c r="E68" s="91">
        <f>VLOOKUP($A68,'Data Vlaue (Cr)'!$C:$FB,75)</f>
        <v>1469</v>
      </c>
      <c r="F68" s="91">
        <f>VLOOKUP($A68,'Data Vlaue (Cr)'!$C:$FB,77)</f>
        <v>-13</v>
      </c>
      <c r="G68" s="92">
        <f>VLOOKUP(A68,'Data Vlaue (Cr)'!C63:CB277,78,0)</f>
        <v>-8.9999999999999993E-3</v>
      </c>
      <c r="H68" s="91">
        <f>VLOOKUP($A68,'Data Vlaue (Cr)'!$C:$FB,91)</f>
        <v>1153</v>
      </c>
      <c r="I68" s="91">
        <f>VLOOKUP($A68,'Data Vlaue (Cr)'!$C:$FB,93)</f>
        <v>-126</v>
      </c>
      <c r="J68" s="92">
        <f>VLOOKUP($A68,'Data Vlaue (Cr)'!$C:$FB,94)</f>
        <v>-9.8299999999999998E-2</v>
      </c>
      <c r="K68" s="91">
        <f>VLOOKUP($A68,'Data Vlaue (Cr)'!$C:$FB,95)</f>
        <v>998</v>
      </c>
      <c r="L68" s="91">
        <f>VLOOKUP($A68,'Data Vlaue (Cr)'!$C:$FB,97)</f>
        <v>-194</v>
      </c>
      <c r="M68" s="92">
        <f>VLOOKUP($A68,'Data Vlaue (Cr)'!$C:$FB,98)</f>
        <v>-0.16270000000000001</v>
      </c>
      <c r="N68" s="91">
        <f>VLOOKUP($A68,'Data Vlaue (Cr)'!$C:$FB,79)</f>
        <v>1042</v>
      </c>
      <c r="O68" s="92">
        <f>VLOOKUP($A68,'Data Vlaue (Cr)'!$C:$FB,82)</f>
        <v>-0.1749</v>
      </c>
    </row>
    <row r="69" spans="1:15" x14ac:dyDescent="0.25">
      <c r="A69" s="97" t="str">
        <f>'Data Vlaue (Cr)'!C64</f>
        <v>FINNIFTY</v>
      </c>
      <c r="B69" s="142">
        <f>VLOOKUP(A69,'Data Vlaue (Cr)'!C64:CW278,99,0)</f>
        <v>7306</v>
      </c>
      <c r="C69" s="90">
        <f>VLOOKUP(A69,'Data Vlaue (Cr)'!C64:CY278,101,0)</f>
        <v>-444</v>
      </c>
      <c r="D69" s="139">
        <f>VLOOKUP(A69,'Data Vlaue (Cr)'!C64:CZ278,102,0)</f>
        <v>-5.7299999999999997E-2</v>
      </c>
      <c r="E69" s="91">
        <f>VLOOKUP($A69,'Data Vlaue (Cr)'!$C:$FB,75)</f>
        <v>115</v>
      </c>
      <c r="F69" s="91">
        <f>VLOOKUP($A69,'Data Vlaue (Cr)'!$C:$FB,77)</f>
        <v>2</v>
      </c>
      <c r="G69" s="92">
        <f>VLOOKUP(A69,'Data Vlaue (Cr)'!C64:CB278,78,0)</f>
        <v>1.61E-2</v>
      </c>
      <c r="H69" s="91">
        <f>VLOOKUP($A69,'Data Vlaue (Cr)'!$C:$FB,91)</f>
        <v>3089</v>
      </c>
      <c r="I69" s="91">
        <f>VLOOKUP($A69,'Data Vlaue (Cr)'!$C:$FB,93)</f>
        <v>-597</v>
      </c>
      <c r="J69" s="92">
        <f>VLOOKUP($A69,'Data Vlaue (Cr)'!$C:$FB,94)</f>
        <v>-0.16200000000000001</v>
      </c>
      <c r="K69" s="91">
        <f>VLOOKUP($A69,'Data Vlaue (Cr)'!$C:$FB,95)</f>
        <v>4102</v>
      </c>
      <c r="L69" s="91">
        <f>VLOOKUP($A69,'Data Vlaue (Cr)'!$C:$FB,97)</f>
        <v>151</v>
      </c>
      <c r="M69" s="92">
        <f>VLOOKUP($A69,'Data Vlaue (Cr)'!$C:$FB,98)</f>
        <v>3.8199999999999998E-2</v>
      </c>
      <c r="N69" s="91">
        <f>VLOOKUP($A69,'Data Vlaue (Cr)'!$C:$FB,79)</f>
        <v>94</v>
      </c>
      <c r="O69" s="92">
        <f>VLOOKUP($A69,'Data Vlaue (Cr)'!$C:$FB,82)</f>
        <v>-9.2700000000000005E-2</v>
      </c>
    </row>
    <row r="70" spans="1:15" x14ac:dyDescent="0.25">
      <c r="A70" s="97" t="str">
        <f>'Data Vlaue (Cr)'!C65</f>
        <v>FORTIS</v>
      </c>
      <c r="B70" s="142">
        <f>VLOOKUP(A70,'Data Vlaue (Cr)'!C65:CW279,99,0)</f>
        <v>2493</v>
      </c>
      <c r="C70" s="90">
        <f>VLOOKUP(A70,'Data Vlaue (Cr)'!C65:CY279,101,0)</f>
        <v>-140</v>
      </c>
      <c r="D70" s="139">
        <f>VLOOKUP(A70,'Data Vlaue (Cr)'!C65:CZ279,102,0)</f>
        <v>-5.3199999999999997E-2</v>
      </c>
      <c r="E70" s="91">
        <f>VLOOKUP($A70,'Data Vlaue (Cr)'!$C:$FB,75)</f>
        <v>1221</v>
      </c>
      <c r="F70" s="91">
        <f>VLOOKUP($A70,'Data Vlaue (Cr)'!$C:$FB,77)</f>
        <v>-40</v>
      </c>
      <c r="G70" s="92">
        <f>VLOOKUP(A70,'Data Vlaue (Cr)'!C65:CB279,78,0)</f>
        <v>-3.1699999999999999E-2</v>
      </c>
      <c r="H70" s="91">
        <f>VLOOKUP($A70,'Data Vlaue (Cr)'!$C:$FB,91)</f>
        <v>902</v>
      </c>
      <c r="I70" s="91">
        <f>VLOOKUP($A70,'Data Vlaue (Cr)'!$C:$FB,93)</f>
        <v>-93</v>
      </c>
      <c r="J70" s="92">
        <f>VLOOKUP($A70,'Data Vlaue (Cr)'!$C:$FB,94)</f>
        <v>-9.3799999999999994E-2</v>
      </c>
      <c r="K70" s="91">
        <f>VLOOKUP($A70,'Data Vlaue (Cr)'!$C:$FB,95)</f>
        <v>369</v>
      </c>
      <c r="L70" s="91">
        <f>VLOOKUP($A70,'Data Vlaue (Cr)'!$C:$FB,97)</f>
        <v>-7</v>
      </c>
      <c r="M70" s="92">
        <f>VLOOKUP($A70,'Data Vlaue (Cr)'!$C:$FB,98)</f>
        <v>-1.7299999999999999E-2</v>
      </c>
      <c r="N70" s="91">
        <f>VLOOKUP($A70,'Data Vlaue (Cr)'!$C:$FB,79)</f>
        <v>894</v>
      </c>
      <c r="O70" s="92">
        <f>VLOOKUP($A70,'Data Vlaue (Cr)'!$C:$FB,82)</f>
        <v>-0.16339999999999999</v>
      </c>
    </row>
    <row r="71" spans="1:15" x14ac:dyDescent="0.25">
      <c r="A71" s="97" t="str">
        <f>'Data Vlaue (Cr)'!C66</f>
        <v>GAIL</v>
      </c>
      <c r="B71" s="142">
        <f>VLOOKUP(A71,'Data Vlaue (Cr)'!C66:CW280,99,0)</f>
        <v>2711</v>
      </c>
      <c r="C71" s="90">
        <f>VLOOKUP(A71,'Data Vlaue (Cr)'!C66:CY280,101,0)</f>
        <v>-86</v>
      </c>
      <c r="D71" s="139">
        <f>VLOOKUP(A71,'Data Vlaue (Cr)'!C66:CZ280,102,0)</f>
        <v>-3.09E-2</v>
      </c>
      <c r="E71" s="91">
        <f>VLOOKUP($A71,'Data Vlaue (Cr)'!$C:$FB,75)</f>
        <v>1488</v>
      </c>
      <c r="F71" s="91">
        <f>VLOOKUP($A71,'Data Vlaue (Cr)'!$C:$FB,77)</f>
        <v>-4</v>
      </c>
      <c r="G71" s="92">
        <f>VLOOKUP(A71,'Data Vlaue (Cr)'!C66:CB280,78,0)</f>
        <v>-2.7000000000000001E-3</v>
      </c>
      <c r="H71" s="91">
        <f>VLOOKUP($A71,'Data Vlaue (Cr)'!$C:$FB,91)</f>
        <v>722</v>
      </c>
      <c r="I71" s="91">
        <f>VLOOKUP($A71,'Data Vlaue (Cr)'!$C:$FB,93)</f>
        <v>-67</v>
      </c>
      <c r="J71" s="92">
        <f>VLOOKUP($A71,'Data Vlaue (Cr)'!$C:$FB,94)</f>
        <v>-8.4699999999999998E-2</v>
      </c>
      <c r="K71" s="91">
        <f>VLOOKUP($A71,'Data Vlaue (Cr)'!$C:$FB,95)</f>
        <v>502</v>
      </c>
      <c r="L71" s="91">
        <f>VLOOKUP($A71,'Data Vlaue (Cr)'!$C:$FB,97)</f>
        <v>-16</v>
      </c>
      <c r="M71" s="92">
        <f>VLOOKUP($A71,'Data Vlaue (Cr)'!$C:$FB,98)</f>
        <v>-3.0099999999999998E-2</v>
      </c>
      <c r="N71" s="91">
        <f>VLOOKUP($A71,'Data Vlaue (Cr)'!$C:$FB,79)</f>
        <v>1111</v>
      </c>
      <c r="O71" s="92">
        <f>VLOOKUP($A71,'Data Vlaue (Cr)'!$C:$FB,82)</f>
        <v>-0.1636</v>
      </c>
    </row>
    <row r="72" spans="1:15" x14ac:dyDescent="0.25">
      <c r="A72" s="97" t="str">
        <f>'Data Vlaue (Cr)'!C67</f>
        <v>GLENMARK</v>
      </c>
      <c r="B72" s="142">
        <f>VLOOKUP(A72,'Data Vlaue (Cr)'!C67:CW281,99,0)</f>
        <v>5067</v>
      </c>
      <c r="C72" s="90">
        <f>VLOOKUP(A72,'Data Vlaue (Cr)'!C67:CY281,101,0)</f>
        <v>-534</v>
      </c>
      <c r="D72" s="139">
        <f>VLOOKUP(A72,'Data Vlaue (Cr)'!C67:CZ281,102,0)</f>
        <v>-9.5399999999999999E-2</v>
      </c>
      <c r="E72" s="91">
        <f>VLOOKUP($A72,'Data Vlaue (Cr)'!$C:$FB,75)</f>
        <v>2929</v>
      </c>
      <c r="F72" s="91">
        <f>VLOOKUP($A72,'Data Vlaue (Cr)'!$C:$FB,77)</f>
        <v>-16</v>
      </c>
      <c r="G72" s="92">
        <f>VLOOKUP(A72,'Data Vlaue (Cr)'!C67:CB281,78,0)</f>
        <v>-5.4000000000000003E-3</v>
      </c>
      <c r="H72" s="91">
        <f>VLOOKUP($A72,'Data Vlaue (Cr)'!$C:$FB,91)</f>
        <v>1380</v>
      </c>
      <c r="I72" s="91">
        <f>VLOOKUP($A72,'Data Vlaue (Cr)'!$C:$FB,93)</f>
        <v>-459</v>
      </c>
      <c r="J72" s="92">
        <f>VLOOKUP($A72,'Data Vlaue (Cr)'!$C:$FB,94)</f>
        <v>-0.2495</v>
      </c>
      <c r="K72" s="91">
        <f>VLOOKUP($A72,'Data Vlaue (Cr)'!$C:$FB,95)</f>
        <v>758</v>
      </c>
      <c r="L72" s="91">
        <f>VLOOKUP($A72,'Data Vlaue (Cr)'!$C:$FB,97)</f>
        <v>-60</v>
      </c>
      <c r="M72" s="92">
        <f>VLOOKUP($A72,'Data Vlaue (Cr)'!$C:$FB,98)</f>
        <v>-7.2900000000000006E-2</v>
      </c>
      <c r="N72" s="91">
        <f>VLOOKUP($A72,'Data Vlaue (Cr)'!$C:$FB,79)</f>
        <v>1685</v>
      </c>
      <c r="O72" s="92">
        <f>VLOOKUP($A72,'Data Vlaue (Cr)'!$C:$FB,82)</f>
        <v>-0.23250000000000001</v>
      </c>
    </row>
    <row r="73" spans="1:15" x14ac:dyDescent="0.25">
      <c r="A73" s="97" t="str">
        <f>'Data Vlaue (Cr)'!C68</f>
        <v>GMRAIRPORT</v>
      </c>
      <c r="B73" s="142">
        <f>VLOOKUP(A73,'Data Vlaue (Cr)'!C68:CW282,99,0)</f>
        <v>4909</v>
      </c>
      <c r="C73" s="90">
        <f>VLOOKUP(A73,'Data Vlaue (Cr)'!C68:CY282,101,0)</f>
        <v>-139</v>
      </c>
      <c r="D73" s="139">
        <f>VLOOKUP(A73,'Data Vlaue (Cr)'!C68:CZ282,102,0)</f>
        <v>-2.75E-2</v>
      </c>
      <c r="E73" s="91">
        <f>VLOOKUP($A73,'Data Vlaue (Cr)'!$C:$FB,75)</f>
        <v>2291</v>
      </c>
      <c r="F73" s="91">
        <f>VLOOKUP($A73,'Data Vlaue (Cr)'!$C:$FB,77)</f>
        <v>-86</v>
      </c>
      <c r="G73" s="92">
        <f>VLOOKUP(A73,'Data Vlaue (Cr)'!C68:CB282,78,0)</f>
        <v>-3.5999999999999997E-2</v>
      </c>
      <c r="H73" s="91">
        <f>VLOOKUP($A73,'Data Vlaue (Cr)'!$C:$FB,91)</f>
        <v>1637</v>
      </c>
      <c r="I73" s="91">
        <f>VLOOKUP($A73,'Data Vlaue (Cr)'!$C:$FB,93)</f>
        <v>-1</v>
      </c>
      <c r="J73" s="92">
        <f>VLOOKUP($A73,'Data Vlaue (Cr)'!$C:$FB,94)</f>
        <v>-6.9999999999999999E-4</v>
      </c>
      <c r="K73" s="91">
        <f>VLOOKUP($A73,'Data Vlaue (Cr)'!$C:$FB,95)</f>
        <v>981</v>
      </c>
      <c r="L73" s="91">
        <f>VLOOKUP($A73,'Data Vlaue (Cr)'!$C:$FB,97)</f>
        <v>-52</v>
      </c>
      <c r="M73" s="92">
        <f>VLOOKUP($A73,'Data Vlaue (Cr)'!$C:$FB,98)</f>
        <v>-5.0500000000000003E-2</v>
      </c>
      <c r="N73" s="91">
        <f>VLOOKUP($A73,'Data Vlaue (Cr)'!$C:$FB,79)</f>
        <v>1499</v>
      </c>
      <c r="O73" s="92">
        <f>VLOOKUP($A73,'Data Vlaue (Cr)'!$C:$FB,82)</f>
        <v>-0.21629999999999999</v>
      </c>
    </row>
    <row r="74" spans="1:15" x14ac:dyDescent="0.25">
      <c r="A74" s="97" t="str">
        <f>'Data Vlaue (Cr)'!C69</f>
        <v>GODREJCP</v>
      </c>
      <c r="B74" s="142">
        <f>VLOOKUP(A74,'Data Vlaue (Cr)'!C69:CW283,99,0)</f>
        <v>1653</v>
      </c>
      <c r="C74" s="90">
        <f>VLOOKUP(A74,'Data Vlaue (Cr)'!C69:CY283,101,0)</f>
        <v>41</v>
      </c>
      <c r="D74" s="139">
        <f>VLOOKUP(A74,'Data Vlaue (Cr)'!C69:CZ283,102,0)</f>
        <v>2.5399999999999999E-2</v>
      </c>
      <c r="E74" s="91">
        <f>VLOOKUP($A74,'Data Vlaue (Cr)'!$C:$FB,75)</f>
        <v>1191</v>
      </c>
      <c r="F74" s="91">
        <f>VLOOKUP($A74,'Data Vlaue (Cr)'!$C:$FB,77)</f>
        <v>57</v>
      </c>
      <c r="G74" s="92">
        <f>VLOOKUP(A74,'Data Vlaue (Cr)'!C69:CB283,78,0)</f>
        <v>5.04E-2</v>
      </c>
      <c r="H74" s="91">
        <f>VLOOKUP($A74,'Data Vlaue (Cr)'!$C:$FB,91)</f>
        <v>262</v>
      </c>
      <c r="I74" s="91">
        <f>VLOOKUP($A74,'Data Vlaue (Cr)'!$C:$FB,93)</f>
        <v>-16</v>
      </c>
      <c r="J74" s="92">
        <f>VLOOKUP($A74,'Data Vlaue (Cr)'!$C:$FB,94)</f>
        <v>-5.7799999999999997E-2</v>
      </c>
      <c r="K74" s="91">
        <f>VLOOKUP($A74,'Data Vlaue (Cr)'!$C:$FB,95)</f>
        <v>199</v>
      </c>
      <c r="L74" s="91">
        <f>VLOOKUP($A74,'Data Vlaue (Cr)'!$C:$FB,97)</f>
        <v>0</v>
      </c>
      <c r="M74" s="92">
        <f>VLOOKUP($A74,'Data Vlaue (Cr)'!$C:$FB,98)</f>
        <v>-5.9999999999999995E-4</v>
      </c>
      <c r="N74" s="91">
        <f>VLOOKUP($A74,'Data Vlaue (Cr)'!$C:$FB,79)</f>
        <v>799</v>
      </c>
      <c r="O74" s="92">
        <f>VLOOKUP($A74,'Data Vlaue (Cr)'!$C:$FB,82)</f>
        <v>-0.22919999999999999</v>
      </c>
    </row>
    <row r="75" spans="1:15" x14ac:dyDescent="0.25">
      <c r="A75" s="97" t="str">
        <f>'Data Vlaue (Cr)'!C70</f>
        <v>GODREJPROP</v>
      </c>
      <c r="B75" s="142">
        <f>VLOOKUP(A75,'Data Vlaue (Cr)'!C70:CW284,99,0)</f>
        <v>2747</v>
      </c>
      <c r="C75" s="90">
        <f>VLOOKUP(A75,'Data Vlaue (Cr)'!C70:CY284,101,0)</f>
        <v>2</v>
      </c>
      <c r="D75" s="139">
        <f>VLOOKUP(A75,'Data Vlaue (Cr)'!C70:CZ284,102,0)</f>
        <v>5.9999999999999995E-4</v>
      </c>
      <c r="E75" s="91">
        <f>VLOOKUP($A75,'Data Vlaue (Cr)'!$C:$FB,75)</f>
        <v>1712</v>
      </c>
      <c r="F75" s="91">
        <f>VLOOKUP($A75,'Data Vlaue (Cr)'!$C:$FB,77)</f>
        <v>-9</v>
      </c>
      <c r="G75" s="92">
        <f>VLOOKUP(A75,'Data Vlaue (Cr)'!C70:CB284,78,0)</f>
        <v>-5.0000000000000001E-3</v>
      </c>
      <c r="H75" s="91">
        <f>VLOOKUP($A75,'Data Vlaue (Cr)'!$C:$FB,91)</f>
        <v>655</v>
      </c>
      <c r="I75" s="91">
        <f>VLOOKUP($A75,'Data Vlaue (Cr)'!$C:$FB,93)</f>
        <v>15</v>
      </c>
      <c r="J75" s="92">
        <f>VLOOKUP($A75,'Data Vlaue (Cr)'!$C:$FB,94)</f>
        <v>2.3099999999999999E-2</v>
      </c>
      <c r="K75" s="91">
        <f>VLOOKUP($A75,'Data Vlaue (Cr)'!$C:$FB,95)</f>
        <v>380</v>
      </c>
      <c r="L75" s="91">
        <f>VLOOKUP($A75,'Data Vlaue (Cr)'!$C:$FB,97)</f>
        <v>-4</v>
      </c>
      <c r="M75" s="92">
        <f>VLOOKUP($A75,'Data Vlaue (Cr)'!$C:$FB,98)</f>
        <v>-1.1599999999999999E-2</v>
      </c>
      <c r="N75" s="91">
        <f>VLOOKUP($A75,'Data Vlaue (Cr)'!$C:$FB,79)</f>
        <v>1319</v>
      </c>
      <c r="O75" s="92">
        <f>VLOOKUP($A75,'Data Vlaue (Cr)'!$C:$FB,82)</f>
        <v>-0.16869999999999999</v>
      </c>
    </row>
    <row r="76" spans="1:15" x14ac:dyDescent="0.25">
      <c r="A76" s="97" t="str">
        <f>'Data Vlaue (Cr)'!C71</f>
        <v>GRASIM</v>
      </c>
      <c r="B76" s="142">
        <f>VLOOKUP(A76,'Data Vlaue (Cr)'!C71:CW285,99,0)</f>
        <v>6441</v>
      </c>
      <c r="C76" s="90">
        <f>VLOOKUP(A76,'Data Vlaue (Cr)'!C71:CY285,101,0)</f>
        <v>-90</v>
      </c>
      <c r="D76" s="139">
        <f>VLOOKUP(A76,'Data Vlaue (Cr)'!C71:CZ285,102,0)</f>
        <v>-1.38E-2</v>
      </c>
      <c r="E76" s="91">
        <f>VLOOKUP($A76,'Data Vlaue (Cr)'!$C:$FB,75)</f>
        <v>4429</v>
      </c>
      <c r="F76" s="91">
        <f>VLOOKUP($A76,'Data Vlaue (Cr)'!$C:$FB,77)</f>
        <v>-22</v>
      </c>
      <c r="G76" s="92">
        <f>VLOOKUP(A76,'Data Vlaue (Cr)'!C71:CB285,78,0)</f>
        <v>-4.8999999999999998E-3</v>
      </c>
      <c r="H76" s="91">
        <f>VLOOKUP($A76,'Data Vlaue (Cr)'!$C:$FB,91)</f>
        <v>1308</v>
      </c>
      <c r="I76" s="91">
        <f>VLOOKUP($A76,'Data Vlaue (Cr)'!$C:$FB,93)</f>
        <v>-64</v>
      </c>
      <c r="J76" s="92">
        <f>VLOOKUP($A76,'Data Vlaue (Cr)'!$C:$FB,94)</f>
        <v>-4.6600000000000003E-2</v>
      </c>
      <c r="K76" s="91">
        <f>VLOOKUP($A76,'Data Vlaue (Cr)'!$C:$FB,95)</f>
        <v>704</v>
      </c>
      <c r="L76" s="91">
        <f>VLOOKUP($A76,'Data Vlaue (Cr)'!$C:$FB,97)</f>
        <v>-4</v>
      </c>
      <c r="M76" s="92">
        <f>VLOOKUP($A76,'Data Vlaue (Cr)'!$C:$FB,98)</f>
        <v>-5.8999999999999999E-3</v>
      </c>
      <c r="N76" s="91">
        <f>VLOOKUP($A76,'Data Vlaue (Cr)'!$C:$FB,79)</f>
        <v>2583</v>
      </c>
      <c r="O76" s="92">
        <f>VLOOKUP($A76,'Data Vlaue (Cr)'!$C:$FB,82)</f>
        <v>-0.23730000000000001</v>
      </c>
    </row>
    <row r="77" spans="1:15" x14ac:dyDescent="0.25">
      <c r="A77" s="97" t="str">
        <f>'Data Vlaue (Cr)'!C72</f>
        <v>HAL</v>
      </c>
      <c r="B77" s="142">
        <f>VLOOKUP(A77,'Data Vlaue (Cr)'!C72:CW286,99,0)</f>
        <v>9725</v>
      </c>
      <c r="C77" s="90">
        <f>VLOOKUP(A77,'Data Vlaue (Cr)'!C72:CY286,101,0)</f>
        <v>-201</v>
      </c>
      <c r="D77" s="139">
        <f>VLOOKUP(A77,'Data Vlaue (Cr)'!C72:CZ286,102,0)</f>
        <v>-2.0199999999999999E-2</v>
      </c>
      <c r="E77" s="91">
        <f>VLOOKUP($A77,'Data Vlaue (Cr)'!$C:$FB,75)</f>
        <v>4698</v>
      </c>
      <c r="F77" s="91">
        <f>VLOOKUP($A77,'Data Vlaue (Cr)'!$C:$FB,77)</f>
        <v>18</v>
      </c>
      <c r="G77" s="92">
        <f>VLOOKUP(A77,'Data Vlaue (Cr)'!C72:CB286,78,0)</f>
        <v>3.8E-3</v>
      </c>
      <c r="H77" s="91">
        <f>VLOOKUP($A77,'Data Vlaue (Cr)'!$C:$FB,91)</f>
        <v>3445</v>
      </c>
      <c r="I77" s="91">
        <f>VLOOKUP($A77,'Data Vlaue (Cr)'!$C:$FB,93)</f>
        <v>-175</v>
      </c>
      <c r="J77" s="92">
        <f>VLOOKUP($A77,'Data Vlaue (Cr)'!$C:$FB,94)</f>
        <v>-4.8500000000000001E-2</v>
      </c>
      <c r="K77" s="91">
        <f>VLOOKUP($A77,'Data Vlaue (Cr)'!$C:$FB,95)</f>
        <v>1581</v>
      </c>
      <c r="L77" s="91">
        <f>VLOOKUP($A77,'Data Vlaue (Cr)'!$C:$FB,97)</f>
        <v>-43</v>
      </c>
      <c r="M77" s="92">
        <f>VLOOKUP($A77,'Data Vlaue (Cr)'!$C:$FB,98)</f>
        <v>-2.6599999999999999E-2</v>
      </c>
      <c r="N77" s="91">
        <f>VLOOKUP($A77,'Data Vlaue (Cr)'!$C:$FB,79)</f>
        <v>3278</v>
      </c>
      <c r="O77" s="92">
        <f>VLOOKUP($A77,'Data Vlaue (Cr)'!$C:$FB,82)</f>
        <v>-0.1578</v>
      </c>
    </row>
    <row r="78" spans="1:15" x14ac:dyDescent="0.25">
      <c r="A78" s="97" t="str">
        <f>'Data Vlaue (Cr)'!C73</f>
        <v>HAVELLS</v>
      </c>
      <c r="B78" s="142">
        <f>VLOOKUP(A78,'Data Vlaue (Cr)'!C73:CW287,99,0)</f>
        <v>1959</v>
      </c>
      <c r="C78" s="90">
        <f>VLOOKUP(A78,'Data Vlaue (Cr)'!C73:CY287,101,0)</f>
        <v>-58</v>
      </c>
      <c r="D78" s="139">
        <f>VLOOKUP(A78,'Data Vlaue (Cr)'!C73:CZ287,102,0)</f>
        <v>-2.8799999999999999E-2</v>
      </c>
      <c r="E78" s="91">
        <f>VLOOKUP($A78,'Data Vlaue (Cr)'!$C:$FB,75)</f>
        <v>1247</v>
      </c>
      <c r="F78" s="91">
        <f>VLOOKUP($A78,'Data Vlaue (Cr)'!$C:$FB,77)</f>
        <v>-39</v>
      </c>
      <c r="G78" s="92">
        <f>VLOOKUP(A78,'Data Vlaue (Cr)'!C73:CB287,78,0)</f>
        <v>-3.0300000000000001E-2</v>
      </c>
      <c r="H78" s="91">
        <f>VLOOKUP($A78,'Data Vlaue (Cr)'!$C:$FB,91)</f>
        <v>413</v>
      </c>
      <c r="I78" s="91">
        <f>VLOOKUP($A78,'Data Vlaue (Cr)'!$C:$FB,93)</f>
        <v>-26</v>
      </c>
      <c r="J78" s="92">
        <f>VLOOKUP($A78,'Data Vlaue (Cr)'!$C:$FB,94)</f>
        <v>-5.9799999999999999E-2</v>
      </c>
      <c r="K78" s="91">
        <f>VLOOKUP($A78,'Data Vlaue (Cr)'!$C:$FB,95)</f>
        <v>298</v>
      </c>
      <c r="L78" s="91">
        <f>VLOOKUP($A78,'Data Vlaue (Cr)'!$C:$FB,97)</f>
        <v>7</v>
      </c>
      <c r="M78" s="92">
        <f>VLOOKUP($A78,'Data Vlaue (Cr)'!$C:$FB,98)</f>
        <v>2.4899999999999999E-2</v>
      </c>
      <c r="N78" s="91">
        <f>VLOOKUP($A78,'Data Vlaue (Cr)'!$C:$FB,79)</f>
        <v>820</v>
      </c>
      <c r="O78" s="92">
        <f>VLOOKUP($A78,'Data Vlaue (Cr)'!$C:$FB,82)</f>
        <v>-0.28810000000000002</v>
      </c>
    </row>
    <row r="79" spans="1:15" x14ac:dyDescent="0.25">
      <c r="A79" s="97" t="str">
        <f>'Data Vlaue (Cr)'!C74</f>
        <v>HCLTECH</v>
      </c>
      <c r="B79" s="142">
        <f>VLOOKUP(A79,'Data Vlaue (Cr)'!C74:CW288,99,0)</f>
        <v>4666</v>
      </c>
      <c r="C79" s="90">
        <f>VLOOKUP(A79,'Data Vlaue (Cr)'!C74:CY288,101,0)</f>
        <v>-113</v>
      </c>
      <c r="D79" s="139">
        <f>VLOOKUP(A79,'Data Vlaue (Cr)'!C74:CZ288,102,0)</f>
        <v>-2.3699999999999999E-2</v>
      </c>
      <c r="E79" s="91">
        <f>VLOOKUP($A79,'Data Vlaue (Cr)'!$C:$FB,75)</f>
        <v>2621</v>
      </c>
      <c r="F79" s="91">
        <f>VLOOKUP($A79,'Data Vlaue (Cr)'!$C:$FB,77)</f>
        <v>-3</v>
      </c>
      <c r="G79" s="92">
        <f>VLOOKUP(A79,'Data Vlaue (Cr)'!C74:CB288,78,0)</f>
        <v>-1.1000000000000001E-3</v>
      </c>
      <c r="H79" s="91">
        <f>VLOOKUP($A79,'Data Vlaue (Cr)'!$C:$FB,91)</f>
        <v>1155</v>
      </c>
      <c r="I79" s="91">
        <f>VLOOKUP($A79,'Data Vlaue (Cr)'!$C:$FB,93)</f>
        <v>28</v>
      </c>
      <c r="J79" s="92">
        <f>VLOOKUP($A79,'Data Vlaue (Cr)'!$C:$FB,94)</f>
        <v>2.53E-2</v>
      </c>
      <c r="K79" s="91">
        <f>VLOOKUP($A79,'Data Vlaue (Cr)'!$C:$FB,95)</f>
        <v>890</v>
      </c>
      <c r="L79" s="91">
        <f>VLOOKUP($A79,'Data Vlaue (Cr)'!$C:$FB,97)</f>
        <v>-139</v>
      </c>
      <c r="M79" s="92">
        <f>VLOOKUP($A79,'Data Vlaue (Cr)'!$C:$FB,98)</f>
        <v>-0.1351</v>
      </c>
      <c r="N79" s="91">
        <f>VLOOKUP($A79,'Data Vlaue (Cr)'!$C:$FB,79)</f>
        <v>1688</v>
      </c>
      <c r="O79" s="92">
        <f>VLOOKUP($A79,'Data Vlaue (Cr)'!$C:$FB,82)</f>
        <v>-0.26750000000000002</v>
      </c>
    </row>
    <row r="80" spans="1:15" x14ac:dyDescent="0.25">
      <c r="A80" s="97" t="str">
        <f>'Data Vlaue (Cr)'!C75</f>
        <v>HDFCAMC</v>
      </c>
      <c r="B80" s="142">
        <f>VLOOKUP(A80,'Data Vlaue (Cr)'!C75:CW289,99,0)</f>
        <v>2731</v>
      </c>
      <c r="C80" s="90">
        <f>VLOOKUP(A80,'Data Vlaue (Cr)'!C75:CY289,101,0)</f>
        <v>-66</v>
      </c>
      <c r="D80" s="139">
        <f>VLOOKUP(A80,'Data Vlaue (Cr)'!C75:CZ289,102,0)</f>
        <v>-2.35E-2</v>
      </c>
      <c r="E80" s="91">
        <f>VLOOKUP($A80,'Data Vlaue (Cr)'!$C:$FB,75)</f>
        <v>1351</v>
      </c>
      <c r="F80" s="91">
        <f>VLOOKUP($A80,'Data Vlaue (Cr)'!$C:$FB,77)</f>
        <v>5</v>
      </c>
      <c r="G80" s="92">
        <f>VLOOKUP(A80,'Data Vlaue (Cr)'!C75:CB289,78,0)</f>
        <v>3.8999999999999998E-3</v>
      </c>
      <c r="H80" s="91">
        <f>VLOOKUP($A80,'Data Vlaue (Cr)'!$C:$FB,91)</f>
        <v>857</v>
      </c>
      <c r="I80" s="91">
        <f>VLOOKUP($A80,'Data Vlaue (Cr)'!$C:$FB,93)</f>
        <v>-63</v>
      </c>
      <c r="J80" s="92">
        <f>VLOOKUP($A80,'Data Vlaue (Cr)'!$C:$FB,94)</f>
        <v>-6.9000000000000006E-2</v>
      </c>
      <c r="K80" s="91">
        <f>VLOOKUP($A80,'Data Vlaue (Cr)'!$C:$FB,95)</f>
        <v>523</v>
      </c>
      <c r="L80" s="91">
        <f>VLOOKUP($A80,'Data Vlaue (Cr)'!$C:$FB,97)</f>
        <v>-8</v>
      </c>
      <c r="M80" s="92">
        <f>VLOOKUP($A80,'Data Vlaue (Cr)'!$C:$FB,98)</f>
        <v>-1.4200000000000001E-2</v>
      </c>
      <c r="N80" s="91">
        <f>VLOOKUP($A80,'Data Vlaue (Cr)'!$C:$FB,79)</f>
        <v>953</v>
      </c>
      <c r="O80" s="92">
        <f>VLOOKUP($A80,'Data Vlaue (Cr)'!$C:$FB,82)</f>
        <v>-0.224</v>
      </c>
    </row>
    <row r="81" spans="1:15" x14ac:dyDescent="0.25">
      <c r="A81" s="97" t="str">
        <f>'Data Vlaue (Cr)'!C76</f>
        <v>HDFCBANK</v>
      </c>
      <c r="B81" s="142">
        <f>VLOOKUP(A81,'Data Vlaue (Cr)'!C76:CW290,99,0)</f>
        <v>27751</v>
      </c>
      <c r="C81" s="90">
        <f>VLOOKUP(A81,'Data Vlaue (Cr)'!C76:CY290,101,0)</f>
        <v>-477</v>
      </c>
      <c r="D81" s="139">
        <f>VLOOKUP(A81,'Data Vlaue (Cr)'!C76:CZ290,102,0)</f>
        <v>-1.6899999999999998E-2</v>
      </c>
      <c r="E81" s="91">
        <f>VLOOKUP($A81,'Data Vlaue (Cr)'!$C:$FB,75)</f>
        <v>21847</v>
      </c>
      <c r="F81" s="91">
        <f>VLOOKUP($A81,'Data Vlaue (Cr)'!$C:$FB,77)</f>
        <v>86</v>
      </c>
      <c r="G81" s="92">
        <f>VLOOKUP(A81,'Data Vlaue (Cr)'!C76:CB290,78,0)</f>
        <v>4.0000000000000001E-3</v>
      </c>
      <c r="H81" s="91">
        <f>VLOOKUP($A81,'Data Vlaue (Cr)'!$C:$FB,91)</f>
        <v>3399</v>
      </c>
      <c r="I81" s="91">
        <f>VLOOKUP($A81,'Data Vlaue (Cr)'!$C:$FB,93)</f>
        <v>-603</v>
      </c>
      <c r="J81" s="92">
        <f>VLOOKUP($A81,'Data Vlaue (Cr)'!$C:$FB,94)</f>
        <v>-0.1507</v>
      </c>
      <c r="K81" s="91">
        <f>VLOOKUP($A81,'Data Vlaue (Cr)'!$C:$FB,95)</f>
        <v>2504</v>
      </c>
      <c r="L81" s="91">
        <f>VLOOKUP($A81,'Data Vlaue (Cr)'!$C:$FB,97)</f>
        <v>40</v>
      </c>
      <c r="M81" s="92">
        <f>VLOOKUP($A81,'Data Vlaue (Cr)'!$C:$FB,98)</f>
        <v>1.6299999999999999E-2</v>
      </c>
      <c r="N81" s="91">
        <f>VLOOKUP($A81,'Data Vlaue (Cr)'!$C:$FB,79)</f>
        <v>13885</v>
      </c>
      <c r="O81" s="92">
        <f>VLOOKUP($A81,'Data Vlaue (Cr)'!$C:$FB,82)</f>
        <v>-0.26340000000000002</v>
      </c>
    </row>
    <row r="82" spans="1:15" x14ac:dyDescent="0.25">
      <c r="A82" s="97" t="str">
        <f>'Data Vlaue (Cr)'!C77</f>
        <v>HDFCLIFE</v>
      </c>
      <c r="B82" s="142">
        <f>VLOOKUP(A82,'Data Vlaue (Cr)'!C77:CW291,99,0)</f>
        <v>3634</v>
      </c>
      <c r="C82" s="90">
        <f>VLOOKUP(A82,'Data Vlaue (Cr)'!C77:CY291,101,0)</f>
        <v>32</v>
      </c>
      <c r="D82" s="139">
        <f>VLOOKUP(A82,'Data Vlaue (Cr)'!C77:CZ291,102,0)</f>
        <v>8.8999999999999999E-3</v>
      </c>
      <c r="E82" s="91">
        <f>VLOOKUP($A82,'Data Vlaue (Cr)'!$C:$FB,75)</f>
        <v>2255</v>
      </c>
      <c r="F82" s="91">
        <f>VLOOKUP($A82,'Data Vlaue (Cr)'!$C:$FB,77)</f>
        <v>10</v>
      </c>
      <c r="G82" s="92">
        <f>VLOOKUP(A82,'Data Vlaue (Cr)'!C77:CB291,78,0)</f>
        <v>4.5999999999999999E-3</v>
      </c>
      <c r="H82" s="91">
        <f>VLOOKUP($A82,'Data Vlaue (Cr)'!$C:$FB,91)</f>
        <v>807</v>
      </c>
      <c r="I82" s="91">
        <f>VLOOKUP($A82,'Data Vlaue (Cr)'!$C:$FB,93)</f>
        <v>-7</v>
      </c>
      <c r="J82" s="92">
        <f>VLOOKUP($A82,'Data Vlaue (Cr)'!$C:$FB,94)</f>
        <v>-8.6999999999999994E-3</v>
      </c>
      <c r="K82" s="91">
        <f>VLOOKUP($A82,'Data Vlaue (Cr)'!$C:$FB,95)</f>
        <v>571</v>
      </c>
      <c r="L82" s="91">
        <f>VLOOKUP($A82,'Data Vlaue (Cr)'!$C:$FB,97)</f>
        <v>29</v>
      </c>
      <c r="M82" s="92">
        <f>VLOOKUP($A82,'Data Vlaue (Cr)'!$C:$FB,98)</f>
        <v>5.2999999999999999E-2</v>
      </c>
      <c r="N82" s="91">
        <f>VLOOKUP($A82,'Data Vlaue (Cr)'!$C:$FB,79)</f>
        <v>1550</v>
      </c>
      <c r="O82" s="92">
        <f>VLOOKUP($A82,'Data Vlaue (Cr)'!$C:$FB,82)</f>
        <v>-0.252</v>
      </c>
    </row>
    <row r="83" spans="1:15" x14ac:dyDescent="0.25">
      <c r="A83" s="97" t="str">
        <f>'Data Vlaue (Cr)'!C78</f>
        <v>HEROMOTOCO</v>
      </c>
      <c r="B83" s="142">
        <f>VLOOKUP(A83,'Data Vlaue (Cr)'!C78:CW292,99,0)</f>
        <v>8357</v>
      </c>
      <c r="C83" s="90">
        <f>VLOOKUP(A83,'Data Vlaue (Cr)'!C78:CY292,101,0)</f>
        <v>440</v>
      </c>
      <c r="D83" s="139">
        <f>VLOOKUP(A83,'Data Vlaue (Cr)'!C78:CZ292,102,0)</f>
        <v>5.5599999999999997E-2</v>
      </c>
      <c r="E83" s="91">
        <f>VLOOKUP($A83,'Data Vlaue (Cr)'!$C:$FB,75)</f>
        <v>3597</v>
      </c>
      <c r="F83" s="91">
        <f>VLOOKUP($A83,'Data Vlaue (Cr)'!$C:$FB,77)</f>
        <v>17</v>
      </c>
      <c r="G83" s="92">
        <f>VLOOKUP(A83,'Data Vlaue (Cr)'!C78:CB292,78,0)</f>
        <v>4.8999999999999998E-3</v>
      </c>
      <c r="H83" s="91">
        <f>VLOOKUP($A83,'Data Vlaue (Cr)'!$C:$FB,91)</f>
        <v>2326</v>
      </c>
      <c r="I83" s="91">
        <f>VLOOKUP($A83,'Data Vlaue (Cr)'!$C:$FB,93)</f>
        <v>170</v>
      </c>
      <c r="J83" s="92">
        <f>VLOOKUP($A83,'Data Vlaue (Cr)'!$C:$FB,94)</f>
        <v>7.8600000000000003E-2</v>
      </c>
      <c r="K83" s="91">
        <f>VLOOKUP($A83,'Data Vlaue (Cr)'!$C:$FB,95)</f>
        <v>2434</v>
      </c>
      <c r="L83" s="91">
        <f>VLOOKUP($A83,'Data Vlaue (Cr)'!$C:$FB,97)</f>
        <v>253</v>
      </c>
      <c r="M83" s="92">
        <f>VLOOKUP($A83,'Data Vlaue (Cr)'!$C:$FB,98)</f>
        <v>0.1162</v>
      </c>
      <c r="N83" s="91">
        <f>VLOOKUP($A83,'Data Vlaue (Cr)'!$C:$FB,79)</f>
        <v>2464</v>
      </c>
      <c r="O83" s="92">
        <f>VLOOKUP($A83,'Data Vlaue (Cr)'!$C:$FB,82)</f>
        <v>-0.24879999999999999</v>
      </c>
    </row>
    <row r="84" spans="1:15" x14ac:dyDescent="0.25">
      <c r="A84" s="97" t="str">
        <f>'Data Vlaue (Cr)'!C79</f>
        <v>HFCL</v>
      </c>
      <c r="B84" s="142">
        <f>VLOOKUP(A84,'Data Vlaue (Cr)'!C79:CW293,99,0)</f>
        <v>1506</v>
      </c>
      <c r="C84" s="90">
        <f>VLOOKUP(A84,'Data Vlaue (Cr)'!C79:CY293,101,0)</f>
        <v>-6</v>
      </c>
      <c r="D84" s="139">
        <f>VLOOKUP(A84,'Data Vlaue (Cr)'!C79:CZ293,102,0)</f>
        <v>-4.0000000000000001E-3</v>
      </c>
      <c r="E84" s="91">
        <f>VLOOKUP($A84,'Data Vlaue (Cr)'!$C:$FB,75)</f>
        <v>901</v>
      </c>
      <c r="F84" s="91">
        <f>VLOOKUP($A84,'Data Vlaue (Cr)'!$C:$FB,77)</f>
        <v>-15</v>
      </c>
      <c r="G84" s="92">
        <f>VLOOKUP(A84,'Data Vlaue (Cr)'!C79:CB293,78,0)</f>
        <v>-1.5900000000000001E-2</v>
      </c>
      <c r="H84" s="91">
        <f>VLOOKUP($A84,'Data Vlaue (Cr)'!$C:$FB,91)</f>
        <v>388</v>
      </c>
      <c r="I84" s="91">
        <f>VLOOKUP($A84,'Data Vlaue (Cr)'!$C:$FB,93)</f>
        <v>5</v>
      </c>
      <c r="J84" s="92">
        <f>VLOOKUP($A84,'Data Vlaue (Cr)'!$C:$FB,94)</f>
        <v>1.2200000000000001E-2</v>
      </c>
      <c r="K84" s="91">
        <f>VLOOKUP($A84,'Data Vlaue (Cr)'!$C:$FB,95)</f>
        <v>217</v>
      </c>
      <c r="L84" s="91">
        <f>VLOOKUP($A84,'Data Vlaue (Cr)'!$C:$FB,97)</f>
        <v>4</v>
      </c>
      <c r="M84" s="92">
        <f>VLOOKUP($A84,'Data Vlaue (Cr)'!$C:$FB,98)</f>
        <v>1.77E-2</v>
      </c>
      <c r="N84" s="91">
        <f>VLOOKUP($A84,'Data Vlaue (Cr)'!$C:$FB,79)</f>
        <v>558</v>
      </c>
      <c r="O84" s="92">
        <f>VLOOKUP($A84,'Data Vlaue (Cr)'!$C:$FB,82)</f>
        <v>-0.1888</v>
      </c>
    </row>
    <row r="85" spans="1:15" x14ac:dyDescent="0.25">
      <c r="A85" s="97" t="str">
        <f>'Data Vlaue (Cr)'!C80</f>
        <v>HINDALCO</v>
      </c>
      <c r="B85" s="142">
        <f>VLOOKUP(A85,'Data Vlaue (Cr)'!C80:CW294,99,0)</f>
        <v>9815</v>
      </c>
      <c r="C85" s="90">
        <f>VLOOKUP(A85,'Data Vlaue (Cr)'!C80:CY294,101,0)</f>
        <v>-90</v>
      </c>
      <c r="D85" s="139">
        <f>VLOOKUP(A85,'Data Vlaue (Cr)'!C80:CZ294,102,0)</f>
        <v>-9.1000000000000004E-3</v>
      </c>
      <c r="E85" s="91">
        <f>VLOOKUP($A85,'Data Vlaue (Cr)'!$C:$FB,75)</f>
        <v>6514</v>
      </c>
      <c r="F85" s="91">
        <f>VLOOKUP($A85,'Data Vlaue (Cr)'!$C:$FB,77)</f>
        <v>27</v>
      </c>
      <c r="G85" s="92">
        <f>VLOOKUP(A85,'Data Vlaue (Cr)'!C80:CB294,78,0)</f>
        <v>4.1999999999999997E-3</v>
      </c>
      <c r="H85" s="91">
        <f>VLOOKUP($A85,'Data Vlaue (Cr)'!$C:$FB,91)</f>
        <v>1951</v>
      </c>
      <c r="I85" s="91">
        <f>VLOOKUP($A85,'Data Vlaue (Cr)'!$C:$FB,93)</f>
        <v>-82</v>
      </c>
      <c r="J85" s="92">
        <f>VLOOKUP($A85,'Data Vlaue (Cr)'!$C:$FB,94)</f>
        <v>-4.0300000000000002E-2</v>
      </c>
      <c r="K85" s="91">
        <f>VLOOKUP($A85,'Data Vlaue (Cr)'!$C:$FB,95)</f>
        <v>1350</v>
      </c>
      <c r="L85" s="91">
        <f>VLOOKUP($A85,'Data Vlaue (Cr)'!$C:$FB,97)</f>
        <v>-35</v>
      </c>
      <c r="M85" s="92">
        <f>VLOOKUP($A85,'Data Vlaue (Cr)'!$C:$FB,98)</f>
        <v>-2.52E-2</v>
      </c>
      <c r="N85" s="91">
        <f>VLOOKUP($A85,'Data Vlaue (Cr)'!$C:$FB,79)</f>
        <v>3121</v>
      </c>
      <c r="O85" s="92">
        <f>VLOOKUP($A85,'Data Vlaue (Cr)'!$C:$FB,82)</f>
        <v>-0.34089999999999998</v>
      </c>
    </row>
    <row r="86" spans="1:15" x14ac:dyDescent="0.25">
      <c r="A86" s="97" t="str">
        <f>'Data Vlaue (Cr)'!C81</f>
        <v>HINDPETRO</v>
      </c>
      <c r="B86" s="142">
        <f>VLOOKUP(A86,'Data Vlaue (Cr)'!C81:CW295,99,0)</f>
        <v>3090</v>
      </c>
      <c r="C86" s="90">
        <f>VLOOKUP(A86,'Data Vlaue (Cr)'!C81:CY295,101,0)</f>
        <v>-29</v>
      </c>
      <c r="D86" s="139">
        <f>VLOOKUP(A86,'Data Vlaue (Cr)'!C81:CZ295,102,0)</f>
        <v>-9.4000000000000004E-3</v>
      </c>
      <c r="E86" s="91">
        <f>VLOOKUP($A86,'Data Vlaue (Cr)'!$C:$FB,75)</f>
        <v>1917</v>
      </c>
      <c r="F86" s="91">
        <f>VLOOKUP($A86,'Data Vlaue (Cr)'!$C:$FB,77)</f>
        <v>14</v>
      </c>
      <c r="G86" s="92">
        <f>VLOOKUP(A86,'Data Vlaue (Cr)'!C81:CB295,78,0)</f>
        <v>7.4999999999999997E-3</v>
      </c>
      <c r="H86" s="91">
        <f>VLOOKUP($A86,'Data Vlaue (Cr)'!$C:$FB,91)</f>
        <v>694</v>
      </c>
      <c r="I86" s="91">
        <f>VLOOKUP($A86,'Data Vlaue (Cr)'!$C:$FB,93)</f>
        <v>-37</v>
      </c>
      <c r="J86" s="92">
        <f>VLOOKUP($A86,'Data Vlaue (Cr)'!$C:$FB,94)</f>
        <v>-5.11E-2</v>
      </c>
      <c r="K86" s="91">
        <f>VLOOKUP($A86,'Data Vlaue (Cr)'!$C:$FB,95)</f>
        <v>479</v>
      </c>
      <c r="L86" s="91">
        <f>VLOOKUP($A86,'Data Vlaue (Cr)'!$C:$FB,97)</f>
        <v>-6</v>
      </c>
      <c r="M86" s="92">
        <f>VLOOKUP($A86,'Data Vlaue (Cr)'!$C:$FB,98)</f>
        <v>-1.26E-2</v>
      </c>
      <c r="N86" s="91">
        <f>VLOOKUP($A86,'Data Vlaue (Cr)'!$C:$FB,79)</f>
        <v>1211</v>
      </c>
      <c r="O86" s="92">
        <f>VLOOKUP($A86,'Data Vlaue (Cr)'!$C:$FB,82)</f>
        <v>-0.30659999999999998</v>
      </c>
    </row>
    <row r="87" spans="1:15" x14ac:dyDescent="0.25">
      <c r="A87" s="97" t="str">
        <f>'Data Vlaue (Cr)'!C82</f>
        <v>HINDUNILVR</v>
      </c>
      <c r="B87" s="142">
        <f>VLOOKUP(A87,'Data Vlaue (Cr)'!C82:CW296,99,0)</f>
        <v>8503</v>
      </c>
      <c r="C87" s="90">
        <f>VLOOKUP(A87,'Data Vlaue (Cr)'!C82:CY296,101,0)</f>
        <v>-619</v>
      </c>
      <c r="D87" s="139">
        <f>VLOOKUP(A87,'Data Vlaue (Cr)'!C82:CZ296,102,0)</f>
        <v>-6.7900000000000002E-2</v>
      </c>
      <c r="E87" s="91">
        <f>VLOOKUP($A87,'Data Vlaue (Cr)'!$C:$FB,75)</f>
        <v>4384</v>
      </c>
      <c r="F87" s="91">
        <f>VLOOKUP($A87,'Data Vlaue (Cr)'!$C:$FB,77)</f>
        <v>-324</v>
      </c>
      <c r="G87" s="92">
        <f>VLOOKUP(A87,'Data Vlaue (Cr)'!C82:CB296,78,0)</f>
        <v>-6.88E-2</v>
      </c>
      <c r="H87" s="91">
        <f>VLOOKUP($A87,'Data Vlaue (Cr)'!$C:$FB,91)</f>
        <v>2842</v>
      </c>
      <c r="I87" s="91">
        <f>VLOOKUP($A87,'Data Vlaue (Cr)'!$C:$FB,93)</f>
        <v>-206</v>
      </c>
      <c r="J87" s="92">
        <f>VLOOKUP($A87,'Data Vlaue (Cr)'!$C:$FB,94)</f>
        <v>-6.7500000000000004E-2</v>
      </c>
      <c r="K87" s="91">
        <f>VLOOKUP($A87,'Data Vlaue (Cr)'!$C:$FB,95)</f>
        <v>1277</v>
      </c>
      <c r="L87" s="91">
        <f>VLOOKUP($A87,'Data Vlaue (Cr)'!$C:$FB,97)</f>
        <v>-90</v>
      </c>
      <c r="M87" s="92">
        <f>VLOOKUP($A87,'Data Vlaue (Cr)'!$C:$FB,98)</f>
        <v>-6.5600000000000006E-2</v>
      </c>
      <c r="N87" s="91">
        <f>VLOOKUP($A87,'Data Vlaue (Cr)'!$C:$FB,79)</f>
        <v>2808</v>
      </c>
      <c r="O87" s="92">
        <f>VLOOKUP($A87,'Data Vlaue (Cr)'!$C:$FB,82)</f>
        <v>-0.28760000000000002</v>
      </c>
    </row>
    <row r="88" spans="1:15" x14ac:dyDescent="0.25">
      <c r="A88" s="97" t="str">
        <f>'Data Vlaue (Cr)'!C83</f>
        <v>HINDZINC</v>
      </c>
      <c r="B88" s="142">
        <f>VLOOKUP(A88,'Data Vlaue (Cr)'!C83:CW297,99,0)</f>
        <v>3788</v>
      </c>
      <c r="C88" s="90">
        <f>VLOOKUP(A88,'Data Vlaue (Cr)'!C83:CY297,101,0)</f>
        <v>-77</v>
      </c>
      <c r="D88" s="139">
        <f>VLOOKUP(A88,'Data Vlaue (Cr)'!C83:CZ297,102,0)</f>
        <v>-1.9800000000000002E-2</v>
      </c>
      <c r="E88" s="91">
        <f>VLOOKUP($A88,'Data Vlaue (Cr)'!$C:$FB,75)</f>
        <v>1904</v>
      </c>
      <c r="F88" s="91">
        <f>VLOOKUP($A88,'Data Vlaue (Cr)'!$C:$FB,77)</f>
        <v>11</v>
      </c>
      <c r="G88" s="92">
        <f>VLOOKUP(A88,'Data Vlaue (Cr)'!C83:CB297,78,0)</f>
        <v>5.8999999999999999E-3</v>
      </c>
      <c r="H88" s="91">
        <f>VLOOKUP($A88,'Data Vlaue (Cr)'!$C:$FB,91)</f>
        <v>1242</v>
      </c>
      <c r="I88" s="91">
        <f>VLOOKUP($A88,'Data Vlaue (Cr)'!$C:$FB,93)</f>
        <v>-79</v>
      </c>
      <c r="J88" s="92">
        <f>VLOOKUP($A88,'Data Vlaue (Cr)'!$C:$FB,94)</f>
        <v>-5.9900000000000002E-2</v>
      </c>
      <c r="K88" s="91">
        <f>VLOOKUP($A88,'Data Vlaue (Cr)'!$C:$FB,95)</f>
        <v>642</v>
      </c>
      <c r="L88" s="91">
        <f>VLOOKUP($A88,'Data Vlaue (Cr)'!$C:$FB,97)</f>
        <v>-9</v>
      </c>
      <c r="M88" s="92">
        <f>VLOOKUP($A88,'Data Vlaue (Cr)'!$C:$FB,98)</f>
        <v>-1.3299999999999999E-2</v>
      </c>
      <c r="N88" s="91">
        <f>VLOOKUP($A88,'Data Vlaue (Cr)'!$C:$FB,79)</f>
        <v>1289</v>
      </c>
      <c r="O88" s="92">
        <f>VLOOKUP($A88,'Data Vlaue (Cr)'!$C:$FB,82)</f>
        <v>-0.15959999999999999</v>
      </c>
    </row>
    <row r="89" spans="1:15" x14ac:dyDescent="0.25">
      <c r="A89" s="97" t="str">
        <f>'Data Vlaue (Cr)'!C84</f>
        <v>HUDCO</v>
      </c>
      <c r="B89" s="142">
        <f>VLOOKUP(A89,'Data Vlaue (Cr)'!C84:CW298,99,0)</f>
        <v>2048</v>
      </c>
      <c r="C89" s="90">
        <f>VLOOKUP(A89,'Data Vlaue (Cr)'!C84:CY298,101,0)</f>
        <v>-44</v>
      </c>
      <c r="D89" s="139">
        <f>VLOOKUP(A89,'Data Vlaue (Cr)'!C84:CZ298,102,0)</f>
        <v>-2.0899999999999998E-2</v>
      </c>
      <c r="E89" s="91">
        <f>VLOOKUP($A89,'Data Vlaue (Cr)'!$C:$FB,75)</f>
        <v>862</v>
      </c>
      <c r="F89" s="91">
        <f>VLOOKUP($A89,'Data Vlaue (Cr)'!$C:$FB,77)</f>
        <v>14</v>
      </c>
      <c r="G89" s="92">
        <f>VLOOKUP(A89,'Data Vlaue (Cr)'!C84:CB298,78,0)</f>
        <v>1.6299999999999999E-2</v>
      </c>
      <c r="H89" s="91">
        <f>VLOOKUP($A89,'Data Vlaue (Cr)'!$C:$FB,91)</f>
        <v>756</v>
      </c>
      <c r="I89" s="91">
        <f>VLOOKUP($A89,'Data Vlaue (Cr)'!$C:$FB,93)</f>
        <v>-48</v>
      </c>
      <c r="J89" s="92">
        <f>VLOOKUP($A89,'Data Vlaue (Cr)'!$C:$FB,94)</f>
        <v>-5.9200000000000003E-2</v>
      </c>
      <c r="K89" s="91">
        <f>VLOOKUP($A89,'Data Vlaue (Cr)'!$C:$FB,95)</f>
        <v>429</v>
      </c>
      <c r="L89" s="91">
        <f>VLOOKUP($A89,'Data Vlaue (Cr)'!$C:$FB,97)</f>
        <v>-10</v>
      </c>
      <c r="M89" s="92">
        <f>VLOOKUP($A89,'Data Vlaue (Cr)'!$C:$FB,98)</f>
        <v>-2.3E-2</v>
      </c>
      <c r="N89" s="91">
        <f>VLOOKUP($A89,'Data Vlaue (Cr)'!$C:$FB,79)</f>
        <v>636</v>
      </c>
      <c r="O89" s="92">
        <f>VLOOKUP($A89,'Data Vlaue (Cr)'!$C:$FB,82)</f>
        <v>-9.3799999999999994E-2</v>
      </c>
    </row>
    <row r="90" spans="1:15" x14ac:dyDescent="0.25">
      <c r="A90" s="97" t="str">
        <f>'Data Vlaue (Cr)'!C85</f>
        <v>ICICIBANK</v>
      </c>
      <c r="B90" s="142">
        <f>VLOOKUP(A90,'Data Vlaue (Cr)'!C85:CW299,99,0)</f>
        <v>24223</v>
      </c>
      <c r="C90" s="90">
        <f>VLOOKUP(A90,'Data Vlaue (Cr)'!C85:CY299,101,0)</f>
        <v>58</v>
      </c>
      <c r="D90" s="139">
        <f>VLOOKUP(A90,'Data Vlaue (Cr)'!C85:CZ299,102,0)</f>
        <v>2.3999999999999998E-3</v>
      </c>
      <c r="E90" s="91">
        <f>VLOOKUP($A90,'Data Vlaue (Cr)'!$C:$FB,75)</f>
        <v>15544</v>
      </c>
      <c r="F90" s="91">
        <f>VLOOKUP($A90,'Data Vlaue (Cr)'!$C:$FB,77)</f>
        <v>207</v>
      </c>
      <c r="G90" s="92">
        <f>VLOOKUP(A90,'Data Vlaue (Cr)'!C85:CB299,78,0)</f>
        <v>1.35E-2</v>
      </c>
      <c r="H90" s="91">
        <f>VLOOKUP($A90,'Data Vlaue (Cr)'!$C:$FB,91)</f>
        <v>5370</v>
      </c>
      <c r="I90" s="91">
        <f>VLOOKUP($A90,'Data Vlaue (Cr)'!$C:$FB,93)</f>
        <v>-72</v>
      </c>
      <c r="J90" s="92">
        <f>VLOOKUP($A90,'Data Vlaue (Cr)'!$C:$FB,94)</f>
        <v>-1.32E-2</v>
      </c>
      <c r="K90" s="91">
        <f>VLOOKUP($A90,'Data Vlaue (Cr)'!$C:$FB,95)</f>
        <v>3310</v>
      </c>
      <c r="L90" s="91">
        <f>VLOOKUP($A90,'Data Vlaue (Cr)'!$C:$FB,97)</f>
        <v>-78</v>
      </c>
      <c r="M90" s="92">
        <f>VLOOKUP($A90,'Data Vlaue (Cr)'!$C:$FB,98)</f>
        <v>-2.3E-2</v>
      </c>
      <c r="N90" s="91">
        <f>VLOOKUP($A90,'Data Vlaue (Cr)'!$C:$FB,79)</f>
        <v>10989</v>
      </c>
      <c r="O90" s="92">
        <f>VLOOKUP($A90,'Data Vlaue (Cr)'!$C:$FB,82)</f>
        <v>-0.161</v>
      </c>
    </row>
    <row r="91" spans="1:15" x14ac:dyDescent="0.25">
      <c r="A91" s="97" t="str">
        <f>'Data Vlaue (Cr)'!C86</f>
        <v>ICICIGI</v>
      </c>
      <c r="B91" s="142">
        <f>VLOOKUP(A91,'Data Vlaue (Cr)'!C86:CW300,99,0)</f>
        <v>1707</v>
      </c>
      <c r="C91" s="90">
        <f>VLOOKUP(A91,'Data Vlaue (Cr)'!C86:CY300,101,0)</f>
        <v>-41</v>
      </c>
      <c r="D91" s="139">
        <f>VLOOKUP(A91,'Data Vlaue (Cr)'!C86:CZ300,102,0)</f>
        <v>-2.3400000000000001E-2</v>
      </c>
      <c r="E91" s="91">
        <f>VLOOKUP($A91,'Data Vlaue (Cr)'!$C:$FB,75)</f>
        <v>1194</v>
      </c>
      <c r="F91" s="91">
        <f>VLOOKUP($A91,'Data Vlaue (Cr)'!$C:$FB,77)</f>
        <v>-36</v>
      </c>
      <c r="G91" s="92">
        <f>VLOOKUP(A91,'Data Vlaue (Cr)'!C86:CB300,78,0)</f>
        <v>-2.9499999999999998E-2</v>
      </c>
      <c r="H91" s="91">
        <f>VLOOKUP($A91,'Data Vlaue (Cr)'!$C:$FB,91)</f>
        <v>308</v>
      </c>
      <c r="I91" s="91">
        <f>VLOOKUP($A91,'Data Vlaue (Cr)'!$C:$FB,93)</f>
        <v>-8</v>
      </c>
      <c r="J91" s="92">
        <f>VLOOKUP($A91,'Data Vlaue (Cr)'!$C:$FB,94)</f>
        <v>-2.3900000000000001E-2</v>
      </c>
      <c r="K91" s="91">
        <f>VLOOKUP($A91,'Data Vlaue (Cr)'!$C:$FB,95)</f>
        <v>205</v>
      </c>
      <c r="L91" s="91">
        <f>VLOOKUP($A91,'Data Vlaue (Cr)'!$C:$FB,97)</f>
        <v>3</v>
      </c>
      <c r="M91" s="92">
        <f>VLOOKUP($A91,'Data Vlaue (Cr)'!$C:$FB,98)</f>
        <v>1.44E-2</v>
      </c>
      <c r="N91" s="91">
        <f>VLOOKUP($A91,'Data Vlaue (Cr)'!$C:$FB,79)</f>
        <v>913</v>
      </c>
      <c r="O91" s="92">
        <f>VLOOKUP($A91,'Data Vlaue (Cr)'!$C:$FB,82)</f>
        <v>-0.19689999999999999</v>
      </c>
    </row>
    <row r="92" spans="1:15" x14ac:dyDescent="0.25">
      <c r="A92" s="97" t="str">
        <f>'Data Vlaue (Cr)'!C87</f>
        <v>ICICIPRULI</v>
      </c>
      <c r="B92" s="142">
        <f>VLOOKUP(A92,'Data Vlaue (Cr)'!C87:CW301,99,0)</f>
        <v>1260</v>
      </c>
      <c r="C92" s="90">
        <f>VLOOKUP(A92,'Data Vlaue (Cr)'!C87:CY301,101,0)</f>
        <v>9</v>
      </c>
      <c r="D92" s="139">
        <f>VLOOKUP(A92,'Data Vlaue (Cr)'!C87:CZ301,102,0)</f>
        <v>7.3000000000000001E-3</v>
      </c>
      <c r="E92" s="91">
        <f>VLOOKUP($A92,'Data Vlaue (Cr)'!$C:$FB,75)</f>
        <v>844</v>
      </c>
      <c r="F92" s="91">
        <f>VLOOKUP($A92,'Data Vlaue (Cr)'!$C:$FB,77)</f>
        <v>4</v>
      </c>
      <c r="G92" s="92">
        <f>VLOOKUP(A92,'Data Vlaue (Cr)'!C87:CB301,78,0)</f>
        <v>4.7999999999999996E-3</v>
      </c>
      <c r="H92" s="91">
        <f>VLOOKUP($A92,'Data Vlaue (Cr)'!$C:$FB,91)</f>
        <v>237</v>
      </c>
      <c r="I92" s="91">
        <f>VLOOKUP($A92,'Data Vlaue (Cr)'!$C:$FB,93)</f>
        <v>3</v>
      </c>
      <c r="J92" s="92">
        <f>VLOOKUP($A92,'Data Vlaue (Cr)'!$C:$FB,94)</f>
        <v>1.47E-2</v>
      </c>
      <c r="K92" s="91">
        <f>VLOOKUP($A92,'Data Vlaue (Cr)'!$C:$FB,95)</f>
        <v>179</v>
      </c>
      <c r="L92" s="91">
        <f>VLOOKUP($A92,'Data Vlaue (Cr)'!$C:$FB,97)</f>
        <v>2</v>
      </c>
      <c r="M92" s="92">
        <f>VLOOKUP($A92,'Data Vlaue (Cr)'!$C:$FB,98)</f>
        <v>9.2999999999999992E-3</v>
      </c>
      <c r="N92" s="91">
        <f>VLOOKUP($A92,'Data Vlaue (Cr)'!$C:$FB,79)</f>
        <v>645</v>
      </c>
      <c r="O92" s="92">
        <f>VLOOKUP($A92,'Data Vlaue (Cr)'!$C:$FB,82)</f>
        <v>-0.19370000000000001</v>
      </c>
    </row>
    <row r="93" spans="1:15" x14ac:dyDescent="0.25">
      <c r="A93" s="97" t="str">
        <f>'Data Vlaue (Cr)'!C88</f>
        <v>IDEA</v>
      </c>
      <c r="B93" s="142">
        <f>VLOOKUP(A93,'Data Vlaue (Cr)'!C88:CW302,99,0)</f>
        <v>10499</v>
      </c>
      <c r="C93" s="90">
        <f>VLOOKUP(A93,'Data Vlaue (Cr)'!C88:CY302,101,0)</f>
        <v>-157</v>
      </c>
      <c r="D93" s="139">
        <f>VLOOKUP(A93,'Data Vlaue (Cr)'!C88:CZ302,102,0)</f>
        <v>-1.4800000000000001E-2</v>
      </c>
      <c r="E93" s="91">
        <f>VLOOKUP($A93,'Data Vlaue (Cr)'!$C:$FB,75)</f>
        <v>6425</v>
      </c>
      <c r="F93" s="91">
        <f>VLOOKUP($A93,'Data Vlaue (Cr)'!$C:$FB,77)</f>
        <v>-165</v>
      </c>
      <c r="G93" s="92">
        <f>VLOOKUP(A93,'Data Vlaue (Cr)'!C88:CB302,78,0)</f>
        <v>-2.5100000000000001E-2</v>
      </c>
      <c r="H93" s="91">
        <f>VLOOKUP($A93,'Data Vlaue (Cr)'!$C:$FB,91)</f>
        <v>2591</v>
      </c>
      <c r="I93" s="91">
        <f>VLOOKUP($A93,'Data Vlaue (Cr)'!$C:$FB,93)</f>
        <v>109</v>
      </c>
      <c r="J93" s="92">
        <f>VLOOKUP($A93,'Data Vlaue (Cr)'!$C:$FB,94)</f>
        <v>4.3999999999999997E-2</v>
      </c>
      <c r="K93" s="91">
        <f>VLOOKUP($A93,'Data Vlaue (Cr)'!$C:$FB,95)</f>
        <v>1482</v>
      </c>
      <c r="L93" s="91">
        <f>VLOOKUP($A93,'Data Vlaue (Cr)'!$C:$FB,97)</f>
        <v>-101</v>
      </c>
      <c r="M93" s="92">
        <f>VLOOKUP($A93,'Data Vlaue (Cr)'!$C:$FB,98)</f>
        <v>-6.4000000000000001E-2</v>
      </c>
      <c r="N93" s="91">
        <f>VLOOKUP($A93,'Data Vlaue (Cr)'!$C:$FB,79)</f>
        <v>3666</v>
      </c>
      <c r="O93" s="92">
        <f>VLOOKUP($A93,'Data Vlaue (Cr)'!$C:$FB,82)</f>
        <v>-0.25669999999999998</v>
      </c>
    </row>
    <row r="94" spans="1:15" x14ac:dyDescent="0.25">
      <c r="A94" s="97" t="str">
        <f>'Data Vlaue (Cr)'!C89</f>
        <v>IDFCFIRSTB</v>
      </c>
      <c r="B94" s="142">
        <f>VLOOKUP(A94,'Data Vlaue (Cr)'!C89:CW303,99,0)</f>
        <v>5280</v>
      </c>
      <c r="C94" s="90">
        <f>VLOOKUP(A94,'Data Vlaue (Cr)'!C89:CY303,101,0)</f>
        <v>-102</v>
      </c>
      <c r="D94" s="139">
        <f>VLOOKUP(A94,'Data Vlaue (Cr)'!C89:CZ303,102,0)</f>
        <v>-1.89E-2</v>
      </c>
      <c r="E94" s="91">
        <f>VLOOKUP($A94,'Data Vlaue (Cr)'!$C:$FB,75)</f>
        <v>2894</v>
      </c>
      <c r="F94" s="91">
        <f>VLOOKUP($A94,'Data Vlaue (Cr)'!$C:$FB,77)</f>
        <v>-23</v>
      </c>
      <c r="G94" s="92">
        <f>VLOOKUP(A94,'Data Vlaue (Cr)'!C89:CB303,78,0)</f>
        <v>-7.9000000000000008E-3</v>
      </c>
      <c r="H94" s="91">
        <f>VLOOKUP($A94,'Data Vlaue (Cr)'!$C:$FB,91)</f>
        <v>1565</v>
      </c>
      <c r="I94" s="91">
        <f>VLOOKUP($A94,'Data Vlaue (Cr)'!$C:$FB,93)</f>
        <v>-41</v>
      </c>
      <c r="J94" s="92">
        <f>VLOOKUP($A94,'Data Vlaue (Cr)'!$C:$FB,94)</f>
        <v>-2.5600000000000001E-2</v>
      </c>
      <c r="K94" s="91">
        <f>VLOOKUP($A94,'Data Vlaue (Cr)'!$C:$FB,95)</f>
        <v>821</v>
      </c>
      <c r="L94" s="91">
        <f>VLOOKUP($A94,'Data Vlaue (Cr)'!$C:$FB,97)</f>
        <v>-38</v>
      </c>
      <c r="M94" s="92">
        <f>VLOOKUP($A94,'Data Vlaue (Cr)'!$C:$FB,98)</f>
        <v>-4.3999999999999997E-2</v>
      </c>
      <c r="N94" s="91">
        <f>VLOOKUP($A94,'Data Vlaue (Cr)'!$C:$FB,79)</f>
        <v>1846</v>
      </c>
      <c r="O94" s="92">
        <f>VLOOKUP($A94,'Data Vlaue (Cr)'!$C:$FB,82)</f>
        <v>-0.21540000000000001</v>
      </c>
    </row>
    <row r="95" spans="1:15" x14ac:dyDescent="0.25">
      <c r="A95" s="97" t="str">
        <f>'Data Vlaue (Cr)'!C90</f>
        <v>IEX</v>
      </c>
      <c r="B95" s="142">
        <f>VLOOKUP(A95,'Data Vlaue (Cr)'!C90:CW304,99,0)</f>
        <v>2308</v>
      </c>
      <c r="C95" s="90">
        <f>VLOOKUP(A95,'Data Vlaue (Cr)'!C90:CY304,101,0)</f>
        <v>-70</v>
      </c>
      <c r="D95" s="139">
        <f>VLOOKUP(A95,'Data Vlaue (Cr)'!C90:CZ304,102,0)</f>
        <v>-2.9600000000000001E-2</v>
      </c>
      <c r="E95" s="91">
        <f>VLOOKUP($A95,'Data Vlaue (Cr)'!$C:$FB,75)</f>
        <v>998</v>
      </c>
      <c r="F95" s="91">
        <f>VLOOKUP($A95,'Data Vlaue (Cr)'!$C:$FB,77)</f>
        <v>-111</v>
      </c>
      <c r="G95" s="92">
        <f>VLOOKUP(A95,'Data Vlaue (Cr)'!C90:CB304,78,0)</f>
        <v>-9.98E-2</v>
      </c>
      <c r="H95" s="91">
        <f>VLOOKUP($A95,'Data Vlaue (Cr)'!$C:$FB,91)</f>
        <v>798</v>
      </c>
      <c r="I95" s="91">
        <f>VLOOKUP($A95,'Data Vlaue (Cr)'!$C:$FB,93)</f>
        <v>4</v>
      </c>
      <c r="J95" s="92">
        <f>VLOOKUP($A95,'Data Vlaue (Cr)'!$C:$FB,94)</f>
        <v>5.3E-3</v>
      </c>
      <c r="K95" s="91">
        <f>VLOOKUP($A95,'Data Vlaue (Cr)'!$C:$FB,95)</f>
        <v>512</v>
      </c>
      <c r="L95" s="91">
        <f>VLOOKUP($A95,'Data Vlaue (Cr)'!$C:$FB,97)</f>
        <v>36</v>
      </c>
      <c r="M95" s="92">
        <f>VLOOKUP($A95,'Data Vlaue (Cr)'!$C:$FB,98)</f>
        <v>7.5600000000000001E-2</v>
      </c>
      <c r="N95" s="91">
        <f>VLOOKUP($A95,'Data Vlaue (Cr)'!$C:$FB,79)</f>
        <v>720</v>
      </c>
      <c r="O95" s="92">
        <f>VLOOKUP($A95,'Data Vlaue (Cr)'!$C:$FB,82)</f>
        <v>-0.24540000000000001</v>
      </c>
    </row>
    <row r="96" spans="1:15" x14ac:dyDescent="0.25">
      <c r="A96" s="97" t="str">
        <f>'Data Vlaue (Cr)'!C91</f>
        <v>IGL</v>
      </c>
      <c r="B96" s="142">
        <f>VLOOKUP(A96,'Data Vlaue (Cr)'!C91:CW305,99,0)</f>
        <v>715</v>
      </c>
      <c r="C96" s="90">
        <f>VLOOKUP(A96,'Data Vlaue (Cr)'!C91:CY305,101,0)</f>
        <v>-39</v>
      </c>
      <c r="D96" s="139">
        <f>VLOOKUP(A96,'Data Vlaue (Cr)'!C91:CZ305,102,0)</f>
        <v>-5.1200000000000002E-2</v>
      </c>
      <c r="E96" s="91">
        <f>VLOOKUP($A96,'Data Vlaue (Cr)'!$C:$FB,75)</f>
        <v>259</v>
      </c>
      <c r="F96" s="91">
        <f>VLOOKUP($A96,'Data Vlaue (Cr)'!$C:$FB,77)</f>
        <v>-12</v>
      </c>
      <c r="G96" s="92">
        <f>VLOOKUP(A96,'Data Vlaue (Cr)'!C91:CB305,78,0)</f>
        <v>-4.5199999999999997E-2</v>
      </c>
      <c r="H96" s="91">
        <f>VLOOKUP($A96,'Data Vlaue (Cr)'!$C:$FB,91)</f>
        <v>287</v>
      </c>
      <c r="I96" s="91">
        <f>VLOOKUP($A96,'Data Vlaue (Cr)'!$C:$FB,93)</f>
        <v>-20</v>
      </c>
      <c r="J96" s="92">
        <f>VLOOKUP($A96,'Data Vlaue (Cr)'!$C:$FB,94)</f>
        <v>-6.6100000000000006E-2</v>
      </c>
      <c r="K96" s="91">
        <f>VLOOKUP($A96,'Data Vlaue (Cr)'!$C:$FB,95)</f>
        <v>169</v>
      </c>
      <c r="L96" s="91">
        <f>VLOOKUP($A96,'Data Vlaue (Cr)'!$C:$FB,97)</f>
        <v>-6</v>
      </c>
      <c r="M96" s="92">
        <f>VLOOKUP($A96,'Data Vlaue (Cr)'!$C:$FB,98)</f>
        <v>-3.4500000000000003E-2</v>
      </c>
      <c r="N96" s="91">
        <f>VLOOKUP($A96,'Data Vlaue (Cr)'!$C:$FB,79)</f>
        <v>259</v>
      </c>
      <c r="O96" s="92">
        <f>VLOOKUP($A96,'Data Vlaue (Cr)'!$C:$FB,82)</f>
        <v>-4.5199999999999997E-2</v>
      </c>
    </row>
    <row r="97" spans="1:15" x14ac:dyDescent="0.25">
      <c r="A97" s="97" t="str">
        <f>'Data Vlaue (Cr)'!C92</f>
        <v>IIFL</v>
      </c>
      <c r="B97" s="142">
        <f>VLOOKUP(A97,'Data Vlaue (Cr)'!C92:CW306,99,0)</f>
        <v>1586</v>
      </c>
      <c r="C97" s="90">
        <f>VLOOKUP(A97,'Data Vlaue (Cr)'!C92:CY306,101,0)</f>
        <v>-71</v>
      </c>
      <c r="D97" s="139">
        <f>VLOOKUP(A97,'Data Vlaue (Cr)'!C92:CZ306,102,0)</f>
        <v>-4.2900000000000001E-2</v>
      </c>
      <c r="E97" s="91">
        <f>VLOOKUP($A97,'Data Vlaue (Cr)'!$C:$FB,75)</f>
        <v>846</v>
      </c>
      <c r="F97" s="91">
        <f>VLOOKUP($A97,'Data Vlaue (Cr)'!$C:$FB,77)</f>
        <v>-41</v>
      </c>
      <c r="G97" s="92">
        <f>VLOOKUP(A97,'Data Vlaue (Cr)'!C92:CB306,78,0)</f>
        <v>-4.65E-2</v>
      </c>
      <c r="H97" s="91">
        <f>VLOOKUP($A97,'Data Vlaue (Cr)'!$C:$FB,91)</f>
        <v>450</v>
      </c>
      <c r="I97" s="91">
        <f>VLOOKUP($A97,'Data Vlaue (Cr)'!$C:$FB,93)</f>
        <v>-25</v>
      </c>
      <c r="J97" s="92">
        <f>VLOOKUP($A97,'Data Vlaue (Cr)'!$C:$FB,94)</f>
        <v>-5.1700000000000003E-2</v>
      </c>
      <c r="K97" s="91">
        <f>VLOOKUP($A97,'Data Vlaue (Cr)'!$C:$FB,95)</f>
        <v>290</v>
      </c>
      <c r="L97" s="91">
        <f>VLOOKUP($A97,'Data Vlaue (Cr)'!$C:$FB,97)</f>
        <v>-5</v>
      </c>
      <c r="M97" s="92">
        <f>VLOOKUP($A97,'Data Vlaue (Cr)'!$C:$FB,98)</f>
        <v>-1.77E-2</v>
      </c>
      <c r="N97" s="91">
        <f>VLOOKUP($A97,'Data Vlaue (Cr)'!$C:$FB,79)</f>
        <v>621</v>
      </c>
      <c r="O97" s="92">
        <f>VLOOKUP($A97,'Data Vlaue (Cr)'!$C:$FB,82)</f>
        <v>-0.1981</v>
      </c>
    </row>
    <row r="98" spans="1:15" x14ac:dyDescent="0.25">
      <c r="A98" s="97" t="str">
        <f>'Data Vlaue (Cr)'!C93</f>
        <v>INDHOTEL</v>
      </c>
      <c r="B98" s="142">
        <f>VLOOKUP(A98,'Data Vlaue (Cr)'!C93:CW307,99,0)</f>
        <v>3660</v>
      </c>
      <c r="C98" s="90">
        <f>VLOOKUP(A98,'Data Vlaue (Cr)'!C93:CY307,101,0)</f>
        <v>-122</v>
      </c>
      <c r="D98" s="139">
        <f>VLOOKUP(A98,'Data Vlaue (Cr)'!C93:CZ307,102,0)</f>
        <v>-3.2199999999999999E-2</v>
      </c>
      <c r="E98" s="91">
        <f>VLOOKUP($A98,'Data Vlaue (Cr)'!$C:$FB,75)</f>
        <v>2074</v>
      </c>
      <c r="F98" s="91">
        <f>VLOOKUP($A98,'Data Vlaue (Cr)'!$C:$FB,77)</f>
        <v>-142</v>
      </c>
      <c r="G98" s="92">
        <f>VLOOKUP(A98,'Data Vlaue (Cr)'!C93:CB307,78,0)</f>
        <v>-6.4000000000000001E-2</v>
      </c>
      <c r="H98" s="91">
        <f>VLOOKUP($A98,'Data Vlaue (Cr)'!$C:$FB,91)</f>
        <v>969</v>
      </c>
      <c r="I98" s="91">
        <f>VLOOKUP($A98,'Data Vlaue (Cr)'!$C:$FB,93)</f>
        <v>-4</v>
      </c>
      <c r="J98" s="92">
        <f>VLOOKUP($A98,'Data Vlaue (Cr)'!$C:$FB,94)</f>
        <v>-4.1000000000000003E-3</v>
      </c>
      <c r="K98" s="91">
        <f>VLOOKUP($A98,'Data Vlaue (Cr)'!$C:$FB,95)</f>
        <v>618</v>
      </c>
      <c r="L98" s="91">
        <f>VLOOKUP($A98,'Data Vlaue (Cr)'!$C:$FB,97)</f>
        <v>24</v>
      </c>
      <c r="M98" s="92">
        <f>VLOOKUP($A98,'Data Vlaue (Cr)'!$C:$FB,98)</f>
        <v>4.0300000000000002E-2</v>
      </c>
      <c r="N98" s="91">
        <f>VLOOKUP($A98,'Data Vlaue (Cr)'!$C:$FB,79)</f>
        <v>1495</v>
      </c>
      <c r="O98" s="92">
        <f>VLOOKUP($A98,'Data Vlaue (Cr)'!$C:$FB,82)</f>
        <v>-0.22650000000000001</v>
      </c>
    </row>
    <row r="99" spans="1:15" x14ac:dyDescent="0.25">
      <c r="A99" s="97" t="str">
        <f>'Data Vlaue (Cr)'!C94</f>
        <v>INDIANB</v>
      </c>
      <c r="B99" s="142">
        <f>VLOOKUP(A99,'Data Vlaue (Cr)'!C94:CW308,99,0)</f>
        <v>2023</v>
      </c>
      <c r="C99" s="90">
        <f>VLOOKUP(A99,'Data Vlaue (Cr)'!C94:CY308,101,0)</f>
        <v>-139</v>
      </c>
      <c r="D99" s="139">
        <f>VLOOKUP(A99,'Data Vlaue (Cr)'!C94:CZ308,102,0)</f>
        <v>-6.4399999999999999E-2</v>
      </c>
      <c r="E99" s="91">
        <f>VLOOKUP($A99,'Data Vlaue (Cr)'!$C:$FB,75)</f>
        <v>1066</v>
      </c>
      <c r="F99" s="91">
        <f>VLOOKUP($A99,'Data Vlaue (Cr)'!$C:$FB,77)</f>
        <v>-91</v>
      </c>
      <c r="G99" s="92">
        <f>VLOOKUP(A99,'Data Vlaue (Cr)'!C94:CB308,78,0)</f>
        <v>-7.8600000000000003E-2</v>
      </c>
      <c r="H99" s="91">
        <f>VLOOKUP($A99,'Data Vlaue (Cr)'!$C:$FB,91)</f>
        <v>587</v>
      </c>
      <c r="I99" s="91">
        <f>VLOOKUP($A99,'Data Vlaue (Cr)'!$C:$FB,93)</f>
        <v>-38</v>
      </c>
      <c r="J99" s="92">
        <f>VLOOKUP($A99,'Data Vlaue (Cr)'!$C:$FB,94)</f>
        <v>-6.0600000000000001E-2</v>
      </c>
      <c r="K99" s="91">
        <f>VLOOKUP($A99,'Data Vlaue (Cr)'!$C:$FB,95)</f>
        <v>370</v>
      </c>
      <c r="L99" s="91">
        <f>VLOOKUP($A99,'Data Vlaue (Cr)'!$C:$FB,97)</f>
        <v>-10</v>
      </c>
      <c r="M99" s="92">
        <f>VLOOKUP($A99,'Data Vlaue (Cr)'!$C:$FB,98)</f>
        <v>-2.76E-2</v>
      </c>
      <c r="N99" s="91">
        <f>VLOOKUP($A99,'Data Vlaue (Cr)'!$C:$FB,79)</f>
        <v>764</v>
      </c>
      <c r="O99" s="92">
        <f>VLOOKUP($A99,'Data Vlaue (Cr)'!$C:$FB,82)</f>
        <v>-0.25600000000000001</v>
      </c>
    </row>
    <row r="100" spans="1:15" x14ac:dyDescent="0.25">
      <c r="A100" s="97" t="str">
        <f>'Data Vlaue (Cr)'!C95</f>
        <v>INDIAVIX</v>
      </c>
      <c r="B100" s="142">
        <f>VLOOKUP(A100,'Data Vlaue (Cr)'!C95:CW309,99,0)</f>
        <v>0</v>
      </c>
      <c r="C100" s="90">
        <f>VLOOKUP(A100,'Data Vlaue (Cr)'!C95:CY309,101,0)</f>
        <v>0</v>
      </c>
      <c r="D100" s="139">
        <f>VLOOKUP(A100,'Data Vlaue (Cr)'!C95:CZ309,102,0)</f>
        <v>0</v>
      </c>
      <c r="E100" s="91">
        <f>VLOOKUP($A100,'Data Vlaue (Cr)'!$C:$FB,75)</f>
        <v>0</v>
      </c>
      <c r="F100" s="91">
        <f>VLOOKUP($A100,'Data Vlaue (Cr)'!$C:$FB,77)</f>
        <v>0</v>
      </c>
      <c r="G100" s="92">
        <f>VLOOKUP(A100,'Data Vlaue (Cr)'!C95:CB309,78,0)</f>
        <v>0</v>
      </c>
      <c r="H100" s="91">
        <f>VLOOKUP($A100,'Data Vlaue (Cr)'!$C:$FB,91)</f>
        <v>0</v>
      </c>
      <c r="I100" s="91">
        <f>VLOOKUP($A100,'Data Vlaue (Cr)'!$C:$FB,93)</f>
        <v>0</v>
      </c>
      <c r="J100" s="92">
        <f>VLOOKUP($A100,'Data Vlaue (Cr)'!$C:$FB,94)</f>
        <v>0</v>
      </c>
      <c r="K100" s="91">
        <f>VLOOKUP($A100,'Data Vlaue (Cr)'!$C:$FB,95)</f>
        <v>0</v>
      </c>
      <c r="L100" s="91">
        <f>VLOOKUP($A100,'Data Vlaue (Cr)'!$C:$FB,97)</f>
        <v>0</v>
      </c>
      <c r="M100" s="92">
        <f>VLOOKUP($A100,'Data Vlaue (Cr)'!$C:$FB,98)</f>
        <v>0</v>
      </c>
      <c r="N100" s="91">
        <f>VLOOKUP($A100,'Data Vlaue (Cr)'!$C:$FB,79)</f>
        <v>0</v>
      </c>
      <c r="O100" s="92">
        <f>VLOOKUP($A100,'Data Vlaue (Cr)'!$C:$FB,82)</f>
        <v>0</v>
      </c>
    </row>
    <row r="101" spans="1:15" x14ac:dyDescent="0.25">
      <c r="A101" s="97" t="str">
        <f>'Data Vlaue (Cr)'!C96</f>
        <v>INDIGO</v>
      </c>
      <c r="B101" s="142">
        <f>VLOOKUP(A101,'Data Vlaue (Cr)'!C96:CW310,99,0)</f>
        <v>7974</v>
      </c>
      <c r="C101" s="90">
        <f>VLOOKUP(A101,'Data Vlaue (Cr)'!C96:CY310,101,0)</f>
        <v>-107</v>
      </c>
      <c r="D101" s="139">
        <f>VLOOKUP(A101,'Data Vlaue (Cr)'!C96:CZ310,102,0)</f>
        <v>-1.3299999999999999E-2</v>
      </c>
      <c r="E101" s="91">
        <f>VLOOKUP($A101,'Data Vlaue (Cr)'!$C:$FB,75)</f>
        <v>4605</v>
      </c>
      <c r="F101" s="91">
        <f>VLOOKUP($A101,'Data Vlaue (Cr)'!$C:$FB,77)</f>
        <v>85</v>
      </c>
      <c r="G101" s="92">
        <f>VLOOKUP(A101,'Data Vlaue (Cr)'!C96:CB310,78,0)</f>
        <v>1.8800000000000001E-2</v>
      </c>
      <c r="H101" s="91">
        <f>VLOOKUP($A101,'Data Vlaue (Cr)'!$C:$FB,91)</f>
        <v>2111</v>
      </c>
      <c r="I101" s="91">
        <f>VLOOKUP($A101,'Data Vlaue (Cr)'!$C:$FB,93)</f>
        <v>-149</v>
      </c>
      <c r="J101" s="92">
        <f>VLOOKUP($A101,'Data Vlaue (Cr)'!$C:$FB,94)</f>
        <v>-6.5799999999999997E-2</v>
      </c>
      <c r="K101" s="91">
        <f>VLOOKUP($A101,'Data Vlaue (Cr)'!$C:$FB,95)</f>
        <v>1258</v>
      </c>
      <c r="L101" s="91">
        <f>VLOOKUP($A101,'Data Vlaue (Cr)'!$C:$FB,97)</f>
        <v>-44</v>
      </c>
      <c r="M101" s="92">
        <f>VLOOKUP($A101,'Data Vlaue (Cr)'!$C:$FB,98)</f>
        <v>-3.3599999999999998E-2</v>
      </c>
      <c r="N101" s="91">
        <f>VLOOKUP($A101,'Data Vlaue (Cr)'!$C:$FB,79)</f>
        <v>2934</v>
      </c>
      <c r="O101" s="92">
        <f>VLOOKUP($A101,'Data Vlaue (Cr)'!$C:$FB,82)</f>
        <v>-0.25640000000000002</v>
      </c>
    </row>
    <row r="102" spans="1:15" x14ac:dyDescent="0.25">
      <c r="A102" s="97" t="str">
        <f>'Data Vlaue (Cr)'!C97</f>
        <v>INDUSINDBK</v>
      </c>
      <c r="B102" s="142">
        <f>VLOOKUP(A102,'Data Vlaue (Cr)'!C97:CW311,99,0)</f>
        <v>6673</v>
      </c>
      <c r="C102" s="90">
        <f>VLOOKUP(A102,'Data Vlaue (Cr)'!C97:CY311,101,0)</f>
        <v>87</v>
      </c>
      <c r="D102" s="139">
        <f>VLOOKUP(A102,'Data Vlaue (Cr)'!C97:CZ311,102,0)</f>
        <v>1.3299999999999999E-2</v>
      </c>
      <c r="E102" s="91">
        <f>VLOOKUP($A102,'Data Vlaue (Cr)'!$C:$FB,75)</f>
        <v>3974</v>
      </c>
      <c r="F102" s="91">
        <f>VLOOKUP($A102,'Data Vlaue (Cr)'!$C:$FB,77)</f>
        <v>54</v>
      </c>
      <c r="G102" s="92">
        <f>VLOOKUP(A102,'Data Vlaue (Cr)'!C97:CB311,78,0)</f>
        <v>1.38E-2</v>
      </c>
      <c r="H102" s="91">
        <f>VLOOKUP($A102,'Data Vlaue (Cr)'!$C:$FB,91)</f>
        <v>1563</v>
      </c>
      <c r="I102" s="91">
        <f>VLOOKUP($A102,'Data Vlaue (Cr)'!$C:$FB,93)</f>
        <v>22</v>
      </c>
      <c r="J102" s="92">
        <f>VLOOKUP($A102,'Data Vlaue (Cr)'!$C:$FB,94)</f>
        <v>1.46E-2</v>
      </c>
      <c r="K102" s="91">
        <f>VLOOKUP($A102,'Data Vlaue (Cr)'!$C:$FB,95)</f>
        <v>1137</v>
      </c>
      <c r="L102" s="91">
        <f>VLOOKUP($A102,'Data Vlaue (Cr)'!$C:$FB,97)</f>
        <v>11</v>
      </c>
      <c r="M102" s="92">
        <f>VLOOKUP($A102,'Data Vlaue (Cr)'!$C:$FB,98)</f>
        <v>9.7999999999999997E-3</v>
      </c>
      <c r="N102" s="91">
        <f>VLOOKUP($A102,'Data Vlaue (Cr)'!$C:$FB,79)</f>
        <v>2448</v>
      </c>
      <c r="O102" s="92">
        <f>VLOOKUP($A102,'Data Vlaue (Cr)'!$C:$FB,82)</f>
        <v>-0.2288</v>
      </c>
    </row>
    <row r="103" spans="1:15" x14ac:dyDescent="0.25">
      <c r="A103" s="97" t="str">
        <f>'Data Vlaue (Cr)'!C98</f>
        <v>INDUSTOWER</v>
      </c>
      <c r="B103" s="142">
        <f>VLOOKUP(A103,'Data Vlaue (Cr)'!C98:CW312,99,0)</f>
        <v>5653</v>
      </c>
      <c r="C103" s="90">
        <f>VLOOKUP(A103,'Data Vlaue (Cr)'!C98:CY312,101,0)</f>
        <v>-71</v>
      </c>
      <c r="D103" s="139">
        <f>VLOOKUP(A103,'Data Vlaue (Cr)'!C98:CZ312,102,0)</f>
        <v>-1.24E-2</v>
      </c>
      <c r="E103" s="91">
        <f>VLOOKUP($A103,'Data Vlaue (Cr)'!$C:$FB,75)</f>
        <v>3768</v>
      </c>
      <c r="F103" s="91">
        <f>VLOOKUP($A103,'Data Vlaue (Cr)'!$C:$FB,77)</f>
        <v>1</v>
      </c>
      <c r="G103" s="92">
        <f>VLOOKUP(A103,'Data Vlaue (Cr)'!C98:CB312,78,0)</f>
        <v>2.9999999999999997E-4</v>
      </c>
      <c r="H103" s="91">
        <f>VLOOKUP($A103,'Data Vlaue (Cr)'!$C:$FB,91)</f>
        <v>1083</v>
      </c>
      <c r="I103" s="91">
        <f>VLOOKUP($A103,'Data Vlaue (Cr)'!$C:$FB,93)</f>
        <v>-40</v>
      </c>
      <c r="J103" s="92">
        <f>VLOOKUP($A103,'Data Vlaue (Cr)'!$C:$FB,94)</f>
        <v>-3.5700000000000003E-2</v>
      </c>
      <c r="K103" s="91">
        <f>VLOOKUP($A103,'Data Vlaue (Cr)'!$C:$FB,95)</f>
        <v>801</v>
      </c>
      <c r="L103" s="91">
        <f>VLOOKUP($A103,'Data Vlaue (Cr)'!$C:$FB,97)</f>
        <v>-32</v>
      </c>
      <c r="M103" s="92">
        <f>VLOOKUP($A103,'Data Vlaue (Cr)'!$C:$FB,98)</f>
        <v>-3.8600000000000002E-2</v>
      </c>
      <c r="N103" s="91">
        <f>VLOOKUP($A103,'Data Vlaue (Cr)'!$C:$FB,79)</f>
        <v>2566</v>
      </c>
      <c r="O103" s="92">
        <f>VLOOKUP($A103,'Data Vlaue (Cr)'!$C:$FB,82)</f>
        <v>-0.15890000000000001</v>
      </c>
    </row>
    <row r="104" spans="1:15" x14ac:dyDescent="0.25">
      <c r="A104" s="97" t="str">
        <f>'Data Vlaue (Cr)'!C99</f>
        <v>INFY</v>
      </c>
      <c r="B104" s="142">
        <f>VLOOKUP(A104,'Data Vlaue (Cr)'!C99:CW313,99,0)</f>
        <v>18470</v>
      </c>
      <c r="C104" s="90">
        <f>VLOOKUP(A104,'Data Vlaue (Cr)'!C99:CY313,101,0)</f>
        <v>156</v>
      </c>
      <c r="D104" s="139">
        <f>VLOOKUP(A104,'Data Vlaue (Cr)'!C99:CZ313,102,0)</f>
        <v>8.5000000000000006E-3</v>
      </c>
      <c r="E104" s="91">
        <f>VLOOKUP($A104,'Data Vlaue (Cr)'!$C:$FB,75)</f>
        <v>11676</v>
      </c>
      <c r="F104" s="91">
        <f>VLOOKUP($A104,'Data Vlaue (Cr)'!$C:$FB,77)</f>
        <v>355</v>
      </c>
      <c r="G104" s="92">
        <f>VLOOKUP(A104,'Data Vlaue (Cr)'!C99:CB313,78,0)</f>
        <v>3.1399999999999997E-2</v>
      </c>
      <c r="H104" s="91">
        <f>VLOOKUP($A104,'Data Vlaue (Cr)'!$C:$FB,91)</f>
        <v>3897</v>
      </c>
      <c r="I104" s="91">
        <f>VLOOKUP($A104,'Data Vlaue (Cr)'!$C:$FB,93)</f>
        <v>-59</v>
      </c>
      <c r="J104" s="92">
        <f>VLOOKUP($A104,'Data Vlaue (Cr)'!$C:$FB,94)</f>
        <v>-1.4999999999999999E-2</v>
      </c>
      <c r="K104" s="91">
        <f>VLOOKUP($A104,'Data Vlaue (Cr)'!$C:$FB,95)</f>
        <v>2897</v>
      </c>
      <c r="L104" s="91">
        <f>VLOOKUP($A104,'Data Vlaue (Cr)'!$C:$FB,97)</f>
        <v>-140</v>
      </c>
      <c r="M104" s="92">
        <f>VLOOKUP($A104,'Data Vlaue (Cr)'!$C:$FB,98)</f>
        <v>-4.6100000000000002E-2</v>
      </c>
      <c r="N104" s="91">
        <f>VLOOKUP($A104,'Data Vlaue (Cr)'!$C:$FB,79)</f>
        <v>5985</v>
      </c>
      <c r="O104" s="92">
        <f>VLOOKUP($A104,'Data Vlaue (Cr)'!$C:$FB,82)</f>
        <v>-0.27779999999999999</v>
      </c>
    </row>
    <row r="105" spans="1:15" x14ac:dyDescent="0.25">
      <c r="A105" s="97" t="str">
        <f>'Data Vlaue (Cr)'!C100</f>
        <v>INOXWIND</v>
      </c>
      <c r="B105" s="142">
        <f>VLOOKUP(A105,'Data Vlaue (Cr)'!C100:CW314,99,0)</f>
        <v>2070</v>
      </c>
      <c r="C105" s="90">
        <f>VLOOKUP(A105,'Data Vlaue (Cr)'!C100:CY314,101,0)</f>
        <v>-74</v>
      </c>
      <c r="D105" s="139">
        <f>VLOOKUP(A105,'Data Vlaue (Cr)'!C100:CZ314,102,0)</f>
        <v>-3.4500000000000003E-2</v>
      </c>
      <c r="E105" s="91">
        <f>VLOOKUP($A105,'Data Vlaue (Cr)'!$C:$FB,75)</f>
        <v>1137</v>
      </c>
      <c r="F105" s="91">
        <f>VLOOKUP($A105,'Data Vlaue (Cr)'!$C:$FB,77)</f>
        <v>-54</v>
      </c>
      <c r="G105" s="92">
        <f>VLOOKUP(A105,'Data Vlaue (Cr)'!C100:CB314,78,0)</f>
        <v>-4.4999999999999998E-2</v>
      </c>
      <c r="H105" s="91">
        <f>VLOOKUP($A105,'Data Vlaue (Cr)'!$C:$FB,91)</f>
        <v>663</v>
      </c>
      <c r="I105" s="91">
        <f>VLOOKUP($A105,'Data Vlaue (Cr)'!$C:$FB,93)</f>
        <v>-28</v>
      </c>
      <c r="J105" s="92">
        <f>VLOOKUP($A105,'Data Vlaue (Cr)'!$C:$FB,94)</f>
        <v>-4.0099999999999997E-2</v>
      </c>
      <c r="K105" s="91">
        <f>VLOOKUP($A105,'Data Vlaue (Cr)'!$C:$FB,95)</f>
        <v>269</v>
      </c>
      <c r="L105" s="91">
        <f>VLOOKUP($A105,'Data Vlaue (Cr)'!$C:$FB,97)</f>
        <v>7</v>
      </c>
      <c r="M105" s="92">
        <f>VLOOKUP($A105,'Data Vlaue (Cr)'!$C:$FB,98)</f>
        <v>2.8199999999999999E-2</v>
      </c>
      <c r="N105" s="91">
        <f>VLOOKUP($A105,'Data Vlaue (Cr)'!$C:$FB,79)</f>
        <v>646</v>
      </c>
      <c r="O105" s="92">
        <f>VLOOKUP($A105,'Data Vlaue (Cr)'!$C:$FB,82)</f>
        <v>-0.25650000000000001</v>
      </c>
    </row>
    <row r="106" spans="1:15" x14ac:dyDescent="0.25">
      <c r="A106" s="97" t="str">
        <f>'Data Vlaue (Cr)'!C101</f>
        <v>IOC</v>
      </c>
      <c r="B106" s="142">
        <f>VLOOKUP(A106,'Data Vlaue (Cr)'!C101:CW315,99,0)</f>
        <v>3537</v>
      </c>
      <c r="C106" s="90">
        <f>VLOOKUP(A106,'Data Vlaue (Cr)'!C101:CY315,101,0)</f>
        <v>-64</v>
      </c>
      <c r="D106" s="139">
        <f>VLOOKUP(A106,'Data Vlaue (Cr)'!C101:CZ315,102,0)</f>
        <v>-1.78E-2</v>
      </c>
      <c r="E106" s="91">
        <f>VLOOKUP($A106,'Data Vlaue (Cr)'!$C:$FB,75)</f>
        <v>1683</v>
      </c>
      <c r="F106" s="91">
        <f>VLOOKUP($A106,'Data Vlaue (Cr)'!$C:$FB,77)</f>
        <v>49</v>
      </c>
      <c r="G106" s="92">
        <f>VLOOKUP(A106,'Data Vlaue (Cr)'!C101:CB315,78,0)</f>
        <v>3.0200000000000001E-2</v>
      </c>
      <c r="H106" s="91">
        <f>VLOOKUP($A106,'Data Vlaue (Cr)'!$C:$FB,91)</f>
        <v>987</v>
      </c>
      <c r="I106" s="91">
        <f>VLOOKUP($A106,'Data Vlaue (Cr)'!$C:$FB,93)</f>
        <v>-62</v>
      </c>
      <c r="J106" s="92">
        <f>VLOOKUP($A106,'Data Vlaue (Cr)'!$C:$FB,94)</f>
        <v>-5.8799999999999998E-2</v>
      </c>
      <c r="K106" s="91">
        <f>VLOOKUP($A106,'Data Vlaue (Cr)'!$C:$FB,95)</f>
        <v>867</v>
      </c>
      <c r="L106" s="91">
        <f>VLOOKUP($A106,'Data Vlaue (Cr)'!$C:$FB,97)</f>
        <v>-52</v>
      </c>
      <c r="M106" s="92">
        <f>VLOOKUP($A106,'Data Vlaue (Cr)'!$C:$FB,98)</f>
        <v>-5.6300000000000003E-2</v>
      </c>
      <c r="N106" s="91">
        <f>VLOOKUP($A106,'Data Vlaue (Cr)'!$C:$FB,79)</f>
        <v>1225</v>
      </c>
      <c r="O106" s="92">
        <f>VLOOKUP($A106,'Data Vlaue (Cr)'!$C:$FB,82)</f>
        <v>-0.17829999999999999</v>
      </c>
    </row>
    <row r="107" spans="1:15" x14ac:dyDescent="0.25">
      <c r="A107" s="97" t="str">
        <f>'Data Vlaue (Cr)'!C102</f>
        <v>IRCTC</v>
      </c>
      <c r="B107" s="142">
        <f>VLOOKUP(A107,'Data Vlaue (Cr)'!C102:CW316,99,0)</f>
        <v>2746</v>
      </c>
      <c r="C107" s="90">
        <f>VLOOKUP(A107,'Data Vlaue (Cr)'!C102:CY316,101,0)</f>
        <v>-81</v>
      </c>
      <c r="D107" s="139">
        <f>VLOOKUP(A107,'Data Vlaue (Cr)'!C102:CZ316,102,0)</f>
        <v>-2.86E-2</v>
      </c>
      <c r="E107" s="91">
        <f>VLOOKUP($A107,'Data Vlaue (Cr)'!$C:$FB,75)</f>
        <v>1330</v>
      </c>
      <c r="F107" s="91">
        <f>VLOOKUP($A107,'Data Vlaue (Cr)'!$C:$FB,77)</f>
        <v>-30</v>
      </c>
      <c r="G107" s="92">
        <f>VLOOKUP(A107,'Data Vlaue (Cr)'!C102:CB316,78,0)</f>
        <v>-2.1899999999999999E-2</v>
      </c>
      <c r="H107" s="91">
        <f>VLOOKUP($A107,'Data Vlaue (Cr)'!$C:$FB,91)</f>
        <v>865</v>
      </c>
      <c r="I107" s="91">
        <f>VLOOKUP($A107,'Data Vlaue (Cr)'!$C:$FB,93)</f>
        <v>-41</v>
      </c>
      <c r="J107" s="92">
        <f>VLOOKUP($A107,'Data Vlaue (Cr)'!$C:$FB,94)</f>
        <v>-4.53E-2</v>
      </c>
      <c r="K107" s="91">
        <f>VLOOKUP($A107,'Data Vlaue (Cr)'!$C:$FB,95)</f>
        <v>551</v>
      </c>
      <c r="L107" s="91">
        <f>VLOOKUP($A107,'Data Vlaue (Cr)'!$C:$FB,97)</f>
        <v>-10</v>
      </c>
      <c r="M107" s="92">
        <f>VLOOKUP($A107,'Data Vlaue (Cr)'!$C:$FB,98)</f>
        <v>-1.7899999999999999E-2</v>
      </c>
      <c r="N107" s="91">
        <f>VLOOKUP($A107,'Data Vlaue (Cr)'!$C:$FB,79)</f>
        <v>760</v>
      </c>
      <c r="O107" s="92">
        <f>VLOOKUP($A107,'Data Vlaue (Cr)'!$C:$FB,82)</f>
        <v>-0.30180000000000001</v>
      </c>
    </row>
    <row r="108" spans="1:15" x14ac:dyDescent="0.25">
      <c r="A108" s="97" t="str">
        <f>'Data Vlaue (Cr)'!C103</f>
        <v>IREDA</v>
      </c>
      <c r="B108" s="142">
        <f>VLOOKUP(A108,'Data Vlaue (Cr)'!C103:CW317,99,0)</f>
        <v>1306</v>
      </c>
      <c r="C108" s="90">
        <f>VLOOKUP(A108,'Data Vlaue (Cr)'!C103:CY317,101,0)</f>
        <v>-67</v>
      </c>
      <c r="D108" s="139">
        <f>VLOOKUP(A108,'Data Vlaue (Cr)'!C103:CZ317,102,0)</f>
        <v>-4.8800000000000003E-2</v>
      </c>
      <c r="E108" s="91">
        <f>VLOOKUP($A108,'Data Vlaue (Cr)'!$C:$FB,75)</f>
        <v>692</v>
      </c>
      <c r="F108" s="91">
        <f>VLOOKUP($A108,'Data Vlaue (Cr)'!$C:$FB,77)</f>
        <v>-33</v>
      </c>
      <c r="G108" s="92">
        <f>VLOOKUP(A108,'Data Vlaue (Cr)'!C103:CB317,78,0)</f>
        <v>-4.5900000000000003E-2</v>
      </c>
      <c r="H108" s="91">
        <f>VLOOKUP($A108,'Data Vlaue (Cr)'!$C:$FB,91)</f>
        <v>394</v>
      </c>
      <c r="I108" s="91">
        <f>VLOOKUP($A108,'Data Vlaue (Cr)'!$C:$FB,93)</f>
        <v>-36</v>
      </c>
      <c r="J108" s="92">
        <f>VLOOKUP($A108,'Data Vlaue (Cr)'!$C:$FB,94)</f>
        <v>-8.48E-2</v>
      </c>
      <c r="K108" s="91">
        <f>VLOOKUP($A108,'Data Vlaue (Cr)'!$C:$FB,95)</f>
        <v>221</v>
      </c>
      <c r="L108" s="91">
        <f>VLOOKUP($A108,'Data Vlaue (Cr)'!$C:$FB,97)</f>
        <v>3</v>
      </c>
      <c r="M108" s="92">
        <f>VLOOKUP($A108,'Data Vlaue (Cr)'!$C:$FB,98)</f>
        <v>1.2800000000000001E-2</v>
      </c>
      <c r="N108" s="91">
        <f>VLOOKUP($A108,'Data Vlaue (Cr)'!$C:$FB,79)</f>
        <v>443</v>
      </c>
      <c r="O108" s="92">
        <f>VLOOKUP($A108,'Data Vlaue (Cr)'!$C:$FB,82)</f>
        <v>-0.18029999999999999</v>
      </c>
    </row>
    <row r="109" spans="1:15" x14ac:dyDescent="0.25">
      <c r="A109" s="97" t="str">
        <f>'Data Vlaue (Cr)'!C104</f>
        <v>IRFC</v>
      </c>
      <c r="B109" s="142">
        <f>VLOOKUP(A109,'Data Vlaue (Cr)'!C104:CW318,99,0)</f>
        <v>1219</v>
      </c>
      <c r="C109" s="90">
        <f>VLOOKUP(A109,'Data Vlaue (Cr)'!C104:CY318,101,0)</f>
        <v>-35</v>
      </c>
      <c r="D109" s="139">
        <f>VLOOKUP(A109,'Data Vlaue (Cr)'!C104:CZ318,102,0)</f>
        <v>-2.7900000000000001E-2</v>
      </c>
      <c r="E109" s="91">
        <f>VLOOKUP($A109,'Data Vlaue (Cr)'!$C:$FB,75)</f>
        <v>555</v>
      </c>
      <c r="F109" s="91">
        <f>VLOOKUP($A109,'Data Vlaue (Cr)'!$C:$FB,77)</f>
        <v>-22</v>
      </c>
      <c r="G109" s="92">
        <f>VLOOKUP(A109,'Data Vlaue (Cr)'!C104:CB318,78,0)</f>
        <v>-3.8899999999999997E-2</v>
      </c>
      <c r="H109" s="91">
        <f>VLOOKUP($A109,'Data Vlaue (Cr)'!$C:$FB,91)</f>
        <v>444</v>
      </c>
      <c r="I109" s="91">
        <f>VLOOKUP($A109,'Data Vlaue (Cr)'!$C:$FB,93)</f>
        <v>-14</v>
      </c>
      <c r="J109" s="92">
        <f>VLOOKUP($A109,'Data Vlaue (Cr)'!$C:$FB,94)</f>
        <v>-3.0200000000000001E-2</v>
      </c>
      <c r="K109" s="91">
        <f>VLOOKUP($A109,'Data Vlaue (Cr)'!$C:$FB,95)</f>
        <v>219</v>
      </c>
      <c r="L109" s="91">
        <f>VLOOKUP($A109,'Data Vlaue (Cr)'!$C:$FB,97)</f>
        <v>1</v>
      </c>
      <c r="M109" s="92">
        <f>VLOOKUP($A109,'Data Vlaue (Cr)'!$C:$FB,98)</f>
        <v>6.3E-3</v>
      </c>
      <c r="N109" s="91">
        <f>VLOOKUP($A109,'Data Vlaue (Cr)'!$C:$FB,79)</f>
        <v>385</v>
      </c>
      <c r="O109" s="92">
        <f>VLOOKUP($A109,'Data Vlaue (Cr)'!$C:$FB,82)</f>
        <v>-0.1802</v>
      </c>
    </row>
    <row r="110" spans="1:15" x14ac:dyDescent="0.25">
      <c r="A110" s="97" t="str">
        <f>'Data Vlaue (Cr)'!C105</f>
        <v>ITC</v>
      </c>
      <c r="B110" s="142">
        <f>VLOOKUP(A110,'Data Vlaue (Cr)'!C105:CW319,99,0)</f>
        <v>11204</v>
      </c>
      <c r="C110" s="90">
        <f>VLOOKUP(A110,'Data Vlaue (Cr)'!C105:CY319,101,0)</f>
        <v>-279</v>
      </c>
      <c r="D110" s="139">
        <f>VLOOKUP(A110,'Data Vlaue (Cr)'!C105:CZ319,102,0)</f>
        <v>-2.4299999999999999E-2</v>
      </c>
      <c r="E110" s="91">
        <f>VLOOKUP($A110,'Data Vlaue (Cr)'!$C:$FB,75)</f>
        <v>7093</v>
      </c>
      <c r="F110" s="91">
        <f>VLOOKUP($A110,'Data Vlaue (Cr)'!$C:$FB,77)</f>
        <v>-22</v>
      </c>
      <c r="G110" s="92">
        <f>VLOOKUP(A110,'Data Vlaue (Cr)'!C105:CB319,78,0)</f>
        <v>-3.0999999999999999E-3</v>
      </c>
      <c r="H110" s="91">
        <f>VLOOKUP($A110,'Data Vlaue (Cr)'!$C:$FB,91)</f>
        <v>2816</v>
      </c>
      <c r="I110" s="91">
        <f>VLOOKUP($A110,'Data Vlaue (Cr)'!$C:$FB,93)</f>
        <v>-185</v>
      </c>
      <c r="J110" s="92">
        <f>VLOOKUP($A110,'Data Vlaue (Cr)'!$C:$FB,94)</f>
        <v>-6.1600000000000002E-2</v>
      </c>
      <c r="K110" s="91">
        <f>VLOOKUP($A110,'Data Vlaue (Cr)'!$C:$FB,95)</f>
        <v>1295</v>
      </c>
      <c r="L110" s="91">
        <f>VLOOKUP($A110,'Data Vlaue (Cr)'!$C:$FB,97)</f>
        <v>-72</v>
      </c>
      <c r="M110" s="92">
        <f>VLOOKUP($A110,'Data Vlaue (Cr)'!$C:$FB,98)</f>
        <v>-5.2400000000000002E-2</v>
      </c>
      <c r="N110" s="91">
        <f>VLOOKUP($A110,'Data Vlaue (Cr)'!$C:$FB,79)</f>
        <v>4727</v>
      </c>
      <c r="O110" s="92">
        <f>VLOOKUP($A110,'Data Vlaue (Cr)'!$C:$FB,82)</f>
        <v>-0.23230000000000001</v>
      </c>
    </row>
    <row r="111" spans="1:15" x14ac:dyDescent="0.25">
      <c r="A111" s="97" t="str">
        <f>'Data Vlaue (Cr)'!C106</f>
        <v>JINDALSTEL</v>
      </c>
      <c r="B111" s="142">
        <f>VLOOKUP(A111,'Data Vlaue (Cr)'!C106:CW320,99,0)</f>
        <v>2578</v>
      </c>
      <c r="C111" s="90">
        <f>VLOOKUP(A111,'Data Vlaue (Cr)'!C106:CY320,101,0)</f>
        <v>-101</v>
      </c>
      <c r="D111" s="139">
        <f>VLOOKUP(A111,'Data Vlaue (Cr)'!C106:CZ320,102,0)</f>
        <v>-3.78E-2</v>
      </c>
      <c r="E111" s="91">
        <f>VLOOKUP($A111,'Data Vlaue (Cr)'!$C:$FB,75)</f>
        <v>1414</v>
      </c>
      <c r="F111" s="91">
        <f>VLOOKUP($A111,'Data Vlaue (Cr)'!$C:$FB,77)</f>
        <v>-27</v>
      </c>
      <c r="G111" s="92">
        <f>VLOOKUP(A111,'Data Vlaue (Cr)'!C106:CB320,78,0)</f>
        <v>-1.8700000000000001E-2</v>
      </c>
      <c r="H111" s="91">
        <f>VLOOKUP($A111,'Data Vlaue (Cr)'!$C:$FB,91)</f>
        <v>626</v>
      </c>
      <c r="I111" s="91">
        <f>VLOOKUP($A111,'Data Vlaue (Cr)'!$C:$FB,93)</f>
        <v>-40</v>
      </c>
      <c r="J111" s="92">
        <f>VLOOKUP($A111,'Data Vlaue (Cr)'!$C:$FB,94)</f>
        <v>-5.9499999999999997E-2</v>
      </c>
      <c r="K111" s="91">
        <f>VLOOKUP($A111,'Data Vlaue (Cr)'!$C:$FB,95)</f>
        <v>539</v>
      </c>
      <c r="L111" s="91">
        <f>VLOOKUP($A111,'Data Vlaue (Cr)'!$C:$FB,97)</f>
        <v>-35</v>
      </c>
      <c r="M111" s="92">
        <f>VLOOKUP($A111,'Data Vlaue (Cr)'!$C:$FB,98)</f>
        <v>-6.0600000000000001E-2</v>
      </c>
      <c r="N111" s="91">
        <f>VLOOKUP($A111,'Data Vlaue (Cr)'!$C:$FB,79)</f>
        <v>891</v>
      </c>
      <c r="O111" s="92">
        <f>VLOOKUP($A111,'Data Vlaue (Cr)'!$C:$FB,82)</f>
        <v>-0.22950000000000001</v>
      </c>
    </row>
    <row r="112" spans="1:15" x14ac:dyDescent="0.25">
      <c r="A112" s="97" t="str">
        <f>'Data Vlaue (Cr)'!C107</f>
        <v>JIOFIN</v>
      </c>
      <c r="B112" s="142">
        <f>VLOOKUP(A112,'Data Vlaue (Cr)'!C107:CW321,99,0)</f>
        <v>8292</v>
      </c>
      <c r="C112" s="90">
        <f>VLOOKUP(A112,'Data Vlaue (Cr)'!C107:CY321,101,0)</f>
        <v>-132</v>
      </c>
      <c r="D112" s="139">
        <f>VLOOKUP(A112,'Data Vlaue (Cr)'!C107:CZ321,102,0)</f>
        <v>-1.5699999999999999E-2</v>
      </c>
      <c r="E112" s="91">
        <f>VLOOKUP($A112,'Data Vlaue (Cr)'!$C:$FB,75)</f>
        <v>4698</v>
      </c>
      <c r="F112" s="91">
        <f>VLOOKUP($A112,'Data Vlaue (Cr)'!$C:$FB,77)</f>
        <v>-17</v>
      </c>
      <c r="G112" s="92">
        <f>VLOOKUP(A112,'Data Vlaue (Cr)'!C107:CB321,78,0)</f>
        <v>-3.7000000000000002E-3</v>
      </c>
      <c r="H112" s="91">
        <f>VLOOKUP($A112,'Data Vlaue (Cr)'!$C:$FB,91)</f>
        <v>2237</v>
      </c>
      <c r="I112" s="91">
        <f>VLOOKUP($A112,'Data Vlaue (Cr)'!$C:$FB,93)</f>
        <v>-108</v>
      </c>
      <c r="J112" s="92">
        <f>VLOOKUP($A112,'Data Vlaue (Cr)'!$C:$FB,94)</f>
        <v>-4.5999999999999999E-2</v>
      </c>
      <c r="K112" s="91">
        <f>VLOOKUP($A112,'Data Vlaue (Cr)'!$C:$FB,95)</f>
        <v>1357</v>
      </c>
      <c r="L112" s="91">
        <f>VLOOKUP($A112,'Data Vlaue (Cr)'!$C:$FB,97)</f>
        <v>-7</v>
      </c>
      <c r="M112" s="92">
        <f>VLOOKUP($A112,'Data Vlaue (Cr)'!$C:$FB,98)</f>
        <v>-5.4000000000000003E-3</v>
      </c>
      <c r="N112" s="91">
        <f>VLOOKUP($A112,'Data Vlaue (Cr)'!$C:$FB,79)</f>
        <v>2947</v>
      </c>
      <c r="O112" s="92">
        <f>VLOOKUP($A112,'Data Vlaue (Cr)'!$C:$FB,82)</f>
        <v>-0.1792</v>
      </c>
    </row>
    <row r="113" spans="1:15" x14ac:dyDescent="0.25">
      <c r="A113" s="97" t="str">
        <f>'Data Vlaue (Cr)'!C108</f>
        <v>JSWENERGY</v>
      </c>
      <c r="B113" s="142">
        <f>VLOOKUP(A113,'Data Vlaue (Cr)'!C108:CW322,99,0)</f>
        <v>3164</v>
      </c>
      <c r="C113" s="90">
        <f>VLOOKUP(A113,'Data Vlaue (Cr)'!C108:CY322,101,0)</f>
        <v>109</v>
      </c>
      <c r="D113" s="139">
        <f>VLOOKUP(A113,'Data Vlaue (Cr)'!C108:CZ322,102,0)</f>
        <v>3.56E-2</v>
      </c>
      <c r="E113" s="91">
        <f>VLOOKUP($A113,'Data Vlaue (Cr)'!$C:$FB,75)</f>
        <v>2128</v>
      </c>
      <c r="F113" s="91">
        <f>VLOOKUP($A113,'Data Vlaue (Cr)'!$C:$FB,77)</f>
        <v>18</v>
      </c>
      <c r="G113" s="92">
        <f>VLOOKUP(A113,'Data Vlaue (Cr)'!C108:CB322,78,0)</f>
        <v>8.8000000000000005E-3</v>
      </c>
      <c r="H113" s="91">
        <f>VLOOKUP($A113,'Data Vlaue (Cr)'!$C:$FB,91)</f>
        <v>718</v>
      </c>
      <c r="I113" s="91">
        <f>VLOOKUP($A113,'Data Vlaue (Cr)'!$C:$FB,93)</f>
        <v>50</v>
      </c>
      <c r="J113" s="92">
        <f>VLOOKUP($A113,'Data Vlaue (Cr)'!$C:$FB,94)</f>
        <v>7.4700000000000003E-2</v>
      </c>
      <c r="K113" s="91">
        <f>VLOOKUP($A113,'Data Vlaue (Cr)'!$C:$FB,95)</f>
        <v>317</v>
      </c>
      <c r="L113" s="91">
        <f>VLOOKUP($A113,'Data Vlaue (Cr)'!$C:$FB,97)</f>
        <v>40</v>
      </c>
      <c r="M113" s="92">
        <f>VLOOKUP($A113,'Data Vlaue (Cr)'!$C:$FB,98)</f>
        <v>0.14599999999999999</v>
      </c>
      <c r="N113" s="91">
        <f>VLOOKUP($A113,'Data Vlaue (Cr)'!$C:$FB,79)</f>
        <v>1608</v>
      </c>
      <c r="O113" s="92">
        <f>VLOOKUP($A113,'Data Vlaue (Cr)'!$C:$FB,82)</f>
        <v>-0.17100000000000001</v>
      </c>
    </row>
    <row r="114" spans="1:15" x14ac:dyDescent="0.25">
      <c r="A114" s="97" t="str">
        <f>'Data Vlaue (Cr)'!C109</f>
        <v>JSWSTEEL</v>
      </c>
      <c r="B114" s="142">
        <f>VLOOKUP(A114,'Data Vlaue (Cr)'!C109:CW323,99,0)</f>
        <v>6906</v>
      </c>
      <c r="C114" s="90">
        <f>VLOOKUP(A114,'Data Vlaue (Cr)'!C109:CY323,101,0)</f>
        <v>-52</v>
      </c>
      <c r="D114" s="139">
        <f>VLOOKUP(A114,'Data Vlaue (Cr)'!C109:CZ323,102,0)</f>
        <v>-7.4999999999999997E-3</v>
      </c>
      <c r="E114" s="91">
        <f>VLOOKUP($A114,'Data Vlaue (Cr)'!$C:$FB,75)</f>
        <v>5303</v>
      </c>
      <c r="F114" s="91">
        <f>VLOOKUP($A114,'Data Vlaue (Cr)'!$C:$FB,77)</f>
        <v>23</v>
      </c>
      <c r="G114" s="92">
        <f>VLOOKUP(A114,'Data Vlaue (Cr)'!C109:CB323,78,0)</f>
        <v>4.3E-3</v>
      </c>
      <c r="H114" s="91">
        <f>VLOOKUP($A114,'Data Vlaue (Cr)'!$C:$FB,91)</f>
        <v>1015</v>
      </c>
      <c r="I114" s="91">
        <f>VLOOKUP($A114,'Data Vlaue (Cr)'!$C:$FB,93)</f>
        <v>-66</v>
      </c>
      <c r="J114" s="92">
        <f>VLOOKUP($A114,'Data Vlaue (Cr)'!$C:$FB,94)</f>
        <v>-6.0999999999999999E-2</v>
      </c>
      <c r="K114" s="91">
        <f>VLOOKUP($A114,'Data Vlaue (Cr)'!$C:$FB,95)</f>
        <v>588</v>
      </c>
      <c r="L114" s="91">
        <f>VLOOKUP($A114,'Data Vlaue (Cr)'!$C:$FB,97)</f>
        <v>-9</v>
      </c>
      <c r="M114" s="92">
        <f>VLOOKUP($A114,'Data Vlaue (Cr)'!$C:$FB,98)</f>
        <v>-1.5100000000000001E-2</v>
      </c>
      <c r="N114" s="91">
        <f>VLOOKUP($A114,'Data Vlaue (Cr)'!$C:$FB,79)</f>
        <v>3355</v>
      </c>
      <c r="O114" s="92">
        <f>VLOOKUP($A114,'Data Vlaue (Cr)'!$C:$FB,82)</f>
        <v>-0.28339999999999999</v>
      </c>
    </row>
    <row r="115" spans="1:15" x14ac:dyDescent="0.25">
      <c r="A115" s="97" t="str">
        <f>'Data Vlaue (Cr)'!C110</f>
        <v>JUBLFOOD</v>
      </c>
      <c r="B115" s="142">
        <f>VLOOKUP(A115,'Data Vlaue (Cr)'!C110:CW324,99,0)</f>
        <v>2532</v>
      </c>
      <c r="C115" s="90">
        <f>VLOOKUP(A115,'Data Vlaue (Cr)'!C110:CY324,101,0)</f>
        <v>-68</v>
      </c>
      <c r="D115" s="139">
        <f>VLOOKUP(A115,'Data Vlaue (Cr)'!C110:CZ324,102,0)</f>
        <v>-2.6100000000000002E-2</v>
      </c>
      <c r="E115" s="91">
        <f>VLOOKUP($A115,'Data Vlaue (Cr)'!$C:$FB,75)</f>
        <v>1356</v>
      </c>
      <c r="F115" s="91">
        <f>VLOOKUP($A115,'Data Vlaue (Cr)'!$C:$FB,77)</f>
        <v>-14</v>
      </c>
      <c r="G115" s="92">
        <f>VLOOKUP(A115,'Data Vlaue (Cr)'!C110:CB324,78,0)</f>
        <v>-9.9000000000000008E-3</v>
      </c>
      <c r="H115" s="91">
        <f>VLOOKUP($A115,'Data Vlaue (Cr)'!$C:$FB,91)</f>
        <v>713</v>
      </c>
      <c r="I115" s="91">
        <f>VLOOKUP($A115,'Data Vlaue (Cr)'!$C:$FB,93)</f>
        <v>-35</v>
      </c>
      <c r="J115" s="92">
        <f>VLOOKUP($A115,'Data Vlaue (Cr)'!$C:$FB,94)</f>
        <v>-4.6600000000000003E-2</v>
      </c>
      <c r="K115" s="91">
        <f>VLOOKUP($A115,'Data Vlaue (Cr)'!$C:$FB,95)</f>
        <v>464</v>
      </c>
      <c r="L115" s="91">
        <f>VLOOKUP($A115,'Data Vlaue (Cr)'!$C:$FB,97)</f>
        <v>-19</v>
      </c>
      <c r="M115" s="92">
        <f>VLOOKUP($A115,'Data Vlaue (Cr)'!$C:$FB,98)</f>
        <v>-4.0099999999999997E-2</v>
      </c>
      <c r="N115" s="91">
        <f>VLOOKUP($A115,'Data Vlaue (Cr)'!$C:$FB,79)</f>
        <v>900</v>
      </c>
      <c r="O115" s="92">
        <f>VLOOKUP($A115,'Data Vlaue (Cr)'!$C:$FB,82)</f>
        <v>-0.25409999999999999</v>
      </c>
    </row>
    <row r="116" spans="1:15" x14ac:dyDescent="0.25">
      <c r="A116" s="97" t="str">
        <f>'Data Vlaue (Cr)'!C111</f>
        <v>KALYANKJIL</v>
      </c>
      <c r="B116" s="142">
        <f>VLOOKUP(A116,'Data Vlaue (Cr)'!C111:CW325,99,0)</f>
        <v>2459</v>
      </c>
      <c r="C116" s="90">
        <f>VLOOKUP(A116,'Data Vlaue (Cr)'!C111:CY325,101,0)</f>
        <v>-132</v>
      </c>
      <c r="D116" s="139">
        <f>VLOOKUP(A116,'Data Vlaue (Cr)'!C111:CZ325,102,0)</f>
        <v>-5.11E-2</v>
      </c>
      <c r="E116" s="91">
        <f>VLOOKUP($A116,'Data Vlaue (Cr)'!$C:$FB,75)</f>
        <v>1587</v>
      </c>
      <c r="F116" s="91">
        <f>VLOOKUP($A116,'Data Vlaue (Cr)'!$C:$FB,77)</f>
        <v>-40</v>
      </c>
      <c r="G116" s="92">
        <f>VLOOKUP(A116,'Data Vlaue (Cr)'!C111:CB325,78,0)</f>
        <v>-2.47E-2</v>
      </c>
      <c r="H116" s="91">
        <f>VLOOKUP($A116,'Data Vlaue (Cr)'!$C:$FB,91)</f>
        <v>572</v>
      </c>
      <c r="I116" s="91">
        <f>VLOOKUP($A116,'Data Vlaue (Cr)'!$C:$FB,93)</f>
        <v>-79</v>
      </c>
      <c r="J116" s="92">
        <f>VLOOKUP($A116,'Data Vlaue (Cr)'!$C:$FB,94)</f>
        <v>-0.122</v>
      </c>
      <c r="K116" s="91">
        <f>VLOOKUP($A116,'Data Vlaue (Cr)'!$C:$FB,95)</f>
        <v>299</v>
      </c>
      <c r="L116" s="91">
        <f>VLOOKUP($A116,'Data Vlaue (Cr)'!$C:$FB,97)</f>
        <v>-13</v>
      </c>
      <c r="M116" s="92">
        <f>VLOOKUP($A116,'Data Vlaue (Cr)'!$C:$FB,98)</f>
        <v>-4.07E-2</v>
      </c>
      <c r="N116" s="91">
        <f>VLOOKUP($A116,'Data Vlaue (Cr)'!$C:$FB,79)</f>
        <v>1120</v>
      </c>
      <c r="O116" s="92">
        <f>VLOOKUP($A116,'Data Vlaue (Cr)'!$C:$FB,82)</f>
        <v>-0.27279999999999999</v>
      </c>
    </row>
    <row r="117" spans="1:15" x14ac:dyDescent="0.25">
      <c r="A117" s="97" t="str">
        <f>'Data Vlaue (Cr)'!C112</f>
        <v>KAYNES</v>
      </c>
      <c r="B117" s="142">
        <f>VLOOKUP(A117,'Data Vlaue (Cr)'!C112:CW326,99,0)</f>
        <v>4110</v>
      </c>
      <c r="C117" s="90">
        <f>VLOOKUP(A117,'Data Vlaue (Cr)'!C112:CY326,101,0)</f>
        <v>-393</v>
      </c>
      <c r="D117" s="139">
        <f>VLOOKUP(A117,'Data Vlaue (Cr)'!C112:CZ326,102,0)</f>
        <v>-8.7300000000000003E-2</v>
      </c>
      <c r="E117" s="91">
        <f>VLOOKUP($A117,'Data Vlaue (Cr)'!$C:$FB,75)</f>
        <v>1335</v>
      </c>
      <c r="F117" s="91">
        <f>VLOOKUP($A117,'Data Vlaue (Cr)'!$C:$FB,77)</f>
        <v>-123</v>
      </c>
      <c r="G117" s="92">
        <f>VLOOKUP(A117,'Data Vlaue (Cr)'!C112:CB326,78,0)</f>
        <v>-8.43E-2</v>
      </c>
      <c r="H117" s="91">
        <f>VLOOKUP($A117,'Data Vlaue (Cr)'!$C:$FB,91)</f>
        <v>2090</v>
      </c>
      <c r="I117" s="91">
        <f>VLOOKUP($A117,'Data Vlaue (Cr)'!$C:$FB,93)</f>
        <v>-228</v>
      </c>
      <c r="J117" s="92">
        <f>VLOOKUP($A117,'Data Vlaue (Cr)'!$C:$FB,94)</f>
        <v>-9.8199999999999996E-2</v>
      </c>
      <c r="K117" s="91">
        <f>VLOOKUP($A117,'Data Vlaue (Cr)'!$C:$FB,95)</f>
        <v>685</v>
      </c>
      <c r="L117" s="91">
        <f>VLOOKUP($A117,'Data Vlaue (Cr)'!$C:$FB,97)</f>
        <v>-43</v>
      </c>
      <c r="M117" s="92">
        <f>VLOOKUP($A117,'Data Vlaue (Cr)'!$C:$FB,98)</f>
        <v>-5.8400000000000001E-2</v>
      </c>
      <c r="N117" s="91">
        <f>VLOOKUP($A117,'Data Vlaue (Cr)'!$C:$FB,79)</f>
        <v>862</v>
      </c>
      <c r="O117" s="92">
        <f>VLOOKUP($A117,'Data Vlaue (Cr)'!$C:$FB,82)</f>
        <v>-0.17610000000000001</v>
      </c>
    </row>
    <row r="118" spans="1:15" x14ac:dyDescent="0.25">
      <c r="A118" s="97" t="str">
        <f>'Data Vlaue (Cr)'!C113</f>
        <v>KEI</v>
      </c>
      <c r="B118" s="142">
        <f>VLOOKUP(A118,'Data Vlaue (Cr)'!C113:CW327,99,0)</f>
        <v>835</v>
      </c>
      <c r="C118" s="90">
        <f>VLOOKUP(A118,'Data Vlaue (Cr)'!C113:CY327,101,0)</f>
        <v>-42</v>
      </c>
      <c r="D118" s="139">
        <f>VLOOKUP(A118,'Data Vlaue (Cr)'!C113:CZ327,102,0)</f>
        <v>-4.8099999999999997E-2</v>
      </c>
      <c r="E118" s="91">
        <f>VLOOKUP($A118,'Data Vlaue (Cr)'!$C:$FB,75)</f>
        <v>442</v>
      </c>
      <c r="F118" s="91">
        <f>VLOOKUP($A118,'Data Vlaue (Cr)'!$C:$FB,77)</f>
        <v>-10</v>
      </c>
      <c r="G118" s="92">
        <f>VLOOKUP(A118,'Data Vlaue (Cr)'!C113:CB327,78,0)</f>
        <v>-2.23E-2</v>
      </c>
      <c r="H118" s="91">
        <f>VLOOKUP($A118,'Data Vlaue (Cr)'!$C:$FB,91)</f>
        <v>246</v>
      </c>
      <c r="I118" s="91">
        <f>VLOOKUP($A118,'Data Vlaue (Cr)'!$C:$FB,93)</f>
        <v>-33</v>
      </c>
      <c r="J118" s="92">
        <f>VLOOKUP($A118,'Data Vlaue (Cr)'!$C:$FB,94)</f>
        <v>-0.1167</v>
      </c>
      <c r="K118" s="91">
        <f>VLOOKUP($A118,'Data Vlaue (Cr)'!$C:$FB,95)</f>
        <v>147</v>
      </c>
      <c r="L118" s="91">
        <f>VLOOKUP($A118,'Data Vlaue (Cr)'!$C:$FB,97)</f>
        <v>0</v>
      </c>
      <c r="M118" s="92">
        <f>VLOOKUP($A118,'Data Vlaue (Cr)'!$C:$FB,98)</f>
        <v>3.0000000000000001E-3</v>
      </c>
      <c r="N118" s="91">
        <f>VLOOKUP($A118,'Data Vlaue (Cr)'!$C:$FB,79)</f>
        <v>311</v>
      </c>
      <c r="O118" s="92">
        <f>VLOOKUP($A118,'Data Vlaue (Cr)'!$C:$FB,82)</f>
        <v>-0.25</v>
      </c>
    </row>
    <row r="119" spans="1:15" x14ac:dyDescent="0.25">
      <c r="A119" s="97" t="str">
        <f>'Data Vlaue (Cr)'!C114</f>
        <v>KFINTECH</v>
      </c>
      <c r="B119" s="142">
        <f>VLOOKUP(A119,'Data Vlaue (Cr)'!C114:CW328,99,0)</f>
        <v>1088</v>
      </c>
      <c r="C119" s="90">
        <f>VLOOKUP(A119,'Data Vlaue (Cr)'!C114:CY328,101,0)</f>
        <v>-83</v>
      </c>
      <c r="D119" s="139">
        <f>VLOOKUP(A119,'Data Vlaue (Cr)'!C114:CZ328,102,0)</f>
        <v>-7.1099999999999997E-2</v>
      </c>
      <c r="E119" s="91">
        <f>VLOOKUP($A119,'Data Vlaue (Cr)'!$C:$FB,75)</f>
        <v>465</v>
      </c>
      <c r="F119" s="91">
        <f>VLOOKUP($A119,'Data Vlaue (Cr)'!$C:$FB,77)</f>
        <v>-35</v>
      </c>
      <c r="G119" s="92">
        <f>VLOOKUP(A119,'Data Vlaue (Cr)'!C114:CB328,78,0)</f>
        <v>-7.0900000000000005E-2</v>
      </c>
      <c r="H119" s="91">
        <f>VLOOKUP($A119,'Data Vlaue (Cr)'!$C:$FB,91)</f>
        <v>424</v>
      </c>
      <c r="I119" s="91">
        <f>VLOOKUP($A119,'Data Vlaue (Cr)'!$C:$FB,93)</f>
        <v>-43</v>
      </c>
      <c r="J119" s="92">
        <f>VLOOKUP($A119,'Data Vlaue (Cr)'!$C:$FB,94)</f>
        <v>-9.1899999999999996E-2</v>
      </c>
      <c r="K119" s="91">
        <f>VLOOKUP($A119,'Data Vlaue (Cr)'!$C:$FB,95)</f>
        <v>199</v>
      </c>
      <c r="L119" s="91">
        <f>VLOOKUP($A119,'Data Vlaue (Cr)'!$C:$FB,97)</f>
        <v>-5</v>
      </c>
      <c r="M119" s="92">
        <f>VLOOKUP($A119,'Data Vlaue (Cr)'!$C:$FB,98)</f>
        <v>-2.41E-2</v>
      </c>
      <c r="N119" s="91">
        <f>VLOOKUP($A119,'Data Vlaue (Cr)'!$C:$FB,79)</f>
        <v>277</v>
      </c>
      <c r="O119" s="92">
        <f>VLOOKUP($A119,'Data Vlaue (Cr)'!$C:$FB,82)</f>
        <v>-0.23910000000000001</v>
      </c>
    </row>
    <row r="120" spans="1:15" x14ac:dyDescent="0.25">
      <c r="A120" s="97" t="str">
        <f>'Data Vlaue (Cr)'!C115</f>
        <v>KOTAKBANK</v>
      </c>
      <c r="B120" s="142">
        <f>VLOOKUP(A120,'Data Vlaue (Cr)'!C115:CW329,99,0)</f>
        <v>12132</v>
      </c>
      <c r="C120" s="90">
        <f>VLOOKUP(A120,'Data Vlaue (Cr)'!C115:CY329,101,0)</f>
        <v>-248</v>
      </c>
      <c r="D120" s="139">
        <f>VLOOKUP(A120,'Data Vlaue (Cr)'!C115:CZ329,102,0)</f>
        <v>-2.01E-2</v>
      </c>
      <c r="E120" s="91">
        <f>VLOOKUP($A120,'Data Vlaue (Cr)'!$C:$FB,75)</f>
        <v>7669</v>
      </c>
      <c r="F120" s="91">
        <f>VLOOKUP($A120,'Data Vlaue (Cr)'!$C:$FB,77)</f>
        <v>-13</v>
      </c>
      <c r="G120" s="92">
        <f>VLOOKUP(A120,'Data Vlaue (Cr)'!C115:CB329,78,0)</f>
        <v>-1.6000000000000001E-3</v>
      </c>
      <c r="H120" s="91">
        <f>VLOOKUP($A120,'Data Vlaue (Cr)'!$C:$FB,91)</f>
        <v>2944</v>
      </c>
      <c r="I120" s="91">
        <f>VLOOKUP($A120,'Data Vlaue (Cr)'!$C:$FB,93)</f>
        <v>-195</v>
      </c>
      <c r="J120" s="92">
        <f>VLOOKUP($A120,'Data Vlaue (Cr)'!$C:$FB,94)</f>
        <v>-6.2E-2</v>
      </c>
      <c r="K120" s="91">
        <f>VLOOKUP($A120,'Data Vlaue (Cr)'!$C:$FB,95)</f>
        <v>1518</v>
      </c>
      <c r="L120" s="91">
        <f>VLOOKUP($A120,'Data Vlaue (Cr)'!$C:$FB,97)</f>
        <v>-41</v>
      </c>
      <c r="M120" s="92">
        <f>VLOOKUP($A120,'Data Vlaue (Cr)'!$C:$FB,98)</f>
        <v>-2.64E-2</v>
      </c>
      <c r="N120" s="91">
        <f>VLOOKUP($A120,'Data Vlaue (Cr)'!$C:$FB,79)</f>
        <v>4829</v>
      </c>
      <c r="O120" s="92">
        <f>VLOOKUP($A120,'Data Vlaue (Cr)'!$C:$FB,82)</f>
        <v>-0.25369999999999998</v>
      </c>
    </row>
    <row r="121" spans="1:15" x14ac:dyDescent="0.25">
      <c r="A121" s="97" t="str">
        <f>'Data Vlaue (Cr)'!C116</f>
        <v>KPITTECH</v>
      </c>
      <c r="B121" s="142">
        <f>VLOOKUP(A121,'Data Vlaue (Cr)'!C116:CW330,99,0)</f>
        <v>837</v>
      </c>
      <c r="C121" s="90">
        <f>VLOOKUP(A121,'Data Vlaue (Cr)'!C116:CY330,101,0)</f>
        <v>-26</v>
      </c>
      <c r="D121" s="139">
        <f>VLOOKUP(A121,'Data Vlaue (Cr)'!C116:CZ330,102,0)</f>
        <v>-2.9600000000000001E-2</v>
      </c>
      <c r="E121" s="91">
        <f>VLOOKUP($A121,'Data Vlaue (Cr)'!$C:$FB,75)</f>
        <v>395</v>
      </c>
      <c r="F121" s="91">
        <f>VLOOKUP($A121,'Data Vlaue (Cr)'!$C:$FB,77)</f>
        <v>-30</v>
      </c>
      <c r="G121" s="92">
        <f>VLOOKUP(A121,'Data Vlaue (Cr)'!C116:CB330,78,0)</f>
        <v>-7.0599999999999996E-2</v>
      </c>
      <c r="H121" s="91">
        <f>VLOOKUP($A121,'Data Vlaue (Cr)'!$C:$FB,91)</f>
        <v>247</v>
      </c>
      <c r="I121" s="91">
        <f>VLOOKUP($A121,'Data Vlaue (Cr)'!$C:$FB,93)</f>
        <v>7</v>
      </c>
      <c r="J121" s="92">
        <f>VLOOKUP($A121,'Data Vlaue (Cr)'!$C:$FB,94)</f>
        <v>2.9000000000000001E-2</v>
      </c>
      <c r="K121" s="91">
        <f>VLOOKUP($A121,'Data Vlaue (Cr)'!$C:$FB,95)</f>
        <v>195</v>
      </c>
      <c r="L121" s="91">
        <f>VLOOKUP($A121,'Data Vlaue (Cr)'!$C:$FB,97)</f>
        <v>-2</v>
      </c>
      <c r="M121" s="92">
        <f>VLOOKUP($A121,'Data Vlaue (Cr)'!$C:$FB,98)</f>
        <v>-1.26E-2</v>
      </c>
      <c r="N121" s="91">
        <f>VLOOKUP($A121,'Data Vlaue (Cr)'!$C:$FB,79)</f>
        <v>272</v>
      </c>
      <c r="O121" s="92">
        <f>VLOOKUP($A121,'Data Vlaue (Cr)'!$C:$FB,82)</f>
        <v>-0.19470000000000001</v>
      </c>
    </row>
    <row r="122" spans="1:15" x14ac:dyDescent="0.25">
      <c r="A122" s="97" t="str">
        <f>'Data Vlaue (Cr)'!C117</f>
        <v>LAURUSLABS</v>
      </c>
      <c r="B122" s="142">
        <f>VLOOKUP(A122,'Data Vlaue (Cr)'!C117:CW331,99,0)</f>
        <v>3714</v>
      </c>
      <c r="C122" s="90">
        <f>VLOOKUP(A122,'Data Vlaue (Cr)'!C117:CY331,101,0)</f>
        <v>-153</v>
      </c>
      <c r="D122" s="139">
        <f>VLOOKUP(A122,'Data Vlaue (Cr)'!C117:CZ331,102,0)</f>
        <v>-3.9600000000000003E-2</v>
      </c>
      <c r="E122" s="91">
        <f>VLOOKUP($A122,'Data Vlaue (Cr)'!$C:$FB,75)</f>
        <v>1668</v>
      </c>
      <c r="F122" s="91">
        <f>VLOOKUP($A122,'Data Vlaue (Cr)'!$C:$FB,77)</f>
        <v>-59</v>
      </c>
      <c r="G122" s="92">
        <f>VLOOKUP(A122,'Data Vlaue (Cr)'!C117:CB331,78,0)</f>
        <v>-3.39E-2</v>
      </c>
      <c r="H122" s="91">
        <f>VLOOKUP($A122,'Data Vlaue (Cr)'!$C:$FB,91)</f>
        <v>1205</v>
      </c>
      <c r="I122" s="91">
        <f>VLOOKUP($A122,'Data Vlaue (Cr)'!$C:$FB,93)</f>
        <v>-46</v>
      </c>
      <c r="J122" s="92">
        <f>VLOOKUP($A122,'Data Vlaue (Cr)'!$C:$FB,94)</f>
        <v>-3.6499999999999998E-2</v>
      </c>
      <c r="K122" s="91">
        <f>VLOOKUP($A122,'Data Vlaue (Cr)'!$C:$FB,95)</f>
        <v>841</v>
      </c>
      <c r="L122" s="91">
        <f>VLOOKUP($A122,'Data Vlaue (Cr)'!$C:$FB,97)</f>
        <v>-49</v>
      </c>
      <c r="M122" s="92">
        <f>VLOOKUP($A122,'Data Vlaue (Cr)'!$C:$FB,98)</f>
        <v>-5.4899999999999997E-2</v>
      </c>
      <c r="N122" s="91">
        <f>VLOOKUP($A122,'Data Vlaue (Cr)'!$C:$FB,79)</f>
        <v>1191</v>
      </c>
      <c r="O122" s="92">
        <f>VLOOKUP($A122,'Data Vlaue (Cr)'!$C:$FB,82)</f>
        <v>-0.15509999999999999</v>
      </c>
    </row>
    <row r="123" spans="1:15" x14ac:dyDescent="0.25">
      <c r="A123" s="97" t="str">
        <f>'Data Vlaue (Cr)'!C118</f>
        <v>LICHSGFIN</v>
      </c>
      <c r="B123" s="142">
        <f>VLOOKUP(A123,'Data Vlaue (Cr)'!C118:CW332,99,0)</f>
        <v>3079</v>
      </c>
      <c r="C123" s="90">
        <f>VLOOKUP(A123,'Data Vlaue (Cr)'!C118:CY332,101,0)</f>
        <v>138</v>
      </c>
      <c r="D123" s="139">
        <f>VLOOKUP(A123,'Data Vlaue (Cr)'!C118:CZ332,102,0)</f>
        <v>4.7100000000000003E-2</v>
      </c>
      <c r="E123" s="91">
        <f>VLOOKUP($A123,'Data Vlaue (Cr)'!$C:$FB,75)</f>
        <v>1880</v>
      </c>
      <c r="F123" s="91">
        <f>VLOOKUP($A123,'Data Vlaue (Cr)'!$C:$FB,77)</f>
        <v>89</v>
      </c>
      <c r="G123" s="92">
        <f>VLOOKUP(A123,'Data Vlaue (Cr)'!C118:CB332,78,0)</f>
        <v>4.9500000000000002E-2</v>
      </c>
      <c r="H123" s="91">
        <f>VLOOKUP($A123,'Data Vlaue (Cr)'!$C:$FB,91)</f>
        <v>707</v>
      </c>
      <c r="I123" s="91">
        <f>VLOOKUP($A123,'Data Vlaue (Cr)'!$C:$FB,93)</f>
        <v>15</v>
      </c>
      <c r="J123" s="92">
        <f>VLOOKUP($A123,'Data Vlaue (Cr)'!$C:$FB,94)</f>
        <v>2.1600000000000001E-2</v>
      </c>
      <c r="K123" s="91">
        <f>VLOOKUP($A123,'Data Vlaue (Cr)'!$C:$FB,95)</f>
        <v>492</v>
      </c>
      <c r="L123" s="91">
        <f>VLOOKUP($A123,'Data Vlaue (Cr)'!$C:$FB,97)</f>
        <v>35</v>
      </c>
      <c r="M123" s="92">
        <f>VLOOKUP($A123,'Data Vlaue (Cr)'!$C:$FB,98)</f>
        <v>7.5999999999999998E-2</v>
      </c>
      <c r="N123" s="91">
        <f>VLOOKUP($A123,'Data Vlaue (Cr)'!$C:$FB,79)</f>
        <v>1396</v>
      </c>
      <c r="O123" s="92">
        <f>VLOOKUP($A123,'Data Vlaue (Cr)'!$C:$FB,82)</f>
        <v>-0.1106</v>
      </c>
    </row>
    <row r="124" spans="1:15" x14ac:dyDescent="0.25">
      <c r="A124" s="97" t="str">
        <f>'Data Vlaue (Cr)'!C119</f>
        <v>LICI</v>
      </c>
      <c r="B124" s="142">
        <f>VLOOKUP(A124,'Data Vlaue (Cr)'!C119:CW333,99,0)</f>
        <v>2115</v>
      </c>
      <c r="C124" s="90">
        <f>VLOOKUP(A124,'Data Vlaue (Cr)'!C119:CY333,101,0)</f>
        <v>-70</v>
      </c>
      <c r="D124" s="139">
        <f>VLOOKUP(A124,'Data Vlaue (Cr)'!C119:CZ333,102,0)</f>
        <v>-3.1899999999999998E-2</v>
      </c>
      <c r="E124" s="91">
        <f>VLOOKUP($A124,'Data Vlaue (Cr)'!$C:$FB,75)</f>
        <v>986</v>
      </c>
      <c r="F124" s="91">
        <f>VLOOKUP($A124,'Data Vlaue (Cr)'!$C:$FB,77)</f>
        <v>-27</v>
      </c>
      <c r="G124" s="92">
        <f>VLOOKUP(A124,'Data Vlaue (Cr)'!C119:CB333,78,0)</f>
        <v>-2.6200000000000001E-2</v>
      </c>
      <c r="H124" s="91">
        <f>VLOOKUP($A124,'Data Vlaue (Cr)'!$C:$FB,91)</f>
        <v>748</v>
      </c>
      <c r="I124" s="91">
        <f>VLOOKUP($A124,'Data Vlaue (Cr)'!$C:$FB,93)</f>
        <v>-27</v>
      </c>
      <c r="J124" s="92">
        <f>VLOOKUP($A124,'Data Vlaue (Cr)'!$C:$FB,94)</f>
        <v>-3.4799999999999998E-2</v>
      </c>
      <c r="K124" s="91">
        <f>VLOOKUP($A124,'Data Vlaue (Cr)'!$C:$FB,95)</f>
        <v>382</v>
      </c>
      <c r="L124" s="91">
        <f>VLOOKUP($A124,'Data Vlaue (Cr)'!$C:$FB,97)</f>
        <v>-16</v>
      </c>
      <c r="M124" s="92">
        <f>VLOOKUP($A124,'Data Vlaue (Cr)'!$C:$FB,98)</f>
        <v>-4.0599999999999997E-2</v>
      </c>
      <c r="N124" s="91">
        <f>VLOOKUP($A124,'Data Vlaue (Cr)'!$C:$FB,79)</f>
        <v>689</v>
      </c>
      <c r="O124" s="92">
        <f>VLOOKUP($A124,'Data Vlaue (Cr)'!$C:$FB,82)</f>
        <v>-0.18279999999999999</v>
      </c>
    </row>
    <row r="125" spans="1:15" x14ac:dyDescent="0.25">
      <c r="A125" s="97" t="str">
        <f>'Data Vlaue (Cr)'!C120</f>
        <v>LODHA</v>
      </c>
      <c r="B125" s="142">
        <f>VLOOKUP(A125,'Data Vlaue (Cr)'!C120:CW334,99,0)</f>
        <v>1831</v>
      </c>
      <c r="C125" s="90">
        <f>VLOOKUP(A125,'Data Vlaue (Cr)'!C120:CY334,101,0)</f>
        <v>29</v>
      </c>
      <c r="D125" s="139">
        <f>VLOOKUP(A125,'Data Vlaue (Cr)'!C120:CZ334,102,0)</f>
        <v>1.61E-2</v>
      </c>
      <c r="E125" s="91">
        <f>VLOOKUP($A125,'Data Vlaue (Cr)'!$C:$FB,75)</f>
        <v>1251</v>
      </c>
      <c r="F125" s="91">
        <f>VLOOKUP($A125,'Data Vlaue (Cr)'!$C:$FB,77)</f>
        <v>-8</v>
      </c>
      <c r="G125" s="92">
        <f>VLOOKUP(A125,'Data Vlaue (Cr)'!C120:CB334,78,0)</f>
        <v>-6.1000000000000004E-3</v>
      </c>
      <c r="H125" s="91">
        <f>VLOOKUP($A125,'Data Vlaue (Cr)'!$C:$FB,91)</f>
        <v>350</v>
      </c>
      <c r="I125" s="91">
        <f>VLOOKUP($A125,'Data Vlaue (Cr)'!$C:$FB,93)</f>
        <v>24</v>
      </c>
      <c r="J125" s="92">
        <f>VLOOKUP($A125,'Data Vlaue (Cr)'!$C:$FB,94)</f>
        <v>7.2800000000000004E-2</v>
      </c>
      <c r="K125" s="91">
        <f>VLOOKUP($A125,'Data Vlaue (Cr)'!$C:$FB,95)</f>
        <v>230</v>
      </c>
      <c r="L125" s="91">
        <f>VLOOKUP($A125,'Data Vlaue (Cr)'!$C:$FB,97)</f>
        <v>13</v>
      </c>
      <c r="M125" s="92">
        <f>VLOOKUP($A125,'Data Vlaue (Cr)'!$C:$FB,98)</f>
        <v>5.9799999999999999E-2</v>
      </c>
      <c r="N125" s="91">
        <f>VLOOKUP($A125,'Data Vlaue (Cr)'!$C:$FB,79)</f>
        <v>841</v>
      </c>
      <c r="O125" s="92">
        <f>VLOOKUP($A125,'Data Vlaue (Cr)'!$C:$FB,82)</f>
        <v>-0.29699999999999999</v>
      </c>
    </row>
    <row r="126" spans="1:15" x14ac:dyDescent="0.25">
      <c r="A126" s="97" t="str">
        <f>'Data Vlaue (Cr)'!C121</f>
        <v>LT</v>
      </c>
      <c r="B126" s="142">
        <f>VLOOKUP(A126,'Data Vlaue (Cr)'!C121:CW335,99,0)</f>
        <v>9559</v>
      </c>
      <c r="C126" s="90">
        <f>VLOOKUP(A126,'Data Vlaue (Cr)'!C121:CY335,101,0)</f>
        <v>-62</v>
      </c>
      <c r="D126" s="139">
        <f>VLOOKUP(A126,'Data Vlaue (Cr)'!C121:CZ335,102,0)</f>
        <v>-6.4000000000000003E-3</v>
      </c>
      <c r="E126" s="91">
        <f>VLOOKUP($A126,'Data Vlaue (Cr)'!$C:$FB,75)</f>
        <v>5371</v>
      </c>
      <c r="F126" s="91">
        <f>VLOOKUP($A126,'Data Vlaue (Cr)'!$C:$FB,77)</f>
        <v>56</v>
      </c>
      <c r="G126" s="92">
        <f>VLOOKUP(A126,'Data Vlaue (Cr)'!C121:CB335,78,0)</f>
        <v>1.0500000000000001E-2</v>
      </c>
      <c r="H126" s="91">
        <f>VLOOKUP($A126,'Data Vlaue (Cr)'!$C:$FB,91)</f>
        <v>2636</v>
      </c>
      <c r="I126" s="91">
        <f>VLOOKUP($A126,'Data Vlaue (Cr)'!$C:$FB,93)</f>
        <v>-203</v>
      </c>
      <c r="J126" s="92">
        <f>VLOOKUP($A126,'Data Vlaue (Cr)'!$C:$FB,94)</f>
        <v>-7.1499999999999994E-2</v>
      </c>
      <c r="K126" s="91">
        <f>VLOOKUP($A126,'Data Vlaue (Cr)'!$C:$FB,95)</f>
        <v>1551</v>
      </c>
      <c r="L126" s="91">
        <f>VLOOKUP($A126,'Data Vlaue (Cr)'!$C:$FB,97)</f>
        <v>86</v>
      </c>
      <c r="M126" s="92">
        <f>VLOOKUP($A126,'Data Vlaue (Cr)'!$C:$FB,98)</f>
        <v>5.8599999999999999E-2</v>
      </c>
      <c r="N126" s="91">
        <f>VLOOKUP($A126,'Data Vlaue (Cr)'!$C:$FB,79)</f>
        <v>3124</v>
      </c>
      <c r="O126" s="92">
        <f>VLOOKUP($A126,'Data Vlaue (Cr)'!$C:$FB,82)</f>
        <v>-0.28870000000000001</v>
      </c>
    </row>
    <row r="127" spans="1:15" x14ac:dyDescent="0.25">
      <c r="A127" s="97" t="str">
        <f>'Data Vlaue (Cr)'!C122</f>
        <v>LTF</v>
      </c>
      <c r="B127" s="142">
        <f>VLOOKUP(A127,'Data Vlaue (Cr)'!C122:CW336,99,0)</f>
        <v>3781</v>
      </c>
      <c r="C127" s="90">
        <f>VLOOKUP(A127,'Data Vlaue (Cr)'!C122:CY336,101,0)</f>
        <v>7</v>
      </c>
      <c r="D127" s="139">
        <f>VLOOKUP(A127,'Data Vlaue (Cr)'!C122:CZ336,102,0)</f>
        <v>1.9E-3</v>
      </c>
      <c r="E127" s="91">
        <f>VLOOKUP($A127,'Data Vlaue (Cr)'!$C:$FB,75)</f>
        <v>1644</v>
      </c>
      <c r="F127" s="91">
        <f>VLOOKUP($A127,'Data Vlaue (Cr)'!$C:$FB,77)</f>
        <v>63</v>
      </c>
      <c r="G127" s="92">
        <f>VLOOKUP(A127,'Data Vlaue (Cr)'!C122:CB336,78,0)</f>
        <v>4.0099999999999997E-2</v>
      </c>
      <c r="H127" s="91">
        <f>VLOOKUP($A127,'Data Vlaue (Cr)'!$C:$FB,91)</f>
        <v>1162</v>
      </c>
      <c r="I127" s="91">
        <f>VLOOKUP($A127,'Data Vlaue (Cr)'!$C:$FB,93)</f>
        <v>-35</v>
      </c>
      <c r="J127" s="92">
        <f>VLOOKUP($A127,'Data Vlaue (Cr)'!$C:$FB,94)</f>
        <v>-2.8899999999999999E-2</v>
      </c>
      <c r="K127" s="91">
        <f>VLOOKUP($A127,'Data Vlaue (Cr)'!$C:$FB,95)</f>
        <v>976</v>
      </c>
      <c r="L127" s="91">
        <f>VLOOKUP($A127,'Data Vlaue (Cr)'!$C:$FB,97)</f>
        <v>-22</v>
      </c>
      <c r="M127" s="92">
        <f>VLOOKUP($A127,'Data Vlaue (Cr)'!$C:$FB,98)</f>
        <v>-2.18E-2</v>
      </c>
      <c r="N127" s="91">
        <f>VLOOKUP($A127,'Data Vlaue (Cr)'!$C:$FB,79)</f>
        <v>1250</v>
      </c>
      <c r="O127" s="92">
        <f>VLOOKUP($A127,'Data Vlaue (Cr)'!$C:$FB,82)</f>
        <v>-0.127</v>
      </c>
    </row>
    <row r="128" spans="1:15" x14ac:dyDescent="0.25">
      <c r="A128" s="97" t="str">
        <f>'Data Vlaue (Cr)'!C123</f>
        <v>LTIM</v>
      </c>
      <c r="B128" s="142">
        <f>VLOOKUP(A128,'Data Vlaue (Cr)'!C123:CW337,99,0)</f>
        <v>2531</v>
      </c>
      <c r="C128" s="90">
        <f>VLOOKUP(A128,'Data Vlaue (Cr)'!C123:CY337,101,0)</f>
        <v>-18</v>
      </c>
      <c r="D128" s="139">
        <f>VLOOKUP(A128,'Data Vlaue (Cr)'!C123:CZ337,102,0)</f>
        <v>-7.1000000000000004E-3</v>
      </c>
      <c r="E128" s="91">
        <f>VLOOKUP($A128,'Data Vlaue (Cr)'!$C:$FB,75)</f>
        <v>1380</v>
      </c>
      <c r="F128" s="91">
        <f>VLOOKUP($A128,'Data Vlaue (Cr)'!$C:$FB,77)</f>
        <v>39</v>
      </c>
      <c r="G128" s="92">
        <f>VLOOKUP(A128,'Data Vlaue (Cr)'!C123:CB337,78,0)</f>
        <v>2.93E-2</v>
      </c>
      <c r="H128" s="91">
        <f>VLOOKUP($A128,'Data Vlaue (Cr)'!$C:$FB,91)</f>
        <v>654</v>
      </c>
      <c r="I128" s="91">
        <f>VLOOKUP($A128,'Data Vlaue (Cr)'!$C:$FB,93)</f>
        <v>-77</v>
      </c>
      <c r="J128" s="92">
        <f>VLOOKUP($A128,'Data Vlaue (Cr)'!$C:$FB,94)</f>
        <v>-0.1055</v>
      </c>
      <c r="K128" s="91">
        <f>VLOOKUP($A128,'Data Vlaue (Cr)'!$C:$FB,95)</f>
        <v>497</v>
      </c>
      <c r="L128" s="91">
        <f>VLOOKUP($A128,'Data Vlaue (Cr)'!$C:$FB,97)</f>
        <v>20</v>
      </c>
      <c r="M128" s="92">
        <f>VLOOKUP($A128,'Data Vlaue (Cr)'!$C:$FB,98)</f>
        <v>4.1500000000000002E-2</v>
      </c>
      <c r="N128" s="91">
        <f>VLOOKUP($A128,'Data Vlaue (Cr)'!$C:$FB,79)</f>
        <v>634</v>
      </c>
      <c r="O128" s="92">
        <f>VLOOKUP($A128,'Data Vlaue (Cr)'!$C:$FB,82)</f>
        <v>-0.45490000000000003</v>
      </c>
    </row>
    <row r="129" spans="1:15" x14ac:dyDescent="0.25">
      <c r="A129" s="97" t="str">
        <f>'Data Vlaue (Cr)'!C124</f>
        <v>LUPIN</v>
      </c>
      <c r="B129" s="142">
        <f>VLOOKUP(A129,'Data Vlaue (Cr)'!C124:CW338,99,0)</f>
        <v>3741</v>
      </c>
      <c r="C129" s="90">
        <f>VLOOKUP(A129,'Data Vlaue (Cr)'!C124:CY338,101,0)</f>
        <v>-78</v>
      </c>
      <c r="D129" s="139">
        <f>VLOOKUP(A129,'Data Vlaue (Cr)'!C124:CZ338,102,0)</f>
        <v>-2.0299999999999999E-2</v>
      </c>
      <c r="E129" s="91">
        <f>VLOOKUP($A129,'Data Vlaue (Cr)'!$C:$FB,75)</f>
        <v>2166</v>
      </c>
      <c r="F129" s="91">
        <f>VLOOKUP($A129,'Data Vlaue (Cr)'!$C:$FB,77)</f>
        <v>20</v>
      </c>
      <c r="G129" s="92">
        <f>VLOOKUP(A129,'Data Vlaue (Cr)'!C124:CB338,78,0)</f>
        <v>9.1000000000000004E-3</v>
      </c>
      <c r="H129" s="91">
        <f>VLOOKUP($A129,'Data Vlaue (Cr)'!$C:$FB,91)</f>
        <v>944</v>
      </c>
      <c r="I129" s="91">
        <f>VLOOKUP($A129,'Data Vlaue (Cr)'!$C:$FB,93)</f>
        <v>-69</v>
      </c>
      <c r="J129" s="92">
        <f>VLOOKUP($A129,'Data Vlaue (Cr)'!$C:$FB,94)</f>
        <v>-6.83E-2</v>
      </c>
      <c r="K129" s="91">
        <f>VLOOKUP($A129,'Data Vlaue (Cr)'!$C:$FB,95)</f>
        <v>631</v>
      </c>
      <c r="L129" s="91">
        <f>VLOOKUP($A129,'Data Vlaue (Cr)'!$C:$FB,97)</f>
        <v>-28</v>
      </c>
      <c r="M129" s="92">
        <f>VLOOKUP($A129,'Data Vlaue (Cr)'!$C:$FB,98)</f>
        <v>-4.2299999999999997E-2</v>
      </c>
      <c r="N129" s="91">
        <f>VLOOKUP($A129,'Data Vlaue (Cr)'!$C:$FB,79)</f>
        <v>1626</v>
      </c>
      <c r="O129" s="92">
        <f>VLOOKUP($A129,'Data Vlaue (Cr)'!$C:$FB,82)</f>
        <v>-0.17580000000000001</v>
      </c>
    </row>
    <row r="130" spans="1:15" x14ac:dyDescent="0.25">
      <c r="A130" s="97" t="str">
        <f>'Data Vlaue (Cr)'!C125</f>
        <v>M&amp;M</v>
      </c>
      <c r="B130" s="142">
        <f>VLOOKUP(A130,'Data Vlaue (Cr)'!C125:CW339,99,0)</f>
        <v>9994</v>
      </c>
      <c r="C130" s="90">
        <f>VLOOKUP(A130,'Data Vlaue (Cr)'!C125:CY339,101,0)</f>
        <v>-117</v>
      </c>
      <c r="D130" s="139">
        <f>VLOOKUP(A130,'Data Vlaue (Cr)'!C125:CZ339,102,0)</f>
        <v>-1.1599999999999999E-2</v>
      </c>
      <c r="E130" s="91">
        <f>VLOOKUP($A130,'Data Vlaue (Cr)'!$C:$FB,75)</f>
        <v>6909</v>
      </c>
      <c r="F130" s="91">
        <f>VLOOKUP($A130,'Data Vlaue (Cr)'!$C:$FB,77)</f>
        <v>-9</v>
      </c>
      <c r="G130" s="92">
        <f>VLOOKUP(A130,'Data Vlaue (Cr)'!C125:CB339,78,0)</f>
        <v>-1.2999999999999999E-3</v>
      </c>
      <c r="H130" s="91">
        <f>VLOOKUP($A130,'Data Vlaue (Cr)'!$C:$FB,91)</f>
        <v>1754</v>
      </c>
      <c r="I130" s="91">
        <f>VLOOKUP($A130,'Data Vlaue (Cr)'!$C:$FB,93)</f>
        <v>-92</v>
      </c>
      <c r="J130" s="92">
        <f>VLOOKUP($A130,'Data Vlaue (Cr)'!$C:$FB,94)</f>
        <v>-4.9700000000000001E-2</v>
      </c>
      <c r="K130" s="91">
        <f>VLOOKUP($A130,'Data Vlaue (Cr)'!$C:$FB,95)</f>
        <v>1331</v>
      </c>
      <c r="L130" s="91">
        <f>VLOOKUP($A130,'Data Vlaue (Cr)'!$C:$FB,97)</f>
        <v>-16</v>
      </c>
      <c r="M130" s="92">
        <f>VLOOKUP($A130,'Data Vlaue (Cr)'!$C:$FB,98)</f>
        <v>-1.2200000000000001E-2</v>
      </c>
      <c r="N130" s="91">
        <f>VLOOKUP($A130,'Data Vlaue (Cr)'!$C:$FB,79)</f>
        <v>4225</v>
      </c>
      <c r="O130" s="92">
        <f>VLOOKUP($A130,'Data Vlaue (Cr)'!$C:$FB,82)</f>
        <v>-0.31709999999999999</v>
      </c>
    </row>
    <row r="131" spans="1:15" x14ac:dyDescent="0.25">
      <c r="A131" s="97" t="str">
        <f>'Data Vlaue (Cr)'!C126</f>
        <v>MANAPPURAM</v>
      </c>
      <c r="B131" s="142">
        <f>VLOOKUP(A131,'Data Vlaue (Cr)'!C126:CW340,99,0)</f>
        <v>2258</v>
      </c>
      <c r="C131" s="90">
        <f>VLOOKUP(A131,'Data Vlaue (Cr)'!C126:CY340,101,0)</f>
        <v>-90</v>
      </c>
      <c r="D131" s="139">
        <f>VLOOKUP(A131,'Data Vlaue (Cr)'!C126:CZ340,102,0)</f>
        <v>-3.85E-2</v>
      </c>
      <c r="E131" s="91">
        <f>VLOOKUP($A131,'Data Vlaue (Cr)'!$C:$FB,75)</f>
        <v>1297</v>
      </c>
      <c r="F131" s="91">
        <f>VLOOKUP($A131,'Data Vlaue (Cr)'!$C:$FB,77)</f>
        <v>-24</v>
      </c>
      <c r="G131" s="92">
        <f>VLOOKUP(A131,'Data Vlaue (Cr)'!C126:CB340,78,0)</f>
        <v>-1.8499999999999999E-2</v>
      </c>
      <c r="H131" s="91">
        <f>VLOOKUP($A131,'Data Vlaue (Cr)'!$C:$FB,91)</f>
        <v>607</v>
      </c>
      <c r="I131" s="91">
        <f>VLOOKUP($A131,'Data Vlaue (Cr)'!$C:$FB,93)</f>
        <v>-62</v>
      </c>
      <c r="J131" s="92">
        <f>VLOOKUP($A131,'Data Vlaue (Cr)'!$C:$FB,94)</f>
        <v>-9.1999999999999998E-2</v>
      </c>
      <c r="K131" s="91">
        <f>VLOOKUP($A131,'Data Vlaue (Cr)'!$C:$FB,95)</f>
        <v>353</v>
      </c>
      <c r="L131" s="91">
        <f>VLOOKUP($A131,'Data Vlaue (Cr)'!$C:$FB,97)</f>
        <v>-4</v>
      </c>
      <c r="M131" s="92">
        <f>VLOOKUP($A131,'Data Vlaue (Cr)'!$C:$FB,98)</f>
        <v>-1.21E-2</v>
      </c>
      <c r="N131" s="91">
        <f>VLOOKUP($A131,'Data Vlaue (Cr)'!$C:$FB,79)</f>
        <v>836</v>
      </c>
      <c r="O131" s="92">
        <f>VLOOKUP($A131,'Data Vlaue (Cr)'!$C:$FB,82)</f>
        <v>-0.19500000000000001</v>
      </c>
    </row>
    <row r="132" spans="1:15" x14ac:dyDescent="0.25">
      <c r="A132" s="97" t="str">
        <f>'Data Vlaue (Cr)'!C127</f>
        <v>MANKIND</v>
      </c>
      <c r="B132" s="142">
        <f>VLOOKUP(A132,'Data Vlaue (Cr)'!C127:CW341,99,0)</f>
        <v>1078</v>
      </c>
      <c r="C132" s="90">
        <f>VLOOKUP(A132,'Data Vlaue (Cr)'!C127:CY341,101,0)</f>
        <v>-62</v>
      </c>
      <c r="D132" s="139">
        <f>VLOOKUP(A132,'Data Vlaue (Cr)'!C127:CZ341,102,0)</f>
        <v>-5.4399999999999997E-2</v>
      </c>
      <c r="E132" s="91">
        <f>VLOOKUP($A132,'Data Vlaue (Cr)'!$C:$FB,75)</f>
        <v>651</v>
      </c>
      <c r="F132" s="91">
        <f>VLOOKUP($A132,'Data Vlaue (Cr)'!$C:$FB,77)</f>
        <v>-7</v>
      </c>
      <c r="G132" s="92">
        <f>VLOOKUP(A132,'Data Vlaue (Cr)'!C127:CB341,78,0)</f>
        <v>-1.0800000000000001E-2</v>
      </c>
      <c r="H132" s="91">
        <f>VLOOKUP($A132,'Data Vlaue (Cr)'!$C:$FB,91)</f>
        <v>293</v>
      </c>
      <c r="I132" s="91">
        <f>VLOOKUP($A132,'Data Vlaue (Cr)'!$C:$FB,93)</f>
        <v>-50</v>
      </c>
      <c r="J132" s="92">
        <f>VLOOKUP($A132,'Data Vlaue (Cr)'!$C:$FB,94)</f>
        <v>-0.1467</v>
      </c>
      <c r="K132" s="91">
        <f>VLOOKUP($A132,'Data Vlaue (Cr)'!$C:$FB,95)</f>
        <v>134</v>
      </c>
      <c r="L132" s="91">
        <f>VLOOKUP($A132,'Data Vlaue (Cr)'!$C:$FB,97)</f>
        <v>-5</v>
      </c>
      <c r="M132" s="92">
        <f>VLOOKUP($A132,'Data Vlaue (Cr)'!$C:$FB,98)</f>
        <v>-3.3099999999999997E-2</v>
      </c>
      <c r="N132" s="91">
        <f>VLOOKUP($A132,'Data Vlaue (Cr)'!$C:$FB,79)</f>
        <v>460</v>
      </c>
      <c r="O132" s="92">
        <f>VLOOKUP($A132,'Data Vlaue (Cr)'!$C:$FB,82)</f>
        <v>-0.16220000000000001</v>
      </c>
    </row>
    <row r="133" spans="1:15" x14ac:dyDescent="0.25">
      <c r="A133" s="97" t="str">
        <f>'Data Vlaue (Cr)'!C128</f>
        <v>MARICO</v>
      </c>
      <c r="B133" s="142">
        <f>VLOOKUP(A133,'Data Vlaue (Cr)'!C128:CW342,99,0)</f>
        <v>3229</v>
      </c>
      <c r="C133" s="90">
        <f>VLOOKUP(A133,'Data Vlaue (Cr)'!C128:CY342,101,0)</f>
        <v>-28</v>
      </c>
      <c r="D133" s="139">
        <f>VLOOKUP(A133,'Data Vlaue (Cr)'!C128:CZ342,102,0)</f>
        <v>-8.5000000000000006E-3</v>
      </c>
      <c r="E133" s="91">
        <f>VLOOKUP($A133,'Data Vlaue (Cr)'!$C:$FB,75)</f>
        <v>2288</v>
      </c>
      <c r="F133" s="91">
        <f>VLOOKUP($A133,'Data Vlaue (Cr)'!$C:$FB,77)</f>
        <v>9</v>
      </c>
      <c r="G133" s="92">
        <f>VLOOKUP(A133,'Data Vlaue (Cr)'!C128:CB342,78,0)</f>
        <v>4.1000000000000003E-3</v>
      </c>
      <c r="H133" s="91">
        <f>VLOOKUP($A133,'Data Vlaue (Cr)'!$C:$FB,91)</f>
        <v>558</v>
      </c>
      <c r="I133" s="91">
        <f>VLOOKUP($A133,'Data Vlaue (Cr)'!$C:$FB,93)</f>
        <v>15</v>
      </c>
      <c r="J133" s="92">
        <f>VLOOKUP($A133,'Data Vlaue (Cr)'!$C:$FB,94)</f>
        <v>2.8299999999999999E-2</v>
      </c>
      <c r="K133" s="91">
        <f>VLOOKUP($A133,'Data Vlaue (Cr)'!$C:$FB,95)</f>
        <v>383</v>
      </c>
      <c r="L133" s="91">
        <f>VLOOKUP($A133,'Data Vlaue (Cr)'!$C:$FB,97)</f>
        <v>-53</v>
      </c>
      <c r="M133" s="92">
        <f>VLOOKUP($A133,'Data Vlaue (Cr)'!$C:$FB,98)</f>
        <v>-0.1207</v>
      </c>
      <c r="N133" s="91">
        <f>VLOOKUP($A133,'Data Vlaue (Cr)'!$C:$FB,79)</f>
        <v>1611</v>
      </c>
      <c r="O133" s="92">
        <f>VLOOKUP($A133,'Data Vlaue (Cr)'!$C:$FB,82)</f>
        <v>-0.2757</v>
      </c>
    </row>
    <row r="134" spans="1:15" x14ac:dyDescent="0.25">
      <c r="A134" s="97" t="str">
        <f>'Data Vlaue (Cr)'!C129</f>
        <v>MARUTI</v>
      </c>
      <c r="B134" s="142">
        <f>VLOOKUP(A134,'Data Vlaue (Cr)'!C129:CW343,99,0)</f>
        <v>10697</v>
      </c>
      <c r="C134" s="90">
        <f>VLOOKUP(A134,'Data Vlaue (Cr)'!C129:CY343,101,0)</f>
        <v>-624</v>
      </c>
      <c r="D134" s="139">
        <f>VLOOKUP(A134,'Data Vlaue (Cr)'!C129:CZ343,102,0)</f>
        <v>-5.5100000000000003E-2</v>
      </c>
      <c r="E134" s="91">
        <f>VLOOKUP($A134,'Data Vlaue (Cr)'!$C:$FB,75)</f>
        <v>4112</v>
      </c>
      <c r="F134" s="91">
        <f>VLOOKUP($A134,'Data Vlaue (Cr)'!$C:$FB,77)</f>
        <v>5</v>
      </c>
      <c r="G134" s="92">
        <f>VLOOKUP(A134,'Data Vlaue (Cr)'!C129:CB343,78,0)</f>
        <v>1.2999999999999999E-3</v>
      </c>
      <c r="H134" s="91">
        <f>VLOOKUP($A134,'Data Vlaue (Cr)'!$C:$FB,91)</f>
        <v>4510</v>
      </c>
      <c r="I134" s="91">
        <f>VLOOKUP($A134,'Data Vlaue (Cr)'!$C:$FB,93)</f>
        <v>-535</v>
      </c>
      <c r="J134" s="92">
        <f>VLOOKUP($A134,'Data Vlaue (Cr)'!$C:$FB,94)</f>
        <v>-0.1061</v>
      </c>
      <c r="K134" s="91">
        <f>VLOOKUP($A134,'Data Vlaue (Cr)'!$C:$FB,95)</f>
        <v>2075</v>
      </c>
      <c r="L134" s="91">
        <f>VLOOKUP($A134,'Data Vlaue (Cr)'!$C:$FB,97)</f>
        <v>-94</v>
      </c>
      <c r="M134" s="92">
        <f>VLOOKUP($A134,'Data Vlaue (Cr)'!$C:$FB,98)</f>
        <v>-4.3099999999999999E-2</v>
      </c>
      <c r="N134" s="91">
        <f>VLOOKUP($A134,'Data Vlaue (Cr)'!$C:$FB,79)</f>
        <v>2787</v>
      </c>
      <c r="O134" s="92">
        <f>VLOOKUP($A134,'Data Vlaue (Cr)'!$C:$FB,82)</f>
        <v>-0.2273</v>
      </c>
    </row>
    <row r="135" spans="1:15" x14ac:dyDescent="0.25">
      <c r="A135" s="97" t="str">
        <f>'Data Vlaue (Cr)'!C130</f>
        <v>MAXHEALTH</v>
      </c>
      <c r="B135" s="142">
        <f>VLOOKUP(A135,'Data Vlaue (Cr)'!C130:CW344,99,0)</f>
        <v>2924</v>
      </c>
      <c r="C135" s="90">
        <f>VLOOKUP(A135,'Data Vlaue (Cr)'!C130:CY344,101,0)</f>
        <v>-156</v>
      </c>
      <c r="D135" s="139">
        <f>VLOOKUP(A135,'Data Vlaue (Cr)'!C130:CZ344,102,0)</f>
        <v>-5.0500000000000003E-2</v>
      </c>
      <c r="E135" s="91">
        <f>VLOOKUP($A135,'Data Vlaue (Cr)'!$C:$FB,75)</f>
        <v>2001</v>
      </c>
      <c r="F135" s="91">
        <f>VLOOKUP($A135,'Data Vlaue (Cr)'!$C:$FB,77)</f>
        <v>-24</v>
      </c>
      <c r="G135" s="92">
        <f>VLOOKUP(A135,'Data Vlaue (Cr)'!C130:CB344,78,0)</f>
        <v>-1.21E-2</v>
      </c>
      <c r="H135" s="91">
        <f>VLOOKUP($A135,'Data Vlaue (Cr)'!$C:$FB,91)</f>
        <v>543</v>
      </c>
      <c r="I135" s="91">
        <f>VLOOKUP($A135,'Data Vlaue (Cr)'!$C:$FB,93)</f>
        <v>-76</v>
      </c>
      <c r="J135" s="92">
        <f>VLOOKUP($A135,'Data Vlaue (Cr)'!$C:$FB,94)</f>
        <v>-0.12230000000000001</v>
      </c>
      <c r="K135" s="91">
        <f>VLOOKUP($A135,'Data Vlaue (Cr)'!$C:$FB,95)</f>
        <v>381</v>
      </c>
      <c r="L135" s="91">
        <f>VLOOKUP($A135,'Data Vlaue (Cr)'!$C:$FB,97)</f>
        <v>-55</v>
      </c>
      <c r="M135" s="92">
        <f>VLOOKUP($A135,'Data Vlaue (Cr)'!$C:$FB,98)</f>
        <v>-0.127</v>
      </c>
      <c r="N135" s="91">
        <f>VLOOKUP($A135,'Data Vlaue (Cr)'!$C:$FB,79)</f>
        <v>1312</v>
      </c>
      <c r="O135" s="92">
        <f>VLOOKUP($A135,'Data Vlaue (Cr)'!$C:$FB,82)</f>
        <v>-0.27850000000000003</v>
      </c>
    </row>
    <row r="136" spans="1:15" x14ac:dyDescent="0.25">
      <c r="A136" s="97" t="str">
        <f>'Data Vlaue (Cr)'!C131</f>
        <v>MAZDOCK</v>
      </c>
      <c r="B136" s="142">
        <f>VLOOKUP(A136,'Data Vlaue (Cr)'!C131:CW345,99,0)</f>
        <v>2548</v>
      </c>
      <c r="C136" s="90">
        <f>VLOOKUP(A136,'Data Vlaue (Cr)'!C131:CY345,101,0)</f>
        <v>-204</v>
      </c>
      <c r="D136" s="139">
        <f>VLOOKUP(A136,'Data Vlaue (Cr)'!C131:CZ345,102,0)</f>
        <v>-7.4200000000000002E-2</v>
      </c>
      <c r="E136" s="91">
        <f>VLOOKUP($A136,'Data Vlaue (Cr)'!$C:$FB,75)</f>
        <v>1171</v>
      </c>
      <c r="F136" s="91">
        <f>VLOOKUP($A136,'Data Vlaue (Cr)'!$C:$FB,77)</f>
        <v>-104</v>
      </c>
      <c r="G136" s="92">
        <f>VLOOKUP(A136,'Data Vlaue (Cr)'!C131:CB345,78,0)</f>
        <v>-8.1900000000000001E-2</v>
      </c>
      <c r="H136" s="91">
        <f>VLOOKUP($A136,'Data Vlaue (Cr)'!$C:$FB,91)</f>
        <v>934</v>
      </c>
      <c r="I136" s="91">
        <f>VLOOKUP($A136,'Data Vlaue (Cr)'!$C:$FB,93)</f>
        <v>-104</v>
      </c>
      <c r="J136" s="92">
        <f>VLOOKUP($A136,'Data Vlaue (Cr)'!$C:$FB,94)</f>
        <v>-0.1004</v>
      </c>
      <c r="K136" s="91">
        <f>VLOOKUP($A136,'Data Vlaue (Cr)'!$C:$FB,95)</f>
        <v>442</v>
      </c>
      <c r="L136" s="91">
        <f>VLOOKUP($A136,'Data Vlaue (Cr)'!$C:$FB,97)</f>
        <v>5</v>
      </c>
      <c r="M136" s="92">
        <f>VLOOKUP($A136,'Data Vlaue (Cr)'!$C:$FB,98)</f>
        <v>1.04E-2</v>
      </c>
      <c r="N136" s="91">
        <f>VLOOKUP($A136,'Data Vlaue (Cr)'!$C:$FB,79)</f>
        <v>851</v>
      </c>
      <c r="O136" s="92">
        <f>VLOOKUP($A136,'Data Vlaue (Cr)'!$C:$FB,82)</f>
        <v>-0.25019999999999998</v>
      </c>
    </row>
    <row r="137" spans="1:15" x14ac:dyDescent="0.25">
      <c r="A137" s="97" t="str">
        <f>'Data Vlaue (Cr)'!C132</f>
        <v>MCX</v>
      </c>
      <c r="B137" s="142">
        <f>VLOOKUP(A137,'Data Vlaue (Cr)'!C132:CW346,99,0)</f>
        <v>7156</v>
      </c>
      <c r="C137" s="90">
        <f>VLOOKUP(A137,'Data Vlaue (Cr)'!C132:CY346,101,0)</f>
        <v>-332</v>
      </c>
      <c r="D137" s="139">
        <f>VLOOKUP(A137,'Data Vlaue (Cr)'!C132:CZ346,102,0)</f>
        <v>-4.4299999999999999E-2</v>
      </c>
      <c r="E137" s="91">
        <f>VLOOKUP($A137,'Data Vlaue (Cr)'!$C:$FB,75)</f>
        <v>2609</v>
      </c>
      <c r="F137" s="91">
        <f>VLOOKUP($A137,'Data Vlaue (Cr)'!$C:$FB,77)</f>
        <v>-52</v>
      </c>
      <c r="G137" s="92">
        <f>VLOOKUP(A137,'Data Vlaue (Cr)'!C132:CB346,78,0)</f>
        <v>-1.9599999999999999E-2</v>
      </c>
      <c r="H137" s="91">
        <f>VLOOKUP($A137,'Data Vlaue (Cr)'!$C:$FB,91)</f>
        <v>2589</v>
      </c>
      <c r="I137" s="91">
        <f>VLOOKUP($A137,'Data Vlaue (Cr)'!$C:$FB,93)</f>
        <v>-126</v>
      </c>
      <c r="J137" s="92">
        <f>VLOOKUP($A137,'Data Vlaue (Cr)'!$C:$FB,94)</f>
        <v>-4.6399999999999997E-2</v>
      </c>
      <c r="K137" s="91">
        <f>VLOOKUP($A137,'Data Vlaue (Cr)'!$C:$FB,95)</f>
        <v>1957</v>
      </c>
      <c r="L137" s="91">
        <f>VLOOKUP($A137,'Data Vlaue (Cr)'!$C:$FB,97)</f>
        <v>-154</v>
      </c>
      <c r="M137" s="92">
        <f>VLOOKUP($A137,'Data Vlaue (Cr)'!$C:$FB,98)</f>
        <v>-7.2900000000000006E-2</v>
      </c>
      <c r="N137" s="91">
        <f>VLOOKUP($A137,'Data Vlaue (Cr)'!$C:$FB,79)</f>
        <v>1894</v>
      </c>
      <c r="O137" s="92">
        <f>VLOOKUP($A137,'Data Vlaue (Cr)'!$C:$FB,82)</f>
        <v>-0.19</v>
      </c>
    </row>
    <row r="138" spans="1:15" x14ac:dyDescent="0.25">
      <c r="A138" s="97" t="str">
        <f>'Data Vlaue (Cr)'!C133</f>
        <v>MFSL</v>
      </c>
      <c r="B138" s="142">
        <f>VLOOKUP(A138,'Data Vlaue (Cr)'!C133:CW347,99,0)</f>
        <v>1785</v>
      </c>
      <c r="C138" s="90">
        <f>VLOOKUP(A138,'Data Vlaue (Cr)'!C133:CY347,101,0)</f>
        <v>75</v>
      </c>
      <c r="D138" s="139">
        <f>VLOOKUP(A138,'Data Vlaue (Cr)'!C133:CZ347,102,0)</f>
        <v>4.3900000000000002E-2</v>
      </c>
      <c r="E138" s="91">
        <f>VLOOKUP($A138,'Data Vlaue (Cr)'!$C:$FB,75)</f>
        <v>1210</v>
      </c>
      <c r="F138" s="91">
        <f>VLOOKUP($A138,'Data Vlaue (Cr)'!$C:$FB,77)</f>
        <v>36</v>
      </c>
      <c r="G138" s="92">
        <f>VLOOKUP(A138,'Data Vlaue (Cr)'!C133:CB347,78,0)</f>
        <v>3.04E-2</v>
      </c>
      <c r="H138" s="91">
        <f>VLOOKUP($A138,'Data Vlaue (Cr)'!$C:$FB,91)</f>
        <v>346</v>
      </c>
      <c r="I138" s="91">
        <f>VLOOKUP($A138,'Data Vlaue (Cr)'!$C:$FB,93)</f>
        <v>27</v>
      </c>
      <c r="J138" s="92">
        <f>VLOOKUP($A138,'Data Vlaue (Cr)'!$C:$FB,94)</f>
        <v>8.6300000000000002E-2</v>
      </c>
      <c r="K138" s="91">
        <f>VLOOKUP($A138,'Data Vlaue (Cr)'!$C:$FB,95)</f>
        <v>230</v>
      </c>
      <c r="L138" s="91">
        <f>VLOOKUP($A138,'Data Vlaue (Cr)'!$C:$FB,97)</f>
        <v>12</v>
      </c>
      <c r="M138" s="92">
        <f>VLOOKUP($A138,'Data Vlaue (Cr)'!$C:$FB,98)</f>
        <v>5.4699999999999999E-2</v>
      </c>
      <c r="N138" s="91">
        <f>VLOOKUP($A138,'Data Vlaue (Cr)'!$C:$FB,79)</f>
        <v>813</v>
      </c>
      <c r="O138" s="92">
        <f>VLOOKUP($A138,'Data Vlaue (Cr)'!$C:$FB,82)</f>
        <v>-0.2853</v>
      </c>
    </row>
    <row r="139" spans="1:15" x14ac:dyDescent="0.25">
      <c r="A139" s="97" t="str">
        <f>'Data Vlaue (Cr)'!C134</f>
        <v>MIDCPNIFTY</v>
      </c>
      <c r="B139" s="142">
        <f>VLOOKUP(A139,'Data Vlaue (Cr)'!C134:CW348,99,0)</f>
        <v>35651</v>
      </c>
      <c r="C139" s="90">
        <f>VLOOKUP(A139,'Data Vlaue (Cr)'!C134:CY348,101,0)</f>
        <v>-1155</v>
      </c>
      <c r="D139" s="139">
        <f>VLOOKUP(A139,'Data Vlaue (Cr)'!C134:CZ348,102,0)</f>
        <v>-3.1399999999999997E-2</v>
      </c>
      <c r="E139" s="91">
        <f>VLOOKUP($A139,'Data Vlaue (Cr)'!$C:$FB,75)</f>
        <v>4231</v>
      </c>
      <c r="F139" s="91">
        <f>VLOOKUP($A139,'Data Vlaue (Cr)'!$C:$FB,77)</f>
        <v>-622</v>
      </c>
      <c r="G139" s="92">
        <f>VLOOKUP(A139,'Data Vlaue (Cr)'!C134:CB348,78,0)</f>
        <v>-0.12820000000000001</v>
      </c>
      <c r="H139" s="91">
        <f>VLOOKUP($A139,'Data Vlaue (Cr)'!$C:$FB,91)</f>
        <v>14950</v>
      </c>
      <c r="I139" s="91">
        <f>VLOOKUP($A139,'Data Vlaue (Cr)'!$C:$FB,93)</f>
        <v>410</v>
      </c>
      <c r="J139" s="92">
        <f>VLOOKUP($A139,'Data Vlaue (Cr)'!$C:$FB,94)</f>
        <v>2.8199999999999999E-2</v>
      </c>
      <c r="K139" s="91">
        <f>VLOOKUP($A139,'Data Vlaue (Cr)'!$C:$FB,95)</f>
        <v>16469</v>
      </c>
      <c r="L139" s="91">
        <f>VLOOKUP($A139,'Data Vlaue (Cr)'!$C:$FB,97)</f>
        <v>-942</v>
      </c>
      <c r="M139" s="92">
        <f>VLOOKUP($A139,'Data Vlaue (Cr)'!$C:$FB,98)</f>
        <v>-5.4100000000000002E-2</v>
      </c>
      <c r="N139" s="91">
        <f>VLOOKUP($A139,'Data Vlaue (Cr)'!$C:$FB,79)</f>
        <v>3301</v>
      </c>
      <c r="O139" s="92">
        <f>VLOOKUP($A139,'Data Vlaue (Cr)'!$C:$FB,82)</f>
        <v>-0.28489999999999999</v>
      </c>
    </row>
    <row r="140" spans="1:15" x14ac:dyDescent="0.25">
      <c r="A140" s="97" t="str">
        <f>'Data Vlaue (Cr)'!C135</f>
        <v>MOTHERSON</v>
      </c>
      <c r="B140" s="142">
        <f>VLOOKUP(A140,'Data Vlaue (Cr)'!C135:CW349,99,0)</f>
        <v>3663</v>
      </c>
      <c r="C140" s="90">
        <f>VLOOKUP(A140,'Data Vlaue (Cr)'!C135:CY349,101,0)</f>
        <v>-65</v>
      </c>
      <c r="D140" s="139">
        <f>VLOOKUP(A140,'Data Vlaue (Cr)'!C135:CZ349,102,0)</f>
        <v>-1.7500000000000002E-2</v>
      </c>
      <c r="E140" s="91">
        <f>VLOOKUP($A140,'Data Vlaue (Cr)'!$C:$FB,75)</f>
        <v>1945</v>
      </c>
      <c r="F140" s="91">
        <f>VLOOKUP($A140,'Data Vlaue (Cr)'!$C:$FB,77)</f>
        <v>-21</v>
      </c>
      <c r="G140" s="92">
        <f>VLOOKUP(A140,'Data Vlaue (Cr)'!C135:CB349,78,0)</f>
        <v>-1.0800000000000001E-2</v>
      </c>
      <c r="H140" s="91">
        <f>VLOOKUP($A140,'Data Vlaue (Cr)'!$C:$FB,91)</f>
        <v>1066</v>
      </c>
      <c r="I140" s="91">
        <f>VLOOKUP($A140,'Data Vlaue (Cr)'!$C:$FB,93)</f>
        <v>-35</v>
      </c>
      <c r="J140" s="92">
        <f>VLOOKUP($A140,'Data Vlaue (Cr)'!$C:$FB,94)</f>
        <v>-3.1800000000000002E-2</v>
      </c>
      <c r="K140" s="91">
        <f>VLOOKUP($A140,'Data Vlaue (Cr)'!$C:$FB,95)</f>
        <v>652</v>
      </c>
      <c r="L140" s="91">
        <f>VLOOKUP($A140,'Data Vlaue (Cr)'!$C:$FB,97)</f>
        <v>-9</v>
      </c>
      <c r="M140" s="92">
        <f>VLOOKUP($A140,'Data Vlaue (Cr)'!$C:$FB,98)</f>
        <v>-1.34E-2</v>
      </c>
      <c r="N140" s="91">
        <f>VLOOKUP($A140,'Data Vlaue (Cr)'!$C:$FB,79)</f>
        <v>1334</v>
      </c>
      <c r="O140" s="92">
        <f>VLOOKUP($A140,'Data Vlaue (Cr)'!$C:$FB,82)</f>
        <v>-0.22439999999999999</v>
      </c>
    </row>
    <row r="141" spans="1:15" x14ac:dyDescent="0.25">
      <c r="A141" s="97" t="str">
        <f>'Data Vlaue (Cr)'!C136</f>
        <v>MPHASIS</v>
      </c>
      <c r="B141" s="142">
        <f>VLOOKUP(A141,'Data Vlaue (Cr)'!C136:CW350,99,0)</f>
        <v>3071</v>
      </c>
      <c r="C141" s="90">
        <f>VLOOKUP(A141,'Data Vlaue (Cr)'!C136:CY350,101,0)</f>
        <v>-223</v>
      </c>
      <c r="D141" s="139">
        <f>VLOOKUP(A141,'Data Vlaue (Cr)'!C136:CZ350,102,0)</f>
        <v>-6.7799999999999999E-2</v>
      </c>
      <c r="E141" s="91">
        <f>VLOOKUP($A141,'Data Vlaue (Cr)'!$C:$FB,75)</f>
        <v>1867</v>
      </c>
      <c r="F141" s="91">
        <f>VLOOKUP($A141,'Data Vlaue (Cr)'!$C:$FB,77)</f>
        <v>-54</v>
      </c>
      <c r="G141" s="92">
        <f>VLOOKUP(A141,'Data Vlaue (Cr)'!C136:CB350,78,0)</f>
        <v>-2.8199999999999999E-2</v>
      </c>
      <c r="H141" s="91">
        <f>VLOOKUP($A141,'Data Vlaue (Cr)'!$C:$FB,91)</f>
        <v>754</v>
      </c>
      <c r="I141" s="91">
        <f>VLOOKUP($A141,'Data Vlaue (Cr)'!$C:$FB,93)</f>
        <v>-142</v>
      </c>
      <c r="J141" s="92">
        <f>VLOOKUP($A141,'Data Vlaue (Cr)'!$C:$FB,94)</f>
        <v>-0.15859999999999999</v>
      </c>
      <c r="K141" s="91">
        <f>VLOOKUP($A141,'Data Vlaue (Cr)'!$C:$FB,95)</f>
        <v>449</v>
      </c>
      <c r="L141" s="91">
        <f>VLOOKUP($A141,'Data Vlaue (Cr)'!$C:$FB,97)</f>
        <v>-27</v>
      </c>
      <c r="M141" s="92">
        <f>VLOOKUP($A141,'Data Vlaue (Cr)'!$C:$FB,98)</f>
        <v>-5.6800000000000003E-2</v>
      </c>
      <c r="N141" s="91">
        <f>VLOOKUP($A141,'Data Vlaue (Cr)'!$C:$FB,79)</f>
        <v>1361</v>
      </c>
      <c r="O141" s="92">
        <f>VLOOKUP($A141,'Data Vlaue (Cr)'!$C:$FB,82)</f>
        <v>-0.20530000000000001</v>
      </c>
    </row>
    <row r="142" spans="1:15" x14ac:dyDescent="0.25">
      <c r="A142" s="97" t="str">
        <f>'Data Vlaue (Cr)'!C137</f>
        <v>MUTHOOTFIN</v>
      </c>
      <c r="B142" s="142">
        <f>VLOOKUP(A142,'Data Vlaue (Cr)'!C137:CW351,99,0)</f>
        <v>3974</v>
      </c>
      <c r="C142" s="90">
        <f>VLOOKUP(A142,'Data Vlaue (Cr)'!C137:CY351,101,0)</f>
        <v>-282</v>
      </c>
      <c r="D142" s="139">
        <f>VLOOKUP(A142,'Data Vlaue (Cr)'!C137:CZ351,102,0)</f>
        <v>-6.6199999999999995E-2</v>
      </c>
      <c r="E142" s="91">
        <f>VLOOKUP($A142,'Data Vlaue (Cr)'!$C:$FB,75)</f>
        <v>1161</v>
      </c>
      <c r="F142" s="91">
        <f>VLOOKUP($A142,'Data Vlaue (Cr)'!$C:$FB,77)</f>
        <v>2</v>
      </c>
      <c r="G142" s="92">
        <f>VLOOKUP(A142,'Data Vlaue (Cr)'!C137:CB351,78,0)</f>
        <v>2.0999999999999999E-3</v>
      </c>
      <c r="H142" s="91">
        <f>VLOOKUP($A142,'Data Vlaue (Cr)'!$C:$FB,91)</f>
        <v>1518</v>
      </c>
      <c r="I142" s="91">
        <f>VLOOKUP($A142,'Data Vlaue (Cr)'!$C:$FB,93)</f>
        <v>-135</v>
      </c>
      <c r="J142" s="92">
        <f>VLOOKUP($A142,'Data Vlaue (Cr)'!$C:$FB,94)</f>
        <v>-8.14E-2</v>
      </c>
      <c r="K142" s="91">
        <f>VLOOKUP($A142,'Data Vlaue (Cr)'!$C:$FB,95)</f>
        <v>1295</v>
      </c>
      <c r="L142" s="91">
        <f>VLOOKUP($A142,'Data Vlaue (Cr)'!$C:$FB,97)</f>
        <v>-150</v>
      </c>
      <c r="M142" s="92">
        <f>VLOOKUP($A142,'Data Vlaue (Cr)'!$C:$FB,98)</f>
        <v>-0.1037</v>
      </c>
      <c r="N142" s="91">
        <f>VLOOKUP($A142,'Data Vlaue (Cr)'!$C:$FB,79)</f>
        <v>743</v>
      </c>
      <c r="O142" s="92">
        <f>VLOOKUP($A142,'Data Vlaue (Cr)'!$C:$FB,82)</f>
        <v>-0.22770000000000001</v>
      </c>
    </row>
    <row r="143" spans="1:15" x14ac:dyDescent="0.25">
      <c r="A143" s="97" t="str">
        <f>'Data Vlaue (Cr)'!C138</f>
        <v>NATIONALUM</v>
      </c>
      <c r="B143" s="142">
        <f>VLOOKUP(A143,'Data Vlaue (Cr)'!C138:CW352,99,0)</f>
        <v>3862</v>
      </c>
      <c r="C143" s="90">
        <f>VLOOKUP(A143,'Data Vlaue (Cr)'!C138:CY352,101,0)</f>
        <v>-56</v>
      </c>
      <c r="D143" s="139">
        <f>VLOOKUP(A143,'Data Vlaue (Cr)'!C138:CZ352,102,0)</f>
        <v>-1.4200000000000001E-2</v>
      </c>
      <c r="E143" s="91">
        <f>VLOOKUP($A143,'Data Vlaue (Cr)'!$C:$FB,75)</f>
        <v>1910</v>
      </c>
      <c r="F143" s="91">
        <f>VLOOKUP($A143,'Data Vlaue (Cr)'!$C:$FB,77)</f>
        <v>-9</v>
      </c>
      <c r="G143" s="92">
        <f>VLOOKUP(A143,'Data Vlaue (Cr)'!C138:CB352,78,0)</f>
        <v>-4.4999999999999997E-3</v>
      </c>
      <c r="H143" s="91">
        <f>VLOOKUP($A143,'Data Vlaue (Cr)'!$C:$FB,91)</f>
        <v>1013</v>
      </c>
      <c r="I143" s="91">
        <f>VLOOKUP($A143,'Data Vlaue (Cr)'!$C:$FB,93)</f>
        <v>4</v>
      </c>
      <c r="J143" s="92">
        <f>VLOOKUP($A143,'Data Vlaue (Cr)'!$C:$FB,94)</f>
        <v>3.5000000000000001E-3</v>
      </c>
      <c r="K143" s="91">
        <f>VLOOKUP($A143,'Data Vlaue (Cr)'!$C:$FB,95)</f>
        <v>939</v>
      </c>
      <c r="L143" s="91">
        <f>VLOOKUP($A143,'Data Vlaue (Cr)'!$C:$FB,97)</f>
        <v>-51</v>
      </c>
      <c r="M143" s="92">
        <f>VLOOKUP($A143,'Data Vlaue (Cr)'!$C:$FB,98)</f>
        <v>-5.1299999999999998E-2</v>
      </c>
      <c r="N143" s="91">
        <f>VLOOKUP($A143,'Data Vlaue (Cr)'!$C:$FB,79)</f>
        <v>1359</v>
      </c>
      <c r="O143" s="92">
        <f>VLOOKUP($A143,'Data Vlaue (Cr)'!$C:$FB,82)</f>
        <v>-0.21299999999999999</v>
      </c>
    </row>
    <row r="144" spans="1:15" x14ac:dyDescent="0.25">
      <c r="A144" s="97" t="str">
        <f>'Data Vlaue (Cr)'!C139</f>
        <v>NAUKRI</v>
      </c>
      <c r="B144" s="142">
        <f>VLOOKUP(A144,'Data Vlaue (Cr)'!C139:CW353,99,0)</f>
        <v>1786</v>
      </c>
      <c r="C144" s="90">
        <f>VLOOKUP(A144,'Data Vlaue (Cr)'!C139:CY353,101,0)</f>
        <v>-112</v>
      </c>
      <c r="D144" s="139">
        <f>VLOOKUP(A144,'Data Vlaue (Cr)'!C139:CZ353,102,0)</f>
        <v>-5.8799999999999998E-2</v>
      </c>
      <c r="E144" s="91">
        <f>VLOOKUP($A144,'Data Vlaue (Cr)'!$C:$FB,75)</f>
        <v>1105</v>
      </c>
      <c r="F144" s="91">
        <f>VLOOKUP($A144,'Data Vlaue (Cr)'!$C:$FB,77)</f>
        <v>-63</v>
      </c>
      <c r="G144" s="92">
        <f>VLOOKUP(A144,'Data Vlaue (Cr)'!C139:CB353,78,0)</f>
        <v>-5.4199999999999998E-2</v>
      </c>
      <c r="H144" s="91">
        <f>VLOOKUP($A144,'Data Vlaue (Cr)'!$C:$FB,91)</f>
        <v>426</v>
      </c>
      <c r="I144" s="91">
        <f>VLOOKUP($A144,'Data Vlaue (Cr)'!$C:$FB,93)</f>
        <v>-49</v>
      </c>
      <c r="J144" s="92">
        <f>VLOOKUP($A144,'Data Vlaue (Cr)'!$C:$FB,94)</f>
        <v>-0.1036</v>
      </c>
      <c r="K144" s="91">
        <f>VLOOKUP($A144,'Data Vlaue (Cr)'!$C:$FB,95)</f>
        <v>255</v>
      </c>
      <c r="L144" s="91">
        <f>VLOOKUP($A144,'Data Vlaue (Cr)'!$C:$FB,97)</f>
        <v>1</v>
      </c>
      <c r="M144" s="92">
        <f>VLOOKUP($A144,'Data Vlaue (Cr)'!$C:$FB,98)</f>
        <v>3.3999999999999998E-3</v>
      </c>
      <c r="N144" s="91">
        <f>VLOOKUP($A144,'Data Vlaue (Cr)'!$C:$FB,79)</f>
        <v>687</v>
      </c>
      <c r="O144" s="92">
        <f>VLOOKUP($A144,'Data Vlaue (Cr)'!$C:$FB,82)</f>
        <v>-0.37269999999999998</v>
      </c>
    </row>
    <row r="145" spans="1:15" x14ac:dyDescent="0.25">
      <c r="A145" s="97" t="str">
        <f>'Data Vlaue (Cr)'!C140</f>
        <v>NBCC</v>
      </c>
      <c r="B145" s="142">
        <f>VLOOKUP(A145,'Data Vlaue (Cr)'!C140:CW354,99,0)</f>
        <v>1920</v>
      </c>
      <c r="C145" s="90">
        <f>VLOOKUP(A145,'Data Vlaue (Cr)'!C140:CY354,101,0)</f>
        <v>151</v>
      </c>
      <c r="D145" s="139">
        <f>VLOOKUP(A145,'Data Vlaue (Cr)'!C140:CZ354,102,0)</f>
        <v>8.5199999999999998E-2</v>
      </c>
      <c r="E145" s="91">
        <f>VLOOKUP($A145,'Data Vlaue (Cr)'!$C:$FB,75)</f>
        <v>969</v>
      </c>
      <c r="F145" s="91">
        <f>VLOOKUP($A145,'Data Vlaue (Cr)'!$C:$FB,77)</f>
        <v>-6</v>
      </c>
      <c r="G145" s="92">
        <f>VLOOKUP(A145,'Data Vlaue (Cr)'!C140:CB354,78,0)</f>
        <v>-6.6E-3</v>
      </c>
      <c r="H145" s="91">
        <f>VLOOKUP($A145,'Data Vlaue (Cr)'!$C:$FB,91)</f>
        <v>641</v>
      </c>
      <c r="I145" s="91">
        <f>VLOOKUP($A145,'Data Vlaue (Cr)'!$C:$FB,93)</f>
        <v>129</v>
      </c>
      <c r="J145" s="92">
        <f>VLOOKUP($A145,'Data Vlaue (Cr)'!$C:$FB,94)</f>
        <v>0.25169999999999998</v>
      </c>
      <c r="K145" s="91">
        <f>VLOOKUP($A145,'Data Vlaue (Cr)'!$C:$FB,95)</f>
        <v>310</v>
      </c>
      <c r="L145" s="91">
        <f>VLOOKUP($A145,'Data Vlaue (Cr)'!$C:$FB,97)</f>
        <v>28</v>
      </c>
      <c r="M145" s="92">
        <f>VLOOKUP($A145,'Data Vlaue (Cr)'!$C:$FB,98)</f>
        <v>0.10009999999999999</v>
      </c>
      <c r="N145" s="91">
        <f>VLOOKUP($A145,'Data Vlaue (Cr)'!$C:$FB,79)</f>
        <v>618</v>
      </c>
      <c r="O145" s="92">
        <f>VLOOKUP($A145,'Data Vlaue (Cr)'!$C:$FB,82)</f>
        <v>-0.21959999999999999</v>
      </c>
    </row>
    <row r="146" spans="1:15" x14ac:dyDescent="0.25">
      <c r="A146" s="97" t="str">
        <f>'Data Vlaue (Cr)'!C141</f>
        <v>NCC</v>
      </c>
      <c r="B146" s="142">
        <f>VLOOKUP(A146,'Data Vlaue (Cr)'!C141:CW355,99,0)</f>
        <v>1070</v>
      </c>
      <c r="C146" s="90">
        <f>VLOOKUP(A146,'Data Vlaue (Cr)'!C141:CY355,101,0)</f>
        <v>-4</v>
      </c>
      <c r="D146" s="139">
        <f>VLOOKUP(A146,'Data Vlaue (Cr)'!C141:CZ355,102,0)</f>
        <v>-4.0000000000000001E-3</v>
      </c>
      <c r="E146" s="91">
        <f>VLOOKUP($A146,'Data Vlaue (Cr)'!$C:$FB,75)</f>
        <v>449</v>
      </c>
      <c r="F146" s="91">
        <f>VLOOKUP($A146,'Data Vlaue (Cr)'!$C:$FB,77)</f>
        <v>2</v>
      </c>
      <c r="G146" s="92">
        <f>VLOOKUP(A146,'Data Vlaue (Cr)'!C141:CB355,78,0)</f>
        <v>3.7000000000000002E-3</v>
      </c>
      <c r="H146" s="91">
        <f>VLOOKUP($A146,'Data Vlaue (Cr)'!$C:$FB,91)</f>
        <v>423</v>
      </c>
      <c r="I146" s="91">
        <f>VLOOKUP($A146,'Data Vlaue (Cr)'!$C:$FB,93)</f>
        <v>-5</v>
      </c>
      <c r="J146" s="92">
        <f>VLOOKUP($A146,'Data Vlaue (Cr)'!$C:$FB,94)</f>
        <v>-1.2800000000000001E-2</v>
      </c>
      <c r="K146" s="91">
        <f>VLOOKUP($A146,'Data Vlaue (Cr)'!$C:$FB,95)</f>
        <v>198</v>
      </c>
      <c r="L146" s="91">
        <f>VLOOKUP($A146,'Data Vlaue (Cr)'!$C:$FB,97)</f>
        <v>0</v>
      </c>
      <c r="M146" s="92">
        <f>VLOOKUP($A146,'Data Vlaue (Cr)'!$C:$FB,98)</f>
        <v>-2.2000000000000001E-3</v>
      </c>
      <c r="N146" s="91">
        <f>VLOOKUP($A146,'Data Vlaue (Cr)'!$C:$FB,79)</f>
        <v>307</v>
      </c>
      <c r="O146" s="92">
        <f>VLOOKUP($A146,'Data Vlaue (Cr)'!$C:$FB,82)</f>
        <v>-0.15210000000000001</v>
      </c>
    </row>
    <row r="147" spans="1:15" x14ac:dyDescent="0.25">
      <c r="A147" s="97" t="str">
        <f>'Data Vlaue (Cr)'!C142</f>
        <v>NESTLEIND</v>
      </c>
      <c r="B147" s="142">
        <f>VLOOKUP(A147,'Data Vlaue (Cr)'!C142:CW356,99,0)</f>
        <v>3046</v>
      </c>
      <c r="C147" s="90">
        <f>VLOOKUP(A147,'Data Vlaue (Cr)'!C142:CY356,101,0)</f>
        <v>-40</v>
      </c>
      <c r="D147" s="139">
        <f>VLOOKUP(A147,'Data Vlaue (Cr)'!C142:CZ356,102,0)</f>
        <v>-1.3100000000000001E-2</v>
      </c>
      <c r="E147" s="91">
        <f>VLOOKUP($A147,'Data Vlaue (Cr)'!$C:$FB,75)</f>
        <v>2126</v>
      </c>
      <c r="F147" s="91">
        <f>VLOOKUP($A147,'Data Vlaue (Cr)'!$C:$FB,77)</f>
        <v>-3</v>
      </c>
      <c r="G147" s="92">
        <f>VLOOKUP(A147,'Data Vlaue (Cr)'!C142:CB356,78,0)</f>
        <v>-1.5E-3</v>
      </c>
      <c r="H147" s="91">
        <f>VLOOKUP($A147,'Data Vlaue (Cr)'!$C:$FB,91)</f>
        <v>670</v>
      </c>
      <c r="I147" s="91">
        <f>VLOOKUP($A147,'Data Vlaue (Cr)'!$C:$FB,93)</f>
        <v>-26</v>
      </c>
      <c r="J147" s="92">
        <f>VLOOKUP($A147,'Data Vlaue (Cr)'!$C:$FB,94)</f>
        <v>-3.7400000000000003E-2</v>
      </c>
      <c r="K147" s="91">
        <f>VLOOKUP($A147,'Data Vlaue (Cr)'!$C:$FB,95)</f>
        <v>251</v>
      </c>
      <c r="L147" s="91">
        <f>VLOOKUP($A147,'Data Vlaue (Cr)'!$C:$FB,97)</f>
        <v>-11</v>
      </c>
      <c r="M147" s="92">
        <f>VLOOKUP($A147,'Data Vlaue (Cr)'!$C:$FB,98)</f>
        <v>-4.2299999999999997E-2</v>
      </c>
      <c r="N147" s="91">
        <f>VLOOKUP($A147,'Data Vlaue (Cr)'!$C:$FB,79)</f>
        <v>1428</v>
      </c>
      <c r="O147" s="92">
        <f>VLOOKUP($A147,'Data Vlaue (Cr)'!$C:$FB,82)</f>
        <v>-0.26769999999999999</v>
      </c>
    </row>
    <row r="148" spans="1:15" x14ac:dyDescent="0.25">
      <c r="A148" s="97" t="str">
        <f>'Data Vlaue (Cr)'!C143</f>
        <v>NHPC</v>
      </c>
      <c r="B148" s="142">
        <f>VLOOKUP(A148,'Data Vlaue (Cr)'!C143:CW357,99,0)</f>
        <v>992</v>
      </c>
      <c r="C148" s="90">
        <f>VLOOKUP(A148,'Data Vlaue (Cr)'!C143:CY357,101,0)</f>
        <v>-15</v>
      </c>
      <c r="D148" s="139">
        <f>VLOOKUP(A148,'Data Vlaue (Cr)'!C143:CZ357,102,0)</f>
        <v>-1.47E-2</v>
      </c>
      <c r="E148" s="91">
        <f>VLOOKUP($A148,'Data Vlaue (Cr)'!$C:$FB,75)</f>
        <v>537</v>
      </c>
      <c r="F148" s="91">
        <f>VLOOKUP($A148,'Data Vlaue (Cr)'!$C:$FB,77)</f>
        <v>2</v>
      </c>
      <c r="G148" s="92">
        <f>VLOOKUP(A148,'Data Vlaue (Cr)'!C143:CB357,78,0)</f>
        <v>3.3999999999999998E-3</v>
      </c>
      <c r="H148" s="91">
        <f>VLOOKUP($A148,'Data Vlaue (Cr)'!$C:$FB,91)</f>
        <v>313</v>
      </c>
      <c r="I148" s="91">
        <f>VLOOKUP($A148,'Data Vlaue (Cr)'!$C:$FB,93)</f>
        <v>-13</v>
      </c>
      <c r="J148" s="92">
        <f>VLOOKUP($A148,'Data Vlaue (Cr)'!$C:$FB,94)</f>
        <v>-3.9199999999999999E-2</v>
      </c>
      <c r="K148" s="91">
        <f>VLOOKUP($A148,'Data Vlaue (Cr)'!$C:$FB,95)</f>
        <v>141</v>
      </c>
      <c r="L148" s="91">
        <f>VLOOKUP($A148,'Data Vlaue (Cr)'!$C:$FB,97)</f>
        <v>-4</v>
      </c>
      <c r="M148" s="92">
        <f>VLOOKUP($A148,'Data Vlaue (Cr)'!$C:$FB,98)</f>
        <v>-2.69E-2</v>
      </c>
      <c r="N148" s="91">
        <f>VLOOKUP($A148,'Data Vlaue (Cr)'!$C:$FB,79)</f>
        <v>355</v>
      </c>
      <c r="O148" s="92">
        <f>VLOOKUP($A148,'Data Vlaue (Cr)'!$C:$FB,82)</f>
        <v>-0.21820000000000001</v>
      </c>
    </row>
    <row r="149" spans="1:15" x14ac:dyDescent="0.25">
      <c r="A149" s="97" t="str">
        <f>'Data Vlaue (Cr)'!C144</f>
        <v>NIFTY</v>
      </c>
      <c r="B149" s="142">
        <f>VLOOKUP(A149,'Data Vlaue (Cr)'!C144:CW358,99,0)</f>
        <v>1303378</v>
      </c>
      <c r="C149" s="90">
        <f>VLOOKUP(A149,'Data Vlaue (Cr)'!C144:CY358,101,0)</f>
        <v>178820</v>
      </c>
      <c r="D149" s="139">
        <f>VLOOKUP(A149,'Data Vlaue (Cr)'!C144:CZ358,102,0)</f>
        <v>0.159</v>
      </c>
      <c r="E149" s="91">
        <f>VLOOKUP($A149,'Data Vlaue (Cr)'!$C:$FB,75)</f>
        <v>51877</v>
      </c>
      <c r="F149" s="91">
        <f>VLOOKUP($A149,'Data Vlaue (Cr)'!$C:$FB,77)</f>
        <v>343</v>
      </c>
      <c r="G149" s="92">
        <f>VLOOKUP(A149,'Data Vlaue (Cr)'!C144:CB358,78,0)</f>
        <v>6.6E-3</v>
      </c>
      <c r="H149" s="91">
        <f>VLOOKUP($A149,'Data Vlaue (Cr)'!$C:$FB,91)</f>
        <v>512819</v>
      </c>
      <c r="I149" s="91">
        <f>VLOOKUP($A149,'Data Vlaue (Cr)'!$C:$FB,93)</f>
        <v>43488</v>
      </c>
      <c r="J149" s="92">
        <f>VLOOKUP($A149,'Data Vlaue (Cr)'!$C:$FB,94)</f>
        <v>9.2700000000000005E-2</v>
      </c>
      <c r="K149" s="91">
        <f>VLOOKUP($A149,'Data Vlaue (Cr)'!$C:$FB,95)</f>
        <v>738682</v>
      </c>
      <c r="L149" s="91">
        <f>VLOOKUP($A149,'Data Vlaue (Cr)'!$C:$FB,97)</f>
        <v>134989</v>
      </c>
      <c r="M149" s="92">
        <f>VLOOKUP($A149,'Data Vlaue (Cr)'!$C:$FB,98)</f>
        <v>0.22359999999999999</v>
      </c>
      <c r="N149" s="91">
        <f>VLOOKUP($A149,'Data Vlaue (Cr)'!$C:$FB,79)</f>
        <v>38316</v>
      </c>
      <c r="O149" s="92">
        <f>VLOOKUP($A149,'Data Vlaue (Cr)'!$C:$FB,82)</f>
        <v>-0.13</v>
      </c>
    </row>
    <row r="150" spans="1:15" x14ac:dyDescent="0.25">
      <c r="A150" s="97" t="str">
        <f>'Data Vlaue (Cr)'!C145</f>
        <v>NIFTYNXT50</v>
      </c>
      <c r="B150" s="142">
        <f>VLOOKUP(A150,'Data Vlaue (Cr)'!C145:CW359,99,0)</f>
        <v>417</v>
      </c>
      <c r="C150" s="90">
        <f>VLOOKUP(A150,'Data Vlaue (Cr)'!C145:CY359,101,0)</f>
        <v>34</v>
      </c>
      <c r="D150" s="139">
        <f>VLOOKUP(A150,'Data Vlaue (Cr)'!C145:CZ359,102,0)</f>
        <v>8.9700000000000002E-2</v>
      </c>
      <c r="E150" s="91">
        <f>VLOOKUP($A150,'Data Vlaue (Cr)'!$C:$FB,75)</f>
        <v>163</v>
      </c>
      <c r="F150" s="91">
        <f>VLOOKUP($A150,'Data Vlaue (Cr)'!$C:$FB,77)</f>
        <v>-2</v>
      </c>
      <c r="G150" s="92">
        <f>VLOOKUP(A150,'Data Vlaue (Cr)'!C145:CB359,78,0)</f>
        <v>-1.47E-2</v>
      </c>
      <c r="H150" s="91">
        <f>VLOOKUP($A150,'Data Vlaue (Cr)'!$C:$FB,91)</f>
        <v>143</v>
      </c>
      <c r="I150" s="91">
        <f>VLOOKUP($A150,'Data Vlaue (Cr)'!$C:$FB,93)</f>
        <v>2</v>
      </c>
      <c r="J150" s="92">
        <f>VLOOKUP($A150,'Data Vlaue (Cr)'!$C:$FB,94)</f>
        <v>1.3599999999999999E-2</v>
      </c>
      <c r="K150" s="91">
        <f>VLOOKUP($A150,'Data Vlaue (Cr)'!$C:$FB,95)</f>
        <v>111</v>
      </c>
      <c r="L150" s="91">
        <f>VLOOKUP($A150,'Data Vlaue (Cr)'!$C:$FB,97)</f>
        <v>35</v>
      </c>
      <c r="M150" s="92">
        <f>VLOOKUP($A150,'Data Vlaue (Cr)'!$C:$FB,98)</f>
        <v>0.45660000000000001</v>
      </c>
      <c r="N150" s="91">
        <f>VLOOKUP($A150,'Data Vlaue (Cr)'!$C:$FB,79)</f>
        <v>124</v>
      </c>
      <c r="O150" s="92">
        <f>VLOOKUP($A150,'Data Vlaue (Cr)'!$C:$FB,82)</f>
        <v>-6.2E-2</v>
      </c>
    </row>
    <row r="151" spans="1:15" x14ac:dyDescent="0.25">
      <c r="A151" s="97" t="str">
        <f>'Data Vlaue (Cr)'!C146</f>
        <v>NMDC</v>
      </c>
      <c r="B151" s="142">
        <f>VLOOKUP(A151,'Data Vlaue (Cr)'!C146:CW360,99,0)</f>
        <v>4414</v>
      </c>
      <c r="C151" s="90">
        <f>VLOOKUP(A151,'Data Vlaue (Cr)'!C146:CY360,101,0)</f>
        <v>29</v>
      </c>
      <c r="D151" s="139">
        <f>VLOOKUP(A151,'Data Vlaue (Cr)'!C146:CZ360,102,0)</f>
        <v>6.7000000000000002E-3</v>
      </c>
      <c r="E151" s="91">
        <f>VLOOKUP($A151,'Data Vlaue (Cr)'!$C:$FB,75)</f>
        <v>2576</v>
      </c>
      <c r="F151" s="91">
        <f>VLOOKUP($A151,'Data Vlaue (Cr)'!$C:$FB,77)</f>
        <v>17</v>
      </c>
      <c r="G151" s="92">
        <f>VLOOKUP(A151,'Data Vlaue (Cr)'!C146:CB360,78,0)</f>
        <v>6.7000000000000002E-3</v>
      </c>
      <c r="H151" s="91">
        <f>VLOOKUP($A151,'Data Vlaue (Cr)'!$C:$FB,91)</f>
        <v>1145</v>
      </c>
      <c r="I151" s="91">
        <f>VLOOKUP($A151,'Data Vlaue (Cr)'!$C:$FB,93)</f>
        <v>8</v>
      </c>
      <c r="J151" s="92">
        <f>VLOOKUP($A151,'Data Vlaue (Cr)'!$C:$FB,94)</f>
        <v>6.8999999999999999E-3</v>
      </c>
      <c r="K151" s="91">
        <f>VLOOKUP($A151,'Data Vlaue (Cr)'!$C:$FB,95)</f>
        <v>693</v>
      </c>
      <c r="L151" s="91">
        <f>VLOOKUP($A151,'Data Vlaue (Cr)'!$C:$FB,97)</f>
        <v>4</v>
      </c>
      <c r="M151" s="92">
        <f>VLOOKUP($A151,'Data Vlaue (Cr)'!$C:$FB,98)</f>
        <v>5.8999999999999999E-3</v>
      </c>
      <c r="N151" s="91">
        <f>VLOOKUP($A151,'Data Vlaue (Cr)'!$C:$FB,79)</f>
        <v>1162</v>
      </c>
      <c r="O151" s="92">
        <f>VLOOKUP($A151,'Data Vlaue (Cr)'!$C:$FB,82)</f>
        <v>-0.44990000000000002</v>
      </c>
    </row>
    <row r="152" spans="1:15" x14ac:dyDescent="0.25">
      <c r="A152" s="97" t="str">
        <f>'Data Vlaue (Cr)'!C147</f>
        <v>NTPC</v>
      </c>
      <c r="B152" s="142">
        <f>VLOOKUP(A152,'Data Vlaue (Cr)'!C147:CW361,99,0)</f>
        <v>5776</v>
      </c>
      <c r="C152" s="90">
        <f>VLOOKUP(A152,'Data Vlaue (Cr)'!C147:CY361,101,0)</f>
        <v>-151</v>
      </c>
      <c r="D152" s="139">
        <f>VLOOKUP(A152,'Data Vlaue (Cr)'!C147:CZ361,102,0)</f>
        <v>-2.5499999999999998E-2</v>
      </c>
      <c r="E152" s="91">
        <f>VLOOKUP($A152,'Data Vlaue (Cr)'!$C:$FB,75)</f>
        <v>3072</v>
      </c>
      <c r="F152" s="91">
        <f>VLOOKUP($A152,'Data Vlaue (Cr)'!$C:$FB,77)</f>
        <v>-41</v>
      </c>
      <c r="G152" s="92">
        <f>VLOOKUP(A152,'Data Vlaue (Cr)'!C147:CB361,78,0)</f>
        <v>-1.3299999999999999E-2</v>
      </c>
      <c r="H152" s="91">
        <f>VLOOKUP($A152,'Data Vlaue (Cr)'!$C:$FB,91)</f>
        <v>1934</v>
      </c>
      <c r="I152" s="91">
        <f>VLOOKUP($A152,'Data Vlaue (Cr)'!$C:$FB,93)</f>
        <v>-69</v>
      </c>
      <c r="J152" s="92">
        <f>VLOOKUP($A152,'Data Vlaue (Cr)'!$C:$FB,94)</f>
        <v>-3.4500000000000003E-2</v>
      </c>
      <c r="K152" s="91">
        <f>VLOOKUP($A152,'Data Vlaue (Cr)'!$C:$FB,95)</f>
        <v>769</v>
      </c>
      <c r="L152" s="91">
        <f>VLOOKUP($A152,'Data Vlaue (Cr)'!$C:$FB,97)</f>
        <v>-40</v>
      </c>
      <c r="M152" s="92">
        <f>VLOOKUP($A152,'Data Vlaue (Cr)'!$C:$FB,98)</f>
        <v>-4.99E-2</v>
      </c>
      <c r="N152" s="91">
        <f>VLOOKUP($A152,'Data Vlaue (Cr)'!$C:$FB,79)</f>
        <v>2165</v>
      </c>
      <c r="O152" s="92">
        <f>VLOOKUP($A152,'Data Vlaue (Cr)'!$C:$FB,82)</f>
        <v>-0.19620000000000001</v>
      </c>
    </row>
    <row r="153" spans="1:15" x14ac:dyDescent="0.25">
      <c r="A153" s="97" t="str">
        <f>'Data Vlaue (Cr)'!C148</f>
        <v>NUVAMA</v>
      </c>
      <c r="B153" s="142">
        <f>VLOOKUP(A153,'Data Vlaue (Cr)'!C148:CW362,99,0)</f>
        <v>740</v>
      </c>
      <c r="C153" s="90">
        <f>VLOOKUP(A153,'Data Vlaue (Cr)'!C148:CY362,101,0)</f>
        <v>18</v>
      </c>
      <c r="D153" s="139">
        <f>VLOOKUP(A153,'Data Vlaue (Cr)'!C148:CZ362,102,0)</f>
        <v>2.52E-2</v>
      </c>
      <c r="E153" s="91">
        <f>VLOOKUP($A153,'Data Vlaue (Cr)'!$C:$FB,75)</f>
        <v>291</v>
      </c>
      <c r="F153" s="91">
        <f>VLOOKUP($A153,'Data Vlaue (Cr)'!$C:$FB,77)</f>
        <v>12</v>
      </c>
      <c r="G153" s="92">
        <f>VLOOKUP(A153,'Data Vlaue (Cr)'!C148:CB362,78,0)</f>
        <v>4.4900000000000002E-2</v>
      </c>
      <c r="H153" s="91">
        <f>VLOOKUP($A153,'Data Vlaue (Cr)'!$C:$FB,91)</f>
        <v>273</v>
      </c>
      <c r="I153" s="91">
        <f>VLOOKUP($A153,'Data Vlaue (Cr)'!$C:$FB,93)</f>
        <v>-13</v>
      </c>
      <c r="J153" s="92">
        <f>VLOOKUP($A153,'Data Vlaue (Cr)'!$C:$FB,94)</f>
        <v>-4.3999999999999997E-2</v>
      </c>
      <c r="K153" s="91">
        <f>VLOOKUP($A153,'Data Vlaue (Cr)'!$C:$FB,95)</f>
        <v>177</v>
      </c>
      <c r="L153" s="91">
        <f>VLOOKUP($A153,'Data Vlaue (Cr)'!$C:$FB,97)</f>
        <v>18</v>
      </c>
      <c r="M153" s="92">
        <f>VLOOKUP($A153,'Data Vlaue (Cr)'!$C:$FB,98)</f>
        <v>0.1148</v>
      </c>
      <c r="N153" s="91">
        <f>VLOOKUP($A153,'Data Vlaue (Cr)'!$C:$FB,79)</f>
        <v>219</v>
      </c>
      <c r="O153" s="92">
        <f>VLOOKUP($A153,'Data Vlaue (Cr)'!$C:$FB,82)</f>
        <v>-0.14330000000000001</v>
      </c>
    </row>
    <row r="154" spans="1:15" x14ac:dyDescent="0.25">
      <c r="A154" s="97" t="str">
        <f>'Data Vlaue (Cr)'!C149</f>
        <v>NYKAA</v>
      </c>
      <c r="B154" s="142">
        <f>VLOOKUP(A154,'Data Vlaue (Cr)'!C149:CW363,99,0)</f>
        <v>2454</v>
      </c>
      <c r="C154" s="90">
        <f>VLOOKUP(A154,'Data Vlaue (Cr)'!C149:CY363,101,0)</f>
        <v>-177</v>
      </c>
      <c r="D154" s="139">
        <f>VLOOKUP(A154,'Data Vlaue (Cr)'!C149:CZ363,102,0)</f>
        <v>-6.7400000000000002E-2</v>
      </c>
      <c r="E154" s="91">
        <f>VLOOKUP($A154,'Data Vlaue (Cr)'!$C:$FB,75)</f>
        <v>1627</v>
      </c>
      <c r="F154" s="91">
        <f>VLOOKUP($A154,'Data Vlaue (Cr)'!$C:$FB,77)</f>
        <v>-113</v>
      </c>
      <c r="G154" s="92">
        <f>VLOOKUP(A154,'Data Vlaue (Cr)'!C149:CB363,78,0)</f>
        <v>-6.5100000000000005E-2</v>
      </c>
      <c r="H154" s="91">
        <f>VLOOKUP($A154,'Data Vlaue (Cr)'!$C:$FB,91)</f>
        <v>519</v>
      </c>
      <c r="I154" s="91">
        <f>VLOOKUP($A154,'Data Vlaue (Cr)'!$C:$FB,93)</f>
        <v>-35</v>
      </c>
      <c r="J154" s="92">
        <f>VLOOKUP($A154,'Data Vlaue (Cr)'!$C:$FB,94)</f>
        <v>-6.3799999999999996E-2</v>
      </c>
      <c r="K154" s="91">
        <f>VLOOKUP($A154,'Data Vlaue (Cr)'!$C:$FB,95)</f>
        <v>307</v>
      </c>
      <c r="L154" s="91">
        <f>VLOOKUP($A154,'Data Vlaue (Cr)'!$C:$FB,97)</f>
        <v>-29</v>
      </c>
      <c r="M154" s="92">
        <f>VLOOKUP($A154,'Data Vlaue (Cr)'!$C:$FB,98)</f>
        <v>-8.5199999999999998E-2</v>
      </c>
      <c r="N154" s="91">
        <f>VLOOKUP($A154,'Data Vlaue (Cr)'!$C:$FB,79)</f>
        <v>1113</v>
      </c>
      <c r="O154" s="92">
        <f>VLOOKUP($A154,'Data Vlaue (Cr)'!$C:$FB,82)</f>
        <v>-0.28089999999999998</v>
      </c>
    </row>
    <row r="155" spans="1:15" x14ac:dyDescent="0.25">
      <c r="A155" s="97" t="str">
        <f>'Data Vlaue (Cr)'!C150</f>
        <v>OBEROIRLTY</v>
      </c>
      <c r="B155" s="142">
        <f>VLOOKUP(A155,'Data Vlaue (Cr)'!C150:CW364,99,0)</f>
        <v>1154</v>
      </c>
      <c r="C155" s="90">
        <f>VLOOKUP(A155,'Data Vlaue (Cr)'!C150:CY364,101,0)</f>
        <v>-102</v>
      </c>
      <c r="D155" s="139">
        <f>VLOOKUP(A155,'Data Vlaue (Cr)'!C150:CZ364,102,0)</f>
        <v>-8.09E-2</v>
      </c>
      <c r="E155" s="91">
        <f>VLOOKUP($A155,'Data Vlaue (Cr)'!$C:$FB,75)</f>
        <v>741</v>
      </c>
      <c r="F155" s="91">
        <f>VLOOKUP($A155,'Data Vlaue (Cr)'!$C:$FB,77)</f>
        <v>-84</v>
      </c>
      <c r="G155" s="92">
        <f>VLOOKUP(A155,'Data Vlaue (Cr)'!C150:CB364,78,0)</f>
        <v>-0.1023</v>
      </c>
      <c r="H155" s="91">
        <f>VLOOKUP($A155,'Data Vlaue (Cr)'!$C:$FB,91)</f>
        <v>249</v>
      </c>
      <c r="I155" s="91">
        <f>VLOOKUP($A155,'Data Vlaue (Cr)'!$C:$FB,93)</f>
        <v>-18</v>
      </c>
      <c r="J155" s="92">
        <f>VLOOKUP($A155,'Data Vlaue (Cr)'!$C:$FB,94)</f>
        <v>-6.59E-2</v>
      </c>
      <c r="K155" s="91">
        <f>VLOOKUP($A155,'Data Vlaue (Cr)'!$C:$FB,95)</f>
        <v>164</v>
      </c>
      <c r="L155" s="91">
        <f>VLOOKUP($A155,'Data Vlaue (Cr)'!$C:$FB,97)</f>
        <v>0</v>
      </c>
      <c r="M155" s="92">
        <f>VLOOKUP($A155,'Data Vlaue (Cr)'!$C:$FB,98)</f>
        <v>2.8999999999999998E-3</v>
      </c>
      <c r="N155" s="91">
        <f>VLOOKUP($A155,'Data Vlaue (Cr)'!$C:$FB,79)</f>
        <v>447</v>
      </c>
      <c r="O155" s="92">
        <f>VLOOKUP($A155,'Data Vlaue (Cr)'!$C:$FB,82)</f>
        <v>-0.37440000000000001</v>
      </c>
    </row>
    <row r="156" spans="1:15" x14ac:dyDescent="0.25">
      <c r="A156" s="97" t="str">
        <f>'Data Vlaue (Cr)'!C151</f>
        <v>OFSS</v>
      </c>
      <c r="B156" s="142">
        <f>VLOOKUP(A156,'Data Vlaue (Cr)'!C151:CW365,99,0)</f>
        <v>2302</v>
      </c>
      <c r="C156" s="90">
        <f>VLOOKUP(A156,'Data Vlaue (Cr)'!C151:CY365,101,0)</f>
        <v>-55</v>
      </c>
      <c r="D156" s="139">
        <f>VLOOKUP(A156,'Data Vlaue (Cr)'!C151:CZ365,102,0)</f>
        <v>-2.3300000000000001E-2</v>
      </c>
      <c r="E156" s="91">
        <f>VLOOKUP($A156,'Data Vlaue (Cr)'!$C:$FB,75)</f>
        <v>1164</v>
      </c>
      <c r="F156" s="91">
        <f>VLOOKUP($A156,'Data Vlaue (Cr)'!$C:$FB,77)</f>
        <v>-42</v>
      </c>
      <c r="G156" s="92">
        <f>VLOOKUP(A156,'Data Vlaue (Cr)'!C151:CB365,78,0)</f>
        <v>-3.4799999999999998E-2</v>
      </c>
      <c r="H156" s="91">
        <f>VLOOKUP($A156,'Data Vlaue (Cr)'!$C:$FB,91)</f>
        <v>753</v>
      </c>
      <c r="I156" s="91">
        <f>VLOOKUP($A156,'Data Vlaue (Cr)'!$C:$FB,93)</f>
        <v>-7</v>
      </c>
      <c r="J156" s="92">
        <f>VLOOKUP($A156,'Data Vlaue (Cr)'!$C:$FB,94)</f>
        <v>-8.8999999999999999E-3</v>
      </c>
      <c r="K156" s="91">
        <f>VLOOKUP($A156,'Data Vlaue (Cr)'!$C:$FB,95)</f>
        <v>385</v>
      </c>
      <c r="L156" s="91">
        <f>VLOOKUP($A156,'Data Vlaue (Cr)'!$C:$FB,97)</f>
        <v>-6</v>
      </c>
      <c r="M156" s="92">
        <f>VLOOKUP($A156,'Data Vlaue (Cr)'!$C:$FB,98)</f>
        <v>-1.55E-2</v>
      </c>
      <c r="N156" s="91">
        <f>VLOOKUP($A156,'Data Vlaue (Cr)'!$C:$FB,79)</f>
        <v>777</v>
      </c>
      <c r="O156" s="92">
        <f>VLOOKUP($A156,'Data Vlaue (Cr)'!$C:$FB,82)</f>
        <v>-0.27950000000000003</v>
      </c>
    </row>
    <row r="157" spans="1:15" x14ac:dyDescent="0.25">
      <c r="A157" s="97" t="str">
        <f>'Data Vlaue (Cr)'!C152</f>
        <v>OIL</v>
      </c>
      <c r="B157" s="142">
        <f>VLOOKUP(A157,'Data Vlaue (Cr)'!C152:CW366,99,0)</f>
        <v>986</v>
      </c>
      <c r="C157" s="90">
        <f>VLOOKUP(A157,'Data Vlaue (Cr)'!C152:CY366,101,0)</f>
        <v>-40</v>
      </c>
      <c r="D157" s="139">
        <f>VLOOKUP(A157,'Data Vlaue (Cr)'!C152:CZ366,102,0)</f>
        <v>-3.8800000000000001E-2</v>
      </c>
      <c r="E157" s="91">
        <f>VLOOKUP($A157,'Data Vlaue (Cr)'!$C:$FB,75)</f>
        <v>519</v>
      </c>
      <c r="F157" s="91">
        <f>VLOOKUP($A157,'Data Vlaue (Cr)'!$C:$FB,77)</f>
        <v>-14</v>
      </c>
      <c r="G157" s="92">
        <f>VLOOKUP(A157,'Data Vlaue (Cr)'!C152:CB366,78,0)</f>
        <v>-2.63E-2</v>
      </c>
      <c r="H157" s="91">
        <f>VLOOKUP($A157,'Data Vlaue (Cr)'!$C:$FB,91)</f>
        <v>299</v>
      </c>
      <c r="I157" s="91">
        <f>VLOOKUP($A157,'Data Vlaue (Cr)'!$C:$FB,93)</f>
        <v>-24</v>
      </c>
      <c r="J157" s="92">
        <f>VLOOKUP($A157,'Data Vlaue (Cr)'!$C:$FB,94)</f>
        <v>-7.3800000000000004E-2</v>
      </c>
      <c r="K157" s="91">
        <f>VLOOKUP($A157,'Data Vlaue (Cr)'!$C:$FB,95)</f>
        <v>168</v>
      </c>
      <c r="L157" s="91">
        <f>VLOOKUP($A157,'Data Vlaue (Cr)'!$C:$FB,97)</f>
        <v>-2</v>
      </c>
      <c r="M157" s="92">
        <f>VLOOKUP($A157,'Data Vlaue (Cr)'!$C:$FB,98)</f>
        <v>-1.17E-2</v>
      </c>
      <c r="N157" s="91">
        <f>VLOOKUP($A157,'Data Vlaue (Cr)'!$C:$FB,79)</f>
        <v>340</v>
      </c>
      <c r="O157" s="92">
        <f>VLOOKUP($A157,'Data Vlaue (Cr)'!$C:$FB,82)</f>
        <v>-0.29499999999999998</v>
      </c>
    </row>
    <row r="158" spans="1:15" x14ac:dyDescent="0.25">
      <c r="A158" s="97" t="str">
        <f>'Data Vlaue (Cr)'!C153</f>
        <v>ONGC</v>
      </c>
      <c r="B158" s="142">
        <f>VLOOKUP(A158,'Data Vlaue (Cr)'!C153:CW367,99,0)</f>
        <v>4298</v>
      </c>
      <c r="C158" s="90">
        <f>VLOOKUP(A158,'Data Vlaue (Cr)'!C153:CY367,101,0)</f>
        <v>33</v>
      </c>
      <c r="D158" s="139">
        <f>VLOOKUP(A158,'Data Vlaue (Cr)'!C153:CZ367,102,0)</f>
        <v>7.7000000000000002E-3</v>
      </c>
      <c r="E158" s="91">
        <f>VLOOKUP($A158,'Data Vlaue (Cr)'!$C:$FB,75)</f>
        <v>2300</v>
      </c>
      <c r="F158" s="91">
        <f>VLOOKUP($A158,'Data Vlaue (Cr)'!$C:$FB,77)</f>
        <v>-25</v>
      </c>
      <c r="G158" s="92">
        <f>VLOOKUP(A158,'Data Vlaue (Cr)'!C153:CB367,78,0)</f>
        <v>-1.0800000000000001E-2</v>
      </c>
      <c r="H158" s="91">
        <f>VLOOKUP($A158,'Data Vlaue (Cr)'!$C:$FB,91)</f>
        <v>1446</v>
      </c>
      <c r="I158" s="91">
        <f>VLOOKUP($A158,'Data Vlaue (Cr)'!$C:$FB,93)</f>
        <v>36</v>
      </c>
      <c r="J158" s="92">
        <f>VLOOKUP($A158,'Data Vlaue (Cr)'!$C:$FB,94)</f>
        <v>2.53E-2</v>
      </c>
      <c r="K158" s="91">
        <f>VLOOKUP($A158,'Data Vlaue (Cr)'!$C:$FB,95)</f>
        <v>552</v>
      </c>
      <c r="L158" s="91">
        <f>VLOOKUP($A158,'Data Vlaue (Cr)'!$C:$FB,97)</f>
        <v>22</v>
      </c>
      <c r="M158" s="92">
        <f>VLOOKUP($A158,'Data Vlaue (Cr)'!$C:$FB,98)</f>
        <v>4.1599999999999998E-2</v>
      </c>
      <c r="N158" s="91">
        <f>VLOOKUP($A158,'Data Vlaue (Cr)'!$C:$FB,79)</f>
        <v>1573</v>
      </c>
      <c r="O158" s="92">
        <f>VLOOKUP($A158,'Data Vlaue (Cr)'!$C:$FB,82)</f>
        <v>-0.23050000000000001</v>
      </c>
    </row>
    <row r="159" spans="1:15" x14ac:dyDescent="0.25">
      <c r="A159" s="97" t="str">
        <f>'Data Vlaue (Cr)'!C154</f>
        <v>PAGEIND</v>
      </c>
      <c r="B159" s="142">
        <f>VLOOKUP(A159,'Data Vlaue (Cr)'!C154:CW368,99,0)</f>
        <v>2112</v>
      </c>
      <c r="C159" s="90">
        <f>VLOOKUP(A159,'Data Vlaue (Cr)'!C154:CY368,101,0)</f>
        <v>-38</v>
      </c>
      <c r="D159" s="139">
        <f>VLOOKUP(A159,'Data Vlaue (Cr)'!C154:CZ368,102,0)</f>
        <v>-1.7500000000000002E-2</v>
      </c>
      <c r="E159" s="91">
        <f>VLOOKUP($A159,'Data Vlaue (Cr)'!$C:$FB,75)</f>
        <v>1049</v>
      </c>
      <c r="F159" s="91">
        <f>VLOOKUP($A159,'Data Vlaue (Cr)'!$C:$FB,77)</f>
        <v>-55</v>
      </c>
      <c r="G159" s="92">
        <f>VLOOKUP(A159,'Data Vlaue (Cr)'!C154:CB368,78,0)</f>
        <v>-4.9500000000000002E-2</v>
      </c>
      <c r="H159" s="91">
        <f>VLOOKUP($A159,'Data Vlaue (Cr)'!$C:$FB,91)</f>
        <v>782</v>
      </c>
      <c r="I159" s="91">
        <f>VLOOKUP($A159,'Data Vlaue (Cr)'!$C:$FB,93)</f>
        <v>3</v>
      </c>
      <c r="J159" s="92">
        <f>VLOOKUP($A159,'Data Vlaue (Cr)'!$C:$FB,94)</f>
        <v>3.8999999999999998E-3</v>
      </c>
      <c r="K159" s="91">
        <f>VLOOKUP($A159,'Data Vlaue (Cr)'!$C:$FB,95)</f>
        <v>282</v>
      </c>
      <c r="L159" s="91">
        <f>VLOOKUP($A159,'Data Vlaue (Cr)'!$C:$FB,97)</f>
        <v>14</v>
      </c>
      <c r="M159" s="92">
        <f>VLOOKUP($A159,'Data Vlaue (Cr)'!$C:$FB,98)</f>
        <v>5.2200000000000003E-2</v>
      </c>
      <c r="N159" s="91">
        <f>VLOOKUP($A159,'Data Vlaue (Cr)'!$C:$FB,79)</f>
        <v>657</v>
      </c>
      <c r="O159" s="92">
        <f>VLOOKUP($A159,'Data Vlaue (Cr)'!$C:$FB,82)</f>
        <v>-0.27479999999999999</v>
      </c>
    </row>
    <row r="160" spans="1:15" x14ac:dyDescent="0.25">
      <c r="A160" s="97" t="str">
        <f>'Data Vlaue (Cr)'!C155</f>
        <v>PATANJALI</v>
      </c>
      <c r="B160" s="142">
        <f>VLOOKUP(A160,'Data Vlaue (Cr)'!C155:CW369,99,0)</f>
        <v>2830</v>
      </c>
      <c r="C160" s="90">
        <f>VLOOKUP(A160,'Data Vlaue (Cr)'!C155:CY369,101,0)</f>
        <v>-59</v>
      </c>
      <c r="D160" s="139">
        <f>VLOOKUP(A160,'Data Vlaue (Cr)'!C155:CZ369,102,0)</f>
        <v>-2.0400000000000001E-2</v>
      </c>
      <c r="E160" s="91">
        <f>VLOOKUP($A160,'Data Vlaue (Cr)'!$C:$FB,75)</f>
        <v>2007</v>
      </c>
      <c r="F160" s="91">
        <f>VLOOKUP($A160,'Data Vlaue (Cr)'!$C:$FB,77)</f>
        <v>-19</v>
      </c>
      <c r="G160" s="92">
        <f>VLOOKUP(A160,'Data Vlaue (Cr)'!C155:CB369,78,0)</f>
        <v>-9.2999999999999992E-3</v>
      </c>
      <c r="H160" s="91">
        <f>VLOOKUP($A160,'Data Vlaue (Cr)'!$C:$FB,91)</f>
        <v>601</v>
      </c>
      <c r="I160" s="91">
        <f>VLOOKUP($A160,'Data Vlaue (Cr)'!$C:$FB,93)</f>
        <v>-26</v>
      </c>
      <c r="J160" s="92">
        <f>VLOOKUP($A160,'Data Vlaue (Cr)'!$C:$FB,94)</f>
        <v>-4.2099999999999999E-2</v>
      </c>
      <c r="K160" s="91">
        <f>VLOOKUP($A160,'Data Vlaue (Cr)'!$C:$FB,95)</f>
        <v>223</v>
      </c>
      <c r="L160" s="91">
        <f>VLOOKUP($A160,'Data Vlaue (Cr)'!$C:$FB,97)</f>
        <v>-13</v>
      </c>
      <c r="M160" s="92">
        <f>VLOOKUP($A160,'Data Vlaue (Cr)'!$C:$FB,98)</f>
        <v>-5.7099999999999998E-2</v>
      </c>
      <c r="N160" s="91">
        <f>VLOOKUP($A160,'Data Vlaue (Cr)'!$C:$FB,79)</f>
        <v>1644</v>
      </c>
      <c r="O160" s="92">
        <f>VLOOKUP($A160,'Data Vlaue (Cr)'!$C:$FB,82)</f>
        <v>-0.12859999999999999</v>
      </c>
    </row>
    <row r="161" spans="1:15" x14ac:dyDescent="0.25">
      <c r="A161" s="97" t="str">
        <f>'Data Vlaue (Cr)'!C156</f>
        <v>PAYTM</v>
      </c>
      <c r="B161" s="142">
        <f>VLOOKUP(A161,'Data Vlaue (Cr)'!C156:CW370,99,0)</f>
        <v>5034</v>
      </c>
      <c r="C161" s="90">
        <f>VLOOKUP(A161,'Data Vlaue (Cr)'!C156:CY370,101,0)</f>
        <v>83</v>
      </c>
      <c r="D161" s="139">
        <f>VLOOKUP(A161,'Data Vlaue (Cr)'!C156:CZ370,102,0)</f>
        <v>1.6899999999999998E-2</v>
      </c>
      <c r="E161" s="91">
        <f>VLOOKUP($A161,'Data Vlaue (Cr)'!$C:$FB,75)</f>
        <v>2904</v>
      </c>
      <c r="F161" s="91">
        <f>VLOOKUP($A161,'Data Vlaue (Cr)'!$C:$FB,77)</f>
        <v>117</v>
      </c>
      <c r="G161" s="92">
        <f>VLOOKUP(A161,'Data Vlaue (Cr)'!C156:CB370,78,0)</f>
        <v>4.2000000000000003E-2</v>
      </c>
      <c r="H161" s="91">
        <f>VLOOKUP($A161,'Data Vlaue (Cr)'!$C:$FB,91)</f>
        <v>1301</v>
      </c>
      <c r="I161" s="91">
        <f>VLOOKUP($A161,'Data Vlaue (Cr)'!$C:$FB,93)</f>
        <v>-23</v>
      </c>
      <c r="J161" s="92">
        <f>VLOOKUP($A161,'Data Vlaue (Cr)'!$C:$FB,94)</f>
        <v>-1.7100000000000001E-2</v>
      </c>
      <c r="K161" s="91">
        <f>VLOOKUP($A161,'Data Vlaue (Cr)'!$C:$FB,95)</f>
        <v>828</v>
      </c>
      <c r="L161" s="91">
        <f>VLOOKUP($A161,'Data Vlaue (Cr)'!$C:$FB,97)</f>
        <v>-11</v>
      </c>
      <c r="M161" s="92">
        <f>VLOOKUP($A161,'Data Vlaue (Cr)'!$C:$FB,98)</f>
        <v>-1.2999999999999999E-2</v>
      </c>
      <c r="N161" s="91">
        <f>VLOOKUP($A161,'Data Vlaue (Cr)'!$C:$FB,79)</f>
        <v>2093</v>
      </c>
      <c r="O161" s="92">
        <f>VLOOKUP($A161,'Data Vlaue (Cr)'!$C:$FB,82)</f>
        <v>-0.1419</v>
      </c>
    </row>
    <row r="162" spans="1:15" x14ac:dyDescent="0.25">
      <c r="A162" s="97" t="str">
        <f>'Data Vlaue (Cr)'!C157</f>
        <v>PERSISTENT</v>
      </c>
      <c r="B162" s="142">
        <f>VLOOKUP(A162,'Data Vlaue (Cr)'!C157:CW371,99,0)</f>
        <v>2778</v>
      </c>
      <c r="C162" s="90">
        <f>VLOOKUP(A162,'Data Vlaue (Cr)'!C157:CY371,101,0)</f>
        <v>-78</v>
      </c>
      <c r="D162" s="139">
        <f>VLOOKUP(A162,'Data Vlaue (Cr)'!C157:CZ371,102,0)</f>
        <v>-2.7199999999999998E-2</v>
      </c>
      <c r="E162" s="91">
        <f>VLOOKUP($A162,'Data Vlaue (Cr)'!$C:$FB,75)</f>
        <v>1434</v>
      </c>
      <c r="F162" s="91">
        <f>VLOOKUP($A162,'Data Vlaue (Cr)'!$C:$FB,77)</f>
        <v>-27</v>
      </c>
      <c r="G162" s="92">
        <f>VLOOKUP(A162,'Data Vlaue (Cr)'!C157:CB371,78,0)</f>
        <v>-1.8800000000000001E-2</v>
      </c>
      <c r="H162" s="91">
        <f>VLOOKUP($A162,'Data Vlaue (Cr)'!$C:$FB,91)</f>
        <v>624</v>
      </c>
      <c r="I162" s="91">
        <f>VLOOKUP($A162,'Data Vlaue (Cr)'!$C:$FB,93)</f>
        <v>-24</v>
      </c>
      <c r="J162" s="92">
        <f>VLOOKUP($A162,'Data Vlaue (Cr)'!$C:$FB,94)</f>
        <v>-3.6900000000000002E-2</v>
      </c>
      <c r="K162" s="91">
        <f>VLOOKUP($A162,'Data Vlaue (Cr)'!$C:$FB,95)</f>
        <v>720</v>
      </c>
      <c r="L162" s="91">
        <f>VLOOKUP($A162,'Data Vlaue (Cr)'!$C:$FB,97)</f>
        <v>-26</v>
      </c>
      <c r="M162" s="92">
        <f>VLOOKUP($A162,'Data Vlaue (Cr)'!$C:$FB,98)</f>
        <v>-3.5200000000000002E-2</v>
      </c>
      <c r="N162" s="91">
        <f>VLOOKUP($A162,'Data Vlaue (Cr)'!$C:$FB,79)</f>
        <v>1052</v>
      </c>
      <c r="O162" s="92">
        <f>VLOOKUP($A162,'Data Vlaue (Cr)'!$C:$FB,82)</f>
        <v>-0.2195</v>
      </c>
    </row>
    <row r="163" spans="1:15" x14ac:dyDescent="0.25">
      <c r="A163" s="97" t="str">
        <f>'Data Vlaue (Cr)'!C158</f>
        <v>PETRONET</v>
      </c>
      <c r="B163" s="142">
        <f>VLOOKUP(A163,'Data Vlaue (Cr)'!C158:CW372,99,0)</f>
        <v>2059</v>
      </c>
      <c r="C163" s="90">
        <f>VLOOKUP(A163,'Data Vlaue (Cr)'!C158:CY372,101,0)</f>
        <v>17</v>
      </c>
      <c r="D163" s="139">
        <f>VLOOKUP(A163,'Data Vlaue (Cr)'!C158:CZ372,102,0)</f>
        <v>8.3999999999999995E-3</v>
      </c>
      <c r="E163" s="91">
        <f>VLOOKUP($A163,'Data Vlaue (Cr)'!$C:$FB,75)</f>
        <v>1202</v>
      </c>
      <c r="F163" s="91">
        <f>VLOOKUP($A163,'Data Vlaue (Cr)'!$C:$FB,77)</f>
        <v>-8</v>
      </c>
      <c r="G163" s="92">
        <f>VLOOKUP(A163,'Data Vlaue (Cr)'!C158:CB372,78,0)</f>
        <v>-6.6E-3</v>
      </c>
      <c r="H163" s="91">
        <f>VLOOKUP($A163,'Data Vlaue (Cr)'!$C:$FB,91)</f>
        <v>388</v>
      </c>
      <c r="I163" s="91">
        <f>VLOOKUP($A163,'Data Vlaue (Cr)'!$C:$FB,93)</f>
        <v>9</v>
      </c>
      <c r="J163" s="92">
        <f>VLOOKUP($A163,'Data Vlaue (Cr)'!$C:$FB,94)</f>
        <v>2.4400000000000002E-2</v>
      </c>
      <c r="K163" s="91">
        <f>VLOOKUP($A163,'Data Vlaue (Cr)'!$C:$FB,95)</f>
        <v>469</v>
      </c>
      <c r="L163" s="91">
        <f>VLOOKUP($A163,'Data Vlaue (Cr)'!$C:$FB,97)</f>
        <v>16</v>
      </c>
      <c r="M163" s="92">
        <f>VLOOKUP($A163,'Data Vlaue (Cr)'!$C:$FB,98)</f>
        <v>3.49E-2</v>
      </c>
      <c r="N163" s="91">
        <f>VLOOKUP($A163,'Data Vlaue (Cr)'!$C:$FB,79)</f>
        <v>825</v>
      </c>
      <c r="O163" s="92">
        <f>VLOOKUP($A163,'Data Vlaue (Cr)'!$C:$FB,82)</f>
        <v>-0.27950000000000003</v>
      </c>
    </row>
    <row r="164" spans="1:15" x14ac:dyDescent="0.25">
      <c r="A164" s="97" t="str">
        <f>'Data Vlaue (Cr)'!C159</f>
        <v>PFC</v>
      </c>
      <c r="B164" s="142">
        <f>VLOOKUP(A164,'Data Vlaue (Cr)'!C159:CW373,99,0)</f>
        <v>5593</v>
      </c>
      <c r="C164" s="90">
        <f>VLOOKUP(A164,'Data Vlaue (Cr)'!C159:CY373,101,0)</f>
        <v>-211</v>
      </c>
      <c r="D164" s="139">
        <f>VLOOKUP(A164,'Data Vlaue (Cr)'!C159:CZ373,102,0)</f>
        <v>-3.6299999999999999E-2</v>
      </c>
      <c r="E164" s="91">
        <f>VLOOKUP($A164,'Data Vlaue (Cr)'!$C:$FB,75)</f>
        <v>2826</v>
      </c>
      <c r="F164" s="91">
        <f>VLOOKUP($A164,'Data Vlaue (Cr)'!$C:$FB,77)</f>
        <v>-26</v>
      </c>
      <c r="G164" s="92">
        <f>VLOOKUP(A164,'Data Vlaue (Cr)'!C159:CB373,78,0)</f>
        <v>-9.1999999999999998E-3</v>
      </c>
      <c r="H164" s="91">
        <f>VLOOKUP($A164,'Data Vlaue (Cr)'!$C:$FB,91)</f>
        <v>1621</v>
      </c>
      <c r="I164" s="91">
        <f>VLOOKUP($A164,'Data Vlaue (Cr)'!$C:$FB,93)</f>
        <v>-156</v>
      </c>
      <c r="J164" s="92">
        <f>VLOOKUP($A164,'Data Vlaue (Cr)'!$C:$FB,94)</f>
        <v>-8.7999999999999995E-2</v>
      </c>
      <c r="K164" s="91">
        <f>VLOOKUP($A164,'Data Vlaue (Cr)'!$C:$FB,95)</f>
        <v>1146</v>
      </c>
      <c r="L164" s="91">
        <f>VLOOKUP($A164,'Data Vlaue (Cr)'!$C:$FB,97)</f>
        <v>-28</v>
      </c>
      <c r="M164" s="92">
        <f>VLOOKUP($A164,'Data Vlaue (Cr)'!$C:$FB,98)</f>
        <v>-2.3800000000000002E-2</v>
      </c>
      <c r="N164" s="91">
        <f>VLOOKUP($A164,'Data Vlaue (Cr)'!$C:$FB,79)</f>
        <v>1521</v>
      </c>
      <c r="O164" s="92">
        <f>VLOOKUP($A164,'Data Vlaue (Cr)'!$C:$FB,82)</f>
        <v>-0.1729</v>
      </c>
    </row>
    <row r="165" spans="1:15" x14ac:dyDescent="0.25">
      <c r="A165" s="97" t="str">
        <f>'Data Vlaue (Cr)'!C160</f>
        <v>PGEL</v>
      </c>
      <c r="B165" s="142">
        <f>VLOOKUP(A165,'Data Vlaue (Cr)'!C160:CW374,99,0)</f>
        <v>1730</v>
      </c>
      <c r="C165" s="90">
        <f>VLOOKUP(A165,'Data Vlaue (Cr)'!C160:CY374,101,0)</f>
        <v>-33</v>
      </c>
      <c r="D165" s="139">
        <f>VLOOKUP(A165,'Data Vlaue (Cr)'!C160:CZ374,102,0)</f>
        <v>-1.8499999999999999E-2</v>
      </c>
      <c r="E165" s="91">
        <f>VLOOKUP($A165,'Data Vlaue (Cr)'!$C:$FB,75)</f>
        <v>715</v>
      </c>
      <c r="F165" s="91">
        <f>VLOOKUP($A165,'Data Vlaue (Cr)'!$C:$FB,77)</f>
        <v>-29</v>
      </c>
      <c r="G165" s="92">
        <f>VLOOKUP(A165,'Data Vlaue (Cr)'!C160:CB374,78,0)</f>
        <v>-3.95E-2</v>
      </c>
      <c r="H165" s="91">
        <f>VLOOKUP($A165,'Data Vlaue (Cr)'!$C:$FB,91)</f>
        <v>610</v>
      </c>
      <c r="I165" s="91">
        <f>VLOOKUP($A165,'Data Vlaue (Cr)'!$C:$FB,93)</f>
        <v>41</v>
      </c>
      <c r="J165" s="92">
        <f>VLOOKUP($A165,'Data Vlaue (Cr)'!$C:$FB,94)</f>
        <v>7.2700000000000001E-2</v>
      </c>
      <c r="K165" s="91">
        <f>VLOOKUP($A165,'Data Vlaue (Cr)'!$C:$FB,95)</f>
        <v>405</v>
      </c>
      <c r="L165" s="91">
        <f>VLOOKUP($A165,'Data Vlaue (Cr)'!$C:$FB,97)</f>
        <v>-45</v>
      </c>
      <c r="M165" s="92">
        <f>VLOOKUP($A165,'Data Vlaue (Cr)'!$C:$FB,98)</f>
        <v>-9.9199999999999997E-2</v>
      </c>
      <c r="N165" s="91">
        <f>VLOOKUP($A165,'Data Vlaue (Cr)'!$C:$FB,79)</f>
        <v>444</v>
      </c>
      <c r="O165" s="92">
        <f>VLOOKUP($A165,'Data Vlaue (Cr)'!$C:$FB,82)</f>
        <v>-0.24970000000000001</v>
      </c>
    </row>
    <row r="166" spans="1:15" x14ac:dyDescent="0.25">
      <c r="A166" s="97" t="str">
        <f>'Data Vlaue (Cr)'!C161</f>
        <v>PHOENIXLTD</v>
      </c>
      <c r="B166" s="142">
        <f>VLOOKUP(A166,'Data Vlaue (Cr)'!C161:CW375,99,0)</f>
        <v>880</v>
      </c>
      <c r="C166" s="90">
        <f>VLOOKUP(A166,'Data Vlaue (Cr)'!C161:CY375,101,0)</f>
        <v>-8</v>
      </c>
      <c r="D166" s="139">
        <f>VLOOKUP(A166,'Data Vlaue (Cr)'!C161:CZ375,102,0)</f>
        <v>-9.2999999999999992E-3</v>
      </c>
      <c r="E166" s="91">
        <f>VLOOKUP($A166,'Data Vlaue (Cr)'!$C:$FB,75)</f>
        <v>613</v>
      </c>
      <c r="F166" s="91">
        <f>VLOOKUP($A166,'Data Vlaue (Cr)'!$C:$FB,77)</f>
        <v>-1</v>
      </c>
      <c r="G166" s="92">
        <f>VLOOKUP(A166,'Data Vlaue (Cr)'!C161:CB375,78,0)</f>
        <v>-1E-3</v>
      </c>
      <c r="H166" s="91">
        <f>VLOOKUP($A166,'Data Vlaue (Cr)'!$C:$FB,91)</f>
        <v>182</v>
      </c>
      <c r="I166" s="91">
        <f>VLOOKUP($A166,'Data Vlaue (Cr)'!$C:$FB,93)</f>
        <v>-5</v>
      </c>
      <c r="J166" s="92">
        <f>VLOOKUP($A166,'Data Vlaue (Cr)'!$C:$FB,94)</f>
        <v>-2.6100000000000002E-2</v>
      </c>
      <c r="K166" s="91">
        <f>VLOOKUP($A166,'Data Vlaue (Cr)'!$C:$FB,95)</f>
        <v>85</v>
      </c>
      <c r="L166" s="91">
        <f>VLOOKUP($A166,'Data Vlaue (Cr)'!$C:$FB,97)</f>
        <v>-3</v>
      </c>
      <c r="M166" s="92">
        <f>VLOOKUP($A166,'Data Vlaue (Cr)'!$C:$FB,98)</f>
        <v>-3.2199999999999999E-2</v>
      </c>
      <c r="N166" s="91">
        <f>VLOOKUP($A166,'Data Vlaue (Cr)'!$C:$FB,79)</f>
        <v>477</v>
      </c>
      <c r="O166" s="92">
        <f>VLOOKUP($A166,'Data Vlaue (Cr)'!$C:$FB,82)</f>
        <v>-0.1928</v>
      </c>
    </row>
    <row r="167" spans="1:15" x14ac:dyDescent="0.25">
      <c r="A167" s="97" t="str">
        <f>'Data Vlaue (Cr)'!C162</f>
        <v>PIDILITIND</v>
      </c>
      <c r="B167" s="142">
        <f>VLOOKUP(A167,'Data Vlaue (Cr)'!C162:CW376,99,0)</f>
        <v>1771</v>
      </c>
      <c r="C167" s="90">
        <f>VLOOKUP(A167,'Data Vlaue (Cr)'!C162:CY376,101,0)</f>
        <v>-94</v>
      </c>
      <c r="D167" s="139">
        <f>VLOOKUP(A167,'Data Vlaue (Cr)'!C162:CZ376,102,0)</f>
        <v>-5.0599999999999999E-2</v>
      </c>
      <c r="E167" s="91">
        <f>VLOOKUP($A167,'Data Vlaue (Cr)'!$C:$FB,75)</f>
        <v>1130</v>
      </c>
      <c r="F167" s="91">
        <f>VLOOKUP($A167,'Data Vlaue (Cr)'!$C:$FB,77)</f>
        <v>-26</v>
      </c>
      <c r="G167" s="92">
        <f>VLOOKUP(A167,'Data Vlaue (Cr)'!C162:CB376,78,0)</f>
        <v>-2.2700000000000001E-2</v>
      </c>
      <c r="H167" s="91">
        <f>VLOOKUP($A167,'Data Vlaue (Cr)'!$C:$FB,91)</f>
        <v>404</v>
      </c>
      <c r="I167" s="91">
        <f>VLOOKUP($A167,'Data Vlaue (Cr)'!$C:$FB,93)</f>
        <v>-51</v>
      </c>
      <c r="J167" s="92">
        <f>VLOOKUP($A167,'Data Vlaue (Cr)'!$C:$FB,94)</f>
        <v>-0.1119</v>
      </c>
      <c r="K167" s="91">
        <f>VLOOKUP($A167,'Data Vlaue (Cr)'!$C:$FB,95)</f>
        <v>236</v>
      </c>
      <c r="L167" s="91">
        <f>VLOOKUP($A167,'Data Vlaue (Cr)'!$C:$FB,97)</f>
        <v>-17</v>
      </c>
      <c r="M167" s="92">
        <f>VLOOKUP($A167,'Data Vlaue (Cr)'!$C:$FB,98)</f>
        <v>-6.7799999999999999E-2</v>
      </c>
      <c r="N167" s="91">
        <f>VLOOKUP($A167,'Data Vlaue (Cr)'!$C:$FB,79)</f>
        <v>775</v>
      </c>
      <c r="O167" s="92">
        <f>VLOOKUP($A167,'Data Vlaue (Cr)'!$C:$FB,82)</f>
        <v>-0.2712</v>
      </c>
    </row>
    <row r="168" spans="1:15" x14ac:dyDescent="0.25">
      <c r="A168" s="97" t="str">
        <f>'Data Vlaue (Cr)'!C163</f>
        <v>PIIND</v>
      </c>
      <c r="B168" s="142">
        <f>VLOOKUP(A168,'Data Vlaue (Cr)'!C163:CW377,99,0)</f>
        <v>1715</v>
      </c>
      <c r="C168" s="90">
        <f>VLOOKUP(A168,'Data Vlaue (Cr)'!C163:CY377,101,0)</f>
        <v>-119</v>
      </c>
      <c r="D168" s="139">
        <f>VLOOKUP(A168,'Data Vlaue (Cr)'!C163:CZ377,102,0)</f>
        <v>-6.4699999999999994E-2</v>
      </c>
      <c r="E168" s="91">
        <f>VLOOKUP($A168,'Data Vlaue (Cr)'!$C:$FB,75)</f>
        <v>913</v>
      </c>
      <c r="F168" s="91">
        <f>VLOOKUP($A168,'Data Vlaue (Cr)'!$C:$FB,77)</f>
        <v>-39</v>
      </c>
      <c r="G168" s="92">
        <f>VLOOKUP(A168,'Data Vlaue (Cr)'!C163:CB377,78,0)</f>
        <v>-4.1399999999999999E-2</v>
      </c>
      <c r="H168" s="91">
        <f>VLOOKUP($A168,'Data Vlaue (Cr)'!$C:$FB,91)</f>
        <v>479</v>
      </c>
      <c r="I168" s="91">
        <f>VLOOKUP($A168,'Data Vlaue (Cr)'!$C:$FB,93)</f>
        <v>-66</v>
      </c>
      <c r="J168" s="92">
        <f>VLOOKUP($A168,'Data Vlaue (Cr)'!$C:$FB,94)</f>
        <v>-0.12139999999999999</v>
      </c>
      <c r="K168" s="91">
        <f>VLOOKUP($A168,'Data Vlaue (Cr)'!$C:$FB,95)</f>
        <v>323</v>
      </c>
      <c r="L168" s="91">
        <f>VLOOKUP($A168,'Data Vlaue (Cr)'!$C:$FB,97)</f>
        <v>-13</v>
      </c>
      <c r="M168" s="92">
        <f>VLOOKUP($A168,'Data Vlaue (Cr)'!$C:$FB,98)</f>
        <v>-3.8800000000000001E-2</v>
      </c>
      <c r="N168" s="91">
        <f>VLOOKUP($A168,'Data Vlaue (Cr)'!$C:$FB,79)</f>
        <v>630</v>
      </c>
      <c r="O168" s="92">
        <f>VLOOKUP($A168,'Data Vlaue (Cr)'!$C:$FB,82)</f>
        <v>-0.26050000000000001</v>
      </c>
    </row>
    <row r="169" spans="1:15" x14ac:dyDescent="0.25">
      <c r="A169" s="97" t="str">
        <f>'Data Vlaue (Cr)'!C164</f>
        <v>PNB</v>
      </c>
      <c r="B169" s="142">
        <f>VLOOKUP(A169,'Data Vlaue (Cr)'!C164:CW378,99,0)</f>
        <v>5409</v>
      </c>
      <c r="C169" s="90">
        <f>VLOOKUP(A169,'Data Vlaue (Cr)'!C164:CY378,101,0)</f>
        <v>29</v>
      </c>
      <c r="D169" s="139">
        <f>VLOOKUP(A169,'Data Vlaue (Cr)'!C164:CZ378,102,0)</f>
        <v>5.4000000000000003E-3</v>
      </c>
      <c r="E169" s="91">
        <f>VLOOKUP($A169,'Data Vlaue (Cr)'!$C:$FB,75)</f>
        <v>2886</v>
      </c>
      <c r="F169" s="91">
        <f>VLOOKUP($A169,'Data Vlaue (Cr)'!$C:$FB,77)</f>
        <v>45</v>
      </c>
      <c r="G169" s="92">
        <f>VLOOKUP(A169,'Data Vlaue (Cr)'!C164:CB378,78,0)</f>
        <v>1.5800000000000002E-2</v>
      </c>
      <c r="H169" s="91">
        <f>VLOOKUP($A169,'Data Vlaue (Cr)'!$C:$FB,91)</f>
        <v>1479</v>
      </c>
      <c r="I169" s="91">
        <f>VLOOKUP($A169,'Data Vlaue (Cr)'!$C:$FB,93)</f>
        <v>-4</v>
      </c>
      <c r="J169" s="92">
        <f>VLOOKUP($A169,'Data Vlaue (Cr)'!$C:$FB,94)</f>
        <v>-2.5000000000000001E-3</v>
      </c>
      <c r="K169" s="91">
        <f>VLOOKUP($A169,'Data Vlaue (Cr)'!$C:$FB,95)</f>
        <v>1043</v>
      </c>
      <c r="L169" s="91">
        <f>VLOOKUP($A169,'Data Vlaue (Cr)'!$C:$FB,97)</f>
        <v>-12</v>
      </c>
      <c r="M169" s="92">
        <f>VLOOKUP($A169,'Data Vlaue (Cr)'!$C:$FB,98)</f>
        <v>-1.14E-2</v>
      </c>
      <c r="N169" s="91">
        <f>VLOOKUP($A169,'Data Vlaue (Cr)'!$C:$FB,79)</f>
        <v>1844</v>
      </c>
      <c r="O169" s="92">
        <f>VLOOKUP($A169,'Data Vlaue (Cr)'!$C:$FB,82)</f>
        <v>-0.2001</v>
      </c>
    </row>
    <row r="170" spans="1:15" x14ac:dyDescent="0.25">
      <c r="A170" s="97" t="str">
        <f>'Data Vlaue (Cr)'!C165</f>
        <v>PNBHOUSING</v>
      </c>
      <c r="B170" s="142">
        <f>VLOOKUP(A170,'Data Vlaue (Cr)'!C165:CW379,99,0)</f>
        <v>2397</v>
      </c>
      <c r="C170" s="90">
        <f>VLOOKUP(A170,'Data Vlaue (Cr)'!C165:CY379,101,0)</f>
        <v>-63</v>
      </c>
      <c r="D170" s="139">
        <f>VLOOKUP(A170,'Data Vlaue (Cr)'!C165:CZ379,102,0)</f>
        <v>-2.5499999999999998E-2</v>
      </c>
      <c r="E170" s="91">
        <f>VLOOKUP($A170,'Data Vlaue (Cr)'!$C:$FB,75)</f>
        <v>1436</v>
      </c>
      <c r="F170" s="91">
        <f>VLOOKUP($A170,'Data Vlaue (Cr)'!$C:$FB,77)</f>
        <v>-27</v>
      </c>
      <c r="G170" s="92">
        <f>VLOOKUP(A170,'Data Vlaue (Cr)'!C165:CB379,78,0)</f>
        <v>-1.83E-2</v>
      </c>
      <c r="H170" s="91">
        <f>VLOOKUP($A170,'Data Vlaue (Cr)'!$C:$FB,91)</f>
        <v>535</v>
      </c>
      <c r="I170" s="91">
        <f>VLOOKUP($A170,'Data Vlaue (Cr)'!$C:$FB,93)</f>
        <v>-27</v>
      </c>
      <c r="J170" s="92">
        <f>VLOOKUP($A170,'Data Vlaue (Cr)'!$C:$FB,94)</f>
        <v>-4.7399999999999998E-2</v>
      </c>
      <c r="K170" s="91">
        <f>VLOOKUP($A170,'Data Vlaue (Cr)'!$C:$FB,95)</f>
        <v>427</v>
      </c>
      <c r="L170" s="91">
        <f>VLOOKUP($A170,'Data Vlaue (Cr)'!$C:$FB,97)</f>
        <v>-9</v>
      </c>
      <c r="M170" s="92">
        <f>VLOOKUP($A170,'Data Vlaue (Cr)'!$C:$FB,98)</f>
        <v>-2.1600000000000001E-2</v>
      </c>
      <c r="N170" s="91">
        <f>VLOOKUP($A170,'Data Vlaue (Cr)'!$C:$FB,79)</f>
        <v>1143</v>
      </c>
      <c r="O170" s="92">
        <f>VLOOKUP($A170,'Data Vlaue (Cr)'!$C:$FB,82)</f>
        <v>-0.15229999999999999</v>
      </c>
    </row>
    <row r="171" spans="1:15" x14ac:dyDescent="0.25">
      <c r="A171" s="97" t="str">
        <f>'Data Vlaue (Cr)'!C166</f>
        <v>POLICYBZR</v>
      </c>
      <c r="B171" s="142">
        <f>VLOOKUP(A171,'Data Vlaue (Cr)'!C166:CW380,99,0)</f>
        <v>2337</v>
      </c>
      <c r="C171" s="90">
        <f>VLOOKUP(A171,'Data Vlaue (Cr)'!C166:CY380,101,0)</f>
        <v>-80</v>
      </c>
      <c r="D171" s="139">
        <f>VLOOKUP(A171,'Data Vlaue (Cr)'!C166:CZ380,102,0)</f>
        <v>-3.32E-2</v>
      </c>
      <c r="E171" s="91">
        <f>VLOOKUP($A171,'Data Vlaue (Cr)'!$C:$FB,75)</f>
        <v>1573</v>
      </c>
      <c r="F171" s="91">
        <f>VLOOKUP($A171,'Data Vlaue (Cr)'!$C:$FB,77)</f>
        <v>-32</v>
      </c>
      <c r="G171" s="92">
        <f>VLOOKUP(A171,'Data Vlaue (Cr)'!C166:CB380,78,0)</f>
        <v>-1.9800000000000002E-2</v>
      </c>
      <c r="H171" s="91">
        <f>VLOOKUP($A171,'Data Vlaue (Cr)'!$C:$FB,91)</f>
        <v>481</v>
      </c>
      <c r="I171" s="91">
        <f>VLOOKUP($A171,'Data Vlaue (Cr)'!$C:$FB,93)</f>
        <v>-36</v>
      </c>
      <c r="J171" s="92">
        <f>VLOOKUP($A171,'Data Vlaue (Cr)'!$C:$FB,94)</f>
        <v>-6.9199999999999998E-2</v>
      </c>
      <c r="K171" s="91">
        <f>VLOOKUP($A171,'Data Vlaue (Cr)'!$C:$FB,95)</f>
        <v>284</v>
      </c>
      <c r="L171" s="91">
        <f>VLOOKUP($A171,'Data Vlaue (Cr)'!$C:$FB,97)</f>
        <v>-13</v>
      </c>
      <c r="M171" s="92">
        <f>VLOOKUP($A171,'Data Vlaue (Cr)'!$C:$FB,98)</f>
        <v>-4.3099999999999999E-2</v>
      </c>
      <c r="N171" s="91">
        <f>VLOOKUP($A171,'Data Vlaue (Cr)'!$C:$FB,79)</f>
        <v>1146</v>
      </c>
      <c r="O171" s="92">
        <f>VLOOKUP($A171,'Data Vlaue (Cr)'!$C:$FB,82)</f>
        <v>-0.2263</v>
      </c>
    </row>
    <row r="172" spans="1:15" x14ac:dyDescent="0.25">
      <c r="A172" s="97" t="str">
        <f>'Data Vlaue (Cr)'!C167</f>
        <v>POLYCAB</v>
      </c>
      <c r="B172" s="142">
        <f>VLOOKUP(A172,'Data Vlaue (Cr)'!C167:CW381,99,0)</f>
        <v>2041</v>
      </c>
      <c r="C172" s="90">
        <f>VLOOKUP(A172,'Data Vlaue (Cr)'!C167:CY381,101,0)</f>
        <v>-42</v>
      </c>
      <c r="D172" s="139">
        <f>VLOOKUP(A172,'Data Vlaue (Cr)'!C167:CZ381,102,0)</f>
        <v>-2.0400000000000001E-2</v>
      </c>
      <c r="E172" s="91">
        <f>VLOOKUP($A172,'Data Vlaue (Cr)'!$C:$FB,75)</f>
        <v>1168</v>
      </c>
      <c r="F172" s="91">
        <f>VLOOKUP($A172,'Data Vlaue (Cr)'!$C:$FB,77)</f>
        <v>50</v>
      </c>
      <c r="G172" s="92">
        <f>VLOOKUP(A172,'Data Vlaue (Cr)'!C167:CB381,78,0)</f>
        <v>4.4499999999999998E-2</v>
      </c>
      <c r="H172" s="91">
        <f>VLOOKUP($A172,'Data Vlaue (Cr)'!$C:$FB,91)</f>
        <v>584</v>
      </c>
      <c r="I172" s="91">
        <f>VLOOKUP($A172,'Data Vlaue (Cr)'!$C:$FB,93)</f>
        <v>-51</v>
      </c>
      <c r="J172" s="92">
        <f>VLOOKUP($A172,'Data Vlaue (Cr)'!$C:$FB,94)</f>
        <v>-8.0699999999999994E-2</v>
      </c>
      <c r="K172" s="91">
        <f>VLOOKUP($A172,'Data Vlaue (Cr)'!$C:$FB,95)</f>
        <v>289</v>
      </c>
      <c r="L172" s="91">
        <f>VLOOKUP($A172,'Data Vlaue (Cr)'!$C:$FB,97)</f>
        <v>-41</v>
      </c>
      <c r="M172" s="92">
        <f>VLOOKUP($A172,'Data Vlaue (Cr)'!$C:$FB,98)</f>
        <v>-0.1239</v>
      </c>
      <c r="N172" s="91">
        <f>VLOOKUP($A172,'Data Vlaue (Cr)'!$C:$FB,79)</f>
        <v>770</v>
      </c>
      <c r="O172" s="92">
        <f>VLOOKUP($A172,'Data Vlaue (Cr)'!$C:$FB,82)</f>
        <v>-0.26929999999999998</v>
      </c>
    </row>
    <row r="173" spans="1:15" x14ac:dyDescent="0.25">
      <c r="A173" s="97" t="str">
        <f>'Data Vlaue (Cr)'!C168</f>
        <v>POWERGRID</v>
      </c>
      <c r="B173" s="142">
        <f>VLOOKUP(A173,'Data Vlaue (Cr)'!C168:CW382,99,0)</f>
        <v>3740</v>
      </c>
      <c r="C173" s="90">
        <f>VLOOKUP(A173,'Data Vlaue (Cr)'!C168:CY382,101,0)</f>
        <v>-220</v>
      </c>
      <c r="D173" s="139">
        <f>VLOOKUP(A173,'Data Vlaue (Cr)'!C168:CZ382,102,0)</f>
        <v>-5.5500000000000001E-2</v>
      </c>
      <c r="E173" s="91">
        <f>VLOOKUP($A173,'Data Vlaue (Cr)'!$C:$FB,75)</f>
        <v>2141</v>
      </c>
      <c r="F173" s="91">
        <f>VLOOKUP($A173,'Data Vlaue (Cr)'!$C:$FB,77)</f>
        <v>-97</v>
      </c>
      <c r="G173" s="92">
        <f>VLOOKUP(A173,'Data Vlaue (Cr)'!C168:CB382,78,0)</f>
        <v>-4.3299999999999998E-2</v>
      </c>
      <c r="H173" s="91">
        <f>VLOOKUP($A173,'Data Vlaue (Cr)'!$C:$FB,91)</f>
        <v>1023</v>
      </c>
      <c r="I173" s="91">
        <f>VLOOKUP($A173,'Data Vlaue (Cr)'!$C:$FB,93)</f>
        <v>-100</v>
      </c>
      <c r="J173" s="92">
        <f>VLOOKUP($A173,'Data Vlaue (Cr)'!$C:$FB,94)</f>
        <v>-8.8999999999999996E-2</v>
      </c>
      <c r="K173" s="91">
        <f>VLOOKUP($A173,'Data Vlaue (Cr)'!$C:$FB,95)</f>
        <v>577</v>
      </c>
      <c r="L173" s="91">
        <f>VLOOKUP($A173,'Data Vlaue (Cr)'!$C:$FB,97)</f>
        <v>-23</v>
      </c>
      <c r="M173" s="92">
        <f>VLOOKUP($A173,'Data Vlaue (Cr)'!$C:$FB,98)</f>
        <v>-3.8600000000000002E-2</v>
      </c>
      <c r="N173" s="91">
        <f>VLOOKUP($A173,'Data Vlaue (Cr)'!$C:$FB,79)</f>
        <v>1366</v>
      </c>
      <c r="O173" s="92">
        <f>VLOOKUP($A173,'Data Vlaue (Cr)'!$C:$FB,82)</f>
        <v>-0.2888</v>
      </c>
    </row>
    <row r="174" spans="1:15" x14ac:dyDescent="0.25">
      <c r="A174" s="97" t="str">
        <f>'Data Vlaue (Cr)'!C169</f>
        <v>POWERINDIA</v>
      </c>
      <c r="B174" s="142">
        <f>VLOOKUP(A174,'Data Vlaue (Cr)'!C169:CW383,99,0)</f>
        <v>1994</v>
      </c>
      <c r="C174" s="90">
        <f>VLOOKUP(A174,'Data Vlaue (Cr)'!C169:CY383,101,0)</f>
        <v>365</v>
      </c>
      <c r="D174" s="139">
        <f>VLOOKUP(A174,'Data Vlaue (Cr)'!C169:CZ383,102,0)</f>
        <v>0.22439999999999999</v>
      </c>
      <c r="E174" s="91">
        <f>VLOOKUP($A174,'Data Vlaue (Cr)'!$C:$FB,75)</f>
        <v>397</v>
      </c>
      <c r="F174" s="91">
        <f>VLOOKUP($A174,'Data Vlaue (Cr)'!$C:$FB,77)</f>
        <v>22</v>
      </c>
      <c r="G174" s="92">
        <f>VLOOKUP(A174,'Data Vlaue (Cr)'!C169:CB383,78,0)</f>
        <v>5.9200000000000003E-2</v>
      </c>
      <c r="H174" s="91">
        <f>VLOOKUP($A174,'Data Vlaue (Cr)'!$C:$FB,91)</f>
        <v>890</v>
      </c>
      <c r="I174" s="91">
        <f>VLOOKUP($A174,'Data Vlaue (Cr)'!$C:$FB,93)</f>
        <v>252</v>
      </c>
      <c r="J174" s="92">
        <f>VLOOKUP($A174,'Data Vlaue (Cr)'!$C:$FB,94)</f>
        <v>0.39439999999999997</v>
      </c>
      <c r="K174" s="91">
        <f>VLOOKUP($A174,'Data Vlaue (Cr)'!$C:$FB,95)</f>
        <v>707</v>
      </c>
      <c r="L174" s="91">
        <f>VLOOKUP($A174,'Data Vlaue (Cr)'!$C:$FB,97)</f>
        <v>91</v>
      </c>
      <c r="M174" s="92">
        <f>VLOOKUP($A174,'Data Vlaue (Cr)'!$C:$FB,98)</f>
        <v>0.14860000000000001</v>
      </c>
      <c r="N174" s="91">
        <f>VLOOKUP($A174,'Data Vlaue (Cr)'!$C:$FB,79)</f>
        <v>272</v>
      </c>
      <c r="O174" s="92">
        <f>VLOOKUP($A174,'Data Vlaue (Cr)'!$C:$FB,82)</f>
        <v>-0.1726</v>
      </c>
    </row>
    <row r="175" spans="1:15" x14ac:dyDescent="0.25">
      <c r="A175" s="97" t="str">
        <f>'Data Vlaue (Cr)'!C170</f>
        <v>PPLPHARMA</v>
      </c>
      <c r="B175" s="142">
        <f>VLOOKUP(A175,'Data Vlaue (Cr)'!C170:CW384,99,0)</f>
        <v>890</v>
      </c>
      <c r="C175" s="90">
        <f>VLOOKUP(A175,'Data Vlaue (Cr)'!C170:CY384,101,0)</f>
        <v>-52</v>
      </c>
      <c r="D175" s="139">
        <f>VLOOKUP(A175,'Data Vlaue (Cr)'!C170:CZ384,102,0)</f>
        <v>-5.57E-2</v>
      </c>
      <c r="E175" s="91">
        <f>VLOOKUP($A175,'Data Vlaue (Cr)'!$C:$FB,75)</f>
        <v>414</v>
      </c>
      <c r="F175" s="91">
        <f>VLOOKUP($A175,'Data Vlaue (Cr)'!$C:$FB,77)</f>
        <v>-43</v>
      </c>
      <c r="G175" s="92">
        <f>VLOOKUP(A175,'Data Vlaue (Cr)'!C170:CB384,78,0)</f>
        <v>-9.4200000000000006E-2</v>
      </c>
      <c r="H175" s="91">
        <f>VLOOKUP($A175,'Data Vlaue (Cr)'!$C:$FB,91)</f>
        <v>332</v>
      </c>
      <c r="I175" s="91">
        <f>VLOOKUP($A175,'Data Vlaue (Cr)'!$C:$FB,93)</f>
        <v>-9</v>
      </c>
      <c r="J175" s="92">
        <f>VLOOKUP($A175,'Data Vlaue (Cr)'!$C:$FB,94)</f>
        <v>-2.5600000000000001E-2</v>
      </c>
      <c r="K175" s="91">
        <f>VLOOKUP($A175,'Data Vlaue (Cr)'!$C:$FB,95)</f>
        <v>145</v>
      </c>
      <c r="L175" s="91">
        <f>VLOOKUP($A175,'Data Vlaue (Cr)'!$C:$FB,97)</f>
        <v>-1</v>
      </c>
      <c r="M175" s="92">
        <f>VLOOKUP($A175,'Data Vlaue (Cr)'!$C:$FB,98)</f>
        <v>-4.8999999999999998E-3</v>
      </c>
      <c r="N175" s="91">
        <f>VLOOKUP($A175,'Data Vlaue (Cr)'!$C:$FB,79)</f>
        <v>270</v>
      </c>
      <c r="O175" s="92">
        <f>VLOOKUP($A175,'Data Vlaue (Cr)'!$C:$FB,82)</f>
        <v>-0.27610000000000001</v>
      </c>
    </row>
    <row r="176" spans="1:15" x14ac:dyDescent="0.25">
      <c r="A176" s="97" t="str">
        <f>'Data Vlaue (Cr)'!C171</f>
        <v>PRESTIGE</v>
      </c>
      <c r="B176" s="142">
        <f>VLOOKUP(A176,'Data Vlaue (Cr)'!C171:CW385,99,0)</f>
        <v>1229</v>
      </c>
      <c r="C176" s="90">
        <f>VLOOKUP(A176,'Data Vlaue (Cr)'!C171:CY385,101,0)</f>
        <v>-58</v>
      </c>
      <c r="D176" s="139">
        <f>VLOOKUP(A176,'Data Vlaue (Cr)'!C171:CZ385,102,0)</f>
        <v>-4.53E-2</v>
      </c>
      <c r="E176" s="91">
        <f>VLOOKUP($A176,'Data Vlaue (Cr)'!$C:$FB,75)</f>
        <v>646</v>
      </c>
      <c r="F176" s="91">
        <f>VLOOKUP($A176,'Data Vlaue (Cr)'!$C:$FB,77)</f>
        <v>1</v>
      </c>
      <c r="G176" s="92">
        <f>VLOOKUP(A176,'Data Vlaue (Cr)'!C171:CB385,78,0)</f>
        <v>8.0000000000000004E-4</v>
      </c>
      <c r="H176" s="91">
        <f>VLOOKUP($A176,'Data Vlaue (Cr)'!$C:$FB,91)</f>
        <v>373</v>
      </c>
      <c r="I176" s="91">
        <f>VLOOKUP($A176,'Data Vlaue (Cr)'!$C:$FB,93)</f>
        <v>-52</v>
      </c>
      <c r="J176" s="92">
        <f>VLOOKUP($A176,'Data Vlaue (Cr)'!$C:$FB,94)</f>
        <v>-0.1215</v>
      </c>
      <c r="K176" s="91">
        <f>VLOOKUP($A176,'Data Vlaue (Cr)'!$C:$FB,95)</f>
        <v>210</v>
      </c>
      <c r="L176" s="91">
        <f>VLOOKUP($A176,'Data Vlaue (Cr)'!$C:$FB,97)</f>
        <v>-7</v>
      </c>
      <c r="M176" s="92">
        <f>VLOOKUP($A176,'Data Vlaue (Cr)'!$C:$FB,98)</f>
        <v>-3.3399999999999999E-2</v>
      </c>
      <c r="N176" s="91">
        <f>VLOOKUP($A176,'Data Vlaue (Cr)'!$C:$FB,79)</f>
        <v>483</v>
      </c>
      <c r="O176" s="92">
        <f>VLOOKUP($A176,'Data Vlaue (Cr)'!$C:$FB,82)</f>
        <v>-0.20039999999999999</v>
      </c>
    </row>
    <row r="177" spans="1:15" x14ac:dyDescent="0.25">
      <c r="A177" s="97" t="str">
        <f>'Data Vlaue (Cr)'!C172</f>
        <v>RBLBANK</v>
      </c>
      <c r="B177" s="142">
        <f>VLOOKUP(A177,'Data Vlaue (Cr)'!C172:CW386,99,0)</f>
        <v>3649</v>
      </c>
      <c r="C177" s="90">
        <f>VLOOKUP(A177,'Data Vlaue (Cr)'!C172:CY386,101,0)</f>
        <v>-76</v>
      </c>
      <c r="D177" s="139">
        <f>VLOOKUP(A177,'Data Vlaue (Cr)'!C172:CZ386,102,0)</f>
        <v>-2.0400000000000001E-2</v>
      </c>
      <c r="E177" s="91">
        <f>VLOOKUP($A177,'Data Vlaue (Cr)'!$C:$FB,75)</f>
        <v>2466</v>
      </c>
      <c r="F177" s="91">
        <f>VLOOKUP($A177,'Data Vlaue (Cr)'!$C:$FB,77)</f>
        <v>-26</v>
      </c>
      <c r="G177" s="92">
        <f>VLOOKUP(A177,'Data Vlaue (Cr)'!C172:CB386,78,0)</f>
        <v>-1.0500000000000001E-2</v>
      </c>
      <c r="H177" s="91">
        <f>VLOOKUP($A177,'Data Vlaue (Cr)'!$C:$FB,91)</f>
        <v>694</v>
      </c>
      <c r="I177" s="91">
        <f>VLOOKUP($A177,'Data Vlaue (Cr)'!$C:$FB,93)</f>
        <v>-24</v>
      </c>
      <c r="J177" s="92">
        <f>VLOOKUP($A177,'Data Vlaue (Cr)'!$C:$FB,94)</f>
        <v>-3.3799999999999997E-2</v>
      </c>
      <c r="K177" s="91">
        <f>VLOOKUP($A177,'Data Vlaue (Cr)'!$C:$FB,95)</f>
        <v>489</v>
      </c>
      <c r="L177" s="91">
        <f>VLOOKUP($A177,'Data Vlaue (Cr)'!$C:$FB,97)</f>
        <v>-26</v>
      </c>
      <c r="M177" s="92">
        <f>VLOOKUP($A177,'Data Vlaue (Cr)'!$C:$FB,98)</f>
        <v>-4.9700000000000001E-2</v>
      </c>
      <c r="N177" s="91">
        <f>VLOOKUP($A177,'Data Vlaue (Cr)'!$C:$FB,79)</f>
        <v>1775</v>
      </c>
      <c r="O177" s="92">
        <f>VLOOKUP($A177,'Data Vlaue (Cr)'!$C:$FB,82)</f>
        <v>-0.18940000000000001</v>
      </c>
    </row>
    <row r="178" spans="1:15" x14ac:dyDescent="0.25">
      <c r="A178" s="97" t="str">
        <f>'Data Vlaue (Cr)'!C173</f>
        <v>RECLTD</v>
      </c>
      <c r="B178" s="142">
        <f>VLOOKUP(A178,'Data Vlaue (Cr)'!C173:CW387,99,0)</f>
        <v>6378</v>
      </c>
      <c r="C178" s="90">
        <f>VLOOKUP(A178,'Data Vlaue (Cr)'!C173:CY387,101,0)</f>
        <v>-314</v>
      </c>
      <c r="D178" s="139">
        <f>VLOOKUP(A178,'Data Vlaue (Cr)'!C173:CZ387,102,0)</f>
        <v>-4.6899999999999997E-2</v>
      </c>
      <c r="E178" s="91">
        <f>VLOOKUP($A178,'Data Vlaue (Cr)'!$C:$FB,75)</f>
        <v>3741</v>
      </c>
      <c r="F178" s="91">
        <f>VLOOKUP($A178,'Data Vlaue (Cr)'!$C:$FB,77)</f>
        <v>-90</v>
      </c>
      <c r="G178" s="92">
        <f>VLOOKUP(A178,'Data Vlaue (Cr)'!C173:CB387,78,0)</f>
        <v>-2.3400000000000001E-2</v>
      </c>
      <c r="H178" s="91">
        <f>VLOOKUP($A178,'Data Vlaue (Cr)'!$C:$FB,91)</f>
        <v>1529</v>
      </c>
      <c r="I178" s="91">
        <f>VLOOKUP($A178,'Data Vlaue (Cr)'!$C:$FB,93)</f>
        <v>-174</v>
      </c>
      <c r="J178" s="92">
        <f>VLOOKUP($A178,'Data Vlaue (Cr)'!$C:$FB,94)</f>
        <v>-0.10199999999999999</v>
      </c>
      <c r="K178" s="91">
        <f>VLOOKUP($A178,'Data Vlaue (Cr)'!$C:$FB,95)</f>
        <v>1108</v>
      </c>
      <c r="L178" s="91">
        <f>VLOOKUP($A178,'Data Vlaue (Cr)'!$C:$FB,97)</f>
        <v>-51</v>
      </c>
      <c r="M178" s="92">
        <f>VLOOKUP($A178,'Data Vlaue (Cr)'!$C:$FB,98)</f>
        <v>-4.3799999999999999E-2</v>
      </c>
      <c r="N178" s="91">
        <f>VLOOKUP($A178,'Data Vlaue (Cr)'!$C:$FB,79)</f>
        <v>2523</v>
      </c>
      <c r="O178" s="92">
        <f>VLOOKUP($A178,'Data Vlaue (Cr)'!$C:$FB,82)</f>
        <v>-0.18210000000000001</v>
      </c>
    </row>
    <row r="179" spans="1:15" x14ac:dyDescent="0.25">
      <c r="A179" s="97" t="str">
        <f>'Data Vlaue (Cr)'!C174</f>
        <v>RELIANCE</v>
      </c>
      <c r="B179" s="142">
        <f>VLOOKUP(A179,'Data Vlaue (Cr)'!C174:CW388,99,0)</f>
        <v>29619</v>
      </c>
      <c r="C179" s="90">
        <f>VLOOKUP(A179,'Data Vlaue (Cr)'!C174:CY388,101,0)</f>
        <v>1133</v>
      </c>
      <c r="D179" s="139">
        <f>VLOOKUP(A179,'Data Vlaue (Cr)'!C174:CZ388,102,0)</f>
        <v>3.9800000000000002E-2</v>
      </c>
      <c r="E179" s="91">
        <f>VLOOKUP($A179,'Data Vlaue (Cr)'!$C:$FB,75)</f>
        <v>16684</v>
      </c>
      <c r="F179" s="91">
        <f>VLOOKUP($A179,'Data Vlaue (Cr)'!$C:$FB,77)</f>
        <v>9</v>
      </c>
      <c r="G179" s="92">
        <f>VLOOKUP(A179,'Data Vlaue (Cr)'!C174:CB388,78,0)</f>
        <v>5.0000000000000001E-4</v>
      </c>
      <c r="H179" s="91">
        <f>VLOOKUP($A179,'Data Vlaue (Cr)'!$C:$FB,91)</f>
        <v>7459</v>
      </c>
      <c r="I179" s="91">
        <f>VLOOKUP($A179,'Data Vlaue (Cr)'!$C:$FB,93)</f>
        <v>292</v>
      </c>
      <c r="J179" s="92">
        <f>VLOOKUP($A179,'Data Vlaue (Cr)'!$C:$FB,94)</f>
        <v>4.07E-2</v>
      </c>
      <c r="K179" s="91">
        <f>VLOOKUP($A179,'Data Vlaue (Cr)'!$C:$FB,95)</f>
        <v>5476</v>
      </c>
      <c r="L179" s="91">
        <f>VLOOKUP($A179,'Data Vlaue (Cr)'!$C:$FB,97)</f>
        <v>832</v>
      </c>
      <c r="M179" s="92">
        <f>VLOOKUP($A179,'Data Vlaue (Cr)'!$C:$FB,98)</f>
        <v>0.17910000000000001</v>
      </c>
      <c r="N179" s="91">
        <f>VLOOKUP($A179,'Data Vlaue (Cr)'!$C:$FB,79)</f>
        <v>10580</v>
      </c>
      <c r="O179" s="92">
        <f>VLOOKUP($A179,'Data Vlaue (Cr)'!$C:$FB,82)</f>
        <v>-0.22969999999999999</v>
      </c>
    </row>
    <row r="180" spans="1:15" x14ac:dyDescent="0.25">
      <c r="A180" s="97" t="str">
        <f>'Data Vlaue (Cr)'!C175</f>
        <v>RVNL</v>
      </c>
      <c r="B180" s="142">
        <f>VLOOKUP(A180,'Data Vlaue (Cr)'!C175:CW389,99,0)</f>
        <v>2084</v>
      </c>
      <c r="C180" s="90">
        <f>VLOOKUP(A180,'Data Vlaue (Cr)'!C175:CY389,101,0)</f>
        <v>-358</v>
      </c>
      <c r="D180" s="139">
        <f>VLOOKUP(A180,'Data Vlaue (Cr)'!C175:CZ389,102,0)</f>
        <v>-0.14649999999999999</v>
      </c>
      <c r="E180" s="91">
        <f>VLOOKUP($A180,'Data Vlaue (Cr)'!$C:$FB,75)</f>
        <v>1265</v>
      </c>
      <c r="F180" s="91">
        <f>VLOOKUP($A180,'Data Vlaue (Cr)'!$C:$FB,77)</f>
        <v>-283</v>
      </c>
      <c r="G180" s="92">
        <f>VLOOKUP(A180,'Data Vlaue (Cr)'!C175:CB389,78,0)</f>
        <v>-0.183</v>
      </c>
      <c r="H180" s="91">
        <f>VLOOKUP($A180,'Data Vlaue (Cr)'!$C:$FB,91)</f>
        <v>532</v>
      </c>
      <c r="I180" s="91">
        <f>VLOOKUP($A180,'Data Vlaue (Cr)'!$C:$FB,93)</f>
        <v>-59</v>
      </c>
      <c r="J180" s="92">
        <f>VLOOKUP($A180,'Data Vlaue (Cr)'!$C:$FB,94)</f>
        <v>-0.1002</v>
      </c>
      <c r="K180" s="91">
        <f>VLOOKUP($A180,'Data Vlaue (Cr)'!$C:$FB,95)</f>
        <v>286</v>
      </c>
      <c r="L180" s="91">
        <f>VLOOKUP($A180,'Data Vlaue (Cr)'!$C:$FB,97)</f>
        <v>-15</v>
      </c>
      <c r="M180" s="92">
        <f>VLOOKUP($A180,'Data Vlaue (Cr)'!$C:$FB,98)</f>
        <v>-0.05</v>
      </c>
      <c r="N180" s="91">
        <f>VLOOKUP($A180,'Data Vlaue (Cr)'!$C:$FB,79)</f>
        <v>674</v>
      </c>
      <c r="O180" s="92">
        <f>VLOOKUP($A180,'Data Vlaue (Cr)'!$C:$FB,82)</f>
        <v>-0.38879999999999998</v>
      </c>
    </row>
    <row r="181" spans="1:15" x14ac:dyDescent="0.25">
      <c r="A181" s="97" t="str">
        <f>'Data Vlaue (Cr)'!C176</f>
        <v>SAIL</v>
      </c>
      <c r="B181" s="142">
        <f>VLOOKUP(A181,'Data Vlaue (Cr)'!C176:CW390,99,0)</f>
        <v>3771</v>
      </c>
      <c r="C181" s="90">
        <f>VLOOKUP(A181,'Data Vlaue (Cr)'!C176:CY390,101,0)</f>
        <v>-49</v>
      </c>
      <c r="D181" s="139">
        <f>VLOOKUP(A181,'Data Vlaue (Cr)'!C176:CZ390,102,0)</f>
        <v>-1.2800000000000001E-2</v>
      </c>
      <c r="E181" s="91">
        <f>VLOOKUP($A181,'Data Vlaue (Cr)'!$C:$FB,75)</f>
        <v>2516</v>
      </c>
      <c r="F181" s="91">
        <f>VLOOKUP($A181,'Data Vlaue (Cr)'!$C:$FB,77)</f>
        <v>-14</v>
      </c>
      <c r="G181" s="92">
        <f>VLOOKUP(A181,'Data Vlaue (Cr)'!C176:CB390,78,0)</f>
        <v>-5.4999999999999997E-3</v>
      </c>
      <c r="H181" s="91">
        <f>VLOOKUP($A181,'Data Vlaue (Cr)'!$C:$FB,91)</f>
        <v>665</v>
      </c>
      <c r="I181" s="91">
        <f>VLOOKUP($A181,'Data Vlaue (Cr)'!$C:$FB,93)</f>
        <v>-27</v>
      </c>
      <c r="J181" s="92">
        <f>VLOOKUP($A181,'Data Vlaue (Cr)'!$C:$FB,94)</f>
        <v>-3.8899999999999997E-2</v>
      </c>
      <c r="K181" s="91">
        <f>VLOOKUP($A181,'Data Vlaue (Cr)'!$C:$FB,95)</f>
        <v>590</v>
      </c>
      <c r="L181" s="91">
        <f>VLOOKUP($A181,'Data Vlaue (Cr)'!$C:$FB,97)</f>
        <v>-8</v>
      </c>
      <c r="M181" s="92">
        <f>VLOOKUP($A181,'Data Vlaue (Cr)'!$C:$FB,98)</f>
        <v>-1.3599999999999999E-2</v>
      </c>
      <c r="N181" s="91">
        <f>VLOOKUP($A181,'Data Vlaue (Cr)'!$C:$FB,79)</f>
        <v>2262</v>
      </c>
      <c r="O181" s="92">
        <f>VLOOKUP($A181,'Data Vlaue (Cr)'!$C:$FB,82)</f>
        <v>-3.3599999999999998E-2</v>
      </c>
    </row>
    <row r="182" spans="1:15" x14ac:dyDescent="0.25">
      <c r="A182" s="97" t="str">
        <f>'Data Vlaue (Cr)'!C177</f>
        <v>SAMMAANCAP</v>
      </c>
      <c r="B182" s="142">
        <f>VLOOKUP(A182,'Data Vlaue (Cr)'!C177:CW391,99,0)</f>
        <v>3392</v>
      </c>
      <c r="C182" s="90">
        <f>VLOOKUP(A182,'Data Vlaue (Cr)'!C177:CY391,101,0)</f>
        <v>-472</v>
      </c>
      <c r="D182" s="139">
        <f>VLOOKUP(A182,'Data Vlaue (Cr)'!C177:CZ391,102,0)</f>
        <v>-0.1221</v>
      </c>
      <c r="E182" s="91">
        <f>VLOOKUP($A182,'Data Vlaue (Cr)'!$C:$FB,75)</f>
        <v>1736</v>
      </c>
      <c r="F182" s="91">
        <f>VLOOKUP($A182,'Data Vlaue (Cr)'!$C:$FB,77)</f>
        <v>-193</v>
      </c>
      <c r="G182" s="92">
        <f>VLOOKUP(A182,'Data Vlaue (Cr)'!C177:CB391,78,0)</f>
        <v>-0.10009999999999999</v>
      </c>
      <c r="H182" s="91">
        <f>VLOOKUP($A182,'Data Vlaue (Cr)'!$C:$FB,91)</f>
        <v>1045</v>
      </c>
      <c r="I182" s="91">
        <f>VLOOKUP($A182,'Data Vlaue (Cr)'!$C:$FB,93)</f>
        <v>-151</v>
      </c>
      <c r="J182" s="92">
        <f>VLOOKUP($A182,'Data Vlaue (Cr)'!$C:$FB,94)</f>
        <v>-0.126</v>
      </c>
      <c r="K182" s="91">
        <f>VLOOKUP($A182,'Data Vlaue (Cr)'!$C:$FB,95)</f>
        <v>612</v>
      </c>
      <c r="L182" s="91">
        <f>VLOOKUP($A182,'Data Vlaue (Cr)'!$C:$FB,97)</f>
        <v>-128</v>
      </c>
      <c r="M182" s="92">
        <f>VLOOKUP($A182,'Data Vlaue (Cr)'!$C:$FB,98)</f>
        <v>-0.17349999999999999</v>
      </c>
      <c r="N182" s="91">
        <f>VLOOKUP($A182,'Data Vlaue (Cr)'!$C:$FB,79)</f>
        <v>896</v>
      </c>
      <c r="O182" s="92">
        <f>VLOOKUP($A182,'Data Vlaue (Cr)'!$C:$FB,82)</f>
        <v>-0.19889999999999999</v>
      </c>
    </row>
    <row r="183" spans="1:15" x14ac:dyDescent="0.25">
      <c r="A183" s="97" t="str">
        <f>'Data Vlaue (Cr)'!C178</f>
        <v>SBICARD</v>
      </c>
      <c r="B183" s="142">
        <f>VLOOKUP(A183,'Data Vlaue (Cr)'!C178:CW392,99,0)</f>
        <v>2843</v>
      </c>
      <c r="C183" s="90">
        <f>VLOOKUP(A183,'Data Vlaue (Cr)'!C178:CY392,101,0)</f>
        <v>-371</v>
      </c>
      <c r="D183" s="139">
        <f>VLOOKUP(A183,'Data Vlaue (Cr)'!C178:CZ392,102,0)</f>
        <v>-0.1153</v>
      </c>
      <c r="E183" s="91">
        <f>VLOOKUP($A183,'Data Vlaue (Cr)'!$C:$FB,75)</f>
        <v>1750</v>
      </c>
      <c r="F183" s="91">
        <f>VLOOKUP($A183,'Data Vlaue (Cr)'!$C:$FB,77)</f>
        <v>-236</v>
      </c>
      <c r="G183" s="92">
        <f>VLOOKUP(A183,'Data Vlaue (Cr)'!C178:CB392,78,0)</f>
        <v>-0.1187</v>
      </c>
      <c r="H183" s="91">
        <f>VLOOKUP($A183,'Data Vlaue (Cr)'!$C:$FB,91)</f>
        <v>736</v>
      </c>
      <c r="I183" s="91">
        <f>VLOOKUP($A183,'Data Vlaue (Cr)'!$C:$FB,93)</f>
        <v>-104</v>
      </c>
      <c r="J183" s="92">
        <f>VLOOKUP($A183,'Data Vlaue (Cr)'!$C:$FB,94)</f>
        <v>-0.12379999999999999</v>
      </c>
      <c r="K183" s="91">
        <f>VLOOKUP($A183,'Data Vlaue (Cr)'!$C:$FB,95)</f>
        <v>357</v>
      </c>
      <c r="L183" s="91">
        <f>VLOOKUP($A183,'Data Vlaue (Cr)'!$C:$FB,97)</f>
        <v>-31</v>
      </c>
      <c r="M183" s="92">
        <f>VLOOKUP($A183,'Data Vlaue (Cr)'!$C:$FB,98)</f>
        <v>-7.9399999999999998E-2</v>
      </c>
      <c r="N183" s="91">
        <f>VLOOKUP($A183,'Data Vlaue (Cr)'!$C:$FB,79)</f>
        <v>1209</v>
      </c>
      <c r="O183" s="92">
        <f>VLOOKUP($A183,'Data Vlaue (Cr)'!$C:$FB,82)</f>
        <v>-0.25779999999999997</v>
      </c>
    </row>
    <row r="184" spans="1:15" x14ac:dyDescent="0.25">
      <c r="A184" s="97" t="str">
        <f>'Data Vlaue (Cr)'!C179</f>
        <v>SBILIFE</v>
      </c>
      <c r="B184" s="142">
        <f>VLOOKUP(A184,'Data Vlaue (Cr)'!C179:CW393,99,0)</f>
        <v>3563</v>
      </c>
      <c r="C184" s="90">
        <f>VLOOKUP(A184,'Data Vlaue (Cr)'!C179:CY393,101,0)</f>
        <v>232</v>
      </c>
      <c r="D184" s="139">
        <f>VLOOKUP(A184,'Data Vlaue (Cr)'!C179:CZ393,102,0)</f>
        <v>6.9800000000000001E-2</v>
      </c>
      <c r="E184" s="91">
        <f>VLOOKUP($A184,'Data Vlaue (Cr)'!$C:$FB,75)</f>
        <v>1658</v>
      </c>
      <c r="F184" s="91">
        <f>VLOOKUP($A184,'Data Vlaue (Cr)'!$C:$FB,77)</f>
        <v>65</v>
      </c>
      <c r="G184" s="92">
        <f>VLOOKUP(A184,'Data Vlaue (Cr)'!C179:CB393,78,0)</f>
        <v>4.0899999999999999E-2</v>
      </c>
      <c r="H184" s="91">
        <f>VLOOKUP($A184,'Data Vlaue (Cr)'!$C:$FB,91)</f>
        <v>1152</v>
      </c>
      <c r="I184" s="91">
        <f>VLOOKUP($A184,'Data Vlaue (Cr)'!$C:$FB,93)</f>
        <v>91</v>
      </c>
      <c r="J184" s="92">
        <f>VLOOKUP($A184,'Data Vlaue (Cr)'!$C:$FB,94)</f>
        <v>8.5699999999999998E-2</v>
      </c>
      <c r="K184" s="91">
        <f>VLOOKUP($A184,'Data Vlaue (Cr)'!$C:$FB,95)</f>
        <v>754</v>
      </c>
      <c r="L184" s="91">
        <f>VLOOKUP($A184,'Data Vlaue (Cr)'!$C:$FB,97)</f>
        <v>76</v>
      </c>
      <c r="M184" s="92">
        <f>VLOOKUP($A184,'Data Vlaue (Cr)'!$C:$FB,98)</f>
        <v>0.1128</v>
      </c>
      <c r="N184" s="91">
        <f>VLOOKUP($A184,'Data Vlaue (Cr)'!$C:$FB,79)</f>
        <v>1131</v>
      </c>
      <c r="O184" s="92">
        <f>VLOOKUP($A184,'Data Vlaue (Cr)'!$C:$FB,82)</f>
        <v>-0.2235</v>
      </c>
    </row>
    <row r="185" spans="1:15" x14ac:dyDescent="0.25">
      <c r="A185" s="97" t="str">
        <f>'Data Vlaue (Cr)'!C180</f>
        <v>SBIN</v>
      </c>
      <c r="B185" s="142">
        <f>VLOOKUP(A185,'Data Vlaue (Cr)'!C180:CW394,99,0)</f>
        <v>16313</v>
      </c>
      <c r="C185" s="90">
        <f>VLOOKUP(A185,'Data Vlaue (Cr)'!C180:CY394,101,0)</f>
        <v>-337</v>
      </c>
      <c r="D185" s="139">
        <f>VLOOKUP(A185,'Data Vlaue (Cr)'!C180:CZ394,102,0)</f>
        <v>-2.0299999999999999E-2</v>
      </c>
      <c r="E185" s="91">
        <f>VLOOKUP($A185,'Data Vlaue (Cr)'!$C:$FB,75)</f>
        <v>7261</v>
      </c>
      <c r="F185" s="91">
        <f>VLOOKUP($A185,'Data Vlaue (Cr)'!$C:$FB,77)</f>
        <v>-108</v>
      </c>
      <c r="G185" s="92">
        <f>VLOOKUP(A185,'Data Vlaue (Cr)'!C180:CB394,78,0)</f>
        <v>-1.46E-2</v>
      </c>
      <c r="H185" s="91">
        <f>VLOOKUP($A185,'Data Vlaue (Cr)'!$C:$FB,91)</f>
        <v>4736</v>
      </c>
      <c r="I185" s="91">
        <f>VLOOKUP($A185,'Data Vlaue (Cr)'!$C:$FB,93)</f>
        <v>66</v>
      </c>
      <c r="J185" s="92">
        <f>VLOOKUP($A185,'Data Vlaue (Cr)'!$C:$FB,94)</f>
        <v>1.41E-2</v>
      </c>
      <c r="K185" s="91">
        <f>VLOOKUP($A185,'Data Vlaue (Cr)'!$C:$FB,95)</f>
        <v>4317</v>
      </c>
      <c r="L185" s="91">
        <f>VLOOKUP($A185,'Data Vlaue (Cr)'!$C:$FB,97)</f>
        <v>-295</v>
      </c>
      <c r="M185" s="92">
        <f>VLOOKUP($A185,'Data Vlaue (Cr)'!$C:$FB,98)</f>
        <v>-6.4000000000000001E-2</v>
      </c>
      <c r="N185" s="91">
        <f>VLOOKUP($A185,'Data Vlaue (Cr)'!$C:$FB,79)</f>
        <v>4505</v>
      </c>
      <c r="O185" s="92">
        <f>VLOOKUP($A185,'Data Vlaue (Cr)'!$C:$FB,82)</f>
        <v>-0.26</v>
      </c>
    </row>
    <row r="186" spans="1:15" x14ac:dyDescent="0.25">
      <c r="A186" s="97" t="str">
        <f>'Data Vlaue (Cr)'!C181</f>
        <v>SHREECEM</v>
      </c>
      <c r="B186" s="142">
        <f>VLOOKUP(A186,'Data Vlaue (Cr)'!C181:CW395,99,0)</f>
        <v>1387</v>
      </c>
      <c r="C186" s="90">
        <f>VLOOKUP(A186,'Data Vlaue (Cr)'!C181:CY395,101,0)</f>
        <v>-79</v>
      </c>
      <c r="D186" s="139">
        <f>VLOOKUP(A186,'Data Vlaue (Cr)'!C181:CZ395,102,0)</f>
        <v>-5.4100000000000002E-2</v>
      </c>
      <c r="E186" s="91">
        <f>VLOOKUP($A186,'Data Vlaue (Cr)'!$C:$FB,75)</f>
        <v>795</v>
      </c>
      <c r="F186" s="91">
        <f>VLOOKUP($A186,'Data Vlaue (Cr)'!$C:$FB,77)</f>
        <v>-22</v>
      </c>
      <c r="G186" s="92">
        <f>VLOOKUP(A186,'Data Vlaue (Cr)'!C181:CB395,78,0)</f>
        <v>-2.75E-2</v>
      </c>
      <c r="H186" s="91">
        <f>VLOOKUP($A186,'Data Vlaue (Cr)'!$C:$FB,91)</f>
        <v>440</v>
      </c>
      <c r="I186" s="91">
        <f>VLOOKUP($A186,'Data Vlaue (Cr)'!$C:$FB,93)</f>
        <v>-55</v>
      </c>
      <c r="J186" s="92">
        <f>VLOOKUP($A186,'Data Vlaue (Cr)'!$C:$FB,94)</f>
        <v>-0.1103</v>
      </c>
      <c r="K186" s="91">
        <f>VLOOKUP($A186,'Data Vlaue (Cr)'!$C:$FB,95)</f>
        <v>152</v>
      </c>
      <c r="L186" s="91">
        <f>VLOOKUP($A186,'Data Vlaue (Cr)'!$C:$FB,97)</f>
        <v>-2</v>
      </c>
      <c r="M186" s="92">
        <f>VLOOKUP($A186,'Data Vlaue (Cr)'!$C:$FB,98)</f>
        <v>-1.46E-2</v>
      </c>
      <c r="N186" s="91">
        <f>VLOOKUP($A186,'Data Vlaue (Cr)'!$C:$FB,79)</f>
        <v>563</v>
      </c>
      <c r="O186" s="92">
        <f>VLOOKUP($A186,'Data Vlaue (Cr)'!$C:$FB,82)</f>
        <v>-0.25750000000000001</v>
      </c>
    </row>
    <row r="187" spans="1:15" x14ac:dyDescent="0.25">
      <c r="A187" s="97" t="str">
        <f>'Data Vlaue (Cr)'!C182</f>
        <v>SHRIRAMFIN</v>
      </c>
      <c r="B187" s="142">
        <f>VLOOKUP(A187,'Data Vlaue (Cr)'!C182:CW396,99,0)</f>
        <v>7248</v>
      </c>
      <c r="C187" s="90">
        <f>VLOOKUP(A187,'Data Vlaue (Cr)'!C182:CY396,101,0)</f>
        <v>-218</v>
      </c>
      <c r="D187" s="139">
        <f>VLOOKUP(A187,'Data Vlaue (Cr)'!C182:CZ396,102,0)</f>
        <v>-2.92E-2</v>
      </c>
      <c r="E187" s="91">
        <f>VLOOKUP($A187,'Data Vlaue (Cr)'!$C:$FB,75)</f>
        <v>4664</v>
      </c>
      <c r="F187" s="91">
        <f>VLOOKUP($A187,'Data Vlaue (Cr)'!$C:$FB,77)</f>
        <v>-45</v>
      </c>
      <c r="G187" s="92">
        <f>VLOOKUP(A187,'Data Vlaue (Cr)'!C182:CB396,78,0)</f>
        <v>-9.4999999999999998E-3</v>
      </c>
      <c r="H187" s="91">
        <f>VLOOKUP($A187,'Data Vlaue (Cr)'!$C:$FB,91)</f>
        <v>1354</v>
      </c>
      <c r="I187" s="91">
        <f>VLOOKUP($A187,'Data Vlaue (Cr)'!$C:$FB,93)</f>
        <v>-115</v>
      </c>
      <c r="J187" s="92">
        <f>VLOOKUP($A187,'Data Vlaue (Cr)'!$C:$FB,94)</f>
        <v>-7.8399999999999997E-2</v>
      </c>
      <c r="K187" s="91">
        <f>VLOOKUP($A187,'Data Vlaue (Cr)'!$C:$FB,95)</f>
        <v>1230</v>
      </c>
      <c r="L187" s="91">
        <f>VLOOKUP($A187,'Data Vlaue (Cr)'!$C:$FB,97)</f>
        <v>-58</v>
      </c>
      <c r="M187" s="92">
        <f>VLOOKUP($A187,'Data Vlaue (Cr)'!$C:$FB,98)</f>
        <v>-4.4999999999999998E-2</v>
      </c>
      <c r="N187" s="91">
        <f>VLOOKUP($A187,'Data Vlaue (Cr)'!$C:$FB,79)</f>
        <v>2993</v>
      </c>
      <c r="O187" s="92">
        <f>VLOOKUP($A187,'Data Vlaue (Cr)'!$C:$FB,82)</f>
        <v>-0.25009999999999999</v>
      </c>
    </row>
    <row r="188" spans="1:15" x14ac:dyDescent="0.25">
      <c r="A188" s="97" t="str">
        <f>'Data Vlaue (Cr)'!C183</f>
        <v>SIEMENS</v>
      </c>
      <c r="B188" s="142">
        <f>VLOOKUP(A188,'Data Vlaue (Cr)'!C183:CW397,99,0)</f>
        <v>1620</v>
      </c>
      <c r="C188" s="90">
        <f>VLOOKUP(A188,'Data Vlaue (Cr)'!C183:CY397,101,0)</f>
        <v>-128</v>
      </c>
      <c r="D188" s="139">
        <f>VLOOKUP(A188,'Data Vlaue (Cr)'!C183:CZ397,102,0)</f>
        <v>-7.3200000000000001E-2</v>
      </c>
      <c r="E188" s="91">
        <f>VLOOKUP($A188,'Data Vlaue (Cr)'!$C:$FB,75)</f>
        <v>926</v>
      </c>
      <c r="F188" s="91">
        <f>VLOOKUP($A188,'Data Vlaue (Cr)'!$C:$FB,77)</f>
        <v>-26</v>
      </c>
      <c r="G188" s="92">
        <f>VLOOKUP(A188,'Data Vlaue (Cr)'!C183:CB397,78,0)</f>
        <v>-2.7400000000000001E-2</v>
      </c>
      <c r="H188" s="91">
        <f>VLOOKUP($A188,'Data Vlaue (Cr)'!$C:$FB,91)</f>
        <v>407</v>
      </c>
      <c r="I188" s="91">
        <f>VLOOKUP($A188,'Data Vlaue (Cr)'!$C:$FB,93)</f>
        <v>-63</v>
      </c>
      <c r="J188" s="92">
        <f>VLOOKUP($A188,'Data Vlaue (Cr)'!$C:$FB,94)</f>
        <v>-0.1333</v>
      </c>
      <c r="K188" s="91">
        <f>VLOOKUP($A188,'Data Vlaue (Cr)'!$C:$FB,95)</f>
        <v>286</v>
      </c>
      <c r="L188" s="91">
        <f>VLOOKUP($A188,'Data Vlaue (Cr)'!$C:$FB,97)</f>
        <v>-39</v>
      </c>
      <c r="M188" s="92">
        <f>VLOOKUP($A188,'Data Vlaue (Cr)'!$C:$FB,98)</f>
        <v>-0.1203</v>
      </c>
      <c r="N188" s="91">
        <f>VLOOKUP($A188,'Data Vlaue (Cr)'!$C:$FB,79)</f>
        <v>655</v>
      </c>
      <c r="O188" s="92">
        <f>VLOOKUP($A188,'Data Vlaue (Cr)'!$C:$FB,82)</f>
        <v>-0.23649999999999999</v>
      </c>
    </row>
    <row r="189" spans="1:15" x14ac:dyDescent="0.25">
      <c r="A189" s="97" t="str">
        <f>'Data Vlaue (Cr)'!C216</f>
        <v>ZYDUSLIFE</v>
      </c>
      <c r="B189" s="142">
        <f>VLOOKUP(A189,'Data Vlaue (Cr)'!C216:CW398,99,0)</f>
        <v>1983</v>
      </c>
      <c r="C189" s="90">
        <f>VLOOKUP(A189,'Data Vlaue (Cr)'!C216:CY398,101,0)</f>
        <v>-84</v>
      </c>
      <c r="D189" s="139">
        <f>VLOOKUP(A189,'Data Vlaue (Cr)'!C216:CZ398,102,0)</f>
        <v>-4.07E-2</v>
      </c>
      <c r="E189" s="91">
        <f>VLOOKUP($A189,'Data Vlaue (Cr)'!$C:$FB,75)</f>
        <v>1041</v>
      </c>
      <c r="F189" s="91">
        <f>VLOOKUP($A189,'Data Vlaue (Cr)'!$C:$FB,77)</f>
        <v>-95</v>
      </c>
      <c r="G189" s="92">
        <f>VLOOKUP(A189,'Data Vlaue (Cr)'!C216:CB398,78,0)</f>
        <v>-8.4000000000000005E-2</v>
      </c>
      <c r="H189" s="91">
        <f>VLOOKUP($A189,'Data Vlaue (Cr)'!$C:$FB,91)</f>
        <v>551</v>
      </c>
      <c r="I189" s="91">
        <f>VLOOKUP($A189,'Data Vlaue (Cr)'!$C:$FB,93)</f>
        <v>-16</v>
      </c>
      <c r="J189" s="92">
        <f>VLOOKUP($A189,'Data Vlaue (Cr)'!$C:$FB,94)</f>
        <v>-2.8299999999999999E-2</v>
      </c>
      <c r="K189" s="91">
        <f>VLOOKUP($A189,'Data Vlaue (Cr)'!$C:$FB,95)</f>
        <v>391</v>
      </c>
      <c r="L189" s="91">
        <f>VLOOKUP($A189,'Data Vlaue (Cr)'!$C:$FB,97)</f>
        <v>27</v>
      </c>
      <c r="M189" s="92">
        <f>VLOOKUP($A189,'Data Vlaue (Cr)'!$C:$FB,98)</f>
        <v>7.5300000000000006E-2</v>
      </c>
      <c r="N189" s="91">
        <f>VLOOKUP($A189,'Data Vlaue (Cr)'!$C:$FB,79)</f>
        <v>598</v>
      </c>
      <c r="O189" s="92">
        <f>VLOOKUP($A189,'Data Vlaue (Cr)'!$C:$FB,82)</f>
        <v>-0.35970000000000002</v>
      </c>
    </row>
    <row r="190" spans="1:15" x14ac:dyDescent="0.25">
      <c r="A190" s="97"/>
      <c r="B190" s="142"/>
      <c r="C190" s="90"/>
      <c r="D190" s="139"/>
      <c r="E190" s="91"/>
      <c r="F190" s="91"/>
      <c r="G190" s="92"/>
      <c r="H190" s="91"/>
      <c r="I190" s="91"/>
      <c r="J190" s="92"/>
      <c r="K190" s="91"/>
      <c r="L190" s="91"/>
      <c r="M190" s="92"/>
      <c r="N190" s="91"/>
      <c r="O190" s="92"/>
    </row>
    <row r="191" spans="1:15" x14ac:dyDescent="0.25">
      <c r="A191" s="97"/>
      <c r="B191" s="142"/>
      <c r="C191" s="90"/>
      <c r="D191" s="139"/>
      <c r="E191" s="91"/>
      <c r="F191" s="91"/>
      <c r="G191" s="92"/>
      <c r="H191" s="91"/>
      <c r="I191" s="91"/>
      <c r="J191" s="92"/>
      <c r="K191" s="91"/>
      <c r="L191" s="91"/>
      <c r="M191" s="92"/>
      <c r="N191" s="91"/>
      <c r="O191" s="92"/>
    </row>
    <row r="192" spans="1:15" x14ac:dyDescent="0.25">
      <c r="A192" s="97"/>
      <c r="B192" s="142"/>
      <c r="C192" s="90"/>
      <c r="D192" s="139"/>
      <c r="E192" s="91"/>
      <c r="F192" s="91"/>
      <c r="G192" s="92"/>
      <c r="H192" s="91"/>
      <c r="I192" s="91"/>
      <c r="J192" s="92"/>
      <c r="K192" s="91"/>
      <c r="L192" s="91"/>
      <c r="M192" s="92"/>
      <c r="N192" s="91"/>
      <c r="O192" s="92"/>
    </row>
    <row r="193" spans="1:15" x14ac:dyDescent="0.25">
      <c r="A193" s="97"/>
      <c r="B193" s="142"/>
      <c r="C193" s="90"/>
      <c r="D193" s="139"/>
      <c r="E193" s="91"/>
      <c r="F193" s="91"/>
      <c r="G193" s="92"/>
      <c r="H193" s="91"/>
      <c r="I193" s="91"/>
      <c r="J193" s="92"/>
      <c r="K193" s="91"/>
      <c r="L193" s="91"/>
      <c r="M193" s="92"/>
      <c r="N193" s="91"/>
      <c r="O193" s="92"/>
    </row>
    <row r="194" spans="1:15" x14ac:dyDescent="0.25">
      <c r="A194" s="97"/>
      <c r="B194" s="142"/>
      <c r="C194" s="90"/>
      <c r="D194" s="139"/>
      <c r="E194" s="91"/>
      <c r="F194" s="91"/>
      <c r="G194" s="92"/>
      <c r="H194" s="91"/>
      <c r="I194" s="91"/>
      <c r="J194" s="92"/>
      <c r="K194" s="91"/>
      <c r="L194" s="91"/>
      <c r="M194" s="92"/>
      <c r="N194" s="91"/>
      <c r="O194" s="92"/>
    </row>
    <row r="195" spans="1:15" x14ac:dyDescent="0.25">
      <c r="A195" s="97"/>
      <c r="B195" s="142"/>
      <c r="C195" s="90"/>
      <c r="D195" s="139"/>
      <c r="E195" s="91"/>
      <c r="F195" s="91"/>
      <c r="G195" s="92"/>
      <c r="H195" s="91"/>
      <c r="I195" s="91"/>
      <c r="J195" s="92"/>
      <c r="K195" s="91"/>
      <c r="L195" s="91"/>
      <c r="M195" s="92"/>
      <c r="N195" s="91"/>
      <c r="O195" s="92"/>
    </row>
    <row r="196" spans="1:15" x14ac:dyDescent="0.25">
      <c r="A196" s="97"/>
      <c r="B196" s="142"/>
      <c r="C196" s="90"/>
      <c r="D196" s="139"/>
      <c r="E196" s="91"/>
      <c r="F196" s="91"/>
      <c r="G196" s="92"/>
      <c r="H196" s="91"/>
      <c r="I196" s="91"/>
      <c r="J196" s="92"/>
      <c r="K196" s="91"/>
      <c r="L196" s="91"/>
      <c r="M196" s="92"/>
      <c r="N196" s="91"/>
      <c r="O196" s="92"/>
    </row>
    <row r="197" spans="1:15" x14ac:dyDescent="0.25">
      <c r="A197" s="97"/>
      <c r="B197" s="142"/>
      <c r="C197" s="90"/>
      <c r="D197" s="139"/>
      <c r="E197" s="91"/>
      <c r="F197" s="91"/>
      <c r="G197" s="92"/>
      <c r="H197" s="91"/>
      <c r="I197" s="91"/>
      <c r="J197" s="92"/>
      <c r="K197" s="91"/>
      <c r="L197" s="91"/>
      <c r="M197" s="92"/>
      <c r="N197" s="91"/>
      <c r="O197" s="92"/>
    </row>
    <row r="198" spans="1:15" x14ac:dyDescent="0.25">
      <c r="A198" s="97"/>
      <c r="B198" s="142"/>
      <c r="C198" s="90"/>
      <c r="D198" s="139"/>
      <c r="E198" s="91"/>
      <c r="F198" s="91"/>
      <c r="G198" s="92"/>
      <c r="H198" s="91"/>
      <c r="I198" s="91"/>
      <c r="J198" s="92"/>
      <c r="K198" s="91"/>
      <c r="L198" s="91"/>
      <c r="M198" s="92"/>
      <c r="N198" s="91"/>
      <c r="O198" s="92"/>
    </row>
    <row r="199" spans="1:15" x14ac:dyDescent="0.25">
      <c r="A199" s="97"/>
      <c r="B199" s="142"/>
      <c r="C199" s="90"/>
      <c r="D199" s="139"/>
      <c r="E199" s="91"/>
      <c r="F199" s="91"/>
      <c r="G199" s="92"/>
      <c r="H199" s="91"/>
      <c r="I199" s="91"/>
      <c r="J199" s="92"/>
      <c r="K199" s="91"/>
      <c r="L199" s="91"/>
      <c r="M199" s="92"/>
      <c r="N199" s="91"/>
      <c r="O199" s="92"/>
    </row>
    <row r="200" spans="1:15" x14ac:dyDescent="0.25">
      <c r="A200" s="97"/>
      <c r="B200" s="142"/>
      <c r="C200" s="90"/>
      <c r="D200" s="139"/>
      <c r="E200" s="91"/>
      <c r="F200" s="91"/>
      <c r="G200" s="92"/>
      <c r="H200" s="91"/>
      <c r="I200" s="91"/>
      <c r="J200" s="92"/>
      <c r="K200" s="91"/>
      <c r="L200" s="91"/>
      <c r="M200" s="92"/>
      <c r="N200" s="91"/>
      <c r="O200" s="92"/>
    </row>
    <row r="201" spans="1:15" x14ac:dyDescent="0.25">
      <c r="A201" s="97"/>
      <c r="B201" s="142"/>
      <c r="C201" s="90"/>
      <c r="D201" s="139"/>
      <c r="E201" s="91"/>
      <c r="F201" s="91"/>
      <c r="G201" s="92"/>
      <c r="H201" s="91"/>
      <c r="I201" s="91"/>
      <c r="J201" s="92"/>
      <c r="K201" s="91"/>
      <c r="L201" s="91"/>
      <c r="M201" s="92"/>
      <c r="N201" s="91"/>
      <c r="O201" s="92"/>
    </row>
    <row r="202" spans="1:15" x14ac:dyDescent="0.25">
      <c r="A202" s="97"/>
      <c r="B202" s="142"/>
      <c r="C202" s="90"/>
      <c r="D202" s="139"/>
      <c r="E202" s="91"/>
      <c r="F202" s="91"/>
      <c r="G202" s="92"/>
      <c r="H202" s="91"/>
      <c r="I202" s="91"/>
      <c r="J202" s="92"/>
      <c r="K202" s="91"/>
      <c r="L202" s="91"/>
      <c r="M202" s="92"/>
      <c r="N202" s="91"/>
      <c r="O202" s="92"/>
    </row>
    <row r="203" spans="1:15" x14ac:dyDescent="0.25">
      <c r="A203" s="97"/>
      <c r="B203" s="142"/>
      <c r="C203" s="90"/>
      <c r="D203" s="139"/>
      <c r="E203" s="91"/>
      <c r="F203" s="91"/>
      <c r="G203" s="92"/>
      <c r="H203" s="91"/>
      <c r="I203" s="91"/>
      <c r="J203" s="92"/>
      <c r="K203" s="91"/>
      <c r="L203" s="91"/>
      <c r="M203" s="92"/>
      <c r="N203" s="91"/>
      <c r="O203" s="92"/>
    </row>
    <row r="204" spans="1:15" x14ac:dyDescent="0.25">
      <c r="A204" s="97"/>
      <c r="B204" s="142"/>
      <c r="C204" s="90"/>
      <c r="D204" s="139"/>
      <c r="E204" s="91"/>
      <c r="F204" s="91"/>
      <c r="G204" s="92"/>
      <c r="H204" s="91"/>
      <c r="I204" s="91"/>
      <c r="J204" s="92"/>
      <c r="K204" s="91"/>
      <c r="L204" s="91"/>
      <c r="M204" s="92"/>
      <c r="N204" s="91"/>
      <c r="O204" s="92"/>
    </row>
    <row r="205" spans="1:15" x14ac:dyDescent="0.25">
      <c r="A205" s="97"/>
      <c r="B205" s="142"/>
      <c r="C205" s="90"/>
      <c r="D205" s="139"/>
      <c r="E205" s="91"/>
      <c r="F205" s="91"/>
      <c r="G205" s="92"/>
      <c r="H205" s="91"/>
      <c r="I205" s="91"/>
      <c r="J205" s="92"/>
      <c r="K205" s="91"/>
      <c r="L205" s="91"/>
      <c r="M205" s="92"/>
      <c r="N205" s="91"/>
      <c r="O205" s="92"/>
    </row>
    <row r="206" spans="1:15" x14ac:dyDescent="0.25">
      <c r="A206" s="97"/>
      <c r="B206" s="142"/>
      <c r="C206" s="90"/>
      <c r="D206" s="139"/>
      <c r="E206" s="91"/>
      <c r="F206" s="91"/>
      <c r="G206" s="92"/>
      <c r="H206" s="91"/>
      <c r="I206" s="91"/>
      <c r="J206" s="92"/>
      <c r="K206" s="91"/>
      <c r="L206" s="91"/>
      <c r="M206" s="92"/>
      <c r="N206" s="91"/>
      <c r="O206" s="92"/>
    </row>
    <row r="207" spans="1:15" x14ac:dyDescent="0.25">
      <c r="A207" s="97"/>
      <c r="B207" s="142"/>
      <c r="C207" s="90"/>
      <c r="D207" s="139"/>
      <c r="E207" s="91"/>
      <c r="F207" s="91"/>
      <c r="G207" s="92"/>
      <c r="H207" s="91"/>
      <c r="I207" s="91"/>
      <c r="J207" s="92"/>
      <c r="K207" s="91"/>
      <c r="L207" s="91"/>
      <c r="M207" s="92"/>
      <c r="N207" s="91"/>
      <c r="O207" s="92"/>
    </row>
    <row r="208" spans="1:15" x14ac:dyDescent="0.25">
      <c r="A208" s="97"/>
      <c r="B208" s="142"/>
      <c r="C208" s="90"/>
      <c r="D208" s="139"/>
      <c r="E208" s="91"/>
      <c r="F208" s="91"/>
      <c r="G208" s="92"/>
      <c r="H208" s="91"/>
      <c r="I208" s="91"/>
      <c r="J208" s="92"/>
      <c r="K208" s="91"/>
      <c r="L208" s="91"/>
      <c r="M208" s="92"/>
      <c r="N208" s="91"/>
      <c r="O208" s="92"/>
    </row>
    <row r="209" spans="1:15" x14ac:dyDescent="0.25">
      <c r="A209" s="102"/>
      <c r="B209" s="142"/>
      <c r="C209" s="90"/>
      <c r="D209" s="139"/>
      <c r="E209" s="91"/>
      <c r="F209" s="91"/>
      <c r="G209" s="92"/>
      <c r="H209" s="91"/>
      <c r="I209" s="91"/>
      <c r="J209" s="92"/>
      <c r="K209" s="91"/>
      <c r="L209" s="91"/>
      <c r="M209" s="92"/>
      <c r="N209" s="91"/>
      <c r="O209" s="92"/>
    </row>
    <row r="210" spans="1:15" s="88" customFormat="1" ht="15.75" customHeight="1" x14ac:dyDescent="0.25">
      <c r="A210" s="122" t="s">
        <v>391</v>
      </c>
      <c r="B210" s="123">
        <f>SUM(B7:B209)</f>
        <v>2422646</v>
      </c>
      <c r="C210" s="123">
        <f>SUM(C7:C209)</f>
        <v>168524</v>
      </c>
      <c r="D210" s="124">
        <f>'Snapshot (Value)'!K225</f>
        <v>7.4759729704790501E-2</v>
      </c>
      <c r="E210" s="123">
        <f>SUM(E7:E209)</f>
        <v>518596</v>
      </c>
      <c r="F210" s="123">
        <f>SUM(F7:F209)</f>
        <v>-5307</v>
      </c>
      <c r="G210" s="149">
        <f>F210*100/(E210-F210)</f>
        <v>-1.0129737756798491</v>
      </c>
      <c r="H210" s="123">
        <f>SUM(H7:H209)</f>
        <v>860623</v>
      </c>
      <c r="I210" s="123">
        <f>SUM(I7:I209)</f>
        <v>36580</v>
      </c>
      <c r="J210" s="149">
        <f>I210/(H210-I210)</f>
        <v>4.439088736874168E-2</v>
      </c>
      <c r="K210" s="123">
        <f>SUM(K7:K209)</f>
        <v>1043422</v>
      </c>
      <c r="L210" s="123">
        <f>SUM(L7:L209)</f>
        <v>137251</v>
      </c>
      <c r="M210" s="149">
        <f>L210/(K210-L210)</f>
        <v>0.15146258266927545</v>
      </c>
      <c r="N210" s="123">
        <f>SUM(N7:N209)</f>
        <v>342046</v>
      </c>
      <c r="O210" s="149">
        <f>(N210-FII!V2)/N210</f>
        <v>-0.4810317910456488</v>
      </c>
    </row>
    <row r="215" spans="1:15" x14ac:dyDescent="0.25">
      <c r="A215" s="273" t="s">
        <v>408</v>
      </c>
      <c r="B215" s="273"/>
      <c r="C215" s="273"/>
      <c r="D215" s="273"/>
    </row>
    <row r="216" spans="1:15" x14ac:dyDescent="0.25">
      <c r="A216" s="35" t="s">
        <v>401</v>
      </c>
      <c r="B216" s="35" t="s">
        <v>402</v>
      </c>
      <c r="C216" s="35" t="s">
        <v>369</v>
      </c>
      <c r="D216" s="35" t="s">
        <v>407</v>
      </c>
    </row>
    <row r="217" spans="1:15" x14ac:dyDescent="0.25">
      <c r="A217" s="36" t="s">
        <v>403</v>
      </c>
      <c r="B217" s="37">
        <f>E210</f>
        <v>518596</v>
      </c>
      <c r="C217" s="37">
        <f>F210</f>
        <v>-5307</v>
      </c>
      <c r="D217" s="39">
        <f>C217/B217</f>
        <v>-1.0233399409174001E-2</v>
      </c>
    </row>
    <row r="218" spans="1:15" x14ac:dyDescent="0.25">
      <c r="A218" s="36" t="s">
        <v>404</v>
      </c>
      <c r="B218" s="37">
        <f>H210</f>
        <v>860623</v>
      </c>
      <c r="C218" s="37">
        <f>I210</f>
        <v>36580</v>
      </c>
      <c r="D218" s="150">
        <f>C218/B218</f>
        <v>4.250409296521241E-2</v>
      </c>
    </row>
    <row r="219" spans="1:15" x14ac:dyDescent="0.25">
      <c r="A219" s="36" t="s">
        <v>405</v>
      </c>
      <c r="B219" s="37">
        <f>K210</f>
        <v>1043422</v>
      </c>
      <c r="C219" s="37">
        <f>L210</f>
        <v>137251</v>
      </c>
      <c r="D219" s="150">
        <f>C219/B219</f>
        <v>0.13153930049395163</v>
      </c>
    </row>
    <row r="220" spans="1:15" x14ac:dyDescent="0.25">
      <c r="A220" s="36" t="s">
        <v>406</v>
      </c>
      <c r="B220" s="37">
        <f>B217+B218+B219</f>
        <v>2422641</v>
      </c>
      <c r="C220" s="37">
        <f>C217+C218+C219</f>
        <v>168524</v>
      </c>
      <c r="D220" s="150">
        <f>C220/B220</f>
        <v>6.9562101854959119E-2</v>
      </c>
    </row>
  </sheetData>
  <autoFilter ref="A6:O6">
    <sortState ref="A7:O154">
      <sortCondition ref="A6"/>
    </sortState>
  </autoFilter>
  <mergeCells count="9">
    <mergeCell ref="A215:D215"/>
    <mergeCell ref="A3:O3"/>
    <mergeCell ref="A4:A5"/>
    <mergeCell ref="B4:O4"/>
    <mergeCell ref="B5:D5"/>
    <mergeCell ref="E5:G5"/>
    <mergeCell ref="H5:J5"/>
    <mergeCell ref="K5:M5"/>
    <mergeCell ref="N5:O5"/>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3"/>
  <sheetViews>
    <sheetView workbookViewId="0">
      <pane ySplit="6" topLeftCell="A7" activePane="bottomLeft" state="frozen"/>
      <selection pane="bottomLeft" activeCell="S54" sqref="S54"/>
    </sheetView>
  </sheetViews>
  <sheetFormatPr defaultRowHeight="15" x14ac:dyDescent="0.25"/>
  <cols>
    <col min="1" max="1" width="14.140625" bestFit="1" customWidth="1"/>
    <col min="2" max="3" width="9.28515625" bestFit="1" customWidth="1"/>
    <col min="4" max="4" width="10.42578125" bestFit="1" customWidth="1"/>
    <col min="5" max="5" width="12.85546875" bestFit="1" customWidth="1"/>
    <col min="6" max="6" width="11.28515625" bestFit="1" customWidth="1"/>
    <col min="7" max="10" width="9.28515625" bestFit="1" customWidth="1"/>
  </cols>
  <sheetData>
    <row r="1" spans="1:10" x14ac:dyDescent="0.25">
      <c r="A1" s="74"/>
    </row>
    <row r="2" spans="1:10" ht="19.5" customHeight="1" thickBot="1" x14ac:dyDescent="0.3"/>
    <row r="3" spans="1:10" ht="21" customHeight="1" thickBot="1" x14ac:dyDescent="0.3">
      <c r="A3" s="291" t="s">
        <v>343</v>
      </c>
      <c r="B3" s="292"/>
      <c r="C3" s="292"/>
      <c r="D3" s="292"/>
      <c r="E3" s="292"/>
      <c r="F3" s="292"/>
      <c r="G3" s="293"/>
      <c r="H3" s="293"/>
      <c r="I3" s="293"/>
      <c r="J3" s="294"/>
    </row>
    <row r="4" spans="1:10" s="93" customFormat="1" x14ac:dyDescent="0.25">
      <c r="A4" s="295" t="s">
        <v>330</v>
      </c>
      <c r="B4" s="295" t="s">
        <v>308</v>
      </c>
      <c r="C4" s="295"/>
      <c r="D4" s="295"/>
      <c r="E4" s="295" t="s">
        <v>340</v>
      </c>
      <c r="F4" s="295"/>
      <c r="G4" s="295"/>
      <c r="H4" s="295" t="s">
        <v>458</v>
      </c>
      <c r="I4" s="295"/>
      <c r="J4" s="295"/>
    </row>
    <row r="5" spans="1:10" s="93" customFormat="1" x14ac:dyDescent="0.25">
      <c r="A5" s="296"/>
      <c r="B5" s="94" t="s">
        <v>312</v>
      </c>
      <c r="C5" s="94" t="s">
        <v>313</v>
      </c>
      <c r="D5" s="94"/>
      <c r="E5" s="296" t="s">
        <v>314</v>
      </c>
      <c r="F5" s="296"/>
      <c r="G5" s="296"/>
      <c r="H5" s="296" t="s">
        <v>314</v>
      </c>
      <c r="I5" s="296"/>
      <c r="J5" s="296"/>
    </row>
    <row r="6" spans="1:10" s="93" customFormat="1" x14ac:dyDescent="0.25">
      <c r="A6" s="94" t="s">
        <v>318</v>
      </c>
      <c r="B6" s="3">
        <f>'OI(Volume)'!B6</f>
        <v>45981</v>
      </c>
      <c r="C6" s="3">
        <f>B6</f>
        <v>45981</v>
      </c>
      <c r="D6" s="94" t="s">
        <v>328</v>
      </c>
      <c r="E6" s="3">
        <f>B6</f>
        <v>45981</v>
      </c>
      <c r="F6" s="94" t="s">
        <v>322</v>
      </c>
      <c r="G6" s="94" t="s">
        <v>328</v>
      </c>
      <c r="H6" s="3">
        <f>E6</f>
        <v>45981</v>
      </c>
      <c r="I6" s="94" t="s">
        <v>322</v>
      </c>
      <c r="J6" s="94" t="s">
        <v>328</v>
      </c>
    </row>
    <row r="7" spans="1:10" x14ac:dyDescent="0.25">
      <c r="A7" s="101" t="str">
        <f>'NIFTY GRP'!C2</f>
        <v>ADANIENT</v>
      </c>
      <c r="B7" s="140">
        <f>VLOOKUP($A7,'Data shares'!$C:$FA,7)</f>
        <v>2446.1</v>
      </c>
      <c r="C7" s="140">
        <f>VLOOKUP($A7,'Data shares'!$C:$FA,3)</f>
        <v>2450.9</v>
      </c>
      <c r="D7" s="50">
        <f>VLOOKUP($A7,'Data shares'!$C:$FA,6)*100</f>
        <v>0.52</v>
      </c>
      <c r="E7" s="51">
        <f>VLOOKUP($A7,'Data shares'!$C:$FA,98)</f>
        <v>31783122</v>
      </c>
      <c r="F7" s="51">
        <f>VLOOKUP($A7,'Data shares'!$C:$FA,99)</f>
        <v>30969216</v>
      </c>
      <c r="G7" s="50">
        <f>VLOOKUP($A7,'Data shares'!$C:$FA,101)*100</f>
        <v>2.63</v>
      </c>
      <c r="H7" s="49">
        <f>VLOOKUP($A7,'Data Vlaue (Cr)'!$C:$FB,99)</f>
        <v>7790</v>
      </c>
      <c r="I7" s="49">
        <f>VLOOKUP($A7,'Data Vlaue (Cr)'!$C:$FB,100)</f>
        <v>7590</v>
      </c>
      <c r="J7" s="49">
        <f>VLOOKUP($A7,'Data Vlaue (Cr)'!$C:$FB,102)*100</f>
        <v>2.63</v>
      </c>
    </row>
    <row r="8" spans="1:10" x14ac:dyDescent="0.25">
      <c r="A8" s="101" t="str">
        <f>'NIFTY GRP'!C3</f>
        <v>ADANIPORTS</v>
      </c>
      <c r="B8" s="140">
        <f>VLOOKUP($A8,'Data shares'!$C:$FA,7)</f>
        <v>1491.1</v>
      </c>
      <c r="C8" s="140">
        <f>VLOOKUP($A8,'Data shares'!$C:$FA,3)</f>
        <v>1492.4</v>
      </c>
      <c r="D8" s="50">
        <f>VLOOKUP($A8,'Data shares'!$C:$FA,6)*100</f>
        <v>0.37</v>
      </c>
      <c r="E8" s="51">
        <f>VLOOKUP($A8,'Data shares'!$C:$FA,98)</f>
        <v>43076325</v>
      </c>
      <c r="F8" s="51">
        <f>VLOOKUP($A8,'Data shares'!$C:$FA,99)</f>
        <v>43498125</v>
      </c>
      <c r="G8" s="50">
        <f>VLOOKUP($A8,'Data shares'!$C:$FA,101)*100</f>
        <v>-0.97</v>
      </c>
      <c r="H8" s="49">
        <f>VLOOKUP($A8,'Data Vlaue (Cr)'!$C:$FB,99)</f>
        <v>6429</v>
      </c>
      <c r="I8" s="49">
        <f>VLOOKUP($A8,'Data Vlaue (Cr)'!$C:$FB,100)</f>
        <v>6492</v>
      </c>
      <c r="J8" s="49">
        <f>VLOOKUP($A8,'Data Vlaue (Cr)'!$C:$FB,102)*100</f>
        <v>-0.97</v>
      </c>
    </row>
    <row r="9" spans="1:10" x14ac:dyDescent="0.25">
      <c r="A9" s="101" t="str">
        <f>'NIFTY GRP'!C4</f>
        <v>APOLLOHOSP</v>
      </c>
      <c r="B9" s="140">
        <f>VLOOKUP($A9,'Data shares'!$C:$FA,7)</f>
        <v>7423</v>
      </c>
      <c r="C9" s="140">
        <f>VLOOKUP($A9,'Data shares'!$C:$FA,3)</f>
        <v>7433.5</v>
      </c>
      <c r="D9" s="50">
        <f>VLOOKUP($A9,'Data shares'!$C:$FA,6)*100</f>
        <v>-0.31</v>
      </c>
      <c r="E9" s="51">
        <f>VLOOKUP($A9,'Data shares'!$C:$FA,98)</f>
        <v>6108000</v>
      </c>
      <c r="F9" s="51">
        <f>VLOOKUP($A9,'Data shares'!$C:$FA,99)</f>
        <v>6263625</v>
      </c>
      <c r="G9" s="50">
        <f>VLOOKUP($A9,'Data shares'!$C:$FA,101)*100</f>
        <v>-2.48</v>
      </c>
      <c r="H9" s="49">
        <f>VLOOKUP($A9,'Data Vlaue (Cr)'!$C:$FB,99)</f>
        <v>4540</v>
      </c>
      <c r="I9" s="49">
        <f>VLOOKUP($A9,'Data Vlaue (Cr)'!$C:$FB,100)</f>
        <v>4656</v>
      </c>
      <c r="J9" s="49">
        <f>VLOOKUP($A9,'Data Vlaue (Cr)'!$C:$FB,102)*100</f>
        <v>-2.48</v>
      </c>
    </row>
    <row r="10" spans="1:10" x14ac:dyDescent="0.25">
      <c r="A10" s="101" t="str">
        <f>'NIFTY GRP'!C5</f>
        <v>ASIANPAINT</v>
      </c>
      <c r="B10" s="140">
        <f>VLOOKUP($A10,'Data shares'!$C:$FA,7)</f>
        <v>2859.8</v>
      </c>
      <c r="C10" s="140">
        <f>VLOOKUP($A10,'Data shares'!$C:$FA,3)</f>
        <v>2860</v>
      </c>
      <c r="D10" s="50">
        <f>VLOOKUP($A10,'Data shares'!$C:$FA,6)*100</f>
        <v>-1</v>
      </c>
      <c r="E10" s="51">
        <f>VLOOKUP($A10,'Data shares'!$C:$FA,98)</f>
        <v>33533000</v>
      </c>
      <c r="F10" s="51">
        <f>VLOOKUP($A10,'Data shares'!$C:$FA,99)</f>
        <v>36836000</v>
      </c>
      <c r="G10" s="50">
        <f>VLOOKUP($A10,'Data shares'!$C:$FA,101)*100</f>
        <v>-8.9700000000000006</v>
      </c>
      <c r="H10" s="49">
        <f>VLOOKUP($A10,'Data Vlaue (Cr)'!$C:$FB,99)</f>
        <v>9590</v>
      </c>
      <c r="I10" s="49">
        <f>VLOOKUP($A10,'Data Vlaue (Cr)'!$C:$FB,100)</f>
        <v>10535</v>
      </c>
      <c r="J10" s="49">
        <f>VLOOKUP($A10,'Data Vlaue (Cr)'!$C:$FB,102)*100</f>
        <v>-8.9700000000000006</v>
      </c>
    </row>
    <row r="11" spans="1:10" x14ac:dyDescent="0.25">
      <c r="A11" s="101" t="str">
        <f>'NIFTY GRP'!C6</f>
        <v>AXISBANK</v>
      </c>
      <c r="B11" s="140">
        <f>VLOOKUP($A11,'Data shares'!$C:$FA,7)</f>
        <v>1285.2</v>
      </c>
      <c r="C11" s="140">
        <f>VLOOKUP($A11,'Data shares'!$C:$FA,3)</f>
        <v>1283.7</v>
      </c>
      <c r="D11" s="50">
        <f>VLOOKUP($A11,'Data shares'!$C:$FA,6)*100</f>
        <v>1.1100000000000001</v>
      </c>
      <c r="E11" s="51">
        <f>VLOOKUP($A11,'Data shares'!$C:$FA,98)</f>
        <v>107127500</v>
      </c>
      <c r="F11" s="51">
        <f>VLOOKUP($A11,'Data shares'!$C:$FA,99)</f>
        <v>108760000</v>
      </c>
      <c r="G11" s="50">
        <f>VLOOKUP($A11,'Data shares'!$C:$FA,101)*100</f>
        <v>-1.5</v>
      </c>
      <c r="H11" s="49">
        <f>VLOOKUP($A11,'Data Vlaue (Cr)'!$C:$FB,99)</f>
        <v>13752</v>
      </c>
      <c r="I11" s="49">
        <f>VLOOKUP($A11,'Data Vlaue (Cr)'!$C:$FB,100)</f>
        <v>13962</v>
      </c>
      <c r="J11" s="49">
        <f>VLOOKUP($A11,'Data Vlaue (Cr)'!$C:$FB,102)*100</f>
        <v>-1.5</v>
      </c>
    </row>
    <row r="12" spans="1:10" x14ac:dyDescent="0.25">
      <c r="A12" s="101" t="str">
        <f>'NIFTY GRP'!C7</f>
        <v>BAJAJ-AUTO</v>
      </c>
      <c r="B12" s="140">
        <f>VLOOKUP($A12,'Data shares'!$C:$FA,7)</f>
        <v>8979.5</v>
      </c>
      <c r="C12" s="140">
        <f>VLOOKUP($A12,'Data shares'!$C:$FA,3)</f>
        <v>8982</v>
      </c>
      <c r="D12" s="50">
        <f>VLOOKUP($A12,'Data shares'!$C:$FA,6)*100</f>
        <v>1.0900000000000001</v>
      </c>
      <c r="E12" s="51">
        <f>VLOOKUP($A12,'Data shares'!$C:$FA,98)</f>
        <v>6636075</v>
      </c>
      <c r="F12" s="51">
        <f>VLOOKUP($A12,'Data shares'!$C:$FA,99)</f>
        <v>7227675</v>
      </c>
      <c r="G12" s="50">
        <f>VLOOKUP($A12,'Data shares'!$C:$FA,101)*100</f>
        <v>-8.19</v>
      </c>
      <c r="H12" s="49">
        <f>VLOOKUP($A12,'Data Vlaue (Cr)'!$C:$FB,99)</f>
        <v>5961</v>
      </c>
      <c r="I12" s="49">
        <f>VLOOKUP($A12,'Data Vlaue (Cr)'!$C:$FB,100)</f>
        <v>6492</v>
      </c>
      <c r="J12" s="49">
        <f>VLOOKUP($A12,'Data Vlaue (Cr)'!$C:$FB,102)*100</f>
        <v>-8.19</v>
      </c>
    </row>
    <row r="13" spans="1:10" x14ac:dyDescent="0.25">
      <c r="A13" s="101" t="str">
        <f>'NIFTY GRP'!C8</f>
        <v>BAJAJFINSV</v>
      </c>
      <c r="B13" s="140">
        <f>VLOOKUP($A13,'Data shares'!$C:$FA,7)</f>
        <v>2095.6</v>
      </c>
      <c r="C13" s="140">
        <f>VLOOKUP($A13,'Data shares'!$C:$FA,3)</f>
        <v>2099.3000000000002</v>
      </c>
      <c r="D13" s="50">
        <f>VLOOKUP($A13,'Data shares'!$C:$FA,6)*100</f>
        <v>2.35</v>
      </c>
      <c r="E13" s="51">
        <f>VLOOKUP($A13,'Data shares'!$C:$FA,98)</f>
        <v>30717500</v>
      </c>
      <c r="F13" s="51">
        <f>VLOOKUP($A13,'Data shares'!$C:$FA,99)</f>
        <v>30862750</v>
      </c>
      <c r="G13" s="50">
        <f>VLOOKUP($A13,'Data shares'!$C:$FA,101)*100</f>
        <v>-0.47000000000000003</v>
      </c>
      <c r="H13" s="49">
        <f>VLOOKUP($A13,'Data Vlaue (Cr)'!$C:$FB,99)</f>
        <v>6449</v>
      </c>
      <c r="I13" s="49">
        <f>VLOOKUP($A13,'Data Vlaue (Cr)'!$C:$FB,100)</f>
        <v>6479</v>
      </c>
      <c r="J13" s="49">
        <f>VLOOKUP($A13,'Data Vlaue (Cr)'!$C:$FB,102)*100</f>
        <v>-0.47000000000000003</v>
      </c>
    </row>
    <row r="14" spans="1:10" x14ac:dyDescent="0.25">
      <c r="A14" s="101" t="str">
        <f>'NIFTY GRP'!C9</f>
        <v>BAJFINANCE</v>
      </c>
      <c r="B14" s="140">
        <f>VLOOKUP($A14,'Data shares'!$C:$FA,7)</f>
        <v>1028.5999999999999</v>
      </c>
      <c r="C14" s="140">
        <f>VLOOKUP($A14,'Data shares'!$C:$FA,3)</f>
        <v>1030.0999999999999</v>
      </c>
      <c r="D14" s="50">
        <f>VLOOKUP($A14,'Data shares'!$C:$FA,6)*100</f>
        <v>2.2200000000000002</v>
      </c>
      <c r="E14" s="51">
        <f>VLOOKUP($A14,'Data shares'!$C:$FA,98)</f>
        <v>137913750</v>
      </c>
      <c r="F14" s="51">
        <f>VLOOKUP($A14,'Data shares'!$C:$FA,99)</f>
        <v>146283750</v>
      </c>
      <c r="G14" s="50">
        <f>VLOOKUP($A14,'Data shares'!$C:$FA,101)*100</f>
        <v>-5.72</v>
      </c>
      <c r="H14" s="49">
        <f>VLOOKUP($A14,'Data Vlaue (Cr)'!$C:$FB,99)</f>
        <v>14206</v>
      </c>
      <c r="I14" s="49">
        <f>VLOOKUP($A14,'Data Vlaue (Cr)'!$C:$FB,100)</f>
        <v>15069</v>
      </c>
      <c r="J14" s="49">
        <f>VLOOKUP($A14,'Data Vlaue (Cr)'!$C:$FB,102)*100</f>
        <v>-5.72</v>
      </c>
    </row>
    <row r="15" spans="1:10" x14ac:dyDescent="0.25">
      <c r="A15" s="101" t="str">
        <f>'NIFTY GRP'!C10</f>
        <v>BEL</v>
      </c>
      <c r="B15" s="140">
        <f>VLOOKUP($A15,'Data shares'!$C:$FA,7)</f>
        <v>423</v>
      </c>
      <c r="C15" s="140">
        <f>VLOOKUP($A15,'Data shares'!$C:$FA,3)</f>
        <v>423.6</v>
      </c>
      <c r="D15" s="50">
        <f>VLOOKUP($A15,'Data shares'!$C:$FA,6)*100</f>
        <v>0.12</v>
      </c>
      <c r="E15" s="51">
        <f>VLOOKUP($A15,'Data shares'!$C:$FA,98)</f>
        <v>216743925</v>
      </c>
      <c r="F15" s="51">
        <f>VLOOKUP($A15,'Data shares'!$C:$FA,99)</f>
        <v>235043775</v>
      </c>
      <c r="G15" s="50">
        <f>VLOOKUP($A15,'Data shares'!$C:$FA,101)*100</f>
        <v>-7.79</v>
      </c>
      <c r="H15" s="49">
        <f>VLOOKUP($A15,'Data Vlaue (Cr)'!$C:$FB,99)</f>
        <v>9181</v>
      </c>
      <c r="I15" s="49">
        <f>VLOOKUP($A15,'Data Vlaue (Cr)'!$C:$FB,100)</f>
        <v>9956</v>
      </c>
      <c r="J15" s="49">
        <f>VLOOKUP($A15,'Data Vlaue (Cr)'!$C:$FB,102)*100</f>
        <v>-7.79</v>
      </c>
    </row>
    <row r="16" spans="1:10" x14ac:dyDescent="0.25">
      <c r="A16" s="101" t="str">
        <f>'NIFTY GRP'!C11</f>
        <v>BHARTIARTL</v>
      </c>
      <c r="B16" s="140">
        <f>VLOOKUP($A16,'Data shares'!$C:$FA,7)</f>
        <v>2158.3000000000002</v>
      </c>
      <c r="C16" s="140">
        <f>VLOOKUP($A16,'Data shares'!$C:$FA,3)</f>
        <v>2158.9</v>
      </c>
      <c r="D16" s="50">
        <f>VLOOKUP($A16,'Data shares'!$C:$FA,6)*100</f>
        <v>0</v>
      </c>
      <c r="E16" s="51">
        <f>VLOOKUP($A16,'Data shares'!$C:$FA,98)</f>
        <v>76407075</v>
      </c>
      <c r="F16" s="51">
        <f>VLOOKUP($A16,'Data shares'!$C:$FA,99)</f>
        <v>77492925</v>
      </c>
      <c r="G16" s="50">
        <f>VLOOKUP($A16,'Data shares'!$C:$FA,101)*100</f>
        <v>-1.4000000000000001</v>
      </c>
      <c r="H16" s="49">
        <f>VLOOKUP($A16,'Data Vlaue (Cr)'!$C:$FB,99)</f>
        <v>16496</v>
      </c>
      <c r="I16" s="49">
        <f>VLOOKUP($A16,'Data Vlaue (Cr)'!$C:$FB,100)</f>
        <v>16730</v>
      </c>
      <c r="J16" s="49">
        <f>VLOOKUP($A16,'Data Vlaue (Cr)'!$C:$FB,102)*100</f>
        <v>-1.4000000000000001</v>
      </c>
    </row>
    <row r="17" spans="1:10" x14ac:dyDescent="0.25">
      <c r="A17" s="101" t="str">
        <f>'NIFTY GRP'!C12</f>
        <v>CIPLA</v>
      </c>
      <c r="B17" s="140">
        <f>VLOOKUP($A17,'Data shares'!$C:$FA,7)</f>
        <v>1529.2</v>
      </c>
      <c r="C17" s="140">
        <f>VLOOKUP($A17,'Data shares'!$C:$FA,3)</f>
        <v>1530.1</v>
      </c>
      <c r="D17" s="50">
        <f>VLOOKUP($A17,'Data shares'!$C:$FA,6)*100</f>
        <v>0.09</v>
      </c>
      <c r="E17" s="51">
        <f>VLOOKUP($A17,'Data shares'!$C:$FA,98)</f>
        <v>28321500</v>
      </c>
      <c r="F17" s="51">
        <f>VLOOKUP($A17,'Data shares'!$C:$FA,99)</f>
        <v>29697375</v>
      </c>
      <c r="G17" s="50">
        <f>VLOOKUP($A17,'Data shares'!$C:$FA,101)*100</f>
        <v>-4.63</v>
      </c>
      <c r="H17" s="49">
        <f>VLOOKUP($A17,'Data Vlaue (Cr)'!$C:$FB,99)</f>
        <v>4333</v>
      </c>
      <c r="I17" s="49">
        <f>VLOOKUP($A17,'Data Vlaue (Cr)'!$C:$FB,100)</f>
        <v>4544</v>
      </c>
      <c r="J17" s="49">
        <f>VLOOKUP($A17,'Data Vlaue (Cr)'!$C:$FB,102)*100</f>
        <v>-4.63</v>
      </c>
    </row>
    <row r="18" spans="1:10" x14ac:dyDescent="0.25">
      <c r="A18" s="101" t="str">
        <f>'NIFTY GRP'!C13</f>
        <v>COALINDIA</v>
      </c>
      <c r="B18" s="140">
        <f>VLOOKUP($A18,'Data shares'!$C:$FA,7)</f>
        <v>379.65</v>
      </c>
      <c r="C18" s="140">
        <f>VLOOKUP($A18,'Data shares'!$C:$FA,3)</f>
        <v>380.5</v>
      </c>
      <c r="D18" s="50">
        <f>VLOOKUP($A18,'Data shares'!$C:$FA,6)*100</f>
        <v>0.13999999999999999</v>
      </c>
      <c r="E18" s="51">
        <f>VLOOKUP($A18,'Data shares'!$C:$FA,98)</f>
        <v>110236950</v>
      </c>
      <c r="F18" s="51">
        <f>VLOOKUP($A18,'Data shares'!$C:$FA,99)</f>
        <v>110956500</v>
      </c>
      <c r="G18" s="50">
        <f>VLOOKUP($A18,'Data shares'!$C:$FA,101)*100</f>
        <v>-0.65</v>
      </c>
      <c r="H18" s="49">
        <f>VLOOKUP($A18,'Data Vlaue (Cr)'!$C:$FB,99)</f>
        <v>4195</v>
      </c>
      <c r="I18" s="49">
        <f>VLOOKUP($A18,'Data Vlaue (Cr)'!$C:$FB,100)</f>
        <v>4222</v>
      </c>
      <c r="J18" s="49">
        <f>VLOOKUP($A18,'Data Vlaue (Cr)'!$C:$FB,102)*100</f>
        <v>-0.65</v>
      </c>
    </row>
    <row r="19" spans="1:10" x14ac:dyDescent="0.25">
      <c r="A19" s="101" t="str">
        <f>'NIFTY GRP'!C14</f>
        <v>DRREDDY</v>
      </c>
      <c r="B19" s="140">
        <f>VLOOKUP($A19,'Data shares'!$C:$FA,7)</f>
        <v>1248.5999999999999</v>
      </c>
      <c r="C19" s="140">
        <f>VLOOKUP($A19,'Data shares'!$C:$FA,3)</f>
        <v>1247.5999999999999</v>
      </c>
      <c r="D19" s="50">
        <f>VLOOKUP($A19,'Data shares'!$C:$FA,6)*100</f>
        <v>0.05</v>
      </c>
      <c r="E19" s="51">
        <f>VLOOKUP($A19,'Data shares'!$C:$FA,98)</f>
        <v>31025000</v>
      </c>
      <c r="F19" s="51">
        <f>VLOOKUP($A19,'Data shares'!$C:$FA,99)</f>
        <v>33071250</v>
      </c>
      <c r="G19" s="50">
        <f>VLOOKUP($A19,'Data shares'!$C:$FA,101)*100</f>
        <v>-6.1899999999999995</v>
      </c>
      <c r="H19" s="49">
        <f>VLOOKUP($A19,'Data Vlaue (Cr)'!$C:$FB,99)</f>
        <v>3871</v>
      </c>
      <c r="I19" s="49">
        <f>VLOOKUP($A19,'Data Vlaue (Cr)'!$C:$FB,100)</f>
        <v>4126</v>
      </c>
      <c r="J19" s="49">
        <f>VLOOKUP($A19,'Data Vlaue (Cr)'!$C:$FB,102)*100</f>
        <v>-6.1899999999999995</v>
      </c>
    </row>
    <row r="20" spans="1:10" x14ac:dyDescent="0.25">
      <c r="A20" s="101" t="str">
        <f>'NIFTY GRP'!C15</f>
        <v>EICHERMOT</v>
      </c>
      <c r="B20" s="140">
        <f>VLOOKUP($A20,'Data shares'!$C:$FA,7)</f>
        <v>7125.5</v>
      </c>
      <c r="C20" s="140">
        <f>VLOOKUP($A20,'Data shares'!$C:$FA,3)</f>
        <v>7113.5</v>
      </c>
      <c r="D20" s="50">
        <f>VLOOKUP($A20,'Data shares'!$C:$FA,6)*100</f>
        <v>3.26</v>
      </c>
      <c r="E20" s="51">
        <f>VLOOKUP($A20,'Data shares'!$C:$FA,98)</f>
        <v>8298225</v>
      </c>
      <c r="F20" s="51">
        <f>VLOOKUP($A20,'Data shares'!$C:$FA,99)</f>
        <v>7269975</v>
      </c>
      <c r="G20" s="50">
        <f>VLOOKUP($A20,'Data shares'!$C:$FA,101)*100</f>
        <v>14.14</v>
      </c>
      <c r="H20" s="49">
        <f>VLOOKUP($A20,'Data Vlaue (Cr)'!$C:$FB,99)</f>
        <v>5903</v>
      </c>
      <c r="I20" s="49">
        <f>VLOOKUP($A20,'Data Vlaue (Cr)'!$C:$FB,100)</f>
        <v>5171</v>
      </c>
      <c r="J20" s="49">
        <f>VLOOKUP($A20,'Data Vlaue (Cr)'!$C:$FB,102)*100</f>
        <v>14.14</v>
      </c>
    </row>
    <row r="21" spans="1:10" x14ac:dyDescent="0.25">
      <c r="A21" s="101" t="str">
        <f>'NIFTY GRP'!C16</f>
        <v>ETERNAL</v>
      </c>
      <c r="B21" s="140">
        <f>VLOOKUP($A21,'Data shares'!$C:$FA,7)</f>
        <v>306.89999999999998</v>
      </c>
      <c r="C21" s="140">
        <f>VLOOKUP($A21,'Data shares'!$C:$FA,3)</f>
        <v>306.75</v>
      </c>
      <c r="D21" s="50">
        <f>VLOOKUP($A21,'Data shares'!$C:$FA,6)*100</f>
        <v>-0.02</v>
      </c>
      <c r="E21" s="51">
        <f>VLOOKUP($A21,'Data shares'!$C:$FA,98)</f>
        <v>464263825</v>
      </c>
      <c r="F21" s="51">
        <f>VLOOKUP($A21,'Data shares'!$C:$FA,99)</f>
        <v>472714950</v>
      </c>
      <c r="G21" s="50">
        <f>VLOOKUP($A21,'Data shares'!$C:$FA,101)*100</f>
        <v>-1.79</v>
      </c>
      <c r="H21" s="49">
        <f>VLOOKUP($A21,'Data Vlaue (Cr)'!$C:$FB,99)</f>
        <v>14241</v>
      </c>
      <c r="I21" s="49">
        <f>VLOOKUP($A21,'Data Vlaue (Cr)'!$C:$FB,100)</f>
        <v>14501</v>
      </c>
      <c r="J21" s="49">
        <f>VLOOKUP($A21,'Data Vlaue (Cr)'!$C:$FB,102)*100</f>
        <v>-1.79</v>
      </c>
    </row>
    <row r="22" spans="1:10" x14ac:dyDescent="0.25">
      <c r="A22" s="101" t="str">
        <f>'NIFTY GRP'!C17</f>
        <v>GRASIM</v>
      </c>
      <c r="B22" s="140">
        <f>VLOOKUP($A22,'Data shares'!$C:$FA,7)</f>
        <v>2748.6</v>
      </c>
      <c r="C22" s="140">
        <f>VLOOKUP($A22,'Data shares'!$C:$FA,3)</f>
        <v>2751.9</v>
      </c>
      <c r="D22" s="50">
        <f>VLOOKUP($A22,'Data shares'!$C:$FA,6)*100</f>
        <v>0.22999999999999998</v>
      </c>
      <c r="E22" s="51">
        <f>VLOOKUP($A22,'Data shares'!$C:$FA,98)</f>
        <v>23405000</v>
      </c>
      <c r="F22" s="51">
        <f>VLOOKUP($A22,'Data shares'!$C:$FA,99)</f>
        <v>23731500</v>
      </c>
      <c r="G22" s="50">
        <f>VLOOKUP($A22,'Data shares'!$C:$FA,101)*100</f>
        <v>-1.38</v>
      </c>
      <c r="H22" s="49">
        <f>VLOOKUP($A22,'Data Vlaue (Cr)'!$C:$FB,99)</f>
        <v>6441</v>
      </c>
      <c r="I22" s="49">
        <f>VLOOKUP($A22,'Data Vlaue (Cr)'!$C:$FB,100)</f>
        <v>6531</v>
      </c>
      <c r="J22" s="49">
        <f>VLOOKUP($A22,'Data Vlaue (Cr)'!$C:$FB,102)*100</f>
        <v>-1.38</v>
      </c>
    </row>
    <row r="23" spans="1:10" x14ac:dyDescent="0.25">
      <c r="A23" s="101" t="str">
        <f>'NIFTY GRP'!C18</f>
        <v>HCLTECH</v>
      </c>
      <c r="B23" s="140">
        <f>VLOOKUP($A23,'Data shares'!$C:$FA,7)</f>
        <v>1645.4</v>
      </c>
      <c r="C23" s="140">
        <f>VLOOKUP($A23,'Data shares'!$C:$FA,3)</f>
        <v>1647.6</v>
      </c>
      <c r="D23" s="50">
        <f>VLOOKUP($A23,'Data shares'!$C:$FA,6)*100</f>
        <v>-0.75</v>
      </c>
      <c r="E23" s="51">
        <f>VLOOKUP($A23,'Data shares'!$C:$FA,98)</f>
        <v>28318500</v>
      </c>
      <c r="F23" s="51">
        <f>VLOOKUP($A23,'Data shares'!$C:$FA,99)</f>
        <v>29006600</v>
      </c>
      <c r="G23" s="50">
        <f>VLOOKUP($A23,'Data shares'!$C:$FA,101)*100</f>
        <v>-2.37</v>
      </c>
      <c r="H23" s="49">
        <f>VLOOKUP($A23,'Data Vlaue (Cr)'!$C:$FB,99)</f>
        <v>4666</v>
      </c>
      <c r="I23" s="49">
        <f>VLOOKUP($A23,'Data Vlaue (Cr)'!$C:$FB,100)</f>
        <v>4779</v>
      </c>
      <c r="J23" s="49">
        <f>VLOOKUP($A23,'Data Vlaue (Cr)'!$C:$FB,102)*100</f>
        <v>-2.37</v>
      </c>
    </row>
    <row r="24" spans="1:10" x14ac:dyDescent="0.25">
      <c r="A24" s="101" t="str">
        <f>'NIFTY GRP'!C19</f>
        <v>HDFCBANK</v>
      </c>
      <c r="B24" s="140">
        <f>VLOOKUP($A24,'Data shares'!$C:$FA,7)</f>
        <v>1008.85</v>
      </c>
      <c r="C24" s="140">
        <f>VLOOKUP($A24,'Data shares'!$C:$FA,3)</f>
        <v>1010.05</v>
      </c>
      <c r="D24" s="50">
        <f>VLOOKUP($A24,'Data shares'!$C:$FA,6)*100</f>
        <v>1.49</v>
      </c>
      <c r="E24" s="51">
        <f>VLOOKUP($A24,'Data shares'!$C:$FA,98)</f>
        <v>274744800</v>
      </c>
      <c r="F24" s="51">
        <f>VLOOKUP($A24,'Data shares'!$C:$FA,99)</f>
        <v>279468750</v>
      </c>
      <c r="G24" s="50">
        <f>VLOOKUP($A24,'Data shares'!$C:$FA,101)*100</f>
        <v>-1.69</v>
      </c>
      <c r="H24" s="49">
        <f>VLOOKUP($A24,'Data Vlaue (Cr)'!$C:$FB,99)</f>
        <v>27751</v>
      </c>
      <c r="I24" s="49">
        <f>VLOOKUP($A24,'Data Vlaue (Cr)'!$C:$FB,100)</f>
        <v>28228</v>
      </c>
      <c r="J24" s="49">
        <f>VLOOKUP($A24,'Data Vlaue (Cr)'!$C:$FB,102)*100</f>
        <v>-1.69</v>
      </c>
    </row>
    <row r="25" spans="1:10" x14ac:dyDescent="0.25">
      <c r="A25" s="101" t="str">
        <f>'NIFTY GRP'!C20</f>
        <v>HDFCLIFE</v>
      </c>
      <c r="B25" s="140">
        <f>VLOOKUP($A25,'Data shares'!$C:$FA,7)</f>
        <v>762.2</v>
      </c>
      <c r="C25" s="140">
        <f>VLOOKUP($A25,'Data shares'!$C:$FA,3)</f>
        <v>762.6</v>
      </c>
      <c r="D25" s="50">
        <f>VLOOKUP($A25,'Data shares'!$C:$FA,6)*100</f>
        <v>0.27999999999999997</v>
      </c>
      <c r="E25" s="51">
        <f>VLOOKUP($A25,'Data shares'!$C:$FA,98)</f>
        <v>47650900</v>
      </c>
      <c r="F25" s="51">
        <f>VLOOKUP($A25,'Data shares'!$C:$FA,99)</f>
        <v>47230700</v>
      </c>
      <c r="G25" s="50">
        <f>VLOOKUP($A25,'Data shares'!$C:$FA,101)*100</f>
        <v>0.89</v>
      </c>
      <c r="H25" s="49">
        <f>VLOOKUP($A25,'Data Vlaue (Cr)'!$C:$FB,99)</f>
        <v>3634</v>
      </c>
      <c r="I25" s="49">
        <f>VLOOKUP($A25,'Data Vlaue (Cr)'!$C:$FB,100)</f>
        <v>3602</v>
      </c>
      <c r="J25" s="49">
        <f>VLOOKUP($A25,'Data Vlaue (Cr)'!$C:$FB,102)*100</f>
        <v>0.89</v>
      </c>
    </row>
    <row r="26" spans="1:10" x14ac:dyDescent="0.25">
      <c r="A26" s="101" t="str">
        <f>'NIFTY GRP'!C21</f>
        <v>HINDALCO</v>
      </c>
      <c r="B26" s="140">
        <f>VLOOKUP($A26,'Data shares'!$C:$FA,7)</f>
        <v>799.8</v>
      </c>
      <c r="C26" s="140">
        <f>VLOOKUP($A26,'Data shares'!$C:$FA,3)</f>
        <v>800.45</v>
      </c>
      <c r="D26" s="50">
        <f>VLOOKUP($A26,'Data shares'!$C:$FA,6)*100</f>
        <v>1.05</v>
      </c>
      <c r="E26" s="51">
        <f>VLOOKUP($A26,'Data shares'!$C:$FA,98)</f>
        <v>122616900</v>
      </c>
      <c r="F26" s="51">
        <f>VLOOKUP($A26,'Data shares'!$C:$FA,99)</f>
        <v>123737600</v>
      </c>
      <c r="G26" s="50">
        <f>VLOOKUP($A26,'Data shares'!$C:$FA,101)*100</f>
        <v>-0.91</v>
      </c>
      <c r="H26" s="49">
        <f>VLOOKUP($A26,'Data Vlaue (Cr)'!$C:$FB,99)</f>
        <v>9815</v>
      </c>
      <c r="I26" s="49">
        <f>VLOOKUP($A26,'Data Vlaue (Cr)'!$C:$FB,100)</f>
        <v>9905</v>
      </c>
      <c r="J26" s="49">
        <f>VLOOKUP($A26,'Data Vlaue (Cr)'!$C:$FB,102)*100</f>
        <v>-0.91</v>
      </c>
    </row>
    <row r="27" spans="1:10" x14ac:dyDescent="0.25">
      <c r="A27" s="101" t="str">
        <f>'NIFTY GRP'!C22</f>
        <v>HINDUNILVR</v>
      </c>
      <c r="B27" s="140">
        <f>VLOOKUP($A27,'Data shares'!$C:$FA,7)</f>
        <v>2428.4</v>
      </c>
      <c r="C27" s="140">
        <f>VLOOKUP($A27,'Data shares'!$C:$FA,3)</f>
        <v>2432.8000000000002</v>
      </c>
      <c r="D27" s="50">
        <f>VLOOKUP($A27,'Data shares'!$C:$FA,6)*100</f>
        <v>-0.38</v>
      </c>
      <c r="E27" s="51">
        <f>VLOOKUP($A27,'Data shares'!$C:$FA,98)</f>
        <v>34950600</v>
      </c>
      <c r="F27" s="51">
        <f>VLOOKUP($A27,'Data shares'!$C:$FA,99)</f>
        <v>37496100</v>
      </c>
      <c r="G27" s="50">
        <f>VLOOKUP($A27,'Data shares'!$C:$FA,101)*100</f>
        <v>-6.79</v>
      </c>
      <c r="H27" s="49">
        <f>VLOOKUP($A27,'Data Vlaue (Cr)'!$C:$FB,99)</f>
        <v>8503</v>
      </c>
      <c r="I27" s="49">
        <f>VLOOKUP($A27,'Data Vlaue (Cr)'!$C:$FB,100)</f>
        <v>9122</v>
      </c>
      <c r="J27" s="49">
        <f>VLOOKUP($A27,'Data Vlaue (Cr)'!$C:$FB,102)*100</f>
        <v>-6.79</v>
      </c>
    </row>
    <row r="28" spans="1:10" x14ac:dyDescent="0.25">
      <c r="A28" s="101" t="str">
        <f>'NIFTY GRP'!C23</f>
        <v>ICICIBANK</v>
      </c>
      <c r="B28" s="140">
        <f>VLOOKUP($A28,'Data shares'!$C:$FA,7)</f>
        <v>1383</v>
      </c>
      <c r="C28" s="140">
        <f>VLOOKUP($A28,'Data shares'!$C:$FA,3)</f>
        <v>1384.8</v>
      </c>
      <c r="D28" s="50">
        <f>VLOOKUP($A28,'Data shares'!$C:$FA,6)*100</f>
        <v>0.15</v>
      </c>
      <c r="E28" s="51">
        <f>VLOOKUP($A28,'Data shares'!$C:$FA,98)</f>
        <v>174922300</v>
      </c>
      <c r="F28" s="51">
        <f>VLOOKUP($A28,'Data shares'!$C:$FA,99)</f>
        <v>174505800</v>
      </c>
      <c r="G28" s="50">
        <f>VLOOKUP($A28,'Data shares'!$C:$FA,101)*100</f>
        <v>0.24</v>
      </c>
      <c r="H28" s="49">
        <f>VLOOKUP($A28,'Data Vlaue (Cr)'!$C:$FB,99)</f>
        <v>24223</v>
      </c>
      <c r="I28" s="49">
        <f>VLOOKUP($A28,'Data Vlaue (Cr)'!$C:$FB,100)</f>
        <v>24166</v>
      </c>
      <c r="J28" s="49">
        <f>VLOOKUP($A28,'Data Vlaue (Cr)'!$C:$FB,102)*100</f>
        <v>0.24</v>
      </c>
    </row>
    <row r="29" spans="1:10" x14ac:dyDescent="0.25">
      <c r="A29" s="101" t="str">
        <f>'NIFTY GRP'!C24</f>
        <v>INDIGO</v>
      </c>
      <c r="B29" s="140">
        <f>VLOOKUP($A29,'Data shares'!$C:$FA,7)</f>
        <v>5785.5</v>
      </c>
      <c r="C29" s="140">
        <f>VLOOKUP($A29,'Data shares'!$C:$FA,3)</f>
        <v>5788</v>
      </c>
      <c r="D29" s="50">
        <f>VLOOKUP($A29,'Data shares'!$C:$FA,6)*100</f>
        <v>0.35000000000000003</v>
      </c>
      <c r="E29" s="51">
        <f>VLOOKUP($A29,'Data shares'!$C:$FA,98)</f>
        <v>13776750</v>
      </c>
      <c r="F29" s="51">
        <f>VLOOKUP($A29,'Data shares'!$C:$FA,99)</f>
        <v>13962300</v>
      </c>
      <c r="G29" s="50">
        <f>VLOOKUP($A29,'Data shares'!$C:$FA,101)*100</f>
        <v>-1.3299999999999998</v>
      </c>
      <c r="H29" s="49">
        <f>VLOOKUP($A29,'Data Vlaue (Cr)'!$C:$FB,99)</f>
        <v>7974</v>
      </c>
      <c r="I29" s="49">
        <f>VLOOKUP($A29,'Data Vlaue (Cr)'!$C:$FB,100)</f>
        <v>8081</v>
      </c>
      <c r="J29" s="49">
        <f>VLOOKUP($A29,'Data Vlaue (Cr)'!$C:$FB,102)*100</f>
        <v>-1.3299999999999998</v>
      </c>
    </row>
    <row r="30" spans="1:10" x14ac:dyDescent="0.25">
      <c r="A30" s="101" t="str">
        <f>'NIFTY GRP'!C25</f>
        <v>INFY</v>
      </c>
      <c r="B30" s="140">
        <f>VLOOKUP($A30,'Data shares'!$C:$FA,7)</f>
        <v>1536.5</v>
      </c>
      <c r="C30" s="140">
        <f>VLOOKUP($A30,'Data shares'!$C:$FA,3)</f>
        <v>1539.2</v>
      </c>
      <c r="D30" s="50">
        <f>VLOOKUP($A30,'Data shares'!$C:$FA,6)*100</f>
        <v>-0.19</v>
      </c>
      <c r="E30" s="51">
        <f>VLOOKUP($A30,'Data shares'!$C:$FA,98)</f>
        <v>119996000</v>
      </c>
      <c r="F30" s="51">
        <f>VLOOKUP($A30,'Data shares'!$C:$FA,99)</f>
        <v>118982800</v>
      </c>
      <c r="G30" s="50">
        <f>VLOOKUP($A30,'Data shares'!$C:$FA,101)*100</f>
        <v>0.85000000000000009</v>
      </c>
      <c r="H30" s="49">
        <f>VLOOKUP($A30,'Data Vlaue (Cr)'!$C:$FB,99)</f>
        <v>18470</v>
      </c>
      <c r="I30" s="49">
        <f>VLOOKUP($A30,'Data Vlaue (Cr)'!$C:$FB,100)</f>
        <v>18314</v>
      </c>
      <c r="J30" s="49">
        <f>VLOOKUP($A30,'Data Vlaue (Cr)'!$C:$FB,102)*100</f>
        <v>0.85000000000000009</v>
      </c>
    </row>
    <row r="31" spans="1:10" x14ac:dyDescent="0.25">
      <c r="A31" s="101" t="str">
        <f>'NIFTY GRP'!C26</f>
        <v>ITC</v>
      </c>
      <c r="B31" s="140">
        <f>VLOOKUP($A31,'Data shares'!$C:$FA,7)</f>
        <v>405.45</v>
      </c>
      <c r="C31" s="140">
        <f>VLOOKUP($A31,'Data shares'!$C:$FA,3)</f>
        <v>405.85</v>
      </c>
      <c r="D31" s="50">
        <f>VLOOKUP($A31,'Data shares'!$C:$FA,6)*100</f>
        <v>0.4</v>
      </c>
      <c r="E31" s="51">
        <f>VLOOKUP($A31,'Data shares'!$C:$FA,98)</f>
        <v>276051200</v>
      </c>
      <c r="F31" s="51">
        <f>VLOOKUP($A31,'Data shares'!$C:$FA,99)</f>
        <v>282923200</v>
      </c>
      <c r="G31" s="50">
        <f>VLOOKUP($A31,'Data shares'!$C:$FA,101)*100</f>
        <v>-2.4299999999999997</v>
      </c>
      <c r="H31" s="49">
        <f>VLOOKUP($A31,'Data Vlaue (Cr)'!$C:$FB,99)</f>
        <v>11204</v>
      </c>
      <c r="I31" s="49">
        <f>VLOOKUP($A31,'Data Vlaue (Cr)'!$C:$FB,100)</f>
        <v>11482</v>
      </c>
      <c r="J31" s="49">
        <f>VLOOKUP($A31,'Data Vlaue (Cr)'!$C:$FB,102)*100</f>
        <v>-2.4299999999999997</v>
      </c>
    </row>
    <row r="32" spans="1:10" x14ac:dyDescent="0.25">
      <c r="A32" s="101" t="str">
        <f>'NIFTY GRP'!C27</f>
        <v>JIOFIN</v>
      </c>
      <c r="B32" s="140">
        <f>VLOOKUP($A32,'Data shares'!$C:$FA,7)</f>
        <v>308.35000000000002</v>
      </c>
      <c r="C32" s="140">
        <f>VLOOKUP($A32,'Data shares'!$C:$FA,3)</f>
        <v>308.8</v>
      </c>
      <c r="D32" s="50">
        <f>VLOOKUP($A32,'Data shares'!$C:$FA,6)*100</f>
        <v>1.35</v>
      </c>
      <c r="E32" s="51">
        <f>VLOOKUP($A32,'Data shares'!$C:$FA,98)</f>
        <v>268508650</v>
      </c>
      <c r="F32" s="51">
        <f>VLOOKUP($A32,'Data shares'!$C:$FA,99)</f>
        <v>272797400</v>
      </c>
      <c r="G32" s="50">
        <f>VLOOKUP($A32,'Data shares'!$C:$FA,101)*100</f>
        <v>-1.5699999999999998</v>
      </c>
      <c r="H32" s="49">
        <f>VLOOKUP($A32,'Data Vlaue (Cr)'!$C:$FB,99)</f>
        <v>8292</v>
      </c>
      <c r="I32" s="49">
        <f>VLOOKUP($A32,'Data Vlaue (Cr)'!$C:$FB,100)</f>
        <v>8424</v>
      </c>
      <c r="J32" s="49">
        <f>VLOOKUP($A32,'Data Vlaue (Cr)'!$C:$FB,102)*100</f>
        <v>-1.5699999999999998</v>
      </c>
    </row>
    <row r="33" spans="1:10" x14ac:dyDescent="0.25">
      <c r="A33" s="101" t="str">
        <f>'NIFTY GRP'!C28</f>
        <v>JSWSTEEL</v>
      </c>
      <c r="B33" s="140">
        <f>VLOOKUP($A33,'Data shares'!$C:$FA,7)</f>
        <v>1170</v>
      </c>
      <c r="C33" s="140">
        <f>VLOOKUP($A33,'Data shares'!$C:$FA,3)</f>
        <v>1172</v>
      </c>
      <c r="D33" s="50">
        <f>VLOOKUP($A33,'Data shares'!$C:$FA,6)*100</f>
        <v>0.59</v>
      </c>
      <c r="E33" s="51">
        <f>VLOOKUP($A33,'Data shares'!$C:$FA,98)</f>
        <v>58924800</v>
      </c>
      <c r="F33" s="51">
        <f>VLOOKUP($A33,'Data shares'!$C:$FA,99)</f>
        <v>59371650</v>
      </c>
      <c r="G33" s="50">
        <f>VLOOKUP($A33,'Data shares'!$C:$FA,101)*100</f>
        <v>-0.75</v>
      </c>
      <c r="H33" s="49">
        <f>VLOOKUP($A33,'Data Vlaue (Cr)'!$C:$FB,99)</f>
        <v>6906</v>
      </c>
      <c r="I33" s="49">
        <f>VLOOKUP($A33,'Data Vlaue (Cr)'!$C:$FB,100)</f>
        <v>6958</v>
      </c>
      <c r="J33" s="49">
        <f>VLOOKUP($A33,'Data Vlaue (Cr)'!$C:$FB,102)*100</f>
        <v>-0.75</v>
      </c>
    </row>
    <row r="34" spans="1:10" x14ac:dyDescent="0.25">
      <c r="A34" s="101" t="str">
        <f>'NIFTY GRP'!C29</f>
        <v>KOTAKBANK</v>
      </c>
      <c r="B34" s="140">
        <f>VLOOKUP($A34,'Data shares'!$C:$FA,7)</f>
        <v>2098.6999999999998</v>
      </c>
      <c r="C34" s="140">
        <f>VLOOKUP($A34,'Data shares'!$C:$FA,3)</f>
        <v>2097.1</v>
      </c>
      <c r="D34" s="50">
        <f>VLOOKUP($A34,'Data shares'!$C:$FA,6)*100</f>
        <v>-0.38</v>
      </c>
      <c r="E34" s="51">
        <f>VLOOKUP($A34,'Data shares'!$C:$FA,98)</f>
        <v>57849600</v>
      </c>
      <c r="F34" s="51">
        <f>VLOOKUP($A34,'Data shares'!$C:$FA,99)</f>
        <v>59034400</v>
      </c>
      <c r="G34" s="50">
        <f>VLOOKUP($A34,'Data shares'!$C:$FA,101)*100</f>
        <v>-2.0099999999999998</v>
      </c>
      <c r="H34" s="49">
        <f>VLOOKUP($A34,'Data Vlaue (Cr)'!$C:$FB,99)</f>
        <v>12132</v>
      </c>
      <c r="I34" s="49">
        <f>VLOOKUP($A34,'Data Vlaue (Cr)'!$C:$FB,100)</f>
        <v>12380</v>
      </c>
      <c r="J34" s="49">
        <f>VLOOKUP($A34,'Data Vlaue (Cr)'!$C:$FB,102)*100</f>
        <v>-2.0099999999999998</v>
      </c>
    </row>
    <row r="35" spans="1:10" x14ac:dyDescent="0.25">
      <c r="A35" s="101" t="str">
        <f>'NIFTY GRP'!C30</f>
        <v>LT</v>
      </c>
      <c r="B35" s="140">
        <f>VLOOKUP($A35,'Data shares'!$C:$FA,7)</f>
        <v>4037.4</v>
      </c>
      <c r="C35" s="140">
        <f>VLOOKUP($A35,'Data shares'!$C:$FA,3)</f>
        <v>4040</v>
      </c>
      <c r="D35" s="50">
        <f>VLOOKUP($A35,'Data shares'!$C:$FA,6)*100</f>
        <v>0.55999999999999994</v>
      </c>
      <c r="E35" s="51">
        <f>VLOOKUP($A35,'Data shares'!$C:$FA,98)</f>
        <v>23659825</v>
      </c>
      <c r="F35" s="51">
        <f>VLOOKUP($A35,'Data shares'!$C:$FA,99)</f>
        <v>23812250</v>
      </c>
      <c r="G35" s="50">
        <f>VLOOKUP($A35,'Data shares'!$C:$FA,101)*100</f>
        <v>-0.64</v>
      </c>
      <c r="H35" s="49">
        <f>VLOOKUP($A35,'Data Vlaue (Cr)'!$C:$FB,99)</f>
        <v>9559</v>
      </c>
      <c r="I35" s="49">
        <f>VLOOKUP($A35,'Data Vlaue (Cr)'!$C:$FB,100)</f>
        <v>9620</v>
      </c>
      <c r="J35" s="49">
        <f>VLOOKUP($A35,'Data Vlaue (Cr)'!$C:$FB,102)*100</f>
        <v>-0.64</v>
      </c>
    </row>
    <row r="36" spans="1:10" x14ac:dyDescent="0.25">
      <c r="A36" s="101" t="str">
        <f>'NIFTY GRP'!C31</f>
        <v>M&amp;M</v>
      </c>
      <c r="B36" s="140">
        <f>VLOOKUP($A36,'Data shares'!$C:$FA,7)</f>
        <v>3716.7</v>
      </c>
      <c r="C36" s="140">
        <f>VLOOKUP($A36,'Data shares'!$C:$FA,3)</f>
        <v>3721.7</v>
      </c>
      <c r="D36" s="50">
        <f>VLOOKUP($A36,'Data shares'!$C:$FA,6)*100</f>
        <v>-6.9999999999999993E-2</v>
      </c>
      <c r="E36" s="51">
        <f>VLOOKUP($A36,'Data shares'!$C:$FA,98)</f>
        <v>26852400</v>
      </c>
      <c r="F36" s="51">
        <f>VLOOKUP($A36,'Data shares'!$C:$FA,99)</f>
        <v>27166600</v>
      </c>
      <c r="G36" s="50">
        <f>VLOOKUP($A36,'Data shares'!$C:$FA,101)*100</f>
        <v>-1.1599999999999999</v>
      </c>
      <c r="H36" s="49">
        <f>VLOOKUP($A36,'Data Vlaue (Cr)'!$C:$FB,99)</f>
        <v>9994</v>
      </c>
      <c r="I36" s="49">
        <f>VLOOKUP($A36,'Data Vlaue (Cr)'!$C:$FB,100)</f>
        <v>10111</v>
      </c>
      <c r="J36" s="49">
        <f>VLOOKUP($A36,'Data Vlaue (Cr)'!$C:$FB,102)*100</f>
        <v>-1.1599999999999999</v>
      </c>
    </row>
    <row r="37" spans="1:10" x14ac:dyDescent="0.25">
      <c r="A37" s="101" t="str">
        <f>'NIFTY GRP'!C32</f>
        <v>MARUTI</v>
      </c>
      <c r="B37" s="140">
        <f>VLOOKUP($A37,'Data shares'!$C:$FA,7)</f>
        <v>15801</v>
      </c>
      <c r="C37" s="140">
        <f>VLOOKUP($A37,'Data shares'!$C:$FA,3)</f>
        <v>15813</v>
      </c>
      <c r="D37" s="50">
        <f>VLOOKUP($A37,'Data shares'!$C:$FA,6)*100</f>
        <v>0.38</v>
      </c>
      <c r="E37" s="51">
        <f>VLOOKUP($A37,'Data shares'!$C:$FA,98)</f>
        <v>6764600</v>
      </c>
      <c r="F37" s="51">
        <f>VLOOKUP($A37,'Data shares'!$C:$FA,99)</f>
        <v>7158950</v>
      </c>
      <c r="G37" s="50">
        <f>VLOOKUP($A37,'Data shares'!$C:$FA,101)*100</f>
        <v>-5.5100000000000007</v>
      </c>
      <c r="H37" s="49">
        <f>VLOOKUP($A37,'Data Vlaue (Cr)'!$C:$FB,99)</f>
        <v>10697</v>
      </c>
      <c r="I37" s="49">
        <f>VLOOKUP($A37,'Data Vlaue (Cr)'!$C:$FB,100)</f>
        <v>11320</v>
      </c>
      <c r="J37" s="49">
        <f>VLOOKUP($A37,'Data Vlaue (Cr)'!$C:$FB,102)*100</f>
        <v>-5.5100000000000007</v>
      </c>
    </row>
    <row r="38" spans="1:10" x14ac:dyDescent="0.25">
      <c r="A38" s="101" t="str">
        <f>'NIFTY GRP'!C33</f>
        <v>MAXHEALTH</v>
      </c>
      <c r="B38" s="140">
        <f>VLOOKUP($A38,'Data shares'!$C:$FA,7)</f>
        <v>1168.9000000000001</v>
      </c>
      <c r="C38" s="140">
        <f>VLOOKUP($A38,'Data shares'!$C:$FA,3)</f>
        <v>1168.3</v>
      </c>
      <c r="D38" s="50">
        <f>VLOOKUP($A38,'Data shares'!$C:$FA,6)*100</f>
        <v>0.4</v>
      </c>
      <c r="E38" s="51">
        <f>VLOOKUP($A38,'Data shares'!$C:$FA,98)</f>
        <v>25030950</v>
      </c>
      <c r="F38" s="51">
        <f>VLOOKUP($A38,'Data shares'!$C:$FA,99)</f>
        <v>26362350</v>
      </c>
      <c r="G38" s="50">
        <f>VLOOKUP($A38,'Data shares'!$C:$FA,101)*100</f>
        <v>-5.0500000000000007</v>
      </c>
      <c r="H38" s="49">
        <f>VLOOKUP($A38,'Data Vlaue (Cr)'!$C:$FB,99)</f>
        <v>2924</v>
      </c>
      <c r="I38" s="49">
        <f>VLOOKUP($A38,'Data Vlaue (Cr)'!$C:$FB,100)</f>
        <v>3080</v>
      </c>
      <c r="J38" s="49">
        <f>VLOOKUP($A38,'Data Vlaue (Cr)'!$C:$FB,102)*100</f>
        <v>-5.0500000000000007</v>
      </c>
    </row>
    <row r="39" spans="1:10" x14ac:dyDescent="0.25">
      <c r="A39" s="101" t="str">
        <f>'NIFTY GRP'!C34</f>
        <v>NESTLEIND</v>
      </c>
      <c r="B39" s="140">
        <f>VLOOKUP($A39,'Data shares'!$C:$FA,7)</f>
        <v>1279.2</v>
      </c>
      <c r="C39" s="140">
        <f>VLOOKUP($A39,'Data shares'!$C:$FA,3)</f>
        <v>1280.7</v>
      </c>
      <c r="D39" s="50">
        <f>VLOOKUP($A39,'Data shares'!$C:$FA,6)*100</f>
        <v>-0.03</v>
      </c>
      <c r="E39" s="51">
        <f>VLOOKUP($A39,'Data shares'!$C:$FA,98)</f>
        <v>23785500</v>
      </c>
      <c r="F39" s="51">
        <f>VLOOKUP($A39,'Data shares'!$C:$FA,99)</f>
        <v>24101000</v>
      </c>
      <c r="G39" s="50">
        <f>VLOOKUP($A39,'Data shares'!$C:$FA,101)*100</f>
        <v>-1.31</v>
      </c>
      <c r="H39" s="49">
        <f>VLOOKUP($A39,'Data Vlaue (Cr)'!$C:$FB,99)</f>
        <v>3046</v>
      </c>
      <c r="I39" s="49">
        <f>VLOOKUP($A39,'Data Vlaue (Cr)'!$C:$FB,100)</f>
        <v>3087</v>
      </c>
      <c r="J39" s="49">
        <f>VLOOKUP($A39,'Data Vlaue (Cr)'!$C:$FB,102)*100</f>
        <v>-1.31</v>
      </c>
    </row>
    <row r="40" spans="1:10" x14ac:dyDescent="0.25">
      <c r="A40" s="101" t="str">
        <f>'NIFTY GRP'!C35</f>
        <v>NTPC</v>
      </c>
      <c r="B40" s="140">
        <f>VLOOKUP($A40,'Data shares'!$C:$FA,7)</f>
        <v>326.60000000000002</v>
      </c>
      <c r="C40" s="140">
        <f>VLOOKUP($A40,'Data shares'!$C:$FA,3)</f>
        <v>327</v>
      </c>
      <c r="D40" s="50">
        <f>VLOOKUP($A40,'Data shares'!$C:$FA,6)*100</f>
        <v>0.21</v>
      </c>
      <c r="E40" s="51">
        <f>VLOOKUP($A40,'Data shares'!$C:$FA,98)</f>
        <v>176638500</v>
      </c>
      <c r="F40" s="51">
        <f>VLOOKUP($A40,'Data shares'!$C:$FA,99)</f>
        <v>181254000</v>
      </c>
      <c r="G40" s="50">
        <f>VLOOKUP($A40,'Data shares'!$C:$FA,101)*100</f>
        <v>-2.5499999999999998</v>
      </c>
      <c r="H40" s="49">
        <f>VLOOKUP($A40,'Data Vlaue (Cr)'!$C:$FB,99)</f>
        <v>5776</v>
      </c>
      <c r="I40" s="49">
        <f>VLOOKUP($A40,'Data Vlaue (Cr)'!$C:$FB,100)</f>
        <v>5927</v>
      </c>
      <c r="J40" s="49">
        <f>VLOOKUP($A40,'Data Vlaue (Cr)'!$C:$FB,102)*100</f>
        <v>-2.5499999999999998</v>
      </c>
    </row>
    <row r="41" spans="1:10" x14ac:dyDescent="0.25">
      <c r="A41" s="101" t="str">
        <f>'NIFTY GRP'!C36</f>
        <v>ONGC</v>
      </c>
      <c r="B41" s="140">
        <f>VLOOKUP($A41,'Data shares'!$C:$FA,7)</f>
        <v>248.05</v>
      </c>
      <c r="C41" s="140">
        <f>VLOOKUP($A41,'Data shares'!$C:$FA,3)</f>
        <v>248.1</v>
      </c>
      <c r="D41" s="50">
        <f>VLOOKUP($A41,'Data shares'!$C:$FA,6)*100</f>
        <v>-0.38</v>
      </c>
      <c r="E41" s="51">
        <f>VLOOKUP($A41,'Data shares'!$C:$FA,98)</f>
        <v>173245500</v>
      </c>
      <c r="F41" s="51">
        <f>VLOOKUP($A41,'Data shares'!$C:$FA,99)</f>
        <v>171929250</v>
      </c>
      <c r="G41" s="50">
        <f>VLOOKUP($A41,'Data shares'!$C:$FA,101)*100</f>
        <v>0.77</v>
      </c>
      <c r="H41" s="49">
        <f>VLOOKUP($A41,'Data Vlaue (Cr)'!$C:$FB,99)</f>
        <v>4298</v>
      </c>
      <c r="I41" s="49">
        <f>VLOOKUP($A41,'Data Vlaue (Cr)'!$C:$FB,100)</f>
        <v>4266</v>
      </c>
      <c r="J41" s="49">
        <f>VLOOKUP($A41,'Data Vlaue (Cr)'!$C:$FB,102)*100</f>
        <v>0.77</v>
      </c>
    </row>
    <row r="42" spans="1:10" x14ac:dyDescent="0.25">
      <c r="A42" s="101" t="str">
        <f>'NIFTY GRP'!C37</f>
        <v>POWERGRID</v>
      </c>
      <c r="B42" s="140">
        <f>VLOOKUP($A42,'Data shares'!$C:$FA,7)</f>
        <v>277.2</v>
      </c>
      <c r="C42" s="140">
        <f>VLOOKUP($A42,'Data shares'!$C:$FA,3)</f>
        <v>276.95</v>
      </c>
      <c r="D42" s="50">
        <f>VLOOKUP($A42,'Data shares'!$C:$FA,6)*100</f>
        <v>0.71000000000000008</v>
      </c>
      <c r="E42" s="51">
        <f>VLOOKUP($A42,'Data shares'!$C:$FA,98)</f>
        <v>135057700</v>
      </c>
      <c r="F42" s="51">
        <f>VLOOKUP($A42,'Data shares'!$C:$FA,99)</f>
        <v>142997800</v>
      </c>
      <c r="G42" s="50">
        <f>VLOOKUP($A42,'Data shares'!$C:$FA,101)*100</f>
        <v>-5.55</v>
      </c>
      <c r="H42" s="49">
        <f>VLOOKUP($A42,'Data Vlaue (Cr)'!$C:$FB,99)</f>
        <v>3740</v>
      </c>
      <c r="I42" s="49">
        <f>VLOOKUP($A42,'Data Vlaue (Cr)'!$C:$FB,100)</f>
        <v>3960</v>
      </c>
      <c r="J42" s="49">
        <f>VLOOKUP($A42,'Data Vlaue (Cr)'!$C:$FB,102)*100</f>
        <v>-5.55</v>
      </c>
    </row>
    <row r="43" spans="1:10" x14ac:dyDescent="0.25">
      <c r="A43" s="101" t="str">
        <f>'NIFTY GRP'!C38</f>
        <v>RELIANCE</v>
      </c>
      <c r="B43" s="140">
        <f>VLOOKUP($A43,'Data shares'!$C:$FA,7)</f>
        <v>1549.1</v>
      </c>
      <c r="C43" s="140">
        <f>VLOOKUP($A43,'Data shares'!$C:$FA,3)</f>
        <v>1548</v>
      </c>
      <c r="D43" s="50">
        <f>VLOOKUP($A43,'Data shares'!$C:$FA,6)*100</f>
        <v>1.97</v>
      </c>
      <c r="E43" s="51">
        <f>VLOOKUP($A43,'Data shares'!$C:$FA,98)</f>
        <v>191335000</v>
      </c>
      <c r="F43" s="51">
        <f>VLOOKUP($A43,'Data shares'!$C:$FA,99)</f>
        <v>184018000</v>
      </c>
      <c r="G43" s="50">
        <f>VLOOKUP($A43,'Data shares'!$C:$FA,101)*100</f>
        <v>3.9800000000000004</v>
      </c>
      <c r="H43" s="49">
        <f>VLOOKUP($A43,'Data Vlaue (Cr)'!$C:$FB,99)</f>
        <v>29619</v>
      </c>
      <c r="I43" s="49">
        <f>VLOOKUP($A43,'Data Vlaue (Cr)'!$C:$FB,100)</f>
        <v>28486</v>
      </c>
      <c r="J43" s="49">
        <f>VLOOKUP($A43,'Data Vlaue (Cr)'!$C:$FB,102)*100</f>
        <v>3.9800000000000004</v>
      </c>
    </row>
    <row r="44" spans="1:10" x14ac:dyDescent="0.25">
      <c r="A44" s="101" t="str">
        <f>'NIFTY GRP'!C39</f>
        <v>SBILIFE</v>
      </c>
      <c r="B44" s="140">
        <f>VLOOKUP($A44,'Data shares'!$C:$FA,7)</f>
        <v>2027.1</v>
      </c>
      <c r="C44" s="140">
        <f>VLOOKUP($A44,'Data shares'!$C:$FA,3)</f>
        <v>2021.1</v>
      </c>
      <c r="D44" s="50">
        <f>VLOOKUP($A44,'Data shares'!$C:$FA,6)*100</f>
        <v>0.92999999999999994</v>
      </c>
      <c r="E44" s="51">
        <f>VLOOKUP($A44,'Data shares'!$C:$FA,98)</f>
        <v>17629500</v>
      </c>
      <c r="F44" s="51">
        <f>VLOOKUP($A44,'Data shares'!$C:$FA,99)</f>
        <v>16479750</v>
      </c>
      <c r="G44" s="50">
        <f>VLOOKUP($A44,'Data shares'!$C:$FA,101)*100</f>
        <v>6.98</v>
      </c>
      <c r="H44" s="49">
        <f>VLOOKUP($A44,'Data Vlaue (Cr)'!$C:$FB,99)</f>
        <v>3563</v>
      </c>
      <c r="I44" s="49">
        <f>VLOOKUP($A44,'Data Vlaue (Cr)'!$C:$FB,100)</f>
        <v>3331</v>
      </c>
      <c r="J44" s="49">
        <f>VLOOKUP($A44,'Data Vlaue (Cr)'!$C:$FB,102)*100</f>
        <v>6.98</v>
      </c>
    </row>
    <row r="45" spans="1:10" x14ac:dyDescent="0.25">
      <c r="A45" s="101" t="str">
        <f>'NIFTY GRP'!C40</f>
        <v>SBIN</v>
      </c>
      <c r="B45" s="140">
        <f>VLOOKUP($A45,'Data shares'!$C:$FA,7)</f>
        <v>981.55</v>
      </c>
      <c r="C45" s="140">
        <f>VLOOKUP($A45,'Data shares'!$C:$FA,3)</f>
        <v>980.5</v>
      </c>
      <c r="D45" s="50">
        <f>VLOOKUP($A45,'Data shares'!$C:$FA,6)*100</f>
        <v>-0.16999999999999998</v>
      </c>
      <c r="E45" s="51">
        <f>VLOOKUP($A45,'Data shares'!$C:$FA,98)</f>
        <v>166377000</v>
      </c>
      <c r="F45" s="51">
        <f>VLOOKUP($A45,'Data shares'!$C:$FA,99)</f>
        <v>169816500</v>
      </c>
      <c r="G45" s="50">
        <f>VLOOKUP($A45,'Data shares'!$C:$FA,101)*100</f>
        <v>-2.0299999999999998</v>
      </c>
      <c r="H45" s="49">
        <f>VLOOKUP($A45,'Data Vlaue (Cr)'!$C:$FB,99)</f>
        <v>16313</v>
      </c>
      <c r="I45" s="49">
        <f>VLOOKUP($A45,'Data Vlaue (Cr)'!$C:$FB,100)</f>
        <v>16651</v>
      </c>
      <c r="J45" s="49">
        <f>VLOOKUP($A45,'Data Vlaue (Cr)'!$C:$FB,102)*100</f>
        <v>-2.0299999999999998</v>
      </c>
    </row>
    <row r="46" spans="1:10" x14ac:dyDescent="0.25">
      <c r="A46" s="101" t="str">
        <f>'NIFTY GRP'!C41</f>
        <v>SHRIRAMFIN</v>
      </c>
      <c r="B46" s="140">
        <f>VLOOKUP($A46,'Data shares'!$C:$FA,7)</f>
        <v>826.6</v>
      </c>
      <c r="C46" s="140">
        <f>VLOOKUP($A46,'Data shares'!$C:$FA,3)</f>
        <v>826.6</v>
      </c>
      <c r="D46" s="50">
        <f>VLOOKUP($A46,'Data shares'!$C:$FA,6)*100</f>
        <v>0.89</v>
      </c>
      <c r="E46" s="51">
        <f>VLOOKUP($A46,'Data shares'!$C:$FA,98)</f>
        <v>87690075</v>
      </c>
      <c r="F46" s="51">
        <f>VLOOKUP($A46,'Data shares'!$C:$FA,99)</f>
        <v>90325950</v>
      </c>
      <c r="G46" s="50">
        <f>VLOOKUP($A46,'Data shares'!$C:$FA,101)*100</f>
        <v>-2.92</v>
      </c>
      <c r="H46" s="49">
        <f>VLOOKUP($A46,'Data Vlaue (Cr)'!$C:$FB,99)</f>
        <v>7248</v>
      </c>
      <c r="I46" s="49">
        <f>VLOOKUP($A46,'Data Vlaue (Cr)'!$C:$FB,100)</f>
        <v>7466</v>
      </c>
      <c r="J46" s="49">
        <f>VLOOKUP($A46,'Data Vlaue (Cr)'!$C:$FB,102)*100</f>
        <v>-2.92</v>
      </c>
    </row>
    <row r="47" spans="1:10" x14ac:dyDescent="0.25">
      <c r="A47" s="101" t="str">
        <f>'NIFTY GRP'!C42</f>
        <v>SUNPHARMA</v>
      </c>
      <c r="B47" s="140">
        <f>VLOOKUP($A47,'Data shares'!$C:$FA,7)</f>
        <v>1777.4</v>
      </c>
      <c r="C47" s="140">
        <f>VLOOKUP($A47,'Data shares'!$C:$FA,3)</f>
        <v>1779.1</v>
      </c>
      <c r="D47" s="50">
        <f>VLOOKUP($A47,'Data shares'!$C:$FA,6)*100</f>
        <v>-0.21</v>
      </c>
      <c r="E47" s="51">
        <f>VLOOKUP($A47,'Data shares'!$C:$FA,98)</f>
        <v>24103450</v>
      </c>
      <c r="F47" s="51">
        <f>VLOOKUP($A47,'Data shares'!$C:$FA,99)</f>
        <v>24050250</v>
      </c>
      <c r="G47" s="50">
        <f>VLOOKUP($A47,'Data shares'!$C:$FA,101)*100</f>
        <v>0.22</v>
      </c>
      <c r="H47" s="49">
        <f>VLOOKUP($A47,'Data Vlaue (Cr)'!$C:$FB,99)</f>
        <v>4288</v>
      </c>
      <c r="I47" s="49">
        <f>VLOOKUP($A47,'Data Vlaue (Cr)'!$C:$FB,100)</f>
        <v>4279</v>
      </c>
      <c r="J47" s="49">
        <f>VLOOKUP($A47,'Data Vlaue (Cr)'!$C:$FB,102)*100</f>
        <v>0.22</v>
      </c>
    </row>
    <row r="48" spans="1:10" x14ac:dyDescent="0.25">
      <c r="A48" s="101" t="str">
        <f>'NIFTY GRP'!C43</f>
        <v>TATACONSUM</v>
      </c>
      <c r="B48" s="140">
        <f>VLOOKUP($A48,'Data shares'!$C:$FA,7)</f>
        <v>1173.9000000000001</v>
      </c>
      <c r="C48" s="140">
        <f>VLOOKUP($A48,'Data shares'!$C:$FA,3)</f>
        <v>1172.0999999999999</v>
      </c>
      <c r="D48" s="50">
        <f>VLOOKUP($A48,'Data shares'!$C:$FA,6)*100</f>
        <v>0.67999999999999994</v>
      </c>
      <c r="E48" s="51">
        <f>VLOOKUP($A48,'Data shares'!$C:$FA,98)</f>
        <v>21203050</v>
      </c>
      <c r="F48" s="51">
        <f>VLOOKUP($A48,'Data shares'!$C:$FA,99)</f>
        <v>21897700</v>
      </c>
      <c r="G48" s="50">
        <f>VLOOKUP($A48,'Data shares'!$C:$FA,101)*100</f>
        <v>-3.17</v>
      </c>
      <c r="H48" s="49">
        <f>VLOOKUP($A48,'Data Vlaue (Cr)'!$C:$FB,99)</f>
        <v>2485</v>
      </c>
      <c r="I48" s="49">
        <f>VLOOKUP($A48,'Data Vlaue (Cr)'!$C:$FB,100)</f>
        <v>2567</v>
      </c>
      <c r="J48" s="49">
        <f>VLOOKUP($A48,'Data Vlaue (Cr)'!$C:$FB,102)*100</f>
        <v>-3.17</v>
      </c>
    </row>
    <row r="49" spans="1:10" x14ac:dyDescent="0.25">
      <c r="A49" s="101" t="str">
        <f>'NIFTY GRP'!C44</f>
        <v>TATASTEEL</v>
      </c>
      <c r="B49" s="140">
        <f>VLOOKUP($A49,'Data shares'!$C:$FA,7)</f>
        <v>172.46</v>
      </c>
      <c r="C49" s="140">
        <f>VLOOKUP($A49,'Data shares'!$C:$FA,3)</f>
        <v>172.53</v>
      </c>
      <c r="D49" s="50">
        <f>VLOOKUP($A49,'Data shares'!$C:$FA,6)*100</f>
        <v>-0.44999999999999996</v>
      </c>
      <c r="E49" s="51">
        <f>VLOOKUP($A49,'Data shares'!$C:$FA,98)</f>
        <v>720285500</v>
      </c>
      <c r="F49" s="51">
        <f>VLOOKUP($A49,'Data shares'!$C:$FA,99)</f>
        <v>741746500</v>
      </c>
      <c r="G49" s="50">
        <f>VLOOKUP($A49,'Data shares'!$C:$FA,101)*100</f>
        <v>-2.8899999999999997</v>
      </c>
      <c r="H49" s="49">
        <f>VLOOKUP($A49,'Data Vlaue (Cr)'!$C:$FB,99)</f>
        <v>12427</v>
      </c>
      <c r="I49" s="49">
        <f>VLOOKUP($A49,'Data Vlaue (Cr)'!$C:$FB,100)</f>
        <v>12797</v>
      </c>
      <c r="J49" s="49">
        <f>VLOOKUP($A49,'Data Vlaue (Cr)'!$C:$FB,102)*100</f>
        <v>-2.8899999999999997</v>
      </c>
    </row>
    <row r="50" spans="1:10" x14ac:dyDescent="0.25">
      <c r="A50" s="101" t="str">
        <f>'NIFTY GRP'!C45</f>
        <v>TCS</v>
      </c>
      <c r="B50" s="140">
        <f>VLOOKUP($A50,'Data shares'!$C:$FA,7)</f>
        <v>3144.8</v>
      </c>
      <c r="C50" s="140">
        <f>VLOOKUP($A50,'Data shares'!$C:$FA,3)</f>
        <v>3144</v>
      </c>
      <c r="D50" s="50">
        <f>VLOOKUP($A50,'Data shares'!$C:$FA,6)*100</f>
        <v>-6.9999999999999993E-2</v>
      </c>
      <c r="E50" s="51">
        <f>VLOOKUP($A50,'Data shares'!$C:$FA,98)</f>
        <v>47502350</v>
      </c>
      <c r="F50" s="51">
        <f>VLOOKUP($A50,'Data shares'!$C:$FA,99)</f>
        <v>48417250</v>
      </c>
      <c r="G50" s="50">
        <f>VLOOKUP($A50,'Data shares'!$C:$FA,101)*100</f>
        <v>-1.8900000000000001</v>
      </c>
      <c r="H50" s="49">
        <f>VLOOKUP($A50,'Data Vlaue (Cr)'!$C:$FB,99)</f>
        <v>14935</v>
      </c>
      <c r="I50" s="49">
        <f>VLOOKUP($A50,'Data Vlaue (Cr)'!$C:$FB,100)</f>
        <v>15222</v>
      </c>
      <c r="J50" s="49">
        <f>VLOOKUP($A50,'Data Vlaue (Cr)'!$C:$FB,102)*100</f>
        <v>-1.8900000000000001</v>
      </c>
    </row>
    <row r="51" spans="1:10" x14ac:dyDescent="0.25">
      <c r="A51" s="101" t="str">
        <f>'NIFTY GRP'!C46</f>
        <v>TECHM</v>
      </c>
      <c r="B51" s="140">
        <f>VLOOKUP($A51,'Data shares'!$C:$FA,7)</f>
        <v>1456</v>
      </c>
      <c r="C51" s="140">
        <f>VLOOKUP($A51,'Data shares'!$C:$FA,3)</f>
        <v>1458.5</v>
      </c>
      <c r="D51" s="50">
        <f>VLOOKUP($A51,'Data shares'!$C:$FA,6)*100</f>
        <v>1.38</v>
      </c>
      <c r="E51" s="51">
        <f>VLOOKUP($A51,'Data shares'!$C:$FA,98)</f>
        <v>37198200</v>
      </c>
      <c r="F51" s="51">
        <f>VLOOKUP($A51,'Data shares'!$C:$FA,99)</f>
        <v>36038400</v>
      </c>
      <c r="G51" s="50">
        <f>VLOOKUP($A51,'Data shares'!$C:$FA,101)*100</f>
        <v>3.2199999999999998</v>
      </c>
      <c r="H51" s="49">
        <f>VLOOKUP($A51,'Data Vlaue (Cr)'!$C:$FB,99)</f>
        <v>5425</v>
      </c>
      <c r="I51" s="49">
        <f>VLOOKUP($A51,'Data Vlaue (Cr)'!$C:$FB,100)</f>
        <v>5256</v>
      </c>
      <c r="J51" s="49">
        <f>VLOOKUP($A51,'Data Vlaue (Cr)'!$C:$FB,102)*100</f>
        <v>3.2199999999999998</v>
      </c>
    </row>
    <row r="52" spans="1:10" x14ac:dyDescent="0.25">
      <c r="A52" s="101" t="str">
        <f>'NIFTY GRP'!C47</f>
        <v>TITAN</v>
      </c>
      <c r="B52" s="140">
        <f>VLOOKUP($A52,'Data shares'!$C:$FA,7)</f>
        <v>3902.4</v>
      </c>
      <c r="C52" s="140">
        <f>VLOOKUP($A52,'Data shares'!$C:$FA,3)</f>
        <v>3905.8</v>
      </c>
      <c r="D52" s="50">
        <f>VLOOKUP($A52,'Data shares'!$C:$FA,6)*100</f>
        <v>-0.63</v>
      </c>
      <c r="E52" s="51">
        <f>VLOOKUP($A52,'Data shares'!$C:$FA,98)</f>
        <v>17063200</v>
      </c>
      <c r="F52" s="51">
        <f>VLOOKUP($A52,'Data shares'!$C:$FA,99)</f>
        <v>17419150</v>
      </c>
      <c r="G52" s="50">
        <f>VLOOKUP($A52,'Data shares'!$C:$FA,101)*100</f>
        <v>-2.04</v>
      </c>
      <c r="H52" s="49">
        <f>VLOOKUP($A52,'Data Vlaue (Cr)'!$C:$FB,99)</f>
        <v>6665</v>
      </c>
      <c r="I52" s="49">
        <f>VLOOKUP($A52,'Data Vlaue (Cr)'!$C:$FB,100)</f>
        <v>6804</v>
      </c>
      <c r="J52" s="49">
        <f>VLOOKUP($A52,'Data Vlaue (Cr)'!$C:$FB,102)*100</f>
        <v>-2.04</v>
      </c>
    </row>
    <row r="53" spans="1:10" x14ac:dyDescent="0.25">
      <c r="A53" s="101" t="str">
        <f>'NIFTY GRP'!C48</f>
        <v>TMPV</v>
      </c>
      <c r="B53" s="140">
        <f>VLOOKUP($A53,'Data shares'!$C:$FA,7)</f>
        <v>359.8</v>
      </c>
      <c r="C53" s="140">
        <f>VLOOKUP($A53,'Data shares'!$C:$FA,3)</f>
        <v>360.9</v>
      </c>
      <c r="D53" s="50">
        <f>VLOOKUP($A53,'Data shares'!$C:$FA,6)*100</f>
        <v>-0.22</v>
      </c>
      <c r="E53" s="51">
        <f>VLOOKUP($A53,'Data shares'!$C:$FA,98)</f>
        <v>200668800</v>
      </c>
      <c r="F53" s="51">
        <f>VLOOKUP($A53,'Data shares'!$C:$FA,99)</f>
        <v>215277600</v>
      </c>
      <c r="G53" s="50">
        <f>VLOOKUP($A53,'Data shares'!$C:$FA,101)*100</f>
        <v>-6.79</v>
      </c>
      <c r="H53" s="49">
        <f>VLOOKUP($A53,'Data Vlaue (Cr)'!$C:$FB,99)</f>
        <v>7242</v>
      </c>
      <c r="I53" s="49">
        <f>VLOOKUP($A53,'Data Vlaue (Cr)'!$C:$FB,100)</f>
        <v>7769</v>
      </c>
      <c r="J53" s="49">
        <f>VLOOKUP($A53,'Data Vlaue (Cr)'!$C:$FB,102)*100</f>
        <v>-6.79</v>
      </c>
    </row>
    <row r="54" spans="1:10" x14ac:dyDescent="0.25">
      <c r="A54" s="101" t="str">
        <f>'NIFTY GRP'!C49</f>
        <v>TRENT</v>
      </c>
      <c r="B54" s="140">
        <f>VLOOKUP($A54,'Data shares'!$C:$FA,7)</f>
        <v>4388.8999999999996</v>
      </c>
      <c r="C54" s="140">
        <f>VLOOKUP($A54,'Data shares'!$C:$FA,3)</f>
        <v>4394.2</v>
      </c>
      <c r="D54" s="50">
        <f>VLOOKUP($A54,'Data shares'!$C:$FA,6)*100</f>
        <v>0.59</v>
      </c>
      <c r="E54" s="51">
        <f>VLOOKUP($A54,'Data shares'!$C:$FA,98)</f>
        <v>16764100</v>
      </c>
      <c r="F54" s="51">
        <f>VLOOKUP($A54,'Data shares'!$C:$FA,99)</f>
        <v>17480500</v>
      </c>
      <c r="G54" s="50">
        <f>VLOOKUP($A54,'Data shares'!$C:$FA,101)*100</f>
        <v>-4.1000000000000005</v>
      </c>
      <c r="H54" s="49">
        <f>VLOOKUP($A54,'Data Vlaue (Cr)'!$C:$FB,99)</f>
        <v>7366</v>
      </c>
      <c r="I54" s="49">
        <f>VLOOKUP($A54,'Data Vlaue (Cr)'!$C:$FB,100)</f>
        <v>7681</v>
      </c>
      <c r="J54" s="49">
        <f>VLOOKUP($A54,'Data Vlaue (Cr)'!$C:$FB,102)*100</f>
        <v>-4.1000000000000005</v>
      </c>
    </row>
    <row r="55" spans="1:10" x14ac:dyDescent="0.25">
      <c r="A55" s="101" t="e">
        <f>'NIFTY GRP'!#REF!</f>
        <v>#REF!</v>
      </c>
      <c r="B55" s="140" t="e">
        <f>VLOOKUP($A55,'Data shares'!$C:$FA,7)</f>
        <v>#REF!</v>
      </c>
      <c r="C55" s="140" t="e">
        <f>VLOOKUP($A55,'Data shares'!$C:$FA,3)</f>
        <v>#REF!</v>
      </c>
      <c r="D55" s="50" t="e">
        <f>VLOOKUP($A55,'Data shares'!$C:$FA,6)*100</f>
        <v>#REF!</v>
      </c>
      <c r="E55" s="51" t="e">
        <f>VLOOKUP($A55,'Data shares'!$C:$FA,98)</f>
        <v>#REF!</v>
      </c>
      <c r="F55" s="51" t="e">
        <f>VLOOKUP($A55,'Data shares'!$C:$FA,99)</f>
        <v>#REF!</v>
      </c>
      <c r="G55" s="50" t="e">
        <f>VLOOKUP($A55,'Data shares'!$C:$FA,101)*100</f>
        <v>#REF!</v>
      </c>
      <c r="H55" s="49" t="e">
        <f>VLOOKUP($A55,'Data Vlaue (Cr)'!$C:$FB,99)</f>
        <v>#REF!</v>
      </c>
      <c r="I55" s="49" t="e">
        <f>VLOOKUP($A55,'Data Vlaue (Cr)'!$C:$FB,100)</f>
        <v>#REF!</v>
      </c>
      <c r="J55" s="49" t="e">
        <f>VLOOKUP($A55,'Data Vlaue (Cr)'!$C:$FB,102)*100</f>
        <v>#REF!</v>
      </c>
    </row>
    <row r="56" spans="1:10" x14ac:dyDescent="0.25">
      <c r="A56" s="101" t="str">
        <f>'NIFTY GRP'!C51</f>
        <v>WIPRO</v>
      </c>
      <c r="B56" s="140">
        <f>VLOOKUP($A56,'Data shares'!$C:$FA,7)</f>
        <v>246.26</v>
      </c>
      <c r="C56" s="140">
        <f>VLOOKUP($A56,'Data shares'!$C:$FA,3)</f>
        <v>247.09</v>
      </c>
      <c r="D56" s="50">
        <f>VLOOKUP($A56,'Data shares'!$C:$FA,6)*100</f>
        <v>6.9999999999999993E-2</v>
      </c>
      <c r="E56" s="51">
        <f>VLOOKUP($A56,'Data shares'!$C:$FA,98)</f>
        <v>255015000</v>
      </c>
      <c r="F56" s="51">
        <f>VLOOKUP($A56,'Data shares'!$C:$FA,99)</f>
        <v>270240000</v>
      </c>
      <c r="G56" s="50">
        <f>VLOOKUP($A56,'Data shares'!$C:$FA,101)*100</f>
        <v>-5.63</v>
      </c>
      <c r="H56" s="49">
        <f>VLOOKUP($A56,'Data Vlaue (Cr)'!$C:$FB,99)</f>
        <v>6301</v>
      </c>
      <c r="I56" s="49">
        <f>VLOOKUP($A56,'Data Vlaue (Cr)'!$C:$FB,100)</f>
        <v>6677</v>
      </c>
      <c r="J56" s="49">
        <f>VLOOKUP($A56,'Data Vlaue (Cr)'!$C:$FB,102)*100</f>
        <v>-5.63</v>
      </c>
    </row>
    <row r="57" spans="1:10" x14ac:dyDescent="0.25">
      <c r="A57" s="101"/>
      <c r="B57" s="140"/>
      <c r="C57" s="140"/>
      <c r="D57" s="50"/>
      <c r="E57" s="51"/>
      <c r="F57" s="51"/>
      <c r="G57" s="50"/>
      <c r="H57" s="49"/>
      <c r="I57" s="49"/>
      <c r="J57" s="49"/>
    </row>
    <row r="58" spans="1:10" x14ac:dyDescent="0.25">
      <c r="A58" s="101"/>
      <c r="B58" s="140"/>
      <c r="C58" s="140"/>
      <c r="D58" s="50"/>
      <c r="E58" s="51"/>
      <c r="F58" s="51"/>
      <c r="G58" s="50"/>
      <c r="H58" s="49"/>
      <c r="I58" s="49"/>
      <c r="J58" s="49"/>
    </row>
    <row r="59" spans="1:10" x14ac:dyDescent="0.25">
      <c r="A59" s="101"/>
      <c r="B59" s="140"/>
      <c r="C59" s="140"/>
      <c r="D59" s="50"/>
      <c r="E59" s="51"/>
      <c r="F59" s="51"/>
      <c r="G59" s="50"/>
      <c r="H59" s="49"/>
      <c r="I59" s="49"/>
      <c r="J59" s="49"/>
    </row>
    <row r="60" spans="1:10" x14ac:dyDescent="0.25">
      <c r="A60" s="101"/>
      <c r="B60" s="140"/>
      <c r="C60" s="140"/>
      <c r="D60" s="50"/>
      <c r="E60" s="51"/>
      <c r="F60" s="51"/>
      <c r="G60" s="50"/>
      <c r="H60" s="49"/>
      <c r="I60" s="49"/>
      <c r="J60" s="49"/>
    </row>
    <row r="61" spans="1:10" x14ac:dyDescent="0.25">
      <c r="A61" s="101"/>
      <c r="B61" s="140"/>
      <c r="C61" s="140"/>
      <c r="D61" s="50"/>
      <c r="E61" s="51"/>
      <c r="F61" s="51"/>
      <c r="G61" s="50"/>
      <c r="H61" s="49"/>
      <c r="I61" s="49"/>
      <c r="J61" s="49"/>
    </row>
    <row r="62" spans="1:10" x14ac:dyDescent="0.25">
      <c r="A62" s="101"/>
      <c r="B62" s="140"/>
      <c r="C62" s="140"/>
      <c r="D62" s="50"/>
      <c r="E62" s="51"/>
      <c r="F62" s="51"/>
      <c r="G62" s="50"/>
      <c r="H62" s="49"/>
      <c r="I62" s="49"/>
      <c r="J62" s="49"/>
    </row>
    <row r="63" spans="1:10" x14ac:dyDescent="0.25">
      <c r="A63" s="101"/>
      <c r="B63" s="140"/>
      <c r="C63" s="140"/>
      <c r="D63" s="50"/>
      <c r="E63" s="51"/>
      <c r="F63" s="51"/>
      <c r="G63" s="50"/>
      <c r="H63" s="49"/>
      <c r="I63" s="49"/>
      <c r="J63" s="49"/>
    </row>
    <row r="64" spans="1:10" x14ac:dyDescent="0.25">
      <c r="A64" s="101"/>
      <c r="B64" s="140"/>
      <c r="C64" s="140"/>
      <c r="D64" s="50"/>
      <c r="E64" s="51"/>
      <c r="F64" s="51"/>
      <c r="G64" s="50"/>
      <c r="H64" s="49"/>
      <c r="I64" s="49"/>
      <c r="J64" s="49"/>
    </row>
    <row r="65" spans="1:10" x14ac:dyDescent="0.25">
      <c r="A65" s="101"/>
      <c r="B65" s="140"/>
      <c r="C65" s="140"/>
      <c r="D65" s="50"/>
      <c r="E65" s="51"/>
      <c r="F65" s="51"/>
      <c r="G65" s="50"/>
      <c r="H65" s="49"/>
      <c r="I65" s="49"/>
      <c r="J65" s="49"/>
    </row>
    <row r="66" spans="1:10" x14ac:dyDescent="0.25">
      <c r="A66" s="101"/>
      <c r="B66" s="140"/>
      <c r="C66" s="140"/>
      <c r="D66" s="50"/>
      <c r="E66" s="51"/>
      <c r="F66" s="51"/>
      <c r="G66" s="50"/>
      <c r="H66" s="49"/>
      <c r="I66" s="49"/>
      <c r="J66" s="49"/>
    </row>
    <row r="67" spans="1:10" x14ac:dyDescent="0.25">
      <c r="A67" s="101"/>
      <c r="B67" s="140"/>
      <c r="C67" s="140"/>
      <c r="D67" s="50"/>
      <c r="E67" s="51"/>
      <c r="F67" s="51"/>
      <c r="G67" s="50"/>
      <c r="H67" s="49"/>
      <c r="I67" s="49"/>
      <c r="J67" s="49"/>
    </row>
    <row r="68" spans="1:10" x14ac:dyDescent="0.25">
      <c r="A68" s="101"/>
      <c r="B68" s="140"/>
      <c r="C68" s="140"/>
      <c r="D68" s="50"/>
      <c r="E68" s="51"/>
      <c r="F68" s="51"/>
      <c r="G68" s="50"/>
      <c r="H68" s="49"/>
      <c r="I68" s="49"/>
      <c r="J68" s="49"/>
    </row>
    <row r="69" spans="1:10" x14ac:dyDescent="0.25">
      <c r="A69" s="101"/>
      <c r="B69" s="140"/>
      <c r="C69" s="140"/>
      <c r="D69" s="50"/>
      <c r="E69" s="51"/>
      <c r="F69" s="51"/>
      <c r="G69" s="50"/>
      <c r="H69" s="49"/>
      <c r="I69" s="49"/>
      <c r="J69" s="49"/>
    </row>
    <row r="70" spans="1:10" x14ac:dyDescent="0.25">
      <c r="A70" s="101"/>
      <c r="B70" s="140"/>
      <c r="C70" s="140"/>
      <c r="D70" s="50"/>
      <c r="E70" s="51"/>
      <c r="F70" s="51"/>
      <c r="G70" s="50"/>
      <c r="H70" s="49"/>
      <c r="I70" s="49"/>
      <c r="J70" s="49"/>
    </row>
    <row r="71" spans="1:10" x14ac:dyDescent="0.25">
      <c r="A71" s="101"/>
      <c r="B71" s="140"/>
      <c r="C71" s="140"/>
      <c r="D71" s="50"/>
      <c r="E71" s="51"/>
      <c r="F71" s="51"/>
      <c r="G71" s="50"/>
      <c r="H71" s="49"/>
      <c r="I71" s="49"/>
      <c r="J71" s="49"/>
    </row>
    <row r="72" spans="1:10" x14ac:dyDescent="0.25">
      <c r="A72" s="101"/>
      <c r="B72" s="140"/>
      <c r="C72" s="140"/>
      <c r="D72" s="50"/>
      <c r="E72" s="51"/>
      <c r="F72" s="51"/>
      <c r="G72" s="50"/>
      <c r="H72" s="49"/>
      <c r="I72" s="49"/>
      <c r="J72" s="49"/>
    </row>
    <row r="73" spans="1:10" x14ac:dyDescent="0.25">
      <c r="A73" s="101"/>
      <c r="B73" s="140"/>
      <c r="C73" s="140"/>
      <c r="D73" s="50"/>
      <c r="E73" s="51"/>
      <c r="F73" s="51"/>
      <c r="G73" s="50"/>
      <c r="H73" s="49"/>
      <c r="I73" s="49"/>
      <c r="J73" s="49"/>
    </row>
    <row r="74" spans="1:10" x14ac:dyDescent="0.25">
      <c r="A74" s="101"/>
      <c r="B74" s="140"/>
      <c r="C74" s="140"/>
      <c r="D74" s="50"/>
      <c r="E74" s="51"/>
      <c r="F74" s="51"/>
      <c r="G74" s="50"/>
      <c r="H74" s="49"/>
      <c r="I74" s="49"/>
      <c r="J74" s="49"/>
    </row>
    <row r="75" spans="1:10" x14ac:dyDescent="0.25">
      <c r="A75" s="101"/>
      <c r="B75" s="140"/>
      <c r="C75" s="140"/>
      <c r="D75" s="50"/>
      <c r="E75" s="51"/>
      <c r="F75" s="51"/>
      <c r="G75" s="50"/>
      <c r="H75" s="49"/>
      <c r="I75" s="49"/>
      <c r="J75" s="49"/>
    </row>
    <row r="76" spans="1:10" x14ac:dyDescent="0.25">
      <c r="A76" s="101"/>
      <c r="B76" s="140"/>
      <c r="C76" s="140"/>
      <c r="D76" s="50"/>
      <c r="E76" s="51"/>
      <c r="F76" s="51"/>
      <c r="G76" s="50"/>
      <c r="H76" s="49"/>
      <c r="I76" s="49"/>
      <c r="J76" s="49"/>
    </row>
    <row r="77" spans="1:10" x14ac:dyDescent="0.25">
      <c r="A77" s="101"/>
      <c r="B77" s="140"/>
      <c r="C77" s="140"/>
      <c r="D77" s="50"/>
      <c r="E77" s="51"/>
      <c r="F77" s="51"/>
      <c r="G77" s="50"/>
      <c r="H77" s="49"/>
      <c r="I77" s="49"/>
      <c r="J77" s="49"/>
    </row>
    <row r="78" spans="1:10" x14ac:dyDescent="0.25">
      <c r="A78" s="101"/>
      <c r="B78" s="140"/>
      <c r="C78" s="140"/>
      <c r="D78" s="50"/>
      <c r="E78" s="51"/>
      <c r="F78" s="51"/>
      <c r="G78" s="50"/>
      <c r="H78" s="49"/>
      <c r="I78" s="49"/>
      <c r="J78" s="49"/>
    </row>
    <row r="79" spans="1:10" x14ac:dyDescent="0.25">
      <c r="A79" s="101"/>
      <c r="B79" s="140"/>
      <c r="C79" s="140"/>
      <c r="D79" s="50"/>
      <c r="E79" s="51"/>
      <c r="F79" s="51"/>
      <c r="G79" s="50"/>
      <c r="H79" s="49"/>
      <c r="I79" s="49"/>
      <c r="J79" s="49"/>
    </row>
    <row r="80" spans="1:10" x14ac:dyDescent="0.25">
      <c r="A80" s="101"/>
      <c r="B80" s="140"/>
      <c r="C80" s="140"/>
      <c r="D80" s="50"/>
      <c r="E80" s="51"/>
      <c r="F80" s="51"/>
      <c r="G80" s="50"/>
      <c r="H80" s="49"/>
      <c r="I80" s="49"/>
      <c r="J80" s="49"/>
    </row>
    <row r="81" spans="1:10" x14ac:dyDescent="0.25">
      <c r="A81" s="101"/>
      <c r="B81" s="140"/>
      <c r="C81" s="140"/>
      <c r="D81" s="50"/>
      <c r="E81" s="51"/>
      <c r="F81" s="51"/>
      <c r="G81" s="50"/>
      <c r="H81" s="49"/>
      <c r="I81" s="49"/>
      <c r="J81" s="49"/>
    </row>
    <row r="82" spans="1:10" x14ac:dyDescent="0.25">
      <c r="A82" s="101"/>
      <c r="B82" s="140"/>
      <c r="C82" s="140"/>
      <c r="D82" s="50"/>
      <c r="E82" s="51"/>
      <c r="F82" s="51"/>
      <c r="G82" s="50"/>
      <c r="H82" s="49"/>
      <c r="I82" s="49"/>
      <c r="J82" s="49"/>
    </row>
    <row r="83" spans="1:10" x14ac:dyDescent="0.25">
      <c r="A83" s="101"/>
      <c r="B83" s="140"/>
      <c r="C83" s="140"/>
      <c r="D83" s="50"/>
      <c r="E83" s="51"/>
      <c r="F83" s="51"/>
      <c r="G83" s="50"/>
      <c r="H83" s="49"/>
      <c r="I83" s="49"/>
      <c r="J83" s="49"/>
    </row>
    <row r="84" spans="1:10" x14ac:dyDescent="0.25">
      <c r="A84" s="101"/>
      <c r="B84" s="140"/>
      <c r="C84" s="140"/>
      <c r="D84" s="50"/>
      <c r="E84" s="51"/>
      <c r="F84" s="51"/>
      <c r="G84" s="50"/>
      <c r="H84" s="49"/>
      <c r="I84" s="49"/>
      <c r="J84" s="49"/>
    </row>
    <row r="85" spans="1:10" x14ac:dyDescent="0.25">
      <c r="A85" s="101"/>
      <c r="B85" s="140"/>
      <c r="C85" s="140"/>
      <c r="D85" s="50"/>
      <c r="E85" s="51"/>
      <c r="F85" s="51"/>
      <c r="G85" s="50"/>
      <c r="H85" s="49"/>
      <c r="I85" s="49"/>
      <c r="J85" s="49"/>
    </row>
    <row r="86" spans="1:10" x14ac:dyDescent="0.25">
      <c r="A86" s="101"/>
      <c r="B86" s="140"/>
      <c r="C86" s="140"/>
      <c r="D86" s="50"/>
      <c r="E86" s="51"/>
      <c r="F86" s="51"/>
      <c r="G86" s="50"/>
      <c r="H86" s="49"/>
      <c r="I86" s="49"/>
      <c r="J86" s="49"/>
    </row>
    <row r="87" spans="1:10" x14ac:dyDescent="0.25">
      <c r="A87" s="101"/>
      <c r="B87" s="140"/>
      <c r="C87" s="140"/>
      <c r="D87" s="50"/>
      <c r="E87" s="51"/>
      <c r="F87" s="51"/>
      <c r="G87" s="50"/>
      <c r="H87" s="49"/>
      <c r="I87" s="49"/>
      <c r="J87" s="49"/>
    </row>
    <row r="88" spans="1:10" x14ac:dyDescent="0.25">
      <c r="A88" s="101"/>
      <c r="B88" s="140"/>
      <c r="C88" s="140"/>
      <c r="D88" s="50"/>
      <c r="E88" s="51"/>
      <c r="F88" s="51"/>
      <c r="G88" s="50"/>
      <c r="H88" s="49"/>
      <c r="I88" s="49"/>
      <c r="J88" s="49"/>
    </row>
    <row r="89" spans="1:10" x14ac:dyDescent="0.25">
      <c r="A89" s="101"/>
      <c r="B89" s="140"/>
      <c r="C89" s="140"/>
      <c r="D89" s="50"/>
      <c r="E89" s="51"/>
      <c r="F89" s="51"/>
      <c r="G89" s="50"/>
      <c r="H89" s="49"/>
      <c r="I89" s="49"/>
      <c r="J89" s="49"/>
    </row>
    <row r="90" spans="1:10" x14ac:dyDescent="0.25">
      <c r="A90" s="102"/>
      <c r="B90" s="17"/>
      <c r="C90" s="17"/>
      <c r="D90" s="17"/>
      <c r="E90" s="17"/>
      <c r="F90" s="17"/>
      <c r="G90" s="17"/>
      <c r="H90" s="17"/>
      <c r="I90" s="17"/>
      <c r="J90" s="17"/>
    </row>
    <row r="91" spans="1:10" x14ac:dyDescent="0.25">
      <c r="A91" s="102"/>
      <c r="B91" s="17"/>
      <c r="C91" s="17"/>
      <c r="D91" s="17"/>
      <c r="E91" s="17"/>
      <c r="F91" s="17"/>
      <c r="G91" s="17"/>
      <c r="H91" s="17"/>
      <c r="I91" s="17"/>
      <c r="J91" s="17"/>
    </row>
    <row r="92" spans="1:10" x14ac:dyDescent="0.25">
      <c r="A92" s="102"/>
      <c r="B92" s="17"/>
      <c r="C92" s="17"/>
      <c r="D92" s="17"/>
      <c r="E92" s="17"/>
      <c r="F92" s="17"/>
      <c r="G92" s="17"/>
      <c r="H92" s="17"/>
      <c r="I92" s="17"/>
      <c r="J92" s="17"/>
    </row>
    <row r="93" spans="1:10" x14ac:dyDescent="0.25">
      <c r="A93" s="102"/>
      <c r="B93" s="17"/>
      <c r="C93" s="17"/>
      <c r="D93" s="17"/>
      <c r="E93" s="17"/>
      <c r="F93" s="17"/>
      <c r="G93" s="17"/>
      <c r="H93" s="17"/>
      <c r="I93" s="17"/>
      <c r="J93" s="17"/>
    </row>
    <row r="94" spans="1:10" s="88" customFormat="1" ht="13.5" customHeight="1" x14ac:dyDescent="0.25">
      <c r="A94" s="126" t="s">
        <v>391</v>
      </c>
      <c r="B94" s="122"/>
      <c r="C94" s="122"/>
      <c r="D94" s="122"/>
      <c r="E94" s="127" t="e">
        <f>SUM(E7:E93)</f>
        <v>#REF!</v>
      </c>
      <c r="F94" s="127" t="e">
        <f>SUM(F7:F93)</f>
        <v>#REF!</v>
      </c>
      <c r="G94" s="128" t="e">
        <f>(E94-F94)/F94</f>
        <v>#REF!</v>
      </c>
      <c r="H94" s="127" t="e">
        <f>SUM(H7:H93)</f>
        <v>#REF!</v>
      </c>
      <c r="I94" s="127" t="e">
        <f>SUM(I7:I93)</f>
        <v>#REF!</v>
      </c>
      <c r="J94" s="128" t="e">
        <f>(H94-I94)/I94</f>
        <v>#REF!</v>
      </c>
    </row>
    <row r="95" spans="1:10" s="88" customFormat="1" ht="13.5" customHeight="1" x14ac:dyDescent="0.25">
      <c r="A95" s="126" t="s">
        <v>398</v>
      </c>
      <c r="B95" s="122"/>
      <c r="C95" s="122"/>
      <c r="D95" s="122"/>
      <c r="E95" s="125" t="e">
        <f>E94/10000000</f>
        <v>#REF!</v>
      </c>
      <c r="F95" s="125" t="e">
        <f>F94/10000000</f>
        <v>#REF!</v>
      </c>
      <c r="G95" s="128" t="e">
        <f>(E95-F95)/F95</f>
        <v>#REF!</v>
      </c>
      <c r="H95" s="129" t="e">
        <f>H94/10000000</f>
        <v>#REF!</v>
      </c>
      <c r="I95" s="129" t="e">
        <f>I94/10000000</f>
        <v>#REF!</v>
      </c>
      <c r="J95" s="128" t="e">
        <f>(H95-I95)/I95</f>
        <v>#REF!</v>
      </c>
    </row>
    <row r="100" spans="1:3" x14ac:dyDescent="0.25">
      <c r="A100" s="43"/>
      <c r="B100" s="43"/>
      <c r="C100" s="44"/>
    </row>
    <row r="101" spans="1:3" ht="34.5" x14ac:dyDescent="0.25">
      <c r="A101" s="95" t="s">
        <v>411</v>
      </c>
      <c r="B101" s="45"/>
      <c r="C101" s="45" t="s">
        <v>385</v>
      </c>
    </row>
    <row r="102" spans="1:3" x14ac:dyDescent="0.25">
      <c r="A102" s="22" t="s">
        <v>412</v>
      </c>
      <c r="B102" s="22" t="s">
        <v>413</v>
      </c>
      <c r="C102" s="22" t="s">
        <v>414</v>
      </c>
    </row>
    <row r="103" spans="1:3" x14ac:dyDescent="0.25">
      <c r="A103" s="38" t="e">
        <f>H94</f>
        <v>#REF!</v>
      </c>
      <c r="B103" s="38" t="e">
        <f>I94</f>
        <v>#REF!</v>
      </c>
      <c r="C103" s="42" t="e">
        <f>J94</f>
        <v>#REF!</v>
      </c>
    </row>
  </sheetData>
  <mergeCells count="7">
    <mergeCell ref="A3:J3"/>
    <mergeCell ref="A4:A5"/>
    <mergeCell ref="B4:D4"/>
    <mergeCell ref="E4:G4"/>
    <mergeCell ref="H4:J4"/>
    <mergeCell ref="E5:G5"/>
    <mergeCell ref="H5:J5"/>
  </mergeCells>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2"/>
  <sheetViews>
    <sheetView workbookViewId="0">
      <pane ySplit="6" topLeftCell="A7" activePane="bottomLeft" state="frozen"/>
      <selection pane="bottomLeft" activeCell="Q9" sqref="Q9"/>
    </sheetView>
  </sheetViews>
  <sheetFormatPr defaultRowHeight="15" x14ac:dyDescent="0.25"/>
  <cols>
    <col min="1" max="1" width="14.5703125" bestFit="1" customWidth="1"/>
  </cols>
  <sheetData>
    <row r="1" spans="1:15" ht="23.25" customHeight="1" x14ac:dyDescent="0.25"/>
    <row r="2" spans="1:15" ht="15.75" thickBot="1" x14ac:dyDescent="0.3"/>
    <row r="3" spans="1:15" ht="20.25" customHeight="1" thickBot="1" x14ac:dyDescent="0.3">
      <c r="A3" s="297" t="s">
        <v>356</v>
      </c>
      <c r="B3" s="298"/>
      <c r="C3" s="298"/>
      <c r="D3" s="298"/>
      <c r="E3" s="298"/>
      <c r="F3" s="298"/>
      <c r="G3" s="298"/>
      <c r="H3" s="298"/>
      <c r="I3" s="298"/>
      <c r="J3" s="298"/>
      <c r="K3" s="298"/>
      <c r="L3" s="298"/>
      <c r="M3" s="298"/>
      <c r="N3" s="298"/>
      <c r="O3" s="299"/>
    </row>
    <row r="4" spans="1:15" s="93" customFormat="1" x14ac:dyDescent="0.25">
      <c r="A4" s="284" t="s">
        <v>330</v>
      </c>
      <c r="B4" s="286" t="s">
        <v>308</v>
      </c>
      <c r="C4" s="288"/>
      <c r="D4" s="286" t="s">
        <v>357</v>
      </c>
      <c r="E4" s="287"/>
      <c r="F4" s="287"/>
      <c r="G4" s="287"/>
      <c r="H4" s="287"/>
      <c r="I4" s="287"/>
      <c r="J4" s="287"/>
      <c r="K4" s="287"/>
      <c r="L4" s="287"/>
      <c r="M4" s="287"/>
      <c r="N4" s="287"/>
      <c r="O4" s="288"/>
    </row>
    <row r="5" spans="1:15" s="93" customFormat="1" x14ac:dyDescent="0.25">
      <c r="A5" s="285"/>
      <c r="B5" s="300" t="s">
        <v>312</v>
      </c>
      <c r="C5" s="290"/>
      <c r="D5" s="300" t="s">
        <v>357</v>
      </c>
      <c r="E5" s="289"/>
      <c r="F5" s="290"/>
      <c r="G5" s="300" t="s">
        <v>358</v>
      </c>
      <c r="H5" s="289"/>
      <c r="I5" s="290"/>
      <c r="J5" s="300" t="s">
        <v>359</v>
      </c>
      <c r="K5" s="289"/>
      <c r="L5" s="290"/>
      <c r="M5" s="300" t="s">
        <v>360</v>
      </c>
      <c r="N5" s="289"/>
      <c r="O5" s="290"/>
    </row>
    <row r="6" spans="1:15" s="93" customFormat="1" x14ac:dyDescent="0.25">
      <c r="A6" s="76" t="s">
        <v>318</v>
      </c>
      <c r="B6" s="3">
        <f>'Nifty Baskets'!B6</f>
        <v>45981</v>
      </c>
      <c r="C6" s="76" t="s">
        <v>328</v>
      </c>
      <c r="D6" s="3">
        <f>B6</f>
        <v>45981</v>
      </c>
      <c r="E6" s="76" t="s">
        <v>322</v>
      </c>
      <c r="F6" s="76" t="s">
        <v>328</v>
      </c>
      <c r="G6" s="3">
        <f>D6</f>
        <v>45981</v>
      </c>
      <c r="H6" s="76" t="s">
        <v>322</v>
      </c>
      <c r="I6" s="76" t="s">
        <v>328</v>
      </c>
      <c r="J6" s="3">
        <f>D6</f>
        <v>45981</v>
      </c>
      <c r="K6" s="76" t="s">
        <v>322</v>
      </c>
      <c r="L6" s="76" t="s">
        <v>328</v>
      </c>
      <c r="M6" s="3">
        <f>D6</f>
        <v>45981</v>
      </c>
      <c r="N6" s="76" t="s">
        <v>322</v>
      </c>
      <c r="O6" s="76" t="s">
        <v>328</v>
      </c>
    </row>
    <row r="7" spans="1:15" x14ac:dyDescent="0.25">
      <c r="A7" s="101" t="str">
        <f>'Data Vlaue (Cr)'!C2</f>
        <v>360ONE</v>
      </c>
      <c r="B7" s="50">
        <f>VLOOKUP($A7,'Data Vlaue (Cr)'!$C:$FB,8)</f>
        <v>1142.0999999999999</v>
      </c>
      <c r="C7" s="50">
        <f>VLOOKUP($A7,'Data Vlaue (Cr)'!$C:$FB,11)*100</f>
        <v>2.0500000000000003</v>
      </c>
      <c r="D7" s="50">
        <f>VLOOKUP($A7,'Data Vlaue (Cr)'!$C:$FB,143)</f>
        <v>1805.46</v>
      </c>
      <c r="E7" s="50">
        <f>VLOOKUP($A7,'Data Vlaue (Cr)'!$C:$FB,144)</f>
        <v>1282.77</v>
      </c>
      <c r="F7" s="50">
        <f>VLOOKUP($A7,'Data Vlaue (Cr)'!$C:$FB,146)*100</f>
        <v>40.75</v>
      </c>
      <c r="G7" s="49">
        <f>VLOOKUP($A7,'Data Vlaue (Cr)'!$C:$FB,43)</f>
        <v>395</v>
      </c>
      <c r="H7" s="49">
        <f>VLOOKUP($A7,'Data Vlaue (Cr)'!$C:$FB,44)</f>
        <v>192</v>
      </c>
      <c r="I7" s="49">
        <f>VLOOKUP($A7,'Data Vlaue (Cr)'!$C:$FB,46)*100</f>
        <v>105.91999999999999</v>
      </c>
      <c r="J7" s="51">
        <f>VLOOKUP($A7,'Data Vlaue (Cr)'!$C:$FB,59)</f>
        <v>1066</v>
      </c>
      <c r="K7" s="51">
        <f>VLOOKUP($A7,'Data Vlaue (Cr)'!$C:$FB,60)</f>
        <v>844</v>
      </c>
      <c r="L7" s="51">
        <f>VLOOKUP($A7,'Data Vlaue (Cr)'!$C:$FB,62)*100</f>
        <v>26.3</v>
      </c>
      <c r="M7" s="51">
        <f>VLOOKUP($A7,'Data Vlaue (Cr)'!$C:$FB,63)</f>
        <v>336</v>
      </c>
      <c r="N7" s="51">
        <f>VLOOKUP($A7,'Data Vlaue (Cr)'!$C:$FB,64)</f>
        <v>263</v>
      </c>
      <c r="O7" s="51">
        <f>VLOOKUP($A7,'Data Vlaue (Cr)'!$C:$FB,66)*100</f>
        <v>27.700000000000003</v>
      </c>
    </row>
    <row r="8" spans="1:15" x14ac:dyDescent="0.25">
      <c r="A8" s="101" t="str">
        <f>'Data Vlaue (Cr)'!C3</f>
        <v>ABB</v>
      </c>
      <c r="B8" s="50">
        <f>VLOOKUP($A8,'Data Vlaue (Cr)'!$C:$FB,8)</f>
        <v>5147</v>
      </c>
      <c r="C8" s="50">
        <f>VLOOKUP($A8,'Data Vlaue (Cr)'!$C:$FB,11)*100</f>
        <v>1.26</v>
      </c>
      <c r="D8" s="50">
        <f>VLOOKUP($A8,'Data Vlaue (Cr)'!$C:$FB,143)</f>
        <v>4206.05</v>
      </c>
      <c r="E8" s="50">
        <f>VLOOKUP($A8,'Data Vlaue (Cr)'!$C:$FB,144)</f>
        <v>2044.12</v>
      </c>
      <c r="F8" s="50">
        <f>VLOOKUP($A8,'Data Vlaue (Cr)'!$C:$FB,146)*100</f>
        <v>105.76</v>
      </c>
      <c r="G8" s="49">
        <f>VLOOKUP($A8,'Data Vlaue (Cr)'!$C:$FB,43)</f>
        <v>1612</v>
      </c>
      <c r="H8" s="49">
        <f>VLOOKUP($A8,'Data Vlaue (Cr)'!$C:$FB,44)</f>
        <v>364</v>
      </c>
      <c r="I8" s="49">
        <f>VLOOKUP($A8,'Data Vlaue (Cr)'!$C:$FB,46)*100</f>
        <v>342.45</v>
      </c>
      <c r="J8" s="51">
        <f>VLOOKUP($A8,'Data Vlaue (Cr)'!$C:$FB,59)</f>
        <v>1814</v>
      </c>
      <c r="K8" s="51">
        <f>VLOOKUP($A8,'Data Vlaue (Cr)'!$C:$FB,60)</f>
        <v>1183</v>
      </c>
      <c r="L8" s="51">
        <f>VLOOKUP($A8,'Data Vlaue (Cr)'!$C:$FB,62)*100</f>
        <v>53.33</v>
      </c>
      <c r="M8" s="51">
        <f>VLOOKUP($A8,'Data Vlaue (Cr)'!$C:$FB,63)</f>
        <v>728</v>
      </c>
      <c r="N8" s="51">
        <f>VLOOKUP($A8,'Data Vlaue (Cr)'!$C:$FB,64)</f>
        <v>480</v>
      </c>
      <c r="O8" s="51">
        <f>VLOOKUP($A8,'Data Vlaue (Cr)'!$C:$FB,66)*100</f>
        <v>51.61</v>
      </c>
    </row>
    <row r="9" spans="1:15" x14ac:dyDescent="0.25">
      <c r="A9" s="101" t="str">
        <f>'Data Vlaue (Cr)'!C4</f>
        <v>ABCAPITAL</v>
      </c>
      <c r="B9" s="50">
        <f>VLOOKUP($A9,'Data Vlaue (Cr)'!$C:$FB,8)</f>
        <v>327.85</v>
      </c>
      <c r="C9" s="50">
        <f>VLOOKUP($A9,'Data Vlaue (Cr)'!$C:$FB,11)*100</f>
        <v>-0.85000000000000009</v>
      </c>
      <c r="D9" s="50">
        <f>VLOOKUP($A9,'Data Vlaue (Cr)'!$C:$FB,143)</f>
        <v>2331.65</v>
      </c>
      <c r="E9" s="50">
        <f>VLOOKUP($A9,'Data Vlaue (Cr)'!$C:$FB,144)</f>
        <v>1444.61</v>
      </c>
      <c r="F9" s="50">
        <f>VLOOKUP($A9,'Data Vlaue (Cr)'!$C:$FB,146)*100</f>
        <v>61.4</v>
      </c>
      <c r="G9" s="49">
        <f>VLOOKUP($A9,'Data Vlaue (Cr)'!$C:$FB,43)</f>
        <v>1298</v>
      </c>
      <c r="H9" s="49">
        <f>VLOOKUP($A9,'Data Vlaue (Cr)'!$C:$FB,44)</f>
        <v>299</v>
      </c>
      <c r="I9" s="49">
        <f>VLOOKUP($A9,'Data Vlaue (Cr)'!$C:$FB,46)*100</f>
        <v>334</v>
      </c>
      <c r="J9" s="51">
        <f>VLOOKUP($A9,'Data Vlaue (Cr)'!$C:$FB,59)</f>
        <v>671</v>
      </c>
      <c r="K9" s="51">
        <f>VLOOKUP($A9,'Data Vlaue (Cr)'!$C:$FB,60)</f>
        <v>834</v>
      </c>
      <c r="L9" s="51">
        <f>VLOOKUP($A9,'Data Vlaue (Cr)'!$C:$FB,62)*100</f>
        <v>-19.52</v>
      </c>
      <c r="M9" s="51">
        <f>VLOOKUP($A9,'Data Vlaue (Cr)'!$C:$FB,63)</f>
        <v>324</v>
      </c>
      <c r="N9" s="51">
        <f>VLOOKUP($A9,'Data Vlaue (Cr)'!$C:$FB,64)</f>
        <v>268</v>
      </c>
      <c r="O9" s="51">
        <f>VLOOKUP($A9,'Data Vlaue (Cr)'!$C:$FB,66)*100</f>
        <v>20.8</v>
      </c>
    </row>
    <row r="10" spans="1:15" x14ac:dyDescent="0.25">
      <c r="A10" s="101" t="str">
        <f>'Data Vlaue (Cr)'!C5</f>
        <v>ADANIENSOL</v>
      </c>
      <c r="B10" s="50">
        <f>VLOOKUP($A10,'Data Vlaue (Cr)'!$C:$FB,8)</f>
        <v>993.6</v>
      </c>
      <c r="C10" s="50">
        <f>VLOOKUP($A10,'Data Vlaue (Cr)'!$C:$FB,11)*100</f>
        <v>-1.26</v>
      </c>
      <c r="D10" s="50">
        <f>VLOOKUP($A10,'Data Vlaue (Cr)'!$C:$FB,143)</f>
        <v>4069.18</v>
      </c>
      <c r="E10" s="50">
        <f>VLOOKUP($A10,'Data Vlaue (Cr)'!$C:$FB,144)</f>
        <v>4808.07</v>
      </c>
      <c r="F10" s="50">
        <f>VLOOKUP($A10,'Data Vlaue (Cr)'!$C:$FB,146)*100</f>
        <v>-15.370000000000001</v>
      </c>
      <c r="G10" s="49">
        <f>VLOOKUP($A10,'Data Vlaue (Cr)'!$C:$FB,43)</f>
        <v>1544</v>
      </c>
      <c r="H10" s="49">
        <f>VLOOKUP($A10,'Data Vlaue (Cr)'!$C:$FB,44)</f>
        <v>421</v>
      </c>
      <c r="I10" s="49">
        <f>VLOOKUP($A10,'Data Vlaue (Cr)'!$C:$FB,46)*100</f>
        <v>266.59000000000003</v>
      </c>
      <c r="J10" s="51">
        <f>VLOOKUP($A10,'Data Vlaue (Cr)'!$C:$FB,59)</f>
        <v>1952</v>
      </c>
      <c r="K10" s="51">
        <f>VLOOKUP($A10,'Data Vlaue (Cr)'!$C:$FB,60)</f>
        <v>3207</v>
      </c>
      <c r="L10" s="51">
        <f>VLOOKUP($A10,'Data Vlaue (Cr)'!$C:$FB,62)*100</f>
        <v>-39.11</v>
      </c>
      <c r="M10" s="51">
        <f>VLOOKUP($A10,'Data Vlaue (Cr)'!$C:$FB,63)</f>
        <v>441</v>
      </c>
      <c r="N10" s="51">
        <f>VLOOKUP($A10,'Data Vlaue (Cr)'!$C:$FB,64)</f>
        <v>943</v>
      </c>
      <c r="O10" s="51">
        <f>VLOOKUP($A10,'Data Vlaue (Cr)'!$C:$FB,66)*100</f>
        <v>-53.180000000000007</v>
      </c>
    </row>
    <row r="11" spans="1:15" x14ac:dyDescent="0.25">
      <c r="A11" s="101" t="str">
        <f>'Data Vlaue (Cr)'!C6</f>
        <v>ADANIENT</v>
      </c>
      <c r="B11" s="50">
        <f>VLOOKUP($A11,'Data Vlaue (Cr)'!$C:$FB,8)</f>
        <v>2446.1</v>
      </c>
      <c r="C11" s="50">
        <f>VLOOKUP($A11,'Data Vlaue (Cr)'!$C:$FB,11)*100</f>
        <v>0.53</v>
      </c>
      <c r="D11" s="50">
        <f>VLOOKUP($A11,'Data Vlaue (Cr)'!$C:$FB,143)</f>
        <v>12559.91</v>
      </c>
      <c r="E11" s="50">
        <f>VLOOKUP($A11,'Data Vlaue (Cr)'!$C:$FB,144)</f>
        <v>5583.8</v>
      </c>
      <c r="F11" s="50">
        <f>VLOOKUP($A11,'Data Vlaue (Cr)'!$C:$FB,146)*100</f>
        <v>124.93</v>
      </c>
      <c r="G11" s="49">
        <f>VLOOKUP($A11,'Data Vlaue (Cr)'!$C:$FB,43)</f>
        <v>1722</v>
      </c>
      <c r="H11" s="49">
        <f>VLOOKUP($A11,'Data Vlaue (Cr)'!$C:$FB,44)</f>
        <v>586</v>
      </c>
      <c r="I11" s="49">
        <f>VLOOKUP($A11,'Data Vlaue (Cr)'!$C:$FB,46)*100</f>
        <v>193.96</v>
      </c>
      <c r="J11" s="51">
        <f>VLOOKUP($A11,'Data Vlaue (Cr)'!$C:$FB,59)</f>
        <v>7745</v>
      </c>
      <c r="K11" s="51">
        <f>VLOOKUP($A11,'Data Vlaue (Cr)'!$C:$FB,60)</f>
        <v>3290</v>
      </c>
      <c r="L11" s="51">
        <f>VLOOKUP($A11,'Data Vlaue (Cr)'!$C:$FB,62)*100</f>
        <v>135.41</v>
      </c>
      <c r="M11" s="51">
        <f>VLOOKUP($A11,'Data Vlaue (Cr)'!$C:$FB,63)</f>
        <v>2877</v>
      </c>
      <c r="N11" s="51">
        <f>VLOOKUP($A11,'Data Vlaue (Cr)'!$C:$FB,64)</f>
        <v>1678</v>
      </c>
      <c r="O11" s="51">
        <f>VLOOKUP($A11,'Data Vlaue (Cr)'!$C:$FB,66)*100</f>
        <v>71.419999999999987</v>
      </c>
    </row>
    <row r="12" spans="1:15" x14ac:dyDescent="0.25">
      <c r="A12" s="101" t="str">
        <f>'Data Vlaue (Cr)'!C7</f>
        <v>ADANIGREEN</v>
      </c>
      <c r="B12" s="50">
        <f>VLOOKUP($A12,'Data Vlaue (Cr)'!$C:$FB,8)</f>
        <v>1060</v>
      </c>
      <c r="C12" s="50">
        <f>VLOOKUP($A12,'Data Vlaue (Cr)'!$C:$FB,11)*100</f>
        <v>-0.92999999999999994</v>
      </c>
      <c r="D12" s="50">
        <f>VLOOKUP($A12,'Data Vlaue (Cr)'!$C:$FB,143)</f>
        <v>4753.03</v>
      </c>
      <c r="E12" s="50">
        <f>VLOOKUP($A12,'Data Vlaue (Cr)'!$C:$FB,144)</f>
        <v>7449.92</v>
      </c>
      <c r="F12" s="50">
        <f>VLOOKUP($A12,'Data Vlaue (Cr)'!$C:$FB,146)*100</f>
        <v>-36.199999999999996</v>
      </c>
      <c r="G12" s="49">
        <f>VLOOKUP($A12,'Data Vlaue (Cr)'!$C:$FB,43)</f>
        <v>993</v>
      </c>
      <c r="H12" s="49">
        <f>VLOOKUP($A12,'Data Vlaue (Cr)'!$C:$FB,44)</f>
        <v>703</v>
      </c>
      <c r="I12" s="49">
        <f>VLOOKUP($A12,'Data Vlaue (Cr)'!$C:$FB,46)*100</f>
        <v>41.4</v>
      </c>
      <c r="J12" s="51">
        <f>VLOOKUP($A12,'Data Vlaue (Cr)'!$C:$FB,59)</f>
        <v>2692</v>
      </c>
      <c r="K12" s="51">
        <f>VLOOKUP($A12,'Data Vlaue (Cr)'!$C:$FB,60)</f>
        <v>4712</v>
      </c>
      <c r="L12" s="51">
        <f>VLOOKUP($A12,'Data Vlaue (Cr)'!$C:$FB,62)*100</f>
        <v>-42.870000000000005</v>
      </c>
      <c r="M12" s="51">
        <f>VLOOKUP($A12,'Data Vlaue (Cr)'!$C:$FB,63)</f>
        <v>868</v>
      </c>
      <c r="N12" s="51">
        <f>VLOOKUP($A12,'Data Vlaue (Cr)'!$C:$FB,64)</f>
        <v>1712</v>
      </c>
      <c r="O12" s="51">
        <f>VLOOKUP($A12,'Data Vlaue (Cr)'!$C:$FB,66)*100</f>
        <v>-49.309999999999995</v>
      </c>
    </row>
    <row r="13" spans="1:15" x14ac:dyDescent="0.25">
      <c r="A13" s="101" t="str">
        <f>'Data Vlaue (Cr)'!C8</f>
        <v>ADANIPORTS</v>
      </c>
      <c r="B13" s="50">
        <f>VLOOKUP($A13,'Data Vlaue (Cr)'!$C:$FB,8)</f>
        <v>1491.1</v>
      </c>
      <c r="C13" s="50">
        <f>VLOOKUP($A13,'Data Vlaue (Cr)'!$C:$FB,11)*100</f>
        <v>0.45999999999999996</v>
      </c>
      <c r="D13" s="50">
        <f>VLOOKUP($A13,'Data Vlaue (Cr)'!$C:$FB,143)</f>
        <v>6263.03</v>
      </c>
      <c r="E13" s="50">
        <f>VLOOKUP($A13,'Data Vlaue (Cr)'!$C:$FB,144)</f>
        <v>4504.12</v>
      </c>
      <c r="F13" s="50">
        <f>VLOOKUP($A13,'Data Vlaue (Cr)'!$C:$FB,146)*100</f>
        <v>39.050000000000004</v>
      </c>
      <c r="G13" s="49">
        <f>VLOOKUP($A13,'Data Vlaue (Cr)'!$C:$FB,43)</f>
        <v>1733</v>
      </c>
      <c r="H13" s="49">
        <f>VLOOKUP($A13,'Data Vlaue (Cr)'!$C:$FB,44)</f>
        <v>695</v>
      </c>
      <c r="I13" s="49">
        <f>VLOOKUP($A13,'Data Vlaue (Cr)'!$C:$FB,46)*100</f>
        <v>149.44999999999999</v>
      </c>
      <c r="J13" s="51">
        <f>VLOOKUP($A13,'Data Vlaue (Cr)'!$C:$FB,59)</f>
        <v>3255</v>
      </c>
      <c r="K13" s="51">
        <f>VLOOKUP($A13,'Data Vlaue (Cr)'!$C:$FB,60)</f>
        <v>2558</v>
      </c>
      <c r="L13" s="51">
        <f>VLOOKUP($A13,'Data Vlaue (Cr)'!$C:$FB,62)*100</f>
        <v>27.24</v>
      </c>
      <c r="M13" s="51">
        <f>VLOOKUP($A13,'Data Vlaue (Cr)'!$C:$FB,63)</f>
        <v>1172</v>
      </c>
      <c r="N13" s="51">
        <f>VLOOKUP($A13,'Data Vlaue (Cr)'!$C:$FB,64)</f>
        <v>1190</v>
      </c>
      <c r="O13" s="51">
        <f>VLOOKUP($A13,'Data Vlaue (Cr)'!$C:$FB,66)*100</f>
        <v>-1.47</v>
      </c>
    </row>
    <row r="14" spans="1:15" x14ac:dyDescent="0.25">
      <c r="A14" s="101" t="str">
        <f>'Data Vlaue (Cr)'!C9</f>
        <v>ALKEM</v>
      </c>
      <c r="B14" s="50">
        <f>VLOOKUP($A14,'Data Vlaue (Cr)'!$C:$FB,8)</f>
        <v>5700</v>
      </c>
      <c r="C14" s="50">
        <f>VLOOKUP($A14,'Data Vlaue (Cr)'!$C:$FB,11)*100</f>
        <v>-0.42</v>
      </c>
      <c r="D14" s="50">
        <f>VLOOKUP($A14,'Data Vlaue (Cr)'!$C:$FB,143)</f>
        <v>951.05</v>
      </c>
      <c r="E14" s="50">
        <f>VLOOKUP($A14,'Data Vlaue (Cr)'!$C:$FB,144)</f>
        <v>615.96</v>
      </c>
      <c r="F14" s="50">
        <f>VLOOKUP($A14,'Data Vlaue (Cr)'!$C:$FB,146)*100</f>
        <v>54.400000000000006</v>
      </c>
      <c r="G14" s="49">
        <f>VLOOKUP($A14,'Data Vlaue (Cr)'!$C:$FB,43)</f>
        <v>423</v>
      </c>
      <c r="H14" s="49">
        <f>VLOOKUP($A14,'Data Vlaue (Cr)'!$C:$FB,44)</f>
        <v>74</v>
      </c>
      <c r="I14" s="49">
        <f>VLOOKUP($A14,'Data Vlaue (Cr)'!$C:$FB,46)*100</f>
        <v>467.88</v>
      </c>
      <c r="J14" s="51">
        <f>VLOOKUP($A14,'Data Vlaue (Cr)'!$C:$FB,59)</f>
        <v>378</v>
      </c>
      <c r="K14" s="51">
        <f>VLOOKUP($A14,'Data Vlaue (Cr)'!$C:$FB,60)</f>
        <v>437</v>
      </c>
      <c r="L14" s="51">
        <f>VLOOKUP($A14,'Data Vlaue (Cr)'!$C:$FB,62)*100</f>
        <v>-13.450000000000001</v>
      </c>
      <c r="M14" s="51">
        <f>VLOOKUP($A14,'Data Vlaue (Cr)'!$C:$FB,63)</f>
        <v>138</v>
      </c>
      <c r="N14" s="51">
        <f>VLOOKUP($A14,'Data Vlaue (Cr)'!$C:$FB,64)</f>
        <v>88</v>
      </c>
      <c r="O14" s="51">
        <f>VLOOKUP($A14,'Data Vlaue (Cr)'!$C:$FB,66)*100</f>
        <v>57.19</v>
      </c>
    </row>
    <row r="15" spans="1:15" x14ac:dyDescent="0.25">
      <c r="A15" s="101" t="str">
        <f>'Data Vlaue (Cr)'!C10</f>
        <v>AMBER</v>
      </c>
      <c r="B15" s="50">
        <f>VLOOKUP($A15,'Data Vlaue (Cr)'!$C:$FB,8)</f>
        <v>7256.5</v>
      </c>
      <c r="C15" s="50">
        <f>VLOOKUP($A15,'Data Vlaue (Cr)'!$C:$FB,11)*100</f>
        <v>-2.08</v>
      </c>
      <c r="D15" s="50">
        <f>VLOOKUP($A15,'Data Vlaue (Cr)'!$C:$FB,143)</f>
        <v>3429.99</v>
      </c>
      <c r="E15" s="50">
        <f>VLOOKUP($A15,'Data Vlaue (Cr)'!$C:$FB,144)</f>
        <v>1999.9</v>
      </c>
      <c r="F15" s="50">
        <f>VLOOKUP($A15,'Data Vlaue (Cr)'!$C:$FB,146)*100</f>
        <v>71.509999999999991</v>
      </c>
      <c r="G15" s="49">
        <f>VLOOKUP($A15,'Data Vlaue (Cr)'!$C:$FB,43)</f>
        <v>760</v>
      </c>
      <c r="H15" s="49">
        <f>VLOOKUP($A15,'Data Vlaue (Cr)'!$C:$FB,44)</f>
        <v>225</v>
      </c>
      <c r="I15" s="49">
        <f>VLOOKUP($A15,'Data Vlaue (Cr)'!$C:$FB,46)*100</f>
        <v>238.45999999999998</v>
      </c>
      <c r="J15" s="51">
        <f>VLOOKUP($A15,'Data Vlaue (Cr)'!$C:$FB,59)</f>
        <v>1704</v>
      </c>
      <c r="K15" s="51">
        <f>VLOOKUP($A15,'Data Vlaue (Cr)'!$C:$FB,60)</f>
        <v>1251</v>
      </c>
      <c r="L15" s="51">
        <f>VLOOKUP($A15,'Data Vlaue (Cr)'!$C:$FB,62)*100</f>
        <v>36.199999999999996</v>
      </c>
      <c r="M15" s="51">
        <f>VLOOKUP($A15,'Data Vlaue (Cr)'!$C:$FB,63)</f>
        <v>907</v>
      </c>
      <c r="N15" s="51">
        <f>VLOOKUP($A15,'Data Vlaue (Cr)'!$C:$FB,64)</f>
        <v>431</v>
      </c>
      <c r="O15" s="51">
        <f>VLOOKUP($A15,'Data Vlaue (Cr)'!$C:$FB,66)*100</f>
        <v>110.55</v>
      </c>
    </row>
    <row r="16" spans="1:15" x14ac:dyDescent="0.25">
      <c r="A16" s="101" t="str">
        <f>'Data Vlaue (Cr)'!C11</f>
        <v>AMBUJACEM</v>
      </c>
      <c r="B16" s="50">
        <f>VLOOKUP($A16,'Data Vlaue (Cr)'!$C:$FB,8)</f>
        <v>555.75</v>
      </c>
      <c r="C16" s="50">
        <f>VLOOKUP($A16,'Data Vlaue (Cr)'!$C:$FB,11)*100</f>
        <v>0.08</v>
      </c>
      <c r="D16" s="50">
        <f>VLOOKUP($A16,'Data Vlaue (Cr)'!$C:$FB,143)</f>
        <v>2536.58</v>
      </c>
      <c r="E16" s="50">
        <f>VLOOKUP($A16,'Data Vlaue (Cr)'!$C:$FB,144)</f>
        <v>1474.55</v>
      </c>
      <c r="F16" s="50">
        <f>VLOOKUP($A16,'Data Vlaue (Cr)'!$C:$FB,146)*100</f>
        <v>72.02</v>
      </c>
      <c r="G16" s="49">
        <f>VLOOKUP($A16,'Data Vlaue (Cr)'!$C:$FB,43)</f>
        <v>1080</v>
      </c>
      <c r="H16" s="49">
        <f>VLOOKUP($A16,'Data Vlaue (Cr)'!$C:$FB,44)</f>
        <v>248</v>
      </c>
      <c r="I16" s="49">
        <f>VLOOKUP($A16,'Data Vlaue (Cr)'!$C:$FB,46)*100</f>
        <v>335.88</v>
      </c>
      <c r="J16" s="51">
        <f>VLOOKUP($A16,'Data Vlaue (Cr)'!$C:$FB,59)</f>
        <v>1053</v>
      </c>
      <c r="K16" s="51">
        <f>VLOOKUP($A16,'Data Vlaue (Cr)'!$C:$FB,60)</f>
        <v>894</v>
      </c>
      <c r="L16" s="51">
        <f>VLOOKUP($A16,'Data Vlaue (Cr)'!$C:$FB,62)*100</f>
        <v>17.78</v>
      </c>
      <c r="M16" s="51">
        <f>VLOOKUP($A16,'Data Vlaue (Cr)'!$C:$FB,63)</f>
        <v>350</v>
      </c>
      <c r="N16" s="51">
        <f>VLOOKUP($A16,'Data Vlaue (Cr)'!$C:$FB,64)</f>
        <v>290</v>
      </c>
      <c r="O16" s="51">
        <f>VLOOKUP($A16,'Data Vlaue (Cr)'!$C:$FB,66)*100</f>
        <v>20.57</v>
      </c>
    </row>
    <row r="17" spans="1:15" x14ac:dyDescent="0.25">
      <c r="A17" s="101" t="str">
        <f>'Data Vlaue (Cr)'!C12</f>
        <v>ANGELONE</v>
      </c>
      <c r="B17" s="50">
        <f>VLOOKUP($A17,'Data Vlaue (Cr)'!$C:$FB,8)</f>
        <v>2814.3</v>
      </c>
      <c r="C17" s="50">
        <f>VLOOKUP($A17,'Data Vlaue (Cr)'!$C:$FB,11)*100</f>
        <v>0.01</v>
      </c>
      <c r="D17" s="50">
        <f>VLOOKUP($A17,'Data Vlaue (Cr)'!$C:$FB,143)</f>
        <v>4927.25</v>
      </c>
      <c r="E17" s="50">
        <f>VLOOKUP($A17,'Data Vlaue (Cr)'!$C:$FB,144)</f>
        <v>3470.83</v>
      </c>
      <c r="F17" s="50">
        <f>VLOOKUP($A17,'Data Vlaue (Cr)'!$C:$FB,146)*100</f>
        <v>41.959999999999994</v>
      </c>
      <c r="G17" s="49">
        <f>VLOOKUP($A17,'Data Vlaue (Cr)'!$C:$FB,43)</f>
        <v>883</v>
      </c>
      <c r="H17" s="49">
        <f>VLOOKUP($A17,'Data Vlaue (Cr)'!$C:$FB,44)</f>
        <v>390</v>
      </c>
      <c r="I17" s="49">
        <f>VLOOKUP($A17,'Data Vlaue (Cr)'!$C:$FB,46)*100</f>
        <v>126.27</v>
      </c>
      <c r="J17" s="51">
        <f>VLOOKUP($A17,'Data Vlaue (Cr)'!$C:$FB,59)</f>
        <v>2480</v>
      </c>
      <c r="K17" s="51">
        <f>VLOOKUP($A17,'Data Vlaue (Cr)'!$C:$FB,60)</f>
        <v>1826</v>
      </c>
      <c r="L17" s="51">
        <f>VLOOKUP($A17,'Data Vlaue (Cr)'!$C:$FB,62)*100</f>
        <v>35.799999999999997</v>
      </c>
      <c r="M17" s="51">
        <f>VLOOKUP($A17,'Data Vlaue (Cr)'!$C:$FB,63)</f>
        <v>1503</v>
      </c>
      <c r="N17" s="51">
        <f>VLOOKUP($A17,'Data Vlaue (Cr)'!$C:$FB,64)</f>
        <v>1210</v>
      </c>
      <c r="O17" s="51">
        <f>VLOOKUP($A17,'Data Vlaue (Cr)'!$C:$FB,66)*100</f>
        <v>24.2</v>
      </c>
    </row>
    <row r="18" spans="1:15" x14ac:dyDescent="0.25">
      <c r="A18" s="101" t="str">
        <f>'Data Vlaue (Cr)'!C13</f>
        <v>APLAPOLLO</v>
      </c>
      <c r="B18" s="50">
        <f>VLOOKUP($A18,'Data Vlaue (Cr)'!$C:$FB,8)</f>
        <v>1721.2</v>
      </c>
      <c r="C18" s="50">
        <f>VLOOKUP($A18,'Data Vlaue (Cr)'!$C:$FB,11)*100</f>
        <v>0.02</v>
      </c>
      <c r="D18" s="50">
        <f>VLOOKUP($A18,'Data Vlaue (Cr)'!$C:$FB,143)</f>
        <v>1453.8</v>
      </c>
      <c r="E18" s="50">
        <f>VLOOKUP($A18,'Data Vlaue (Cr)'!$C:$FB,144)</f>
        <v>914.08</v>
      </c>
      <c r="F18" s="50">
        <f>VLOOKUP($A18,'Data Vlaue (Cr)'!$C:$FB,146)*100</f>
        <v>59.050000000000004</v>
      </c>
      <c r="G18" s="49">
        <f>VLOOKUP($A18,'Data Vlaue (Cr)'!$C:$FB,43)</f>
        <v>740</v>
      </c>
      <c r="H18" s="49">
        <f>VLOOKUP($A18,'Data Vlaue (Cr)'!$C:$FB,44)</f>
        <v>267</v>
      </c>
      <c r="I18" s="49">
        <f>VLOOKUP($A18,'Data Vlaue (Cr)'!$C:$FB,46)*100</f>
        <v>177.48999999999998</v>
      </c>
      <c r="J18" s="51">
        <f>VLOOKUP($A18,'Data Vlaue (Cr)'!$C:$FB,59)</f>
        <v>499</v>
      </c>
      <c r="K18" s="51">
        <f>VLOOKUP($A18,'Data Vlaue (Cr)'!$C:$FB,60)</f>
        <v>447</v>
      </c>
      <c r="L18" s="51">
        <f>VLOOKUP($A18,'Data Vlaue (Cr)'!$C:$FB,62)*100</f>
        <v>11.799999999999999</v>
      </c>
      <c r="M18" s="51">
        <f>VLOOKUP($A18,'Data Vlaue (Cr)'!$C:$FB,63)</f>
        <v>190</v>
      </c>
      <c r="N18" s="51">
        <f>VLOOKUP($A18,'Data Vlaue (Cr)'!$C:$FB,64)</f>
        <v>167</v>
      </c>
      <c r="O18" s="51">
        <f>VLOOKUP($A18,'Data Vlaue (Cr)'!$C:$FB,66)*100</f>
        <v>13.94</v>
      </c>
    </row>
    <row r="19" spans="1:15" x14ac:dyDescent="0.25">
      <c r="A19" s="101" t="str">
        <f>'Data Vlaue (Cr)'!C14</f>
        <v>APOLLOHOSP</v>
      </c>
      <c r="B19" s="50">
        <f>VLOOKUP($A19,'Data Vlaue (Cr)'!$C:$FB,8)</f>
        <v>7423</v>
      </c>
      <c r="C19" s="50">
        <f>VLOOKUP($A19,'Data Vlaue (Cr)'!$C:$FB,11)*100</f>
        <v>-0.48</v>
      </c>
      <c r="D19" s="50">
        <f>VLOOKUP($A19,'Data Vlaue (Cr)'!$C:$FB,143)</f>
        <v>3691.64</v>
      </c>
      <c r="E19" s="50">
        <f>VLOOKUP($A19,'Data Vlaue (Cr)'!$C:$FB,144)</f>
        <v>5550.77</v>
      </c>
      <c r="F19" s="50">
        <f>VLOOKUP($A19,'Data Vlaue (Cr)'!$C:$FB,146)*100</f>
        <v>-33.489999999999995</v>
      </c>
      <c r="G19" s="49">
        <f>VLOOKUP($A19,'Data Vlaue (Cr)'!$C:$FB,43)</f>
        <v>965</v>
      </c>
      <c r="H19" s="49">
        <f>VLOOKUP($A19,'Data Vlaue (Cr)'!$C:$FB,44)</f>
        <v>460</v>
      </c>
      <c r="I19" s="49">
        <f>VLOOKUP($A19,'Data Vlaue (Cr)'!$C:$FB,46)*100</f>
        <v>110.01</v>
      </c>
      <c r="J19" s="51">
        <f>VLOOKUP($A19,'Data Vlaue (Cr)'!$C:$FB,59)</f>
        <v>2007</v>
      </c>
      <c r="K19" s="51">
        <f>VLOOKUP($A19,'Data Vlaue (Cr)'!$C:$FB,60)</f>
        <v>3839</v>
      </c>
      <c r="L19" s="51">
        <f>VLOOKUP($A19,'Data Vlaue (Cr)'!$C:$FB,62)*100</f>
        <v>-47.72</v>
      </c>
      <c r="M19" s="51">
        <f>VLOOKUP($A19,'Data Vlaue (Cr)'!$C:$FB,63)</f>
        <v>645</v>
      </c>
      <c r="N19" s="51">
        <f>VLOOKUP($A19,'Data Vlaue (Cr)'!$C:$FB,64)</f>
        <v>1149</v>
      </c>
      <c r="O19" s="51">
        <f>VLOOKUP($A19,'Data Vlaue (Cr)'!$C:$FB,66)*100</f>
        <v>-43.9</v>
      </c>
    </row>
    <row r="20" spans="1:15" x14ac:dyDescent="0.25">
      <c r="A20" s="101" t="str">
        <f>'Data Vlaue (Cr)'!C15</f>
        <v>ASHOKLEY</v>
      </c>
      <c r="B20" s="50">
        <f>VLOOKUP($A20,'Data Vlaue (Cr)'!$C:$FB,8)</f>
        <v>146.24</v>
      </c>
      <c r="C20" s="50">
        <f>VLOOKUP($A20,'Data Vlaue (Cr)'!$C:$FB,11)*100</f>
        <v>0.54</v>
      </c>
      <c r="D20" s="50">
        <f>VLOOKUP($A20,'Data Vlaue (Cr)'!$C:$FB,143)</f>
        <v>3695.83</v>
      </c>
      <c r="E20" s="50">
        <f>VLOOKUP($A20,'Data Vlaue (Cr)'!$C:$FB,144)</f>
        <v>2196.36</v>
      </c>
      <c r="F20" s="50">
        <f>VLOOKUP($A20,'Data Vlaue (Cr)'!$C:$FB,146)*100</f>
        <v>68.27</v>
      </c>
      <c r="G20" s="49">
        <f>VLOOKUP($A20,'Data Vlaue (Cr)'!$C:$FB,43)</f>
        <v>1861</v>
      </c>
      <c r="H20" s="49">
        <f>VLOOKUP($A20,'Data Vlaue (Cr)'!$C:$FB,44)</f>
        <v>411</v>
      </c>
      <c r="I20" s="49">
        <f>VLOOKUP($A20,'Data Vlaue (Cr)'!$C:$FB,46)*100</f>
        <v>352.3</v>
      </c>
      <c r="J20" s="51">
        <f>VLOOKUP($A20,'Data Vlaue (Cr)'!$C:$FB,59)</f>
        <v>1258</v>
      </c>
      <c r="K20" s="51">
        <f>VLOOKUP($A20,'Data Vlaue (Cr)'!$C:$FB,60)</f>
        <v>1161</v>
      </c>
      <c r="L20" s="51">
        <f>VLOOKUP($A20,'Data Vlaue (Cr)'!$C:$FB,62)*100</f>
        <v>8.32</v>
      </c>
      <c r="M20" s="51">
        <f>VLOOKUP($A20,'Data Vlaue (Cr)'!$C:$FB,63)</f>
        <v>559</v>
      </c>
      <c r="N20" s="51">
        <f>VLOOKUP($A20,'Data Vlaue (Cr)'!$C:$FB,64)</f>
        <v>595</v>
      </c>
      <c r="O20" s="51">
        <f>VLOOKUP($A20,'Data Vlaue (Cr)'!$C:$FB,66)*100</f>
        <v>-6.03</v>
      </c>
    </row>
    <row r="21" spans="1:15" x14ac:dyDescent="0.25">
      <c r="A21" s="101" t="str">
        <f>'Data Vlaue (Cr)'!C16</f>
        <v>ASIANPAINT</v>
      </c>
      <c r="B21" s="50">
        <f>VLOOKUP($A21,'Data Vlaue (Cr)'!$C:$FB,8)</f>
        <v>2859.8</v>
      </c>
      <c r="C21" s="50">
        <f>VLOOKUP($A21,'Data Vlaue (Cr)'!$C:$FB,11)*100</f>
        <v>-1.17</v>
      </c>
      <c r="D21" s="50">
        <f>VLOOKUP($A21,'Data Vlaue (Cr)'!$C:$FB,143)</f>
        <v>11439.59</v>
      </c>
      <c r="E21" s="50">
        <f>VLOOKUP($A21,'Data Vlaue (Cr)'!$C:$FB,144)</f>
        <v>7440.28</v>
      </c>
      <c r="F21" s="50">
        <f>VLOOKUP($A21,'Data Vlaue (Cr)'!$C:$FB,146)*100</f>
        <v>53.75</v>
      </c>
      <c r="G21" s="49">
        <f>VLOOKUP($A21,'Data Vlaue (Cr)'!$C:$FB,43)</f>
        <v>1756</v>
      </c>
      <c r="H21" s="49">
        <f>VLOOKUP($A21,'Data Vlaue (Cr)'!$C:$FB,44)</f>
        <v>623</v>
      </c>
      <c r="I21" s="49">
        <f>VLOOKUP($A21,'Data Vlaue (Cr)'!$C:$FB,46)*100</f>
        <v>181.70999999999998</v>
      </c>
      <c r="J21" s="51">
        <f>VLOOKUP($A21,'Data Vlaue (Cr)'!$C:$FB,59)</f>
        <v>5675</v>
      </c>
      <c r="K21" s="51">
        <f>VLOOKUP($A21,'Data Vlaue (Cr)'!$C:$FB,60)</f>
        <v>3595</v>
      </c>
      <c r="L21" s="51">
        <f>VLOOKUP($A21,'Data Vlaue (Cr)'!$C:$FB,62)*100</f>
        <v>57.85</v>
      </c>
      <c r="M21" s="51">
        <f>VLOOKUP($A21,'Data Vlaue (Cr)'!$C:$FB,63)</f>
        <v>3864</v>
      </c>
      <c r="N21" s="51">
        <f>VLOOKUP($A21,'Data Vlaue (Cr)'!$C:$FB,64)</f>
        <v>3087</v>
      </c>
      <c r="O21" s="51">
        <f>VLOOKUP($A21,'Data Vlaue (Cr)'!$C:$FB,66)*100</f>
        <v>25.16</v>
      </c>
    </row>
    <row r="22" spans="1:15" x14ac:dyDescent="0.25">
      <c r="A22" s="101" t="str">
        <f>'Data Vlaue (Cr)'!C17</f>
        <v>ASTRAL</v>
      </c>
      <c r="B22" s="50">
        <f>VLOOKUP($A22,'Data Vlaue (Cr)'!$C:$FB,8)</f>
        <v>1462.4</v>
      </c>
      <c r="C22" s="50">
        <f>VLOOKUP($A22,'Data Vlaue (Cr)'!$C:$FB,11)*100</f>
        <v>0.98</v>
      </c>
      <c r="D22" s="50">
        <f>VLOOKUP($A22,'Data Vlaue (Cr)'!$C:$FB,143)</f>
        <v>2068.27</v>
      </c>
      <c r="E22" s="50">
        <f>VLOOKUP($A22,'Data Vlaue (Cr)'!$C:$FB,144)</f>
        <v>1579.56</v>
      </c>
      <c r="F22" s="50">
        <f>VLOOKUP($A22,'Data Vlaue (Cr)'!$C:$FB,146)*100</f>
        <v>30.94</v>
      </c>
      <c r="G22" s="49">
        <f>VLOOKUP($A22,'Data Vlaue (Cr)'!$C:$FB,43)</f>
        <v>1040</v>
      </c>
      <c r="H22" s="49">
        <f>VLOOKUP($A22,'Data Vlaue (Cr)'!$C:$FB,44)</f>
        <v>277</v>
      </c>
      <c r="I22" s="49">
        <f>VLOOKUP($A22,'Data Vlaue (Cr)'!$C:$FB,46)*100</f>
        <v>275.97000000000003</v>
      </c>
      <c r="J22" s="51">
        <f>VLOOKUP($A22,'Data Vlaue (Cr)'!$C:$FB,59)</f>
        <v>740</v>
      </c>
      <c r="K22" s="51">
        <f>VLOOKUP($A22,'Data Vlaue (Cr)'!$C:$FB,60)</f>
        <v>943</v>
      </c>
      <c r="L22" s="51">
        <f>VLOOKUP($A22,'Data Vlaue (Cr)'!$C:$FB,62)*100</f>
        <v>-21.490000000000002</v>
      </c>
      <c r="M22" s="51">
        <f>VLOOKUP($A22,'Data Vlaue (Cr)'!$C:$FB,63)</f>
        <v>267</v>
      </c>
      <c r="N22" s="51">
        <f>VLOOKUP($A22,'Data Vlaue (Cr)'!$C:$FB,64)</f>
        <v>337</v>
      </c>
      <c r="O22" s="51">
        <f>VLOOKUP($A22,'Data Vlaue (Cr)'!$C:$FB,66)*100</f>
        <v>-20.69</v>
      </c>
    </row>
    <row r="23" spans="1:15" x14ac:dyDescent="0.25">
      <c r="A23" s="101" t="str">
        <f>'Data Vlaue (Cr)'!C18</f>
        <v>AUBANK</v>
      </c>
      <c r="B23" s="50">
        <f>VLOOKUP($A23,'Data Vlaue (Cr)'!$C:$FB,8)</f>
        <v>919.3</v>
      </c>
      <c r="C23" s="50">
        <f>VLOOKUP($A23,'Data Vlaue (Cr)'!$C:$FB,11)*100</f>
        <v>-0.69</v>
      </c>
      <c r="D23" s="50">
        <f>VLOOKUP($A23,'Data Vlaue (Cr)'!$C:$FB,143)</f>
        <v>2150.2399999999998</v>
      </c>
      <c r="E23" s="50">
        <f>VLOOKUP($A23,'Data Vlaue (Cr)'!$C:$FB,144)</f>
        <v>2749.24</v>
      </c>
      <c r="F23" s="50">
        <f>VLOOKUP($A23,'Data Vlaue (Cr)'!$C:$FB,146)*100</f>
        <v>-21.790000000000003</v>
      </c>
      <c r="G23" s="49">
        <f>VLOOKUP($A23,'Data Vlaue (Cr)'!$C:$FB,43)</f>
        <v>951</v>
      </c>
      <c r="H23" s="49">
        <f>VLOOKUP($A23,'Data Vlaue (Cr)'!$C:$FB,44)</f>
        <v>487</v>
      </c>
      <c r="I23" s="49">
        <f>VLOOKUP($A23,'Data Vlaue (Cr)'!$C:$FB,46)*100</f>
        <v>95.16</v>
      </c>
      <c r="J23" s="51">
        <f>VLOOKUP($A23,'Data Vlaue (Cr)'!$C:$FB,59)</f>
        <v>671</v>
      </c>
      <c r="K23" s="51">
        <f>VLOOKUP($A23,'Data Vlaue (Cr)'!$C:$FB,60)</f>
        <v>1415</v>
      </c>
      <c r="L23" s="51">
        <f>VLOOKUP($A23,'Data Vlaue (Cr)'!$C:$FB,62)*100</f>
        <v>-52.6</v>
      </c>
      <c r="M23" s="51">
        <f>VLOOKUP($A23,'Data Vlaue (Cr)'!$C:$FB,63)</f>
        <v>519</v>
      </c>
      <c r="N23" s="51">
        <f>VLOOKUP($A23,'Data Vlaue (Cr)'!$C:$FB,64)</f>
        <v>821</v>
      </c>
      <c r="O23" s="51">
        <f>VLOOKUP($A23,'Data Vlaue (Cr)'!$C:$FB,66)*100</f>
        <v>-36.75</v>
      </c>
    </row>
    <row r="24" spans="1:15" x14ac:dyDescent="0.25">
      <c r="A24" s="101" t="str">
        <f>'Data Vlaue (Cr)'!C19</f>
        <v>AUROPHARMA</v>
      </c>
      <c r="B24" s="50">
        <f>VLOOKUP($A24,'Data Vlaue (Cr)'!$C:$FB,8)</f>
        <v>1207.7</v>
      </c>
      <c r="C24" s="50">
        <f>VLOOKUP($A24,'Data Vlaue (Cr)'!$C:$FB,11)*100</f>
        <v>-2.27</v>
      </c>
      <c r="D24" s="50">
        <f>VLOOKUP($A24,'Data Vlaue (Cr)'!$C:$FB,143)</f>
        <v>3701.43</v>
      </c>
      <c r="E24" s="50">
        <f>VLOOKUP($A24,'Data Vlaue (Cr)'!$C:$FB,144)</f>
        <v>1705.47</v>
      </c>
      <c r="F24" s="50">
        <f>VLOOKUP($A24,'Data Vlaue (Cr)'!$C:$FB,146)*100</f>
        <v>117.02999999999999</v>
      </c>
      <c r="G24" s="49">
        <f>VLOOKUP($A24,'Data Vlaue (Cr)'!$C:$FB,43)</f>
        <v>1610</v>
      </c>
      <c r="H24" s="49">
        <f>VLOOKUP($A24,'Data Vlaue (Cr)'!$C:$FB,44)</f>
        <v>443</v>
      </c>
      <c r="I24" s="49">
        <f>VLOOKUP($A24,'Data Vlaue (Cr)'!$C:$FB,46)*100</f>
        <v>263.52000000000004</v>
      </c>
      <c r="J24" s="51">
        <f>VLOOKUP($A24,'Data Vlaue (Cr)'!$C:$FB,59)</f>
        <v>1069</v>
      </c>
      <c r="K24" s="51">
        <f>VLOOKUP($A24,'Data Vlaue (Cr)'!$C:$FB,60)</f>
        <v>699</v>
      </c>
      <c r="L24" s="51">
        <f>VLOOKUP($A24,'Data Vlaue (Cr)'!$C:$FB,62)*100</f>
        <v>52.949999999999996</v>
      </c>
      <c r="M24" s="51">
        <f>VLOOKUP($A24,'Data Vlaue (Cr)'!$C:$FB,63)</f>
        <v>965</v>
      </c>
      <c r="N24" s="51">
        <f>VLOOKUP($A24,'Data Vlaue (Cr)'!$C:$FB,64)</f>
        <v>514</v>
      </c>
      <c r="O24" s="51">
        <f>VLOOKUP($A24,'Data Vlaue (Cr)'!$C:$FB,66)*100</f>
        <v>87.8</v>
      </c>
    </row>
    <row r="25" spans="1:15" x14ac:dyDescent="0.25">
      <c r="A25" s="101" t="str">
        <f>'Data Vlaue (Cr)'!C20</f>
        <v>AXISBANK</v>
      </c>
      <c r="B25" s="50">
        <f>VLOOKUP($A25,'Data Vlaue (Cr)'!$C:$FB,8)</f>
        <v>1285.2</v>
      </c>
      <c r="C25" s="50">
        <f>VLOOKUP($A25,'Data Vlaue (Cr)'!$C:$FB,11)*100</f>
        <v>1.1599999999999999</v>
      </c>
      <c r="D25" s="50">
        <f>VLOOKUP($A25,'Data Vlaue (Cr)'!$C:$FB,143)</f>
        <v>23989.94</v>
      </c>
      <c r="E25" s="50">
        <f>VLOOKUP($A25,'Data Vlaue (Cr)'!$C:$FB,144)</f>
        <v>10890.38</v>
      </c>
      <c r="F25" s="50">
        <f>VLOOKUP($A25,'Data Vlaue (Cr)'!$C:$FB,146)*100</f>
        <v>120.29</v>
      </c>
      <c r="G25" s="49">
        <f>VLOOKUP($A25,'Data Vlaue (Cr)'!$C:$FB,43)</f>
        <v>8603</v>
      </c>
      <c r="H25" s="49">
        <f>VLOOKUP($A25,'Data Vlaue (Cr)'!$C:$FB,44)</f>
        <v>2120</v>
      </c>
      <c r="I25" s="49">
        <f>VLOOKUP($A25,'Data Vlaue (Cr)'!$C:$FB,46)*100</f>
        <v>305.75</v>
      </c>
      <c r="J25" s="51">
        <f>VLOOKUP($A25,'Data Vlaue (Cr)'!$C:$FB,59)</f>
        <v>10197</v>
      </c>
      <c r="K25" s="51">
        <f>VLOOKUP($A25,'Data Vlaue (Cr)'!$C:$FB,60)</f>
        <v>5748</v>
      </c>
      <c r="L25" s="51">
        <f>VLOOKUP($A25,'Data Vlaue (Cr)'!$C:$FB,62)*100</f>
        <v>77.400000000000006</v>
      </c>
      <c r="M25" s="51">
        <f>VLOOKUP($A25,'Data Vlaue (Cr)'!$C:$FB,63)</f>
        <v>5127</v>
      </c>
      <c r="N25" s="51">
        <f>VLOOKUP($A25,'Data Vlaue (Cr)'!$C:$FB,64)</f>
        <v>3068</v>
      </c>
      <c r="O25" s="51">
        <f>VLOOKUP($A25,'Data Vlaue (Cr)'!$C:$FB,66)*100</f>
        <v>67.100000000000009</v>
      </c>
    </row>
    <row r="26" spans="1:15" x14ac:dyDescent="0.25">
      <c r="A26" s="101" t="str">
        <f>'Data Vlaue (Cr)'!C21</f>
        <v>BAJAJ-AUTO</v>
      </c>
      <c r="B26" s="50">
        <f>VLOOKUP($A26,'Data Vlaue (Cr)'!$C:$FB,8)</f>
        <v>8979.5</v>
      </c>
      <c r="C26" s="50">
        <f>VLOOKUP($A26,'Data Vlaue (Cr)'!$C:$FB,11)*100</f>
        <v>1.0699999999999998</v>
      </c>
      <c r="D26" s="50">
        <f>VLOOKUP($A26,'Data Vlaue (Cr)'!$C:$FB,143)</f>
        <v>9462.0499999999993</v>
      </c>
      <c r="E26" s="50">
        <f>VLOOKUP($A26,'Data Vlaue (Cr)'!$C:$FB,144)</f>
        <v>3938.78</v>
      </c>
      <c r="F26" s="50">
        <f>VLOOKUP($A26,'Data Vlaue (Cr)'!$C:$FB,146)*100</f>
        <v>140.23000000000002</v>
      </c>
      <c r="G26" s="49">
        <f>VLOOKUP($A26,'Data Vlaue (Cr)'!$C:$FB,43)</f>
        <v>2848</v>
      </c>
      <c r="H26" s="49">
        <f>VLOOKUP($A26,'Data Vlaue (Cr)'!$C:$FB,44)</f>
        <v>432</v>
      </c>
      <c r="I26" s="49">
        <f>VLOOKUP($A26,'Data Vlaue (Cr)'!$C:$FB,46)*100</f>
        <v>559.84999999999991</v>
      </c>
      <c r="J26" s="51">
        <f>VLOOKUP($A26,'Data Vlaue (Cr)'!$C:$FB,59)</f>
        <v>4548</v>
      </c>
      <c r="K26" s="51">
        <f>VLOOKUP($A26,'Data Vlaue (Cr)'!$C:$FB,60)</f>
        <v>2508</v>
      </c>
      <c r="L26" s="51">
        <f>VLOOKUP($A26,'Data Vlaue (Cr)'!$C:$FB,62)*100</f>
        <v>81.34</v>
      </c>
      <c r="M26" s="51">
        <f>VLOOKUP($A26,'Data Vlaue (Cr)'!$C:$FB,63)</f>
        <v>1996</v>
      </c>
      <c r="N26" s="51">
        <f>VLOOKUP($A26,'Data Vlaue (Cr)'!$C:$FB,64)</f>
        <v>951</v>
      </c>
      <c r="O26" s="51">
        <f>VLOOKUP($A26,'Data Vlaue (Cr)'!$C:$FB,66)*100</f>
        <v>109.94</v>
      </c>
    </row>
    <row r="27" spans="1:15" x14ac:dyDescent="0.25">
      <c r="A27" s="101" t="str">
        <f>'Data Vlaue (Cr)'!C22</f>
        <v>BAJAJFINSV</v>
      </c>
      <c r="B27" s="50">
        <f>VLOOKUP($A27,'Data Vlaue (Cr)'!$C:$FB,8)</f>
        <v>2095.6</v>
      </c>
      <c r="C27" s="50">
        <f>VLOOKUP($A27,'Data Vlaue (Cr)'!$C:$FB,11)*100</f>
        <v>2.21</v>
      </c>
      <c r="D27" s="50">
        <f>VLOOKUP($A27,'Data Vlaue (Cr)'!$C:$FB,143)</f>
        <v>9761.81</v>
      </c>
      <c r="E27" s="50">
        <f>VLOOKUP($A27,'Data Vlaue (Cr)'!$C:$FB,144)</f>
        <v>3532.26</v>
      </c>
      <c r="F27" s="50">
        <f>VLOOKUP($A27,'Data Vlaue (Cr)'!$C:$FB,146)*100</f>
        <v>176.36</v>
      </c>
      <c r="G27" s="49">
        <f>VLOOKUP($A27,'Data Vlaue (Cr)'!$C:$FB,43)</f>
        <v>2618</v>
      </c>
      <c r="H27" s="49">
        <f>VLOOKUP($A27,'Data Vlaue (Cr)'!$C:$FB,44)</f>
        <v>882</v>
      </c>
      <c r="I27" s="49">
        <f>VLOOKUP($A27,'Data Vlaue (Cr)'!$C:$FB,46)*100</f>
        <v>196.95</v>
      </c>
      <c r="J27" s="51">
        <f>VLOOKUP($A27,'Data Vlaue (Cr)'!$C:$FB,59)</f>
        <v>5169</v>
      </c>
      <c r="K27" s="51">
        <f>VLOOKUP($A27,'Data Vlaue (Cr)'!$C:$FB,60)</f>
        <v>1877</v>
      </c>
      <c r="L27" s="51">
        <f>VLOOKUP($A27,'Data Vlaue (Cr)'!$C:$FB,62)*100</f>
        <v>175.33</v>
      </c>
      <c r="M27" s="51">
        <f>VLOOKUP($A27,'Data Vlaue (Cr)'!$C:$FB,63)</f>
        <v>1941</v>
      </c>
      <c r="N27" s="51">
        <f>VLOOKUP($A27,'Data Vlaue (Cr)'!$C:$FB,64)</f>
        <v>808</v>
      </c>
      <c r="O27" s="51">
        <f>VLOOKUP($A27,'Data Vlaue (Cr)'!$C:$FB,66)*100</f>
        <v>140.22</v>
      </c>
    </row>
    <row r="28" spans="1:15" x14ac:dyDescent="0.25">
      <c r="A28" s="101" t="str">
        <f>'Data Vlaue (Cr)'!C23</f>
        <v>BAJFINANCE</v>
      </c>
      <c r="B28" s="50">
        <f>VLOOKUP($A28,'Data Vlaue (Cr)'!$C:$FB,8)</f>
        <v>1028.5999999999999</v>
      </c>
      <c r="C28" s="50">
        <f>VLOOKUP($A28,'Data Vlaue (Cr)'!$C:$FB,11)*100</f>
        <v>2.29</v>
      </c>
      <c r="D28" s="50">
        <f>VLOOKUP($A28,'Data Vlaue (Cr)'!$C:$FB,143)</f>
        <v>14656.01</v>
      </c>
      <c r="E28" s="50">
        <f>VLOOKUP($A28,'Data Vlaue (Cr)'!$C:$FB,144)</f>
        <v>6656.09</v>
      </c>
      <c r="F28" s="50">
        <f>VLOOKUP($A28,'Data Vlaue (Cr)'!$C:$FB,146)*100</f>
        <v>120.19</v>
      </c>
      <c r="G28" s="49">
        <f>VLOOKUP($A28,'Data Vlaue (Cr)'!$C:$FB,43)</f>
        <v>6532</v>
      </c>
      <c r="H28" s="49">
        <f>VLOOKUP($A28,'Data Vlaue (Cr)'!$C:$FB,44)</f>
        <v>1210</v>
      </c>
      <c r="I28" s="49">
        <f>VLOOKUP($A28,'Data Vlaue (Cr)'!$C:$FB,46)*100</f>
        <v>439.98</v>
      </c>
      <c r="J28" s="51">
        <f>VLOOKUP($A28,'Data Vlaue (Cr)'!$C:$FB,59)</f>
        <v>5589</v>
      </c>
      <c r="K28" s="51">
        <f>VLOOKUP($A28,'Data Vlaue (Cr)'!$C:$FB,60)</f>
        <v>3770</v>
      </c>
      <c r="L28" s="51">
        <f>VLOOKUP($A28,'Data Vlaue (Cr)'!$C:$FB,62)*100</f>
        <v>48.25</v>
      </c>
      <c r="M28" s="51">
        <f>VLOOKUP($A28,'Data Vlaue (Cr)'!$C:$FB,63)</f>
        <v>2470</v>
      </c>
      <c r="N28" s="51">
        <f>VLOOKUP($A28,'Data Vlaue (Cr)'!$C:$FB,64)</f>
        <v>1639</v>
      </c>
      <c r="O28" s="51">
        <f>VLOOKUP($A28,'Data Vlaue (Cr)'!$C:$FB,66)*100</f>
        <v>50.71</v>
      </c>
    </row>
    <row r="29" spans="1:15" x14ac:dyDescent="0.25">
      <c r="A29" s="101" t="str">
        <f>'Data Vlaue (Cr)'!C24</f>
        <v>BANDHANBNK</v>
      </c>
      <c r="B29" s="50">
        <f>VLOOKUP($A29,'Data Vlaue (Cr)'!$C:$FB,8)</f>
        <v>151.22</v>
      </c>
      <c r="C29" s="50">
        <f>VLOOKUP($A29,'Data Vlaue (Cr)'!$C:$FB,11)*100</f>
        <v>-1.0900000000000001</v>
      </c>
      <c r="D29" s="50">
        <f>VLOOKUP($A29,'Data Vlaue (Cr)'!$C:$FB,143)</f>
        <v>1649.41</v>
      </c>
      <c r="E29" s="50">
        <f>VLOOKUP($A29,'Data Vlaue (Cr)'!$C:$FB,144)</f>
        <v>1369.62</v>
      </c>
      <c r="F29" s="50">
        <f>VLOOKUP($A29,'Data Vlaue (Cr)'!$C:$FB,146)*100</f>
        <v>20.43</v>
      </c>
      <c r="G29" s="49">
        <f>VLOOKUP($A29,'Data Vlaue (Cr)'!$C:$FB,43)</f>
        <v>664</v>
      </c>
      <c r="H29" s="49">
        <f>VLOOKUP($A29,'Data Vlaue (Cr)'!$C:$FB,44)</f>
        <v>374</v>
      </c>
      <c r="I29" s="49">
        <f>VLOOKUP($A29,'Data Vlaue (Cr)'!$C:$FB,46)*100</f>
        <v>77.42</v>
      </c>
      <c r="J29" s="51">
        <f>VLOOKUP($A29,'Data Vlaue (Cr)'!$C:$FB,59)</f>
        <v>689</v>
      </c>
      <c r="K29" s="51">
        <f>VLOOKUP($A29,'Data Vlaue (Cr)'!$C:$FB,60)</f>
        <v>678</v>
      </c>
      <c r="L29" s="51">
        <f>VLOOKUP($A29,'Data Vlaue (Cr)'!$C:$FB,62)*100</f>
        <v>1.5699999999999998</v>
      </c>
      <c r="M29" s="51">
        <f>VLOOKUP($A29,'Data Vlaue (Cr)'!$C:$FB,63)</f>
        <v>236</v>
      </c>
      <c r="N29" s="51">
        <f>VLOOKUP($A29,'Data Vlaue (Cr)'!$C:$FB,64)</f>
        <v>253</v>
      </c>
      <c r="O29" s="51">
        <f>VLOOKUP($A29,'Data Vlaue (Cr)'!$C:$FB,66)*100</f>
        <v>-6.49</v>
      </c>
    </row>
    <row r="30" spans="1:15" x14ac:dyDescent="0.25">
      <c r="A30" s="101" t="str">
        <f>'Data Vlaue (Cr)'!C25</f>
        <v>BANKBARODA</v>
      </c>
      <c r="B30" s="50">
        <f>VLOOKUP($A30,'Data Vlaue (Cr)'!$C:$FB,8)</f>
        <v>288.25</v>
      </c>
      <c r="C30" s="50">
        <f>VLOOKUP($A30,'Data Vlaue (Cr)'!$C:$FB,11)*100</f>
        <v>-1.72</v>
      </c>
      <c r="D30" s="50">
        <f>VLOOKUP($A30,'Data Vlaue (Cr)'!$C:$FB,143)</f>
        <v>3814.56</v>
      </c>
      <c r="E30" s="50">
        <f>VLOOKUP($A30,'Data Vlaue (Cr)'!$C:$FB,144)</f>
        <v>5887.95</v>
      </c>
      <c r="F30" s="50">
        <f>VLOOKUP($A30,'Data Vlaue (Cr)'!$C:$FB,146)*100</f>
        <v>-35.21</v>
      </c>
      <c r="G30" s="49">
        <f>VLOOKUP($A30,'Data Vlaue (Cr)'!$C:$FB,43)</f>
        <v>1214</v>
      </c>
      <c r="H30" s="49">
        <f>VLOOKUP($A30,'Data Vlaue (Cr)'!$C:$FB,44)</f>
        <v>833</v>
      </c>
      <c r="I30" s="49">
        <f>VLOOKUP($A30,'Data Vlaue (Cr)'!$C:$FB,46)*100</f>
        <v>45.82</v>
      </c>
      <c r="J30" s="51">
        <f>VLOOKUP($A30,'Data Vlaue (Cr)'!$C:$FB,59)</f>
        <v>1676</v>
      </c>
      <c r="K30" s="51">
        <f>VLOOKUP($A30,'Data Vlaue (Cr)'!$C:$FB,60)</f>
        <v>3388</v>
      </c>
      <c r="L30" s="51">
        <f>VLOOKUP($A30,'Data Vlaue (Cr)'!$C:$FB,62)*100</f>
        <v>-50.529999999999994</v>
      </c>
      <c r="M30" s="51">
        <f>VLOOKUP($A30,'Data Vlaue (Cr)'!$C:$FB,63)</f>
        <v>850</v>
      </c>
      <c r="N30" s="51">
        <f>VLOOKUP($A30,'Data Vlaue (Cr)'!$C:$FB,64)</f>
        <v>1544</v>
      </c>
      <c r="O30" s="51">
        <f>VLOOKUP($A30,'Data Vlaue (Cr)'!$C:$FB,66)*100</f>
        <v>-44.95</v>
      </c>
    </row>
    <row r="31" spans="1:15" x14ac:dyDescent="0.25">
      <c r="A31" s="101" t="str">
        <f>'Data Vlaue (Cr)'!C26</f>
        <v>BANKINDIA</v>
      </c>
      <c r="B31" s="50">
        <f>VLOOKUP($A31,'Data Vlaue (Cr)'!$C:$FB,8)</f>
        <v>147.72</v>
      </c>
      <c r="C31" s="50">
        <f>VLOOKUP($A31,'Data Vlaue (Cr)'!$C:$FB,11)*100</f>
        <v>-0.59</v>
      </c>
      <c r="D31" s="50">
        <f>VLOOKUP($A31,'Data Vlaue (Cr)'!$C:$FB,143)</f>
        <v>846.55</v>
      </c>
      <c r="E31" s="50">
        <f>VLOOKUP($A31,'Data Vlaue (Cr)'!$C:$FB,144)</f>
        <v>810.9</v>
      </c>
      <c r="F31" s="50">
        <f>VLOOKUP($A31,'Data Vlaue (Cr)'!$C:$FB,146)*100</f>
        <v>4.3999999999999995</v>
      </c>
      <c r="G31" s="49">
        <f>VLOOKUP($A31,'Data Vlaue (Cr)'!$C:$FB,43)</f>
        <v>438</v>
      </c>
      <c r="H31" s="49">
        <f>VLOOKUP($A31,'Data Vlaue (Cr)'!$C:$FB,44)</f>
        <v>194</v>
      </c>
      <c r="I31" s="49">
        <f>VLOOKUP($A31,'Data Vlaue (Cr)'!$C:$FB,46)*100</f>
        <v>126.19</v>
      </c>
      <c r="J31" s="51">
        <f>VLOOKUP($A31,'Data Vlaue (Cr)'!$C:$FB,59)</f>
        <v>253</v>
      </c>
      <c r="K31" s="51">
        <f>VLOOKUP($A31,'Data Vlaue (Cr)'!$C:$FB,60)</f>
        <v>399</v>
      </c>
      <c r="L31" s="51">
        <f>VLOOKUP($A31,'Data Vlaue (Cr)'!$C:$FB,62)*100</f>
        <v>-36.549999999999997</v>
      </c>
      <c r="M31" s="51">
        <f>VLOOKUP($A31,'Data Vlaue (Cr)'!$C:$FB,63)</f>
        <v>147</v>
      </c>
      <c r="N31" s="51">
        <f>VLOOKUP($A31,'Data Vlaue (Cr)'!$C:$FB,64)</f>
        <v>214</v>
      </c>
      <c r="O31" s="51">
        <f>VLOOKUP($A31,'Data Vlaue (Cr)'!$C:$FB,66)*100</f>
        <v>-30.97</v>
      </c>
    </row>
    <row r="32" spans="1:15" x14ac:dyDescent="0.25">
      <c r="A32" s="101" t="str">
        <f>'Data Vlaue (Cr)'!C27</f>
        <v>BANKNIFTY</v>
      </c>
      <c r="B32" s="50">
        <f>VLOOKUP($A32,'Data Vlaue (Cr)'!$C:$FB,8)</f>
        <v>59347.7</v>
      </c>
      <c r="C32" s="50">
        <f>VLOOKUP($A32,'Data Vlaue (Cr)'!$C:$FB,11)*100</f>
        <v>0.22</v>
      </c>
      <c r="D32" s="50">
        <f>VLOOKUP($A32,'Data Vlaue (Cr)'!$C:$FB,143)</f>
        <v>1054859.1299999999</v>
      </c>
      <c r="E32" s="50">
        <f>VLOOKUP($A32,'Data Vlaue (Cr)'!$C:$FB,144)</f>
        <v>1151822.81</v>
      </c>
      <c r="F32" s="50">
        <f>VLOOKUP($A32,'Data Vlaue (Cr)'!$C:$FB,146)*100</f>
        <v>-8.42</v>
      </c>
      <c r="G32" s="49">
        <f>VLOOKUP($A32,'Data Vlaue (Cr)'!$C:$FB,43)</f>
        <v>6009</v>
      </c>
      <c r="H32" s="49">
        <f>VLOOKUP($A32,'Data Vlaue (Cr)'!$C:$FB,44)</f>
        <v>7028</v>
      </c>
      <c r="I32" s="49">
        <f>VLOOKUP($A32,'Data Vlaue (Cr)'!$C:$FB,46)*100</f>
        <v>-14.49</v>
      </c>
      <c r="J32" s="51">
        <f>VLOOKUP($A32,'Data Vlaue (Cr)'!$C:$FB,59)</f>
        <v>526946</v>
      </c>
      <c r="K32" s="51">
        <f>VLOOKUP($A32,'Data Vlaue (Cr)'!$C:$FB,60)</f>
        <v>584628</v>
      </c>
      <c r="L32" s="51">
        <f>VLOOKUP($A32,'Data Vlaue (Cr)'!$C:$FB,62)*100</f>
        <v>-9.8699999999999992</v>
      </c>
      <c r="M32" s="51">
        <f>VLOOKUP($A32,'Data Vlaue (Cr)'!$C:$FB,63)</f>
        <v>526834</v>
      </c>
      <c r="N32" s="51">
        <f>VLOOKUP($A32,'Data Vlaue (Cr)'!$C:$FB,64)</f>
        <v>568089</v>
      </c>
      <c r="O32" s="51">
        <f>VLOOKUP($A32,'Data Vlaue (Cr)'!$C:$FB,66)*100</f>
        <v>-7.26</v>
      </c>
    </row>
    <row r="33" spans="1:15" x14ac:dyDescent="0.25">
      <c r="A33" s="101" t="str">
        <f>'Data Vlaue (Cr)'!C28</f>
        <v>BDL</v>
      </c>
      <c r="B33" s="50">
        <f>VLOOKUP($A33,'Data Vlaue (Cr)'!$C:$FB,8)</f>
        <v>1557</v>
      </c>
      <c r="C33" s="50">
        <f>VLOOKUP($A33,'Data Vlaue (Cr)'!$C:$FB,11)*100</f>
        <v>1.31</v>
      </c>
      <c r="D33" s="50">
        <f>VLOOKUP($A33,'Data Vlaue (Cr)'!$C:$FB,143)</f>
        <v>3816.05</v>
      </c>
      <c r="E33" s="50">
        <f>VLOOKUP($A33,'Data Vlaue (Cr)'!$C:$FB,144)</f>
        <v>2363.15</v>
      </c>
      <c r="F33" s="50">
        <f>VLOOKUP($A33,'Data Vlaue (Cr)'!$C:$FB,146)*100</f>
        <v>61.480000000000004</v>
      </c>
      <c r="G33" s="49">
        <f>VLOOKUP($A33,'Data Vlaue (Cr)'!$C:$FB,43)</f>
        <v>467</v>
      </c>
      <c r="H33" s="49">
        <f>VLOOKUP($A33,'Data Vlaue (Cr)'!$C:$FB,44)</f>
        <v>252</v>
      </c>
      <c r="I33" s="49">
        <f>VLOOKUP($A33,'Data Vlaue (Cr)'!$C:$FB,46)*100</f>
        <v>85.71</v>
      </c>
      <c r="J33" s="51">
        <f>VLOOKUP($A33,'Data Vlaue (Cr)'!$C:$FB,59)</f>
        <v>2570</v>
      </c>
      <c r="K33" s="51">
        <f>VLOOKUP($A33,'Data Vlaue (Cr)'!$C:$FB,60)</f>
        <v>1355</v>
      </c>
      <c r="L33" s="51">
        <f>VLOOKUP($A33,'Data Vlaue (Cr)'!$C:$FB,62)*100</f>
        <v>89.7</v>
      </c>
      <c r="M33" s="51">
        <f>VLOOKUP($A33,'Data Vlaue (Cr)'!$C:$FB,63)</f>
        <v>683</v>
      </c>
      <c r="N33" s="51">
        <f>VLOOKUP($A33,'Data Vlaue (Cr)'!$C:$FB,64)</f>
        <v>715</v>
      </c>
      <c r="O33" s="51">
        <f>VLOOKUP($A33,'Data Vlaue (Cr)'!$C:$FB,66)*100</f>
        <v>-4.49</v>
      </c>
    </row>
    <row r="34" spans="1:15" x14ac:dyDescent="0.25">
      <c r="A34" s="101" t="str">
        <f>'Data Vlaue (Cr)'!C29</f>
        <v>BEL</v>
      </c>
      <c r="B34" s="50">
        <f>VLOOKUP($A34,'Data Vlaue (Cr)'!$C:$FB,8)</f>
        <v>423</v>
      </c>
      <c r="C34" s="50">
        <f>VLOOKUP($A34,'Data Vlaue (Cr)'!$C:$FB,11)*100</f>
        <v>-0.05</v>
      </c>
      <c r="D34" s="50">
        <f>VLOOKUP($A34,'Data Vlaue (Cr)'!$C:$FB,143)</f>
        <v>9730.66</v>
      </c>
      <c r="E34" s="50">
        <f>VLOOKUP($A34,'Data Vlaue (Cr)'!$C:$FB,144)</f>
        <v>8984.08</v>
      </c>
      <c r="F34" s="50">
        <f>VLOOKUP($A34,'Data Vlaue (Cr)'!$C:$FB,146)*100</f>
        <v>8.3099999999999987</v>
      </c>
      <c r="G34" s="49">
        <f>VLOOKUP($A34,'Data Vlaue (Cr)'!$C:$FB,43)</f>
        <v>1871</v>
      </c>
      <c r="H34" s="49">
        <f>VLOOKUP($A34,'Data Vlaue (Cr)'!$C:$FB,44)</f>
        <v>841</v>
      </c>
      <c r="I34" s="49">
        <f>VLOOKUP($A34,'Data Vlaue (Cr)'!$C:$FB,46)*100</f>
        <v>122.44999999999999</v>
      </c>
      <c r="J34" s="51">
        <f>VLOOKUP($A34,'Data Vlaue (Cr)'!$C:$FB,59)</f>
        <v>5314</v>
      </c>
      <c r="K34" s="51">
        <f>VLOOKUP($A34,'Data Vlaue (Cr)'!$C:$FB,60)</f>
        <v>5278</v>
      </c>
      <c r="L34" s="51">
        <f>VLOOKUP($A34,'Data Vlaue (Cr)'!$C:$FB,62)*100</f>
        <v>0.67999999999999994</v>
      </c>
      <c r="M34" s="51">
        <f>VLOOKUP($A34,'Data Vlaue (Cr)'!$C:$FB,63)</f>
        <v>2346</v>
      </c>
      <c r="N34" s="51">
        <f>VLOOKUP($A34,'Data Vlaue (Cr)'!$C:$FB,64)</f>
        <v>2752</v>
      </c>
      <c r="O34" s="51">
        <f>VLOOKUP($A34,'Data Vlaue (Cr)'!$C:$FB,66)*100</f>
        <v>-14.760000000000002</v>
      </c>
    </row>
    <row r="35" spans="1:15" x14ac:dyDescent="0.25">
      <c r="A35" s="101" t="str">
        <f>'Data Vlaue (Cr)'!C30</f>
        <v>BHARATFORG</v>
      </c>
      <c r="B35" s="50">
        <f>VLOOKUP($A35,'Data Vlaue (Cr)'!$C:$FB,8)</f>
        <v>1435.4</v>
      </c>
      <c r="C35" s="50">
        <f>VLOOKUP($A35,'Data Vlaue (Cr)'!$C:$FB,11)*100</f>
        <v>-0.75</v>
      </c>
      <c r="D35" s="50">
        <f>VLOOKUP($A35,'Data Vlaue (Cr)'!$C:$FB,143)</f>
        <v>3633.25</v>
      </c>
      <c r="E35" s="50">
        <f>VLOOKUP($A35,'Data Vlaue (Cr)'!$C:$FB,144)</f>
        <v>7750.86</v>
      </c>
      <c r="F35" s="50">
        <f>VLOOKUP($A35,'Data Vlaue (Cr)'!$C:$FB,146)*100</f>
        <v>-53.12</v>
      </c>
      <c r="G35" s="49">
        <f>VLOOKUP($A35,'Data Vlaue (Cr)'!$C:$FB,43)</f>
        <v>1009</v>
      </c>
      <c r="H35" s="49">
        <f>VLOOKUP($A35,'Data Vlaue (Cr)'!$C:$FB,44)</f>
        <v>773</v>
      </c>
      <c r="I35" s="49">
        <f>VLOOKUP($A35,'Data Vlaue (Cr)'!$C:$FB,46)*100</f>
        <v>30.59</v>
      </c>
      <c r="J35" s="51">
        <f>VLOOKUP($A35,'Data Vlaue (Cr)'!$C:$FB,59)</f>
        <v>1811</v>
      </c>
      <c r="K35" s="51">
        <f>VLOOKUP($A35,'Data Vlaue (Cr)'!$C:$FB,60)</f>
        <v>5191</v>
      </c>
      <c r="L35" s="51">
        <f>VLOOKUP($A35,'Data Vlaue (Cr)'!$C:$FB,62)*100</f>
        <v>-65.12</v>
      </c>
      <c r="M35" s="51">
        <f>VLOOKUP($A35,'Data Vlaue (Cr)'!$C:$FB,63)</f>
        <v>764</v>
      </c>
      <c r="N35" s="51">
        <f>VLOOKUP($A35,'Data Vlaue (Cr)'!$C:$FB,64)</f>
        <v>1735</v>
      </c>
      <c r="O35" s="51">
        <f>VLOOKUP($A35,'Data Vlaue (Cr)'!$C:$FB,66)*100</f>
        <v>-55.95</v>
      </c>
    </row>
    <row r="36" spans="1:15" x14ac:dyDescent="0.25">
      <c r="A36" s="101" t="str">
        <f>'Data Vlaue (Cr)'!C31</f>
        <v>BHARTIARTL</v>
      </c>
      <c r="B36" s="50">
        <f>VLOOKUP($A36,'Data Vlaue (Cr)'!$C:$FB,8)</f>
        <v>2158.3000000000002</v>
      </c>
      <c r="C36" s="50">
        <f>VLOOKUP($A36,'Data Vlaue (Cr)'!$C:$FB,11)*100</f>
        <v>-6.9999999999999993E-2</v>
      </c>
      <c r="D36" s="50">
        <f>VLOOKUP($A36,'Data Vlaue (Cr)'!$C:$FB,143)</f>
        <v>19169.82</v>
      </c>
      <c r="E36" s="50">
        <f>VLOOKUP($A36,'Data Vlaue (Cr)'!$C:$FB,144)</f>
        <v>13394.96</v>
      </c>
      <c r="F36" s="50">
        <f>VLOOKUP($A36,'Data Vlaue (Cr)'!$C:$FB,146)*100</f>
        <v>43.11</v>
      </c>
      <c r="G36" s="49">
        <f>VLOOKUP($A36,'Data Vlaue (Cr)'!$C:$FB,43)</f>
        <v>5722</v>
      </c>
      <c r="H36" s="49">
        <f>VLOOKUP($A36,'Data Vlaue (Cr)'!$C:$FB,44)</f>
        <v>1431</v>
      </c>
      <c r="I36" s="49">
        <f>VLOOKUP($A36,'Data Vlaue (Cr)'!$C:$FB,46)*100</f>
        <v>299.94</v>
      </c>
      <c r="J36" s="51">
        <f>VLOOKUP($A36,'Data Vlaue (Cr)'!$C:$FB,59)</f>
        <v>7580</v>
      </c>
      <c r="K36" s="51">
        <f>VLOOKUP($A36,'Data Vlaue (Cr)'!$C:$FB,60)</f>
        <v>6723</v>
      </c>
      <c r="L36" s="51">
        <f>VLOOKUP($A36,'Data Vlaue (Cr)'!$C:$FB,62)*100</f>
        <v>12.75</v>
      </c>
      <c r="M36" s="51">
        <f>VLOOKUP($A36,'Data Vlaue (Cr)'!$C:$FB,63)</f>
        <v>5804</v>
      </c>
      <c r="N36" s="51">
        <f>VLOOKUP($A36,'Data Vlaue (Cr)'!$C:$FB,64)</f>
        <v>5227</v>
      </c>
      <c r="O36" s="51">
        <f>VLOOKUP($A36,'Data Vlaue (Cr)'!$C:$FB,66)*100</f>
        <v>11.03</v>
      </c>
    </row>
    <row r="37" spans="1:15" x14ac:dyDescent="0.25">
      <c r="A37" s="101" t="str">
        <f>'Data Vlaue (Cr)'!C32</f>
        <v>BHEL</v>
      </c>
      <c r="B37" s="50">
        <f>VLOOKUP($A37,'Data Vlaue (Cr)'!$C:$FB,8)</f>
        <v>285.25</v>
      </c>
      <c r="C37" s="50">
        <f>VLOOKUP($A37,'Data Vlaue (Cr)'!$C:$FB,11)*100</f>
        <v>-1.37</v>
      </c>
      <c r="D37" s="50">
        <f>VLOOKUP($A37,'Data Vlaue (Cr)'!$C:$FB,143)</f>
        <v>5332.62</v>
      </c>
      <c r="E37" s="50">
        <f>VLOOKUP($A37,'Data Vlaue (Cr)'!$C:$FB,144)</f>
        <v>6958.9</v>
      </c>
      <c r="F37" s="50">
        <f>VLOOKUP($A37,'Data Vlaue (Cr)'!$C:$FB,146)*100</f>
        <v>-23.369999999999997</v>
      </c>
      <c r="G37" s="49">
        <f>VLOOKUP($A37,'Data Vlaue (Cr)'!$C:$FB,43)</f>
        <v>1005</v>
      </c>
      <c r="H37" s="49">
        <f>VLOOKUP($A37,'Data Vlaue (Cr)'!$C:$FB,44)</f>
        <v>638</v>
      </c>
      <c r="I37" s="49">
        <f>VLOOKUP($A37,'Data Vlaue (Cr)'!$C:$FB,46)*100</f>
        <v>57.599999999999994</v>
      </c>
      <c r="J37" s="51">
        <f>VLOOKUP($A37,'Data Vlaue (Cr)'!$C:$FB,59)</f>
        <v>2765</v>
      </c>
      <c r="K37" s="51">
        <f>VLOOKUP($A37,'Data Vlaue (Cr)'!$C:$FB,60)</f>
        <v>4081</v>
      </c>
      <c r="L37" s="51">
        <f>VLOOKUP($A37,'Data Vlaue (Cr)'!$C:$FB,62)*100</f>
        <v>-32.25</v>
      </c>
      <c r="M37" s="51">
        <f>VLOOKUP($A37,'Data Vlaue (Cr)'!$C:$FB,63)</f>
        <v>1467</v>
      </c>
      <c r="N37" s="51">
        <f>VLOOKUP($A37,'Data Vlaue (Cr)'!$C:$FB,64)</f>
        <v>2080</v>
      </c>
      <c r="O37" s="51">
        <f>VLOOKUP($A37,'Data Vlaue (Cr)'!$C:$FB,66)*100</f>
        <v>-29.45</v>
      </c>
    </row>
    <row r="38" spans="1:15" x14ac:dyDescent="0.25">
      <c r="A38" s="101" t="str">
        <f>'Data Vlaue (Cr)'!C33</f>
        <v>BIOCON</v>
      </c>
      <c r="B38" s="50">
        <f>VLOOKUP($A38,'Data Vlaue (Cr)'!$C:$FB,8)</f>
        <v>395.15</v>
      </c>
      <c r="C38" s="50">
        <f>VLOOKUP($A38,'Data Vlaue (Cr)'!$C:$FB,11)*100</f>
        <v>-3.65</v>
      </c>
      <c r="D38" s="50">
        <f>VLOOKUP($A38,'Data Vlaue (Cr)'!$C:$FB,143)</f>
        <v>10921.72</v>
      </c>
      <c r="E38" s="50">
        <f>VLOOKUP($A38,'Data Vlaue (Cr)'!$C:$FB,144)</f>
        <v>6281.23</v>
      </c>
      <c r="F38" s="50">
        <f>VLOOKUP($A38,'Data Vlaue (Cr)'!$C:$FB,146)*100</f>
        <v>73.88</v>
      </c>
      <c r="G38" s="49">
        <f>VLOOKUP($A38,'Data Vlaue (Cr)'!$C:$FB,43)</f>
        <v>1413</v>
      </c>
      <c r="H38" s="49">
        <f>VLOOKUP($A38,'Data Vlaue (Cr)'!$C:$FB,44)</f>
        <v>977</v>
      </c>
      <c r="I38" s="49">
        <f>VLOOKUP($A38,'Data Vlaue (Cr)'!$C:$FB,46)*100</f>
        <v>44.62</v>
      </c>
      <c r="J38" s="51">
        <f>VLOOKUP($A38,'Data Vlaue (Cr)'!$C:$FB,59)</f>
        <v>5584</v>
      </c>
      <c r="K38" s="51">
        <f>VLOOKUP($A38,'Data Vlaue (Cr)'!$C:$FB,60)</f>
        <v>2976</v>
      </c>
      <c r="L38" s="51">
        <f>VLOOKUP($A38,'Data Vlaue (Cr)'!$C:$FB,62)*100</f>
        <v>87.59</v>
      </c>
      <c r="M38" s="51">
        <f>VLOOKUP($A38,'Data Vlaue (Cr)'!$C:$FB,63)</f>
        <v>3654</v>
      </c>
      <c r="N38" s="51">
        <f>VLOOKUP($A38,'Data Vlaue (Cr)'!$C:$FB,64)</f>
        <v>1956</v>
      </c>
      <c r="O38" s="51">
        <f>VLOOKUP($A38,'Data Vlaue (Cr)'!$C:$FB,66)*100</f>
        <v>86.87</v>
      </c>
    </row>
    <row r="39" spans="1:15" x14ac:dyDescent="0.25">
      <c r="A39" s="101" t="str">
        <f>'Data Vlaue (Cr)'!C34</f>
        <v>BLUESTARCO</v>
      </c>
      <c r="B39" s="50">
        <f>VLOOKUP($A39,'Data Vlaue (Cr)'!$C:$FB,8)</f>
        <v>1794.6</v>
      </c>
      <c r="C39" s="50">
        <f>VLOOKUP($A39,'Data Vlaue (Cr)'!$C:$FB,11)*100</f>
        <v>-0.02</v>
      </c>
      <c r="D39" s="50">
        <f>VLOOKUP($A39,'Data Vlaue (Cr)'!$C:$FB,143)</f>
        <v>872.49</v>
      </c>
      <c r="E39" s="50">
        <f>VLOOKUP($A39,'Data Vlaue (Cr)'!$C:$FB,144)</f>
        <v>919.18</v>
      </c>
      <c r="F39" s="50">
        <f>VLOOKUP($A39,'Data Vlaue (Cr)'!$C:$FB,146)*100</f>
        <v>-5.08</v>
      </c>
      <c r="G39" s="49">
        <f>VLOOKUP($A39,'Data Vlaue (Cr)'!$C:$FB,43)</f>
        <v>245</v>
      </c>
      <c r="H39" s="49">
        <f>VLOOKUP($A39,'Data Vlaue (Cr)'!$C:$FB,44)</f>
        <v>142</v>
      </c>
      <c r="I39" s="49">
        <f>VLOOKUP($A39,'Data Vlaue (Cr)'!$C:$FB,46)*100</f>
        <v>72.31</v>
      </c>
      <c r="J39" s="51">
        <f>VLOOKUP($A39,'Data Vlaue (Cr)'!$C:$FB,59)</f>
        <v>373</v>
      </c>
      <c r="K39" s="51">
        <f>VLOOKUP($A39,'Data Vlaue (Cr)'!$C:$FB,60)</f>
        <v>437</v>
      </c>
      <c r="L39" s="51">
        <f>VLOOKUP($A39,'Data Vlaue (Cr)'!$C:$FB,62)*100</f>
        <v>-14.52</v>
      </c>
      <c r="M39" s="51">
        <f>VLOOKUP($A39,'Data Vlaue (Cr)'!$C:$FB,63)</f>
        <v>245</v>
      </c>
      <c r="N39" s="51">
        <f>VLOOKUP($A39,'Data Vlaue (Cr)'!$C:$FB,64)</f>
        <v>330</v>
      </c>
      <c r="O39" s="51">
        <f>VLOOKUP($A39,'Data Vlaue (Cr)'!$C:$FB,66)*100</f>
        <v>-25.7</v>
      </c>
    </row>
    <row r="40" spans="1:15" x14ac:dyDescent="0.25">
      <c r="A40" s="101" t="str">
        <f>'Data Vlaue (Cr)'!C35</f>
        <v>BOSCHLTD</v>
      </c>
      <c r="B40" s="50">
        <f>VLOOKUP($A40,'Data Vlaue (Cr)'!$C:$FB,8)</f>
        <v>37050</v>
      </c>
      <c r="C40" s="50">
        <f>VLOOKUP($A40,'Data Vlaue (Cr)'!$C:$FB,11)*100</f>
        <v>0.49</v>
      </c>
      <c r="D40" s="50">
        <f>VLOOKUP($A40,'Data Vlaue (Cr)'!$C:$FB,143)</f>
        <v>1824.93</v>
      </c>
      <c r="E40" s="50">
        <f>VLOOKUP($A40,'Data Vlaue (Cr)'!$C:$FB,144)</f>
        <v>1619.95</v>
      </c>
      <c r="F40" s="50">
        <f>VLOOKUP($A40,'Data Vlaue (Cr)'!$C:$FB,146)*100</f>
        <v>12.65</v>
      </c>
      <c r="G40" s="49">
        <f>VLOOKUP($A40,'Data Vlaue (Cr)'!$C:$FB,43)</f>
        <v>565</v>
      </c>
      <c r="H40" s="49">
        <f>VLOOKUP($A40,'Data Vlaue (Cr)'!$C:$FB,44)</f>
        <v>198</v>
      </c>
      <c r="I40" s="49">
        <f>VLOOKUP($A40,'Data Vlaue (Cr)'!$C:$FB,46)*100</f>
        <v>185.47</v>
      </c>
      <c r="J40" s="51">
        <f>VLOOKUP($A40,'Data Vlaue (Cr)'!$C:$FB,59)</f>
        <v>982</v>
      </c>
      <c r="K40" s="51">
        <f>VLOOKUP($A40,'Data Vlaue (Cr)'!$C:$FB,60)</f>
        <v>1119</v>
      </c>
      <c r="L40" s="51">
        <f>VLOOKUP($A40,'Data Vlaue (Cr)'!$C:$FB,62)*100</f>
        <v>-12.26</v>
      </c>
      <c r="M40" s="51">
        <f>VLOOKUP($A40,'Data Vlaue (Cr)'!$C:$FB,63)</f>
        <v>233</v>
      </c>
      <c r="N40" s="51">
        <f>VLOOKUP($A40,'Data Vlaue (Cr)'!$C:$FB,64)</f>
        <v>243</v>
      </c>
      <c r="O40" s="51">
        <f>VLOOKUP($A40,'Data Vlaue (Cr)'!$C:$FB,66)*100</f>
        <v>-3.93</v>
      </c>
    </row>
    <row r="41" spans="1:15" x14ac:dyDescent="0.25">
      <c r="A41" s="101" t="str">
        <f>'Data Vlaue (Cr)'!C36</f>
        <v>BPCL</v>
      </c>
      <c r="B41" s="50">
        <f>VLOOKUP($A41,'Data Vlaue (Cr)'!$C:$FB,8)</f>
        <v>365.05</v>
      </c>
      <c r="C41" s="50">
        <f>VLOOKUP($A41,'Data Vlaue (Cr)'!$C:$FB,11)*100</f>
        <v>-0.16</v>
      </c>
      <c r="D41" s="50">
        <f>VLOOKUP($A41,'Data Vlaue (Cr)'!$C:$FB,143)</f>
        <v>2317.08</v>
      </c>
      <c r="E41" s="50">
        <f>VLOOKUP($A41,'Data Vlaue (Cr)'!$C:$FB,144)</f>
        <v>1742.68</v>
      </c>
      <c r="F41" s="50">
        <f>VLOOKUP($A41,'Data Vlaue (Cr)'!$C:$FB,146)*100</f>
        <v>32.96</v>
      </c>
      <c r="G41" s="49">
        <f>VLOOKUP($A41,'Data Vlaue (Cr)'!$C:$FB,43)</f>
        <v>858</v>
      </c>
      <c r="H41" s="49">
        <f>VLOOKUP($A41,'Data Vlaue (Cr)'!$C:$FB,44)</f>
        <v>260</v>
      </c>
      <c r="I41" s="49">
        <f>VLOOKUP($A41,'Data Vlaue (Cr)'!$C:$FB,46)*100</f>
        <v>230.20999999999998</v>
      </c>
      <c r="J41" s="51">
        <f>VLOOKUP($A41,'Data Vlaue (Cr)'!$C:$FB,59)</f>
        <v>935</v>
      </c>
      <c r="K41" s="51">
        <f>VLOOKUP($A41,'Data Vlaue (Cr)'!$C:$FB,60)</f>
        <v>860</v>
      </c>
      <c r="L41" s="51">
        <f>VLOOKUP($A41,'Data Vlaue (Cr)'!$C:$FB,62)*100</f>
        <v>8.68</v>
      </c>
      <c r="M41" s="51">
        <f>VLOOKUP($A41,'Data Vlaue (Cr)'!$C:$FB,63)</f>
        <v>494</v>
      </c>
      <c r="N41" s="51">
        <f>VLOOKUP($A41,'Data Vlaue (Cr)'!$C:$FB,64)</f>
        <v>590</v>
      </c>
      <c r="O41" s="51">
        <f>VLOOKUP($A41,'Data Vlaue (Cr)'!$C:$FB,66)*100</f>
        <v>-16.220000000000002</v>
      </c>
    </row>
    <row r="42" spans="1:15" x14ac:dyDescent="0.25">
      <c r="A42" s="101" t="str">
        <f>'Data Vlaue (Cr)'!C37</f>
        <v>BRITANNIA</v>
      </c>
      <c r="B42" s="50">
        <f>VLOOKUP($A42,'Data Vlaue (Cr)'!$C:$FB,8)</f>
        <v>5819</v>
      </c>
      <c r="C42" s="50">
        <f>VLOOKUP($A42,'Data Vlaue (Cr)'!$C:$FB,11)*100</f>
        <v>-0.94000000000000006</v>
      </c>
      <c r="D42" s="50">
        <f>VLOOKUP($A42,'Data Vlaue (Cr)'!$C:$FB,143)</f>
        <v>5162.4799999999996</v>
      </c>
      <c r="E42" s="50">
        <f>VLOOKUP($A42,'Data Vlaue (Cr)'!$C:$FB,144)</f>
        <v>2415.71</v>
      </c>
      <c r="F42" s="50">
        <f>VLOOKUP($A42,'Data Vlaue (Cr)'!$C:$FB,146)*100</f>
        <v>113.7</v>
      </c>
      <c r="G42" s="49">
        <f>VLOOKUP($A42,'Data Vlaue (Cr)'!$C:$FB,43)</f>
        <v>1012</v>
      </c>
      <c r="H42" s="49">
        <f>VLOOKUP($A42,'Data Vlaue (Cr)'!$C:$FB,44)</f>
        <v>224</v>
      </c>
      <c r="I42" s="49">
        <f>VLOOKUP($A42,'Data Vlaue (Cr)'!$C:$FB,46)*100</f>
        <v>352.81</v>
      </c>
      <c r="J42" s="51">
        <f>VLOOKUP($A42,'Data Vlaue (Cr)'!$C:$FB,59)</f>
        <v>2635</v>
      </c>
      <c r="K42" s="51">
        <f>VLOOKUP($A42,'Data Vlaue (Cr)'!$C:$FB,60)</f>
        <v>1633</v>
      </c>
      <c r="L42" s="51">
        <f>VLOOKUP($A42,'Data Vlaue (Cr)'!$C:$FB,62)*100</f>
        <v>61.370000000000005</v>
      </c>
      <c r="M42" s="51">
        <f>VLOOKUP($A42,'Data Vlaue (Cr)'!$C:$FB,63)</f>
        <v>1437</v>
      </c>
      <c r="N42" s="51">
        <f>VLOOKUP($A42,'Data Vlaue (Cr)'!$C:$FB,64)</f>
        <v>497</v>
      </c>
      <c r="O42" s="51">
        <f>VLOOKUP($A42,'Data Vlaue (Cr)'!$C:$FB,66)*100</f>
        <v>189.09</v>
      </c>
    </row>
    <row r="43" spans="1:15" x14ac:dyDescent="0.25">
      <c r="A43" s="101" t="str">
        <f>'Data Vlaue (Cr)'!C38</f>
        <v>BSE</v>
      </c>
      <c r="B43" s="50">
        <f>VLOOKUP($A43,'Data Vlaue (Cr)'!$C:$FB,8)</f>
        <v>2895.5</v>
      </c>
      <c r="C43" s="50">
        <f>VLOOKUP($A43,'Data Vlaue (Cr)'!$C:$FB,11)*100</f>
        <v>-0.1</v>
      </c>
      <c r="D43" s="50">
        <f>VLOOKUP($A43,'Data Vlaue (Cr)'!$C:$FB,143)</f>
        <v>28155.14</v>
      </c>
      <c r="E43" s="50">
        <f>VLOOKUP($A43,'Data Vlaue (Cr)'!$C:$FB,144)</f>
        <v>18644.91</v>
      </c>
      <c r="F43" s="50">
        <f>VLOOKUP($A43,'Data Vlaue (Cr)'!$C:$FB,146)*100</f>
        <v>51.01</v>
      </c>
      <c r="G43" s="49">
        <f>VLOOKUP($A43,'Data Vlaue (Cr)'!$C:$FB,43)</f>
        <v>2688</v>
      </c>
      <c r="H43" s="49">
        <f>VLOOKUP($A43,'Data Vlaue (Cr)'!$C:$FB,44)</f>
        <v>1351</v>
      </c>
      <c r="I43" s="49">
        <f>VLOOKUP($A43,'Data Vlaue (Cr)'!$C:$FB,46)*100</f>
        <v>98.960000000000008</v>
      </c>
      <c r="J43" s="51">
        <f>VLOOKUP($A43,'Data Vlaue (Cr)'!$C:$FB,59)</f>
        <v>14642</v>
      </c>
      <c r="K43" s="51">
        <f>VLOOKUP($A43,'Data Vlaue (Cr)'!$C:$FB,60)</f>
        <v>10811</v>
      </c>
      <c r="L43" s="51">
        <f>VLOOKUP($A43,'Data Vlaue (Cr)'!$C:$FB,62)*100</f>
        <v>35.44</v>
      </c>
      <c r="M43" s="51">
        <f>VLOOKUP($A43,'Data Vlaue (Cr)'!$C:$FB,63)</f>
        <v>10421</v>
      </c>
      <c r="N43" s="51">
        <f>VLOOKUP($A43,'Data Vlaue (Cr)'!$C:$FB,64)</f>
        <v>6446</v>
      </c>
      <c r="O43" s="51">
        <f>VLOOKUP($A43,'Data Vlaue (Cr)'!$C:$FB,66)*100</f>
        <v>61.660000000000004</v>
      </c>
    </row>
    <row r="44" spans="1:15" x14ac:dyDescent="0.25">
      <c r="A44" s="101" t="str">
        <f>'Data Vlaue (Cr)'!C39</f>
        <v>CAMS</v>
      </c>
      <c r="B44" s="50">
        <f>VLOOKUP($A44,'Data Vlaue (Cr)'!$C:$FB,8)</f>
        <v>4014.5</v>
      </c>
      <c r="C44" s="50">
        <f>VLOOKUP($A44,'Data Vlaue (Cr)'!$C:$FB,11)*100</f>
        <v>2.1800000000000002</v>
      </c>
      <c r="D44" s="50">
        <f>VLOOKUP($A44,'Data Vlaue (Cr)'!$C:$FB,143)</f>
        <v>7188.95</v>
      </c>
      <c r="E44" s="50">
        <f>VLOOKUP($A44,'Data Vlaue (Cr)'!$C:$FB,144)</f>
        <v>1186.33</v>
      </c>
      <c r="F44" s="50">
        <f>VLOOKUP($A44,'Data Vlaue (Cr)'!$C:$FB,146)*100</f>
        <v>505.98</v>
      </c>
      <c r="G44" s="49">
        <f>VLOOKUP($A44,'Data Vlaue (Cr)'!$C:$FB,43)</f>
        <v>802</v>
      </c>
      <c r="H44" s="49">
        <f>VLOOKUP($A44,'Data Vlaue (Cr)'!$C:$FB,44)</f>
        <v>182</v>
      </c>
      <c r="I44" s="49">
        <f>VLOOKUP($A44,'Data Vlaue (Cr)'!$C:$FB,46)*100</f>
        <v>341.05</v>
      </c>
      <c r="J44" s="51">
        <f>VLOOKUP($A44,'Data Vlaue (Cr)'!$C:$FB,59)</f>
        <v>4751</v>
      </c>
      <c r="K44" s="51">
        <f>VLOOKUP($A44,'Data Vlaue (Cr)'!$C:$FB,60)</f>
        <v>801</v>
      </c>
      <c r="L44" s="51">
        <f>VLOOKUP($A44,'Data Vlaue (Cr)'!$C:$FB,62)*100</f>
        <v>493.38</v>
      </c>
      <c r="M44" s="51">
        <f>VLOOKUP($A44,'Data Vlaue (Cr)'!$C:$FB,63)</f>
        <v>1518</v>
      </c>
      <c r="N44" s="51">
        <f>VLOOKUP($A44,'Data Vlaue (Cr)'!$C:$FB,64)</f>
        <v>198</v>
      </c>
      <c r="O44" s="51">
        <f>VLOOKUP($A44,'Data Vlaue (Cr)'!$C:$FB,66)*100</f>
        <v>666.27</v>
      </c>
    </row>
    <row r="45" spans="1:15" x14ac:dyDescent="0.25">
      <c r="A45" s="101" t="str">
        <f>'Data Vlaue (Cr)'!C40</f>
        <v>CANBK</v>
      </c>
      <c r="B45" s="50">
        <f>VLOOKUP($A45,'Data Vlaue (Cr)'!$C:$FB,8)</f>
        <v>147.94</v>
      </c>
      <c r="C45" s="50">
        <f>VLOOKUP($A45,'Data Vlaue (Cr)'!$C:$FB,11)*100</f>
        <v>-1.6199999999999999</v>
      </c>
      <c r="D45" s="50">
        <f>VLOOKUP($A45,'Data Vlaue (Cr)'!$C:$FB,143)</f>
        <v>6208.06</v>
      </c>
      <c r="E45" s="50">
        <f>VLOOKUP($A45,'Data Vlaue (Cr)'!$C:$FB,144)</f>
        <v>6192.24</v>
      </c>
      <c r="F45" s="50">
        <f>VLOOKUP($A45,'Data Vlaue (Cr)'!$C:$FB,146)*100</f>
        <v>0.26</v>
      </c>
      <c r="G45" s="49">
        <f>VLOOKUP($A45,'Data Vlaue (Cr)'!$C:$FB,43)</f>
        <v>1306</v>
      </c>
      <c r="H45" s="49">
        <f>VLOOKUP($A45,'Data Vlaue (Cr)'!$C:$FB,44)</f>
        <v>816</v>
      </c>
      <c r="I45" s="49">
        <f>VLOOKUP($A45,'Data Vlaue (Cr)'!$C:$FB,46)*100</f>
        <v>60.029999999999994</v>
      </c>
      <c r="J45" s="51">
        <f>VLOOKUP($A45,'Data Vlaue (Cr)'!$C:$FB,59)</f>
        <v>2963</v>
      </c>
      <c r="K45" s="51">
        <f>VLOOKUP($A45,'Data Vlaue (Cr)'!$C:$FB,60)</f>
        <v>3179</v>
      </c>
      <c r="L45" s="51">
        <f>VLOOKUP($A45,'Data Vlaue (Cr)'!$C:$FB,62)*100</f>
        <v>-6.79</v>
      </c>
      <c r="M45" s="51">
        <f>VLOOKUP($A45,'Data Vlaue (Cr)'!$C:$FB,63)</f>
        <v>1829</v>
      </c>
      <c r="N45" s="51">
        <f>VLOOKUP($A45,'Data Vlaue (Cr)'!$C:$FB,64)</f>
        <v>2108</v>
      </c>
      <c r="O45" s="51">
        <f>VLOOKUP($A45,'Data Vlaue (Cr)'!$C:$FB,66)*100</f>
        <v>-13.25</v>
      </c>
    </row>
    <row r="46" spans="1:15" x14ac:dyDescent="0.25">
      <c r="A46" s="101" t="str">
        <f>'Data Vlaue (Cr)'!C41</f>
        <v>CDSL</v>
      </c>
      <c r="B46" s="50">
        <f>VLOOKUP($A46,'Data Vlaue (Cr)'!$C:$FB,8)</f>
        <v>1640.1</v>
      </c>
      <c r="C46" s="50">
        <f>VLOOKUP($A46,'Data Vlaue (Cr)'!$C:$FB,11)*100</f>
        <v>1.0699999999999998</v>
      </c>
      <c r="D46" s="50">
        <f>VLOOKUP($A46,'Data Vlaue (Cr)'!$C:$FB,143)</f>
        <v>16279.03</v>
      </c>
      <c r="E46" s="50">
        <f>VLOOKUP($A46,'Data Vlaue (Cr)'!$C:$FB,144)</f>
        <v>5119.21</v>
      </c>
      <c r="F46" s="50">
        <f>VLOOKUP($A46,'Data Vlaue (Cr)'!$C:$FB,146)*100</f>
        <v>218.00000000000003</v>
      </c>
      <c r="G46" s="49">
        <f>VLOOKUP($A46,'Data Vlaue (Cr)'!$C:$FB,43)</f>
        <v>1799</v>
      </c>
      <c r="H46" s="49">
        <f>VLOOKUP($A46,'Data Vlaue (Cr)'!$C:$FB,44)</f>
        <v>558</v>
      </c>
      <c r="I46" s="49">
        <f>VLOOKUP($A46,'Data Vlaue (Cr)'!$C:$FB,46)*100</f>
        <v>222.44000000000003</v>
      </c>
      <c r="J46" s="51">
        <f>VLOOKUP($A46,'Data Vlaue (Cr)'!$C:$FB,59)</f>
        <v>10763</v>
      </c>
      <c r="K46" s="51">
        <f>VLOOKUP($A46,'Data Vlaue (Cr)'!$C:$FB,60)</f>
        <v>3127</v>
      </c>
      <c r="L46" s="51">
        <f>VLOOKUP($A46,'Data Vlaue (Cr)'!$C:$FB,62)*100</f>
        <v>244.20999999999998</v>
      </c>
      <c r="M46" s="51">
        <f>VLOOKUP($A46,'Data Vlaue (Cr)'!$C:$FB,63)</f>
        <v>3306</v>
      </c>
      <c r="N46" s="51">
        <f>VLOOKUP($A46,'Data Vlaue (Cr)'!$C:$FB,64)</f>
        <v>1421</v>
      </c>
      <c r="O46" s="51">
        <f>VLOOKUP($A46,'Data Vlaue (Cr)'!$C:$FB,66)*100</f>
        <v>132.68</v>
      </c>
    </row>
    <row r="47" spans="1:15" x14ac:dyDescent="0.25">
      <c r="A47" s="101" t="str">
        <f>'Data Vlaue (Cr)'!C42</f>
        <v>CGPOWER</v>
      </c>
      <c r="B47" s="50">
        <f>VLOOKUP($A47,'Data Vlaue (Cr)'!$C:$FB,8)</f>
        <v>721.25</v>
      </c>
      <c r="C47" s="50">
        <f>VLOOKUP($A47,'Data Vlaue (Cr)'!$C:$FB,11)*100</f>
        <v>-0.38999999999999996</v>
      </c>
      <c r="D47" s="50">
        <f>VLOOKUP($A47,'Data Vlaue (Cr)'!$C:$FB,143)</f>
        <v>1525.87</v>
      </c>
      <c r="E47" s="50">
        <f>VLOOKUP($A47,'Data Vlaue (Cr)'!$C:$FB,144)</f>
        <v>1047.71</v>
      </c>
      <c r="F47" s="50">
        <f>VLOOKUP($A47,'Data Vlaue (Cr)'!$C:$FB,146)*100</f>
        <v>45.64</v>
      </c>
      <c r="G47" s="49">
        <f>VLOOKUP($A47,'Data Vlaue (Cr)'!$C:$FB,43)</f>
        <v>699</v>
      </c>
      <c r="H47" s="49">
        <f>VLOOKUP($A47,'Data Vlaue (Cr)'!$C:$FB,44)</f>
        <v>206</v>
      </c>
      <c r="I47" s="49">
        <f>VLOOKUP($A47,'Data Vlaue (Cr)'!$C:$FB,46)*100</f>
        <v>239.25</v>
      </c>
      <c r="J47" s="51">
        <f>VLOOKUP($A47,'Data Vlaue (Cr)'!$C:$FB,59)</f>
        <v>558</v>
      </c>
      <c r="K47" s="51">
        <f>VLOOKUP($A47,'Data Vlaue (Cr)'!$C:$FB,60)</f>
        <v>598</v>
      </c>
      <c r="L47" s="51">
        <f>VLOOKUP($A47,'Data Vlaue (Cr)'!$C:$FB,62)*100</f>
        <v>-6.68</v>
      </c>
      <c r="M47" s="51">
        <f>VLOOKUP($A47,'Data Vlaue (Cr)'!$C:$FB,63)</f>
        <v>245</v>
      </c>
      <c r="N47" s="51">
        <f>VLOOKUP($A47,'Data Vlaue (Cr)'!$C:$FB,64)</f>
        <v>216</v>
      </c>
      <c r="O47" s="51">
        <f>VLOOKUP($A47,'Data Vlaue (Cr)'!$C:$FB,66)*100</f>
        <v>13.850000000000001</v>
      </c>
    </row>
    <row r="48" spans="1:15" x14ac:dyDescent="0.25">
      <c r="A48" s="101" t="str">
        <f>'Data Vlaue (Cr)'!C43</f>
        <v>CHOLAFIN</v>
      </c>
      <c r="B48" s="50">
        <f>VLOOKUP($A48,'Data Vlaue (Cr)'!$C:$FB,8)</f>
        <v>1703.2</v>
      </c>
      <c r="C48" s="50">
        <f>VLOOKUP($A48,'Data Vlaue (Cr)'!$C:$FB,11)*100</f>
        <v>1.5</v>
      </c>
      <c r="D48" s="50">
        <f>VLOOKUP($A48,'Data Vlaue (Cr)'!$C:$FB,143)</f>
        <v>3962.07</v>
      </c>
      <c r="E48" s="50">
        <f>VLOOKUP($A48,'Data Vlaue (Cr)'!$C:$FB,144)</f>
        <v>2641.79</v>
      </c>
      <c r="F48" s="50">
        <f>VLOOKUP($A48,'Data Vlaue (Cr)'!$C:$FB,146)*100</f>
        <v>49.980000000000004</v>
      </c>
      <c r="G48" s="49">
        <f>VLOOKUP($A48,'Data Vlaue (Cr)'!$C:$FB,43)</f>
        <v>1931</v>
      </c>
      <c r="H48" s="49">
        <f>VLOOKUP($A48,'Data Vlaue (Cr)'!$C:$FB,44)</f>
        <v>743</v>
      </c>
      <c r="I48" s="49">
        <f>VLOOKUP($A48,'Data Vlaue (Cr)'!$C:$FB,46)*100</f>
        <v>159.91999999999999</v>
      </c>
      <c r="J48" s="51">
        <f>VLOOKUP($A48,'Data Vlaue (Cr)'!$C:$FB,59)</f>
        <v>1354</v>
      </c>
      <c r="K48" s="51">
        <f>VLOOKUP($A48,'Data Vlaue (Cr)'!$C:$FB,60)</f>
        <v>1159</v>
      </c>
      <c r="L48" s="51">
        <f>VLOOKUP($A48,'Data Vlaue (Cr)'!$C:$FB,62)*100</f>
        <v>16.830000000000002</v>
      </c>
      <c r="M48" s="51">
        <f>VLOOKUP($A48,'Data Vlaue (Cr)'!$C:$FB,63)</f>
        <v>689</v>
      </c>
      <c r="N48" s="51">
        <f>VLOOKUP($A48,'Data Vlaue (Cr)'!$C:$FB,64)</f>
        <v>738</v>
      </c>
      <c r="O48" s="51">
        <f>VLOOKUP($A48,'Data Vlaue (Cr)'!$C:$FB,66)*100</f>
        <v>-6.5500000000000007</v>
      </c>
    </row>
    <row r="49" spans="1:15" x14ac:dyDescent="0.25">
      <c r="A49" s="101" t="str">
        <f>'Data Vlaue (Cr)'!C44</f>
        <v>CIPLA</v>
      </c>
      <c r="B49" s="50">
        <f>VLOOKUP($A49,'Data Vlaue (Cr)'!$C:$FB,8)</f>
        <v>1529.2</v>
      </c>
      <c r="C49" s="50">
        <f>VLOOKUP($A49,'Data Vlaue (Cr)'!$C:$FB,11)*100</f>
        <v>0.16</v>
      </c>
      <c r="D49" s="50">
        <f>VLOOKUP($A49,'Data Vlaue (Cr)'!$C:$FB,143)</f>
        <v>2756.05</v>
      </c>
      <c r="E49" s="50">
        <f>VLOOKUP($A49,'Data Vlaue (Cr)'!$C:$FB,144)</f>
        <v>2374.5100000000002</v>
      </c>
      <c r="F49" s="50">
        <f>VLOOKUP($A49,'Data Vlaue (Cr)'!$C:$FB,146)*100</f>
        <v>16.07</v>
      </c>
      <c r="G49" s="49">
        <f>VLOOKUP($A49,'Data Vlaue (Cr)'!$C:$FB,43)</f>
        <v>1192</v>
      </c>
      <c r="H49" s="49">
        <f>VLOOKUP($A49,'Data Vlaue (Cr)'!$C:$FB,44)</f>
        <v>337</v>
      </c>
      <c r="I49" s="49">
        <f>VLOOKUP($A49,'Data Vlaue (Cr)'!$C:$FB,46)*100</f>
        <v>253.9</v>
      </c>
      <c r="J49" s="51">
        <f>VLOOKUP($A49,'Data Vlaue (Cr)'!$C:$FB,59)</f>
        <v>1093</v>
      </c>
      <c r="K49" s="51">
        <f>VLOOKUP($A49,'Data Vlaue (Cr)'!$C:$FB,60)</f>
        <v>1448</v>
      </c>
      <c r="L49" s="51">
        <f>VLOOKUP($A49,'Data Vlaue (Cr)'!$C:$FB,62)*100</f>
        <v>-24.51</v>
      </c>
      <c r="M49" s="51">
        <f>VLOOKUP($A49,'Data Vlaue (Cr)'!$C:$FB,63)</f>
        <v>437</v>
      </c>
      <c r="N49" s="51">
        <f>VLOOKUP($A49,'Data Vlaue (Cr)'!$C:$FB,64)</f>
        <v>564</v>
      </c>
      <c r="O49" s="51">
        <f>VLOOKUP($A49,'Data Vlaue (Cr)'!$C:$FB,66)*100</f>
        <v>-22.5</v>
      </c>
    </row>
    <row r="50" spans="1:15" x14ac:dyDescent="0.25">
      <c r="A50" s="101" t="str">
        <f>'Data Vlaue (Cr)'!C45</f>
        <v>COALINDIA</v>
      </c>
      <c r="B50" s="50">
        <f>VLOOKUP($A50,'Data Vlaue (Cr)'!$C:$FB,8)</f>
        <v>379.65</v>
      </c>
      <c r="C50" s="50">
        <f>VLOOKUP($A50,'Data Vlaue (Cr)'!$C:$FB,11)*100</f>
        <v>0.16</v>
      </c>
      <c r="D50" s="50">
        <f>VLOOKUP($A50,'Data Vlaue (Cr)'!$C:$FB,143)</f>
        <v>2050.15</v>
      </c>
      <c r="E50" s="50">
        <f>VLOOKUP($A50,'Data Vlaue (Cr)'!$C:$FB,144)</f>
        <v>1588.42</v>
      </c>
      <c r="F50" s="50">
        <f>VLOOKUP($A50,'Data Vlaue (Cr)'!$C:$FB,146)*100</f>
        <v>29.07</v>
      </c>
      <c r="G50" s="49">
        <f>VLOOKUP($A50,'Data Vlaue (Cr)'!$C:$FB,43)</f>
        <v>1176</v>
      </c>
      <c r="H50" s="49">
        <f>VLOOKUP($A50,'Data Vlaue (Cr)'!$C:$FB,44)</f>
        <v>311</v>
      </c>
      <c r="I50" s="49">
        <f>VLOOKUP($A50,'Data Vlaue (Cr)'!$C:$FB,46)*100</f>
        <v>278.08000000000004</v>
      </c>
      <c r="J50" s="51">
        <f>VLOOKUP($A50,'Data Vlaue (Cr)'!$C:$FB,59)</f>
        <v>541</v>
      </c>
      <c r="K50" s="51">
        <f>VLOOKUP($A50,'Data Vlaue (Cr)'!$C:$FB,60)</f>
        <v>817</v>
      </c>
      <c r="L50" s="51">
        <f>VLOOKUP($A50,'Data Vlaue (Cr)'!$C:$FB,62)*100</f>
        <v>-33.839999999999996</v>
      </c>
      <c r="M50" s="51">
        <f>VLOOKUP($A50,'Data Vlaue (Cr)'!$C:$FB,63)</f>
        <v>315</v>
      </c>
      <c r="N50" s="51">
        <f>VLOOKUP($A50,'Data Vlaue (Cr)'!$C:$FB,64)</f>
        <v>435</v>
      </c>
      <c r="O50" s="51">
        <f>VLOOKUP($A50,'Data Vlaue (Cr)'!$C:$FB,66)*100</f>
        <v>-27.61</v>
      </c>
    </row>
    <row r="51" spans="1:15" x14ac:dyDescent="0.25">
      <c r="A51" s="101" t="str">
        <f>'Data Vlaue (Cr)'!C46</f>
        <v>COFORGE</v>
      </c>
      <c r="B51" s="50">
        <f>VLOOKUP($A51,'Data Vlaue (Cr)'!$C:$FB,8)</f>
        <v>1846.1</v>
      </c>
      <c r="C51" s="50">
        <f>VLOOKUP($A51,'Data Vlaue (Cr)'!$C:$FB,11)*100</f>
        <v>-0.65</v>
      </c>
      <c r="D51" s="50">
        <f>VLOOKUP($A51,'Data Vlaue (Cr)'!$C:$FB,143)</f>
        <v>7311.12</v>
      </c>
      <c r="E51" s="50">
        <f>VLOOKUP($A51,'Data Vlaue (Cr)'!$C:$FB,144)</f>
        <v>8372.18</v>
      </c>
      <c r="F51" s="50">
        <f>VLOOKUP($A51,'Data Vlaue (Cr)'!$C:$FB,146)*100</f>
        <v>-12.67</v>
      </c>
      <c r="G51" s="49">
        <f>VLOOKUP($A51,'Data Vlaue (Cr)'!$C:$FB,43)</f>
        <v>1655</v>
      </c>
      <c r="H51" s="49">
        <f>VLOOKUP($A51,'Data Vlaue (Cr)'!$C:$FB,44)</f>
        <v>856</v>
      </c>
      <c r="I51" s="49">
        <f>VLOOKUP($A51,'Data Vlaue (Cr)'!$C:$FB,46)*100</f>
        <v>93.36</v>
      </c>
      <c r="J51" s="51">
        <f>VLOOKUP($A51,'Data Vlaue (Cr)'!$C:$FB,59)</f>
        <v>4015</v>
      </c>
      <c r="K51" s="51">
        <f>VLOOKUP($A51,'Data Vlaue (Cr)'!$C:$FB,60)</f>
        <v>5681</v>
      </c>
      <c r="L51" s="51">
        <f>VLOOKUP($A51,'Data Vlaue (Cr)'!$C:$FB,62)*100</f>
        <v>-29.32</v>
      </c>
      <c r="M51" s="51">
        <f>VLOOKUP($A51,'Data Vlaue (Cr)'!$C:$FB,63)</f>
        <v>1492</v>
      </c>
      <c r="N51" s="51">
        <f>VLOOKUP($A51,'Data Vlaue (Cr)'!$C:$FB,64)</f>
        <v>1781</v>
      </c>
      <c r="O51" s="51">
        <f>VLOOKUP($A51,'Data Vlaue (Cr)'!$C:$FB,66)*100</f>
        <v>-16.189999999999998</v>
      </c>
    </row>
    <row r="52" spans="1:15" x14ac:dyDescent="0.25">
      <c r="A52" s="101" t="str">
        <f>'Data Vlaue (Cr)'!C47</f>
        <v>COLPAL</v>
      </c>
      <c r="B52" s="50">
        <f>VLOOKUP($A52,'Data Vlaue (Cr)'!$C:$FB,8)</f>
        <v>2179.6999999999998</v>
      </c>
      <c r="C52" s="50">
        <f>VLOOKUP($A52,'Data Vlaue (Cr)'!$C:$FB,11)*100</f>
        <v>-0.16999999999999998</v>
      </c>
      <c r="D52" s="50">
        <f>VLOOKUP($A52,'Data Vlaue (Cr)'!$C:$FB,143)</f>
        <v>3043.04</v>
      </c>
      <c r="E52" s="50">
        <f>VLOOKUP($A52,'Data Vlaue (Cr)'!$C:$FB,144)</f>
        <v>641.20000000000005</v>
      </c>
      <c r="F52" s="50">
        <f>VLOOKUP($A52,'Data Vlaue (Cr)'!$C:$FB,146)*100</f>
        <v>374.59</v>
      </c>
      <c r="G52" s="49">
        <f>VLOOKUP($A52,'Data Vlaue (Cr)'!$C:$FB,43)</f>
        <v>1444</v>
      </c>
      <c r="H52" s="49">
        <f>VLOOKUP($A52,'Data Vlaue (Cr)'!$C:$FB,44)</f>
        <v>163</v>
      </c>
      <c r="I52" s="49">
        <f>VLOOKUP($A52,'Data Vlaue (Cr)'!$C:$FB,46)*100</f>
        <v>787.01</v>
      </c>
      <c r="J52" s="51">
        <f>VLOOKUP($A52,'Data Vlaue (Cr)'!$C:$FB,59)</f>
        <v>1215</v>
      </c>
      <c r="K52" s="51">
        <f>VLOOKUP($A52,'Data Vlaue (Cr)'!$C:$FB,60)</f>
        <v>345</v>
      </c>
      <c r="L52" s="51">
        <f>VLOOKUP($A52,'Data Vlaue (Cr)'!$C:$FB,62)*100</f>
        <v>252.29</v>
      </c>
      <c r="M52" s="51">
        <f>VLOOKUP($A52,'Data Vlaue (Cr)'!$C:$FB,63)</f>
        <v>327</v>
      </c>
      <c r="N52" s="51">
        <f>VLOOKUP($A52,'Data Vlaue (Cr)'!$C:$FB,64)</f>
        <v>124</v>
      </c>
      <c r="O52" s="51">
        <f>VLOOKUP($A52,'Data Vlaue (Cr)'!$C:$FB,66)*100</f>
        <v>163.42000000000002</v>
      </c>
    </row>
    <row r="53" spans="1:15" x14ac:dyDescent="0.25">
      <c r="A53" s="101" t="str">
        <f>'Data Vlaue (Cr)'!C48</f>
        <v>CONCOR</v>
      </c>
      <c r="B53" s="50">
        <f>VLOOKUP($A53,'Data Vlaue (Cr)'!$C:$FB,8)</f>
        <v>515.4</v>
      </c>
      <c r="C53" s="50">
        <f>VLOOKUP($A53,'Data Vlaue (Cr)'!$C:$FB,11)*100</f>
        <v>-0.42</v>
      </c>
      <c r="D53" s="50">
        <f>VLOOKUP($A53,'Data Vlaue (Cr)'!$C:$FB,143)</f>
        <v>2393.6799999999998</v>
      </c>
      <c r="E53" s="50">
        <f>VLOOKUP($A53,'Data Vlaue (Cr)'!$C:$FB,144)</f>
        <v>2063.1999999999998</v>
      </c>
      <c r="F53" s="50">
        <f>VLOOKUP($A53,'Data Vlaue (Cr)'!$C:$FB,146)*100</f>
        <v>16.02</v>
      </c>
      <c r="G53" s="49">
        <f>VLOOKUP($A53,'Data Vlaue (Cr)'!$C:$FB,43)</f>
        <v>1041</v>
      </c>
      <c r="H53" s="49">
        <f>VLOOKUP($A53,'Data Vlaue (Cr)'!$C:$FB,44)</f>
        <v>364</v>
      </c>
      <c r="I53" s="49">
        <f>VLOOKUP($A53,'Data Vlaue (Cr)'!$C:$FB,46)*100</f>
        <v>186.34</v>
      </c>
      <c r="J53" s="51">
        <f>VLOOKUP($A53,'Data Vlaue (Cr)'!$C:$FB,59)</f>
        <v>937</v>
      </c>
      <c r="K53" s="51">
        <f>VLOOKUP($A53,'Data Vlaue (Cr)'!$C:$FB,60)</f>
        <v>1236</v>
      </c>
      <c r="L53" s="51">
        <f>VLOOKUP($A53,'Data Vlaue (Cr)'!$C:$FB,62)*100</f>
        <v>-24.169999999999998</v>
      </c>
      <c r="M53" s="51">
        <f>VLOOKUP($A53,'Data Vlaue (Cr)'!$C:$FB,63)</f>
        <v>353</v>
      </c>
      <c r="N53" s="51">
        <f>VLOOKUP($A53,'Data Vlaue (Cr)'!$C:$FB,64)</f>
        <v>397</v>
      </c>
      <c r="O53" s="51">
        <f>VLOOKUP($A53,'Data Vlaue (Cr)'!$C:$FB,66)*100</f>
        <v>-11.1</v>
      </c>
    </row>
    <row r="54" spans="1:15" x14ac:dyDescent="0.25">
      <c r="A54" s="101" t="str">
        <f>'Data Vlaue (Cr)'!C49</f>
        <v>CROMPTON</v>
      </c>
      <c r="B54" s="50">
        <f>VLOOKUP($A54,'Data Vlaue (Cr)'!$C:$FB,8)</f>
        <v>270</v>
      </c>
      <c r="C54" s="50">
        <f>VLOOKUP($A54,'Data Vlaue (Cr)'!$C:$FB,11)*100</f>
        <v>-1.5699999999999998</v>
      </c>
      <c r="D54" s="50">
        <f>VLOOKUP($A54,'Data Vlaue (Cr)'!$C:$FB,143)</f>
        <v>1294.78</v>
      </c>
      <c r="E54" s="50">
        <f>VLOOKUP($A54,'Data Vlaue (Cr)'!$C:$FB,144)</f>
        <v>669.99</v>
      </c>
      <c r="F54" s="50">
        <f>VLOOKUP($A54,'Data Vlaue (Cr)'!$C:$FB,146)*100</f>
        <v>93.25</v>
      </c>
      <c r="G54" s="49">
        <f>VLOOKUP($A54,'Data Vlaue (Cr)'!$C:$FB,43)</f>
        <v>578</v>
      </c>
      <c r="H54" s="49">
        <f>VLOOKUP($A54,'Data Vlaue (Cr)'!$C:$FB,44)</f>
        <v>144</v>
      </c>
      <c r="I54" s="49">
        <f>VLOOKUP($A54,'Data Vlaue (Cr)'!$C:$FB,46)*100</f>
        <v>300.81</v>
      </c>
      <c r="J54" s="51">
        <f>VLOOKUP($A54,'Data Vlaue (Cr)'!$C:$FB,59)</f>
        <v>513</v>
      </c>
      <c r="K54" s="51">
        <f>VLOOKUP($A54,'Data Vlaue (Cr)'!$C:$FB,60)</f>
        <v>406</v>
      </c>
      <c r="L54" s="51">
        <f>VLOOKUP($A54,'Data Vlaue (Cr)'!$C:$FB,62)*100</f>
        <v>26.279999999999998</v>
      </c>
      <c r="M54" s="51">
        <f>VLOOKUP($A54,'Data Vlaue (Cr)'!$C:$FB,63)</f>
        <v>154</v>
      </c>
      <c r="N54" s="51">
        <f>VLOOKUP($A54,'Data Vlaue (Cr)'!$C:$FB,64)</f>
        <v>84</v>
      </c>
      <c r="O54" s="51">
        <f>VLOOKUP($A54,'Data Vlaue (Cr)'!$C:$FB,66)*100</f>
        <v>84.179999999999993</v>
      </c>
    </row>
    <row r="55" spans="1:15" x14ac:dyDescent="0.25">
      <c r="A55" s="101" t="str">
        <f>'Data Vlaue (Cr)'!C50</f>
        <v>CUMMINSIND</v>
      </c>
      <c r="B55" s="50">
        <f>VLOOKUP($A55,'Data Vlaue (Cr)'!$C:$FB,8)</f>
        <v>4375.7</v>
      </c>
      <c r="C55" s="50">
        <f>VLOOKUP($A55,'Data Vlaue (Cr)'!$C:$FB,11)*100</f>
        <v>2.68</v>
      </c>
      <c r="D55" s="50">
        <f>VLOOKUP($A55,'Data Vlaue (Cr)'!$C:$FB,143)</f>
        <v>9541.02</v>
      </c>
      <c r="E55" s="50">
        <f>VLOOKUP($A55,'Data Vlaue (Cr)'!$C:$FB,144)</f>
        <v>3311.96</v>
      </c>
      <c r="F55" s="50">
        <f>VLOOKUP($A55,'Data Vlaue (Cr)'!$C:$FB,146)*100</f>
        <v>188.08</v>
      </c>
      <c r="G55" s="49">
        <f>VLOOKUP($A55,'Data Vlaue (Cr)'!$C:$FB,43)</f>
        <v>1191</v>
      </c>
      <c r="H55" s="49">
        <f>VLOOKUP($A55,'Data Vlaue (Cr)'!$C:$FB,44)</f>
        <v>416</v>
      </c>
      <c r="I55" s="49">
        <f>VLOOKUP($A55,'Data Vlaue (Cr)'!$C:$FB,46)*100</f>
        <v>186.10999999999999</v>
      </c>
      <c r="J55" s="51">
        <f>VLOOKUP($A55,'Data Vlaue (Cr)'!$C:$FB,59)</f>
        <v>6602</v>
      </c>
      <c r="K55" s="51">
        <f>VLOOKUP($A55,'Data Vlaue (Cr)'!$C:$FB,60)</f>
        <v>1956</v>
      </c>
      <c r="L55" s="51">
        <f>VLOOKUP($A55,'Data Vlaue (Cr)'!$C:$FB,62)*100</f>
        <v>237.54</v>
      </c>
      <c r="M55" s="51">
        <f>VLOOKUP($A55,'Data Vlaue (Cr)'!$C:$FB,63)</f>
        <v>1640</v>
      </c>
      <c r="N55" s="51">
        <f>VLOOKUP($A55,'Data Vlaue (Cr)'!$C:$FB,64)</f>
        <v>979</v>
      </c>
      <c r="O55" s="51">
        <f>VLOOKUP($A55,'Data Vlaue (Cr)'!$C:$FB,66)*100</f>
        <v>67.5</v>
      </c>
    </row>
    <row r="56" spans="1:15" x14ac:dyDescent="0.25">
      <c r="A56" s="101" t="str">
        <f>'Data Vlaue (Cr)'!C51</f>
        <v>CYIENT</v>
      </c>
      <c r="B56" s="50">
        <f>VLOOKUP($A56,'Data Vlaue (Cr)'!$C:$FB,8)</f>
        <v>1148.9000000000001</v>
      </c>
      <c r="C56" s="50">
        <f>VLOOKUP($A56,'Data Vlaue (Cr)'!$C:$FB,11)*100</f>
        <v>-0.32</v>
      </c>
      <c r="D56" s="50">
        <f>VLOOKUP($A56,'Data Vlaue (Cr)'!$C:$FB,143)</f>
        <v>522.25</v>
      </c>
      <c r="E56" s="50">
        <f>VLOOKUP($A56,'Data Vlaue (Cr)'!$C:$FB,144)</f>
        <v>1034.8900000000001</v>
      </c>
      <c r="F56" s="50">
        <f>VLOOKUP($A56,'Data Vlaue (Cr)'!$C:$FB,146)*100</f>
        <v>-49.54</v>
      </c>
      <c r="G56" s="49">
        <f>VLOOKUP($A56,'Data Vlaue (Cr)'!$C:$FB,43)</f>
        <v>279</v>
      </c>
      <c r="H56" s="49">
        <f>VLOOKUP($A56,'Data Vlaue (Cr)'!$C:$FB,44)</f>
        <v>136</v>
      </c>
      <c r="I56" s="49">
        <f>VLOOKUP($A56,'Data Vlaue (Cr)'!$C:$FB,46)*100</f>
        <v>105.82000000000001</v>
      </c>
      <c r="J56" s="51">
        <f>VLOOKUP($A56,'Data Vlaue (Cr)'!$C:$FB,59)</f>
        <v>167</v>
      </c>
      <c r="K56" s="51">
        <f>VLOOKUP($A56,'Data Vlaue (Cr)'!$C:$FB,60)</f>
        <v>684</v>
      </c>
      <c r="L56" s="51">
        <f>VLOOKUP($A56,'Data Vlaue (Cr)'!$C:$FB,62)*100</f>
        <v>-75.660000000000011</v>
      </c>
      <c r="M56" s="51">
        <f>VLOOKUP($A56,'Data Vlaue (Cr)'!$C:$FB,63)</f>
        <v>67</v>
      </c>
      <c r="N56" s="51">
        <f>VLOOKUP($A56,'Data Vlaue (Cr)'!$C:$FB,64)</f>
        <v>194</v>
      </c>
      <c r="O56" s="51">
        <f>VLOOKUP($A56,'Data Vlaue (Cr)'!$C:$FB,66)*100</f>
        <v>-65.38000000000001</v>
      </c>
    </row>
    <row r="57" spans="1:15" x14ac:dyDescent="0.25">
      <c r="A57" s="101" t="str">
        <f>'Data Vlaue (Cr)'!C52</f>
        <v>DABUR</v>
      </c>
      <c r="B57" s="50">
        <f>VLOOKUP($A57,'Data Vlaue (Cr)'!$C:$FB,8)</f>
        <v>525.04999999999995</v>
      </c>
      <c r="C57" s="50">
        <f>VLOOKUP($A57,'Data Vlaue (Cr)'!$C:$FB,11)*100</f>
        <v>1.4500000000000002</v>
      </c>
      <c r="D57" s="50">
        <f>VLOOKUP($A57,'Data Vlaue (Cr)'!$C:$FB,143)</f>
        <v>2337.38</v>
      </c>
      <c r="E57" s="50">
        <f>VLOOKUP($A57,'Data Vlaue (Cr)'!$C:$FB,144)</f>
        <v>1533.56</v>
      </c>
      <c r="F57" s="50">
        <f>VLOOKUP($A57,'Data Vlaue (Cr)'!$C:$FB,146)*100</f>
        <v>52.410000000000004</v>
      </c>
      <c r="G57" s="49">
        <f>VLOOKUP($A57,'Data Vlaue (Cr)'!$C:$FB,43)</f>
        <v>928</v>
      </c>
      <c r="H57" s="49">
        <f>VLOOKUP($A57,'Data Vlaue (Cr)'!$C:$FB,44)</f>
        <v>226</v>
      </c>
      <c r="I57" s="49">
        <f>VLOOKUP($A57,'Data Vlaue (Cr)'!$C:$FB,46)*100</f>
        <v>310.5</v>
      </c>
      <c r="J57" s="51">
        <f>VLOOKUP($A57,'Data Vlaue (Cr)'!$C:$FB,59)</f>
        <v>916</v>
      </c>
      <c r="K57" s="51">
        <f>VLOOKUP($A57,'Data Vlaue (Cr)'!$C:$FB,60)</f>
        <v>875</v>
      </c>
      <c r="L57" s="51">
        <f>VLOOKUP($A57,'Data Vlaue (Cr)'!$C:$FB,62)*100</f>
        <v>4.6899999999999995</v>
      </c>
      <c r="M57" s="51">
        <f>VLOOKUP($A57,'Data Vlaue (Cr)'!$C:$FB,63)</f>
        <v>486</v>
      </c>
      <c r="N57" s="51">
        <f>VLOOKUP($A57,'Data Vlaue (Cr)'!$C:$FB,64)</f>
        <v>420</v>
      </c>
      <c r="O57" s="51">
        <f>VLOOKUP($A57,'Data Vlaue (Cr)'!$C:$FB,66)*100</f>
        <v>15.52</v>
      </c>
    </row>
    <row r="58" spans="1:15" x14ac:dyDescent="0.25">
      <c r="A58" s="101" t="str">
        <f>'Data Vlaue (Cr)'!C53</f>
        <v>DALBHARAT</v>
      </c>
      <c r="B58" s="50">
        <f>VLOOKUP($A58,'Data Vlaue (Cr)'!$C:$FB,8)</f>
        <v>2012.1</v>
      </c>
      <c r="C58" s="50">
        <f>VLOOKUP($A58,'Data Vlaue (Cr)'!$C:$FB,11)*100</f>
        <v>-0.45999999999999996</v>
      </c>
      <c r="D58" s="50">
        <f>VLOOKUP($A58,'Data Vlaue (Cr)'!$C:$FB,143)</f>
        <v>422.28</v>
      </c>
      <c r="E58" s="50">
        <f>VLOOKUP($A58,'Data Vlaue (Cr)'!$C:$FB,144)</f>
        <v>910.83</v>
      </c>
      <c r="F58" s="50">
        <f>VLOOKUP($A58,'Data Vlaue (Cr)'!$C:$FB,146)*100</f>
        <v>-53.64</v>
      </c>
      <c r="G58" s="49">
        <f>VLOOKUP($A58,'Data Vlaue (Cr)'!$C:$FB,43)</f>
        <v>218</v>
      </c>
      <c r="H58" s="49">
        <f>VLOOKUP($A58,'Data Vlaue (Cr)'!$C:$FB,44)</f>
        <v>193</v>
      </c>
      <c r="I58" s="49">
        <f>VLOOKUP($A58,'Data Vlaue (Cr)'!$C:$FB,46)*100</f>
        <v>13.3</v>
      </c>
      <c r="J58" s="51">
        <f>VLOOKUP($A58,'Data Vlaue (Cr)'!$C:$FB,59)</f>
        <v>144</v>
      </c>
      <c r="K58" s="51">
        <f>VLOOKUP($A58,'Data Vlaue (Cr)'!$C:$FB,60)</f>
        <v>485</v>
      </c>
      <c r="L58" s="51">
        <f>VLOOKUP($A58,'Data Vlaue (Cr)'!$C:$FB,62)*100</f>
        <v>-70.27</v>
      </c>
      <c r="M58" s="51">
        <f>VLOOKUP($A58,'Data Vlaue (Cr)'!$C:$FB,63)</f>
        <v>53</v>
      </c>
      <c r="N58" s="51">
        <f>VLOOKUP($A58,'Data Vlaue (Cr)'!$C:$FB,64)</f>
        <v>223</v>
      </c>
      <c r="O58" s="51">
        <f>VLOOKUP($A58,'Data Vlaue (Cr)'!$C:$FB,66)*100</f>
        <v>-76.05</v>
      </c>
    </row>
    <row r="59" spans="1:15" x14ac:dyDescent="0.25">
      <c r="A59" s="101" t="str">
        <f>'Data Vlaue (Cr)'!C54</f>
        <v>DELHIVERY</v>
      </c>
      <c r="B59" s="50">
        <f>VLOOKUP($A59,'Data Vlaue (Cr)'!$C:$FB,8)</f>
        <v>426</v>
      </c>
      <c r="C59" s="50">
        <f>VLOOKUP($A59,'Data Vlaue (Cr)'!$C:$FB,11)*100</f>
        <v>-2.29</v>
      </c>
      <c r="D59" s="50">
        <f>VLOOKUP($A59,'Data Vlaue (Cr)'!$C:$FB,143)</f>
        <v>2291.16</v>
      </c>
      <c r="E59" s="50">
        <f>VLOOKUP($A59,'Data Vlaue (Cr)'!$C:$FB,144)</f>
        <v>2376.87</v>
      </c>
      <c r="F59" s="50">
        <f>VLOOKUP($A59,'Data Vlaue (Cr)'!$C:$FB,146)*100</f>
        <v>-3.61</v>
      </c>
      <c r="G59" s="49">
        <f>VLOOKUP($A59,'Data Vlaue (Cr)'!$C:$FB,43)</f>
        <v>447</v>
      </c>
      <c r="H59" s="49">
        <f>VLOOKUP($A59,'Data Vlaue (Cr)'!$C:$FB,44)</f>
        <v>215</v>
      </c>
      <c r="I59" s="49">
        <f>VLOOKUP($A59,'Data Vlaue (Cr)'!$C:$FB,46)*100</f>
        <v>107.82000000000001</v>
      </c>
      <c r="J59" s="51">
        <f>VLOOKUP($A59,'Data Vlaue (Cr)'!$C:$FB,59)</f>
        <v>1277</v>
      </c>
      <c r="K59" s="51">
        <f>VLOOKUP($A59,'Data Vlaue (Cr)'!$C:$FB,60)</f>
        <v>1437</v>
      </c>
      <c r="L59" s="51">
        <f>VLOOKUP($A59,'Data Vlaue (Cr)'!$C:$FB,62)*100</f>
        <v>-11.110000000000001</v>
      </c>
      <c r="M59" s="51">
        <f>VLOOKUP($A59,'Data Vlaue (Cr)'!$C:$FB,63)</f>
        <v>473</v>
      </c>
      <c r="N59" s="51">
        <f>VLOOKUP($A59,'Data Vlaue (Cr)'!$C:$FB,64)</f>
        <v>590</v>
      </c>
      <c r="O59" s="51">
        <f>VLOOKUP($A59,'Data Vlaue (Cr)'!$C:$FB,66)*100</f>
        <v>-19.950000000000003</v>
      </c>
    </row>
    <row r="60" spans="1:15" x14ac:dyDescent="0.25">
      <c r="A60" s="101" t="str">
        <f>'Data Vlaue (Cr)'!C55</f>
        <v>DIVISLAB</v>
      </c>
      <c r="B60" s="50">
        <f>VLOOKUP($A60,'Data Vlaue (Cr)'!$C:$FB,8)</f>
        <v>6462.5</v>
      </c>
      <c r="C60" s="50">
        <f>VLOOKUP($A60,'Data Vlaue (Cr)'!$C:$FB,11)*100</f>
        <v>0.13</v>
      </c>
      <c r="D60" s="50">
        <f>VLOOKUP($A60,'Data Vlaue (Cr)'!$C:$FB,143)</f>
        <v>2345.1999999999998</v>
      </c>
      <c r="E60" s="50">
        <f>VLOOKUP($A60,'Data Vlaue (Cr)'!$C:$FB,144)</f>
        <v>2268.63</v>
      </c>
      <c r="F60" s="50">
        <f>VLOOKUP($A60,'Data Vlaue (Cr)'!$C:$FB,146)*100</f>
        <v>3.37</v>
      </c>
      <c r="G60" s="49">
        <f>VLOOKUP($A60,'Data Vlaue (Cr)'!$C:$FB,43)</f>
        <v>763</v>
      </c>
      <c r="H60" s="49">
        <f>VLOOKUP($A60,'Data Vlaue (Cr)'!$C:$FB,44)</f>
        <v>319</v>
      </c>
      <c r="I60" s="49">
        <f>VLOOKUP($A60,'Data Vlaue (Cr)'!$C:$FB,46)*100</f>
        <v>138.97999999999999</v>
      </c>
      <c r="J60" s="51">
        <f>VLOOKUP($A60,'Data Vlaue (Cr)'!$C:$FB,59)</f>
        <v>1109</v>
      </c>
      <c r="K60" s="51">
        <f>VLOOKUP($A60,'Data Vlaue (Cr)'!$C:$FB,60)</f>
        <v>1310</v>
      </c>
      <c r="L60" s="51">
        <f>VLOOKUP($A60,'Data Vlaue (Cr)'!$C:$FB,62)*100</f>
        <v>-15.329999999999998</v>
      </c>
      <c r="M60" s="51">
        <f>VLOOKUP($A60,'Data Vlaue (Cr)'!$C:$FB,63)</f>
        <v>426</v>
      </c>
      <c r="N60" s="51">
        <f>VLOOKUP($A60,'Data Vlaue (Cr)'!$C:$FB,64)</f>
        <v>592</v>
      </c>
      <c r="O60" s="51">
        <f>VLOOKUP($A60,'Data Vlaue (Cr)'!$C:$FB,66)*100</f>
        <v>-28.1</v>
      </c>
    </row>
    <row r="61" spans="1:15" x14ac:dyDescent="0.25">
      <c r="A61" s="101" t="str">
        <f>'Data Vlaue (Cr)'!C56</f>
        <v>DIXON</v>
      </c>
      <c r="B61" s="50">
        <f>VLOOKUP($A61,'Data Vlaue (Cr)'!$C:$FB,8)</f>
        <v>15313</v>
      </c>
      <c r="C61" s="50">
        <f>VLOOKUP($A61,'Data Vlaue (Cr)'!$C:$FB,11)*100</f>
        <v>-1.46</v>
      </c>
      <c r="D61" s="50">
        <f>VLOOKUP($A61,'Data Vlaue (Cr)'!$C:$FB,143)</f>
        <v>10262.1</v>
      </c>
      <c r="E61" s="50">
        <f>VLOOKUP($A61,'Data Vlaue (Cr)'!$C:$FB,144)</f>
        <v>7332.71</v>
      </c>
      <c r="F61" s="50">
        <f>VLOOKUP($A61,'Data Vlaue (Cr)'!$C:$FB,146)*100</f>
        <v>39.950000000000003</v>
      </c>
      <c r="G61" s="49">
        <f>VLOOKUP($A61,'Data Vlaue (Cr)'!$C:$FB,43)</f>
        <v>1370</v>
      </c>
      <c r="H61" s="49">
        <f>VLOOKUP($A61,'Data Vlaue (Cr)'!$C:$FB,44)</f>
        <v>694</v>
      </c>
      <c r="I61" s="49">
        <f>VLOOKUP($A61,'Data Vlaue (Cr)'!$C:$FB,46)*100</f>
        <v>97.399999999999991</v>
      </c>
      <c r="J61" s="51">
        <f>VLOOKUP($A61,'Data Vlaue (Cr)'!$C:$FB,59)</f>
        <v>5871</v>
      </c>
      <c r="K61" s="51">
        <f>VLOOKUP($A61,'Data Vlaue (Cr)'!$C:$FB,60)</f>
        <v>4315</v>
      </c>
      <c r="L61" s="51">
        <f>VLOOKUP($A61,'Data Vlaue (Cr)'!$C:$FB,62)*100</f>
        <v>36.049999999999997</v>
      </c>
      <c r="M61" s="51">
        <f>VLOOKUP($A61,'Data Vlaue (Cr)'!$C:$FB,63)</f>
        <v>2675</v>
      </c>
      <c r="N61" s="51">
        <f>VLOOKUP($A61,'Data Vlaue (Cr)'!$C:$FB,64)</f>
        <v>1989</v>
      </c>
      <c r="O61" s="51">
        <f>VLOOKUP($A61,'Data Vlaue (Cr)'!$C:$FB,66)*100</f>
        <v>34.46</v>
      </c>
    </row>
    <row r="62" spans="1:15" x14ac:dyDescent="0.25">
      <c r="A62" s="101" t="str">
        <f>'Data Vlaue (Cr)'!C57</f>
        <v>DLF</v>
      </c>
      <c r="B62" s="50">
        <f>VLOOKUP($A62,'Data Vlaue (Cr)'!$C:$FB,8)</f>
        <v>741.1</v>
      </c>
      <c r="C62" s="50">
        <f>VLOOKUP($A62,'Data Vlaue (Cr)'!$C:$FB,11)*100</f>
        <v>-0.33999999999999997</v>
      </c>
      <c r="D62" s="50">
        <f>VLOOKUP($A62,'Data Vlaue (Cr)'!$C:$FB,143)</f>
        <v>3311.51</v>
      </c>
      <c r="E62" s="50">
        <f>VLOOKUP($A62,'Data Vlaue (Cr)'!$C:$FB,144)</f>
        <v>3296.93</v>
      </c>
      <c r="F62" s="50">
        <f>VLOOKUP($A62,'Data Vlaue (Cr)'!$C:$FB,146)*100</f>
        <v>0.44</v>
      </c>
      <c r="G62" s="49">
        <f>VLOOKUP($A62,'Data Vlaue (Cr)'!$C:$FB,43)</f>
        <v>1474</v>
      </c>
      <c r="H62" s="49">
        <f>VLOOKUP($A62,'Data Vlaue (Cr)'!$C:$FB,44)</f>
        <v>693</v>
      </c>
      <c r="I62" s="49">
        <f>VLOOKUP($A62,'Data Vlaue (Cr)'!$C:$FB,46)*100</f>
        <v>112.69</v>
      </c>
      <c r="J62" s="51">
        <f>VLOOKUP($A62,'Data Vlaue (Cr)'!$C:$FB,59)</f>
        <v>1286</v>
      </c>
      <c r="K62" s="51">
        <f>VLOOKUP($A62,'Data Vlaue (Cr)'!$C:$FB,60)</f>
        <v>1584</v>
      </c>
      <c r="L62" s="51">
        <f>VLOOKUP($A62,'Data Vlaue (Cr)'!$C:$FB,62)*100</f>
        <v>-18.82</v>
      </c>
      <c r="M62" s="51">
        <f>VLOOKUP($A62,'Data Vlaue (Cr)'!$C:$FB,63)</f>
        <v>487</v>
      </c>
      <c r="N62" s="51">
        <f>VLOOKUP($A62,'Data Vlaue (Cr)'!$C:$FB,64)</f>
        <v>933</v>
      </c>
      <c r="O62" s="51">
        <f>VLOOKUP($A62,'Data Vlaue (Cr)'!$C:$FB,66)*100</f>
        <v>-47.870000000000005</v>
      </c>
    </row>
    <row r="63" spans="1:15" x14ac:dyDescent="0.25">
      <c r="A63" s="101" t="str">
        <f>'Data Vlaue (Cr)'!C58</f>
        <v>DMART</v>
      </c>
      <c r="B63" s="50">
        <f>VLOOKUP($A63,'Data Vlaue (Cr)'!$C:$FB,8)</f>
        <v>4085</v>
      </c>
      <c r="C63" s="50">
        <f>VLOOKUP($A63,'Data Vlaue (Cr)'!$C:$FB,11)*100</f>
        <v>1.4500000000000002</v>
      </c>
      <c r="D63" s="50">
        <f>VLOOKUP($A63,'Data Vlaue (Cr)'!$C:$FB,143)</f>
        <v>5417.42</v>
      </c>
      <c r="E63" s="50">
        <f>VLOOKUP($A63,'Data Vlaue (Cr)'!$C:$FB,144)</f>
        <v>2002.87</v>
      </c>
      <c r="F63" s="50">
        <f>VLOOKUP($A63,'Data Vlaue (Cr)'!$C:$FB,146)*100</f>
        <v>170.48000000000002</v>
      </c>
      <c r="G63" s="49">
        <f>VLOOKUP($A63,'Data Vlaue (Cr)'!$C:$FB,43)</f>
        <v>2086</v>
      </c>
      <c r="H63" s="49">
        <f>VLOOKUP($A63,'Data Vlaue (Cr)'!$C:$FB,44)</f>
        <v>362</v>
      </c>
      <c r="I63" s="49">
        <f>VLOOKUP($A63,'Data Vlaue (Cr)'!$C:$FB,46)*100</f>
        <v>476.36</v>
      </c>
      <c r="J63" s="51">
        <f>VLOOKUP($A63,'Data Vlaue (Cr)'!$C:$FB,59)</f>
        <v>2623</v>
      </c>
      <c r="K63" s="51">
        <f>VLOOKUP($A63,'Data Vlaue (Cr)'!$C:$FB,60)</f>
        <v>1290</v>
      </c>
      <c r="L63" s="51">
        <f>VLOOKUP($A63,'Data Vlaue (Cr)'!$C:$FB,62)*100</f>
        <v>103.27</v>
      </c>
      <c r="M63" s="51">
        <f>VLOOKUP($A63,'Data Vlaue (Cr)'!$C:$FB,63)</f>
        <v>664</v>
      </c>
      <c r="N63" s="51">
        <f>VLOOKUP($A63,'Data Vlaue (Cr)'!$C:$FB,64)</f>
        <v>334</v>
      </c>
      <c r="O63" s="51">
        <f>VLOOKUP($A63,'Data Vlaue (Cr)'!$C:$FB,66)*100</f>
        <v>99.08</v>
      </c>
    </row>
    <row r="64" spans="1:15" x14ac:dyDescent="0.25">
      <c r="A64" s="101" t="str">
        <f>'Data Vlaue (Cr)'!C59</f>
        <v>DRREDDY</v>
      </c>
      <c r="B64" s="50">
        <f>VLOOKUP($A64,'Data Vlaue (Cr)'!$C:$FB,8)</f>
        <v>1248.5999999999999</v>
      </c>
      <c r="C64" s="50">
        <f>VLOOKUP($A64,'Data Vlaue (Cr)'!$C:$FB,11)*100</f>
        <v>-0.13</v>
      </c>
      <c r="D64" s="50">
        <f>VLOOKUP($A64,'Data Vlaue (Cr)'!$C:$FB,143)</f>
        <v>2856.49</v>
      </c>
      <c r="E64" s="50">
        <f>VLOOKUP($A64,'Data Vlaue (Cr)'!$C:$FB,144)</f>
        <v>1642.55</v>
      </c>
      <c r="F64" s="50">
        <f>VLOOKUP($A64,'Data Vlaue (Cr)'!$C:$FB,146)*100</f>
        <v>73.91</v>
      </c>
      <c r="G64" s="49">
        <f>VLOOKUP($A64,'Data Vlaue (Cr)'!$C:$FB,43)</f>
        <v>1432</v>
      </c>
      <c r="H64" s="49">
        <f>VLOOKUP($A64,'Data Vlaue (Cr)'!$C:$FB,44)</f>
        <v>234</v>
      </c>
      <c r="I64" s="49">
        <f>VLOOKUP($A64,'Data Vlaue (Cr)'!$C:$FB,46)*100</f>
        <v>510.94</v>
      </c>
      <c r="J64" s="51">
        <f>VLOOKUP($A64,'Data Vlaue (Cr)'!$C:$FB,59)</f>
        <v>924</v>
      </c>
      <c r="K64" s="51">
        <f>VLOOKUP($A64,'Data Vlaue (Cr)'!$C:$FB,60)</f>
        <v>975</v>
      </c>
      <c r="L64" s="51">
        <f>VLOOKUP($A64,'Data Vlaue (Cr)'!$C:$FB,62)*100</f>
        <v>-5.17</v>
      </c>
      <c r="M64" s="51">
        <f>VLOOKUP($A64,'Data Vlaue (Cr)'!$C:$FB,63)</f>
        <v>485</v>
      </c>
      <c r="N64" s="51">
        <f>VLOOKUP($A64,'Data Vlaue (Cr)'!$C:$FB,64)</f>
        <v>421</v>
      </c>
      <c r="O64" s="51">
        <f>VLOOKUP($A64,'Data Vlaue (Cr)'!$C:$FB,66)*100</f>
        <v>15.310000000000002</v>
      </c>
    </row>
    <row r="65" spans="1:15" x14ac:dyDescent="0.25">
      <c r="A65" s="101" t="str">
        <f>'Data Vlaue (Cr)'!C60</f>
        <v>EICHERMOT</v>
      </c>
      <c r="B65" s="50">
        <f>VLOOKUP($A65,'Data Vlaue (Cr)'!$C:$FB,8)</f>
        <v>7125.5</v>
      </c>
      <c r="C65" s="50">
        <f>VLOOKUP($A65,'Data Vlaue (Cr)'!$C:$FB,11)*100</f>
        <v>3.32</v>
      </c>
      <c r="D65" s="50">
        <f>VLOOKUP($A65,'Data Vlaue (Cr)'!$C:$FB,143)</f>
        <v>30355.71</v>
      </c>
      <c r="E65" s="50">
        <f>VLOOKUP($A65,'Data Vlaue (Cr)'!$C:$FB,144)</f>
        <v>5889.95</v>
      </c>
      <c r="F65" s="50">
        <f>VLOOKUP($A65,'Data Vlaue (Cr)'!$C:$FB,146)*100</f>
        <v>415.38000000000005</v>
      </c>
      <c r="G65" s="49">
        <f>VLOOKUP($A65,'Data Vlaue (Cr)'!$C:$FB,43)</f>
        <v>1882</v>
      </c>
      <c r="H65" s="49">
        <f>VLOOKUP($A65,'Data Vlaue (Cr)'!$C:$FB,44)</f>
        <v>513</v>
      </c>
      <c r="I65" s="49">
        <f>VLOOKUP($A65,'Data Vlaue (Cr)'!$C:$FB,46)*100</f>
        <v>266.92999999999995</v>
      </c>
      <c r="J65" s="51">
        <f>VLOOKUP($A65,'Data Vlaue (Cr)'!$C:$FB,59)</f>
        <v>21863</v>
      </c>
      <c r="K65" s="51">
        <f>VLOOKUP($A65,'Data Vlaue (Cr)'!$C:$FB,60)</f>
        <v>3920</v>
      </c>
      <c r="L65" s="51">
        <f>VLOOKUP($A65,'Data Vlaue (Cr)'!$C:$FB,62)*100</f>
        <v>457.66</v>
      </c>
      <c r="M65" s="51">
        <f>VLOOKUP($A65,'Data Vlaue (Cr)'!$C:$FB,63)</f>
        <v>6448</v>
      </c>
      <c r="N65" s="51">
        <f>VLOOKUP($A65,'Data Vlaue (Cr)'!$C:$FB,64)</f>
        <v>1602</v>
      </c>
      <c r="O65" s="51">
        <f>VLOOKUP($A65,'Data Vlaue (Cr)'!$C:$FB,66)*100</f>
        <v>302.47000000000003</v>
      </c>
    </row>
    <row r="66" spans="1:15" x14ac:dyDescent="0.25">
      <c r="A66" s="101" t="str">
        <f>'Data Vlaue (Cr)'!C61</f>
        <v>ETERNAL</v>
      </c>
      <c r="B66" s="50">
        <f>VLOOKUP($A66,'Data Vlaue (Cr)'!$C:$FB,8)</f>
        <v>306.89999999999998</v>
      </c>
      <c r="C66" s="50">
        <f>VLOOKUP($A66,'Data Vlaue (Cr)'!$C:$FB,11)*100</f>
        <v>0.1</v>
      </c>
      <c r="D66" s="50">
        <f>VLOOKUP($A66,'Data Vlaue (Cr)'!$C:$FB,143)</f>
        <v>9382.2900000000009</v>
      </c>
      <c r="E66" s="50">
        <f>VLOOKUP($A66,'Data Vlaue (Cr)'!$C:$FB,144)</f>
        <v>4717.49</v>
      </c>
      <c r="F66" s="50">
        <f>VLOOKUP($A66,'Data Vlaue (Cr)'!$C:$FB,146)*100</f>
        <v>98.88</v>
      </c>
      <c r="G66" s="49">
        <f>VLOOKUP($A66,'Data Vlaue (Cr)'!$C:$FB,43)</f>
        <v>5525</v>
      </c>
      <c r="H66" s="49">
        <f>VLOOKUP($A66,'Data Vlaue (Cr)'!$C:$FB,44)</f>
        <v>745</v>
      </c>
      <c r="I66" s="49">
        <f>VLOOKUP($A66,'Data Vlaue (Cr)'!$C:$FB,46)*100</f>
        <v>641.80999999999995</v>
      </c>
      <c r="J66" s="51">
        <f>VLOOKUP($A66,'Data Vlaue (Cr)'!$C:$FB,59)</f>
        <v>2780</v>
      </c>
      <c r="K66" s="51">
        <f>VLOOKUP($A66,'Data Vlaue (Cr)'!$C:$FB,60)</f>
        <v>2799</v>
      </c>
      <c r="L66" s="51">
        <f>VLOOKUP($A66,'Data Vlaue (Cr)'!$C:$FB,62)*100</f>
        <v>-0.69</v>
      </c>
      <c r="M66" s="51">
        <f>VLOOKUP($A66,'Data Vlaue (Cr)'!$C:$FB,63)</f>
        <v>896</v>
      </c>
      <c r="N66" s="51">
        <f>VLOOKUP($A66,'Data Vlaue (Cr)'!$C:$FB,64)</f>
        <v>1022</v>
      </c>
      <c r="O66" s="51">
        <f>VLOOKUP($A66,'Data Vlaue (Cr)'!$C:$FB,66)*100</f>
        <v>-12.26</v>
      </c>
    </row>
    <row r="67" spans="1:15" x14ac:dyDescent="0.25">
      <c r="A67" s="101" t="str">
        <f>'Data Vlaue (Cr)'!C62</f>
        <v>EXIDEIND</v>
      </c>
      <c r="B67" s="50">
        <f>VLOOKUP($A67,'Data Vlaue (Cr)'!$C:$FB,8)</f>
        <v>380.8</v>
      </c>
      <c r="C67" s="50">
        <f>VLOOKUP($A67,'Data Vlaue (Cr)'!$C:$FB,11)*100</f>
        <v>-0.03</v>
      </c>
      <c r="D67" s="50">
        <f>VLOOKUP($A67,'Data Vlaue (Cr)'!$C:$FB,143)</f>
        <v>1217.33</v>
      </c>
      <c r="E67" s="50">
        <f>VLOOKUP($A67,'Data Vlaue (Cr)'!$C:$FB,144)</f>
        <v>1539.96</v>
      </c>
      <c r="F67" s="50">
        <f>VLOOKUP($A67,'Data Vlaue (Cr)'!$C:$FB,146)*100</f>
        <v>-20.95</v>
      </c>
      <c r="G67" s="49">
        <f>VLOOKUP($A67,'Data Vlaue (Cr)'!$C:$FB,43)</f>
        <v>442</v>
      </c>
      <c r="H67" s="49">
        <f>VLOOKUP($A67,'Data Vlaue (Cr)'!$C:$FB,44)</f>
        <v>330</v>
      </c>
      <c r="I67" s="49">
        <f>VLOOKUP($A67,'Data Vlaue (Cr)'!$C:$FB,46)*100</f>
        <v>33.86</v>
      </c>
      <c r="J67" s="51">
        <f>VLOOKUP($A67,'Data Vlaue (Cr)'!$C:$FB,59)</f>
        <v>547</v>
      </c>
      <c r="K67" s="51">
        <f>VLOOKUP($A67,'Data Vlaue (Cr)'!$C:$FB,60)</f>
        <v>836</v>
      </c>
      <c r="L67" s="51">
        <f>VLOOKUP($A67,'Data Vlaue (Cr)'!$C:$FB,62)*100</f>
        <v>-34.489999999999995</v>
      </c>
      <c r="M67" s="51">
        <f>VLOOKUP($A67,'Data Vlaue (Cr)'!$C:$FB,63)</f>
        <v>211</v>
      </c>
      <c r="N67" s="51">
        <f>VLOOKUP($A67,'Data Vlaue (Cr)'!$C:$FB,64)</f>
        <v>350</v>
      </c>
      <c r="O67" s="51">
        <f>VLOOKUP($A67,'Data Vlaue (Cr)'!$C:$FB,66)*100</f>
        <v>-39.700000000000003</v>
      </c>
    </row>
    <row r="68" spans="1:15" x14ac:dyDescent="0.25">
      <c r="A68" s="101" t="str">
        <f>'Data Vlaue (Cr)'!C63</f>
        <v>FEDERALBNK</v>
      </c>
      <c r="B68" s="50">
        <f>VLOOKUP($A68,'Data Vlaue (Cr)'!$C:$FB,8)</f>
        <v>244.93</v>
      </c>
      <c r="C68" s="50">
        <f>VLOOKUP($A68,'Data Vlaue (Cr)'!$C:$FB,11)*100</f>
        <v>-0.44</v>
      </c>
      <c r="D68" s="50">
        <f>VLOOKUP($A68,'Data Vlaue (Cr)'!$C:$FB,143)</f>
        <v>3198.04</v>
      </c>
      <c r="E68" s="50">
        <f>VLOOKUP($A68,'Data Vlaue (Cr)'!$C:$FB,144)</f>
        <v>5510.78</v>
      </c>
      <c r="F68" s="50">
        <f>VLOOKUP($A68,'Data Vlaue (Cr)'!$C:$FB,146)*100</f>
        <v>-41.97</v>
      </c>
      <c r="G68" s="49">
        <f>VLOOKUP($A68,'Data Vlaue (Cr)'!$C:$FB,43)</f>
        <v>845</v>
      </c>
      <c r="H68" s="49">
        <f>VLOOKUP($A68,'Data Vlaue (Cr)'!$C:$FB,44)</f>
        <v>753</v>
      </c>
      <c r="I68" s="49">
        <f>VLOOKUP($A68,'Data Vlaue (Cr)'!$C:$FB,46)*100</f>
        <v>12.17</v>
      </c>
      <c r="J68" s="51">
        <f>VLOOKUP($A68,'Data Vlaue (Cr)'!$C:$FB,59)</f>
        <v>1397</v>
      </c>
      <c r="K68" s="51">
        <f>VLOOKUP($A68,'Data Vlaue (Cr)'!$C:$FB,60)</f>
        <v>3162</v>
      </c>
      <c r="L68" s="51">
        <f>VLOOKUP($A68,'Data Vlaue (Cr)'!$C:$FB,62)*100</f>
        <v>-55.81</v>
      </c>
      <c r="M68" s="51">
        <f>VLOOKUP($A68,'Data Vlaue (Cr)'!$C:$FB,63)</f>
        <v>932</v>
      </c>
      <c r="N68" s="51">
        <f>VLOOKUP($A68,'Data Vlaue (Cr)'!$C:$FB,64)</f>
        <v>1509</v>
      </c>
      <c r="O68" s="51">
        <f>VLOOKUP($A68,'Data Vlaue (Cr)'!$C:$FB,66)*100</f>
        <v>-38.21</v>
      </c>
    </row>
    <row r="69" spans="1:15" x14ac:dyDescent="0.25">
      <c r="A69" s="101" t="str">
        <f>'Data Vlaue (Cr)'!C64</f>
        <v>FINNIFTY</v>
      </c>
      <c r="B69" s="50">
        <f>VLOOKUP($A69,'Data Vlaue (Cr)'!$C:$FB,8)</f>
        <v>27861.35</v>
      </c>
      <c r="C69" s="50">
        <f>VLOOKUP($A69,'Data Vlaue (Cr)'!$C:$FB,11)*100</f>
        <v>0.79</v>
      </c>
      <c r="D69" s="50">
        <f>VLOOKUP($A69,'Data Vlaue (Cr)'!$C:$FB,143)</f>
        <v>41877.519999999997</v>
      </c>
      <c r="E69" s="50">
        <f>VLOOKUP($A69,'Data Vlaue (Cr)'!$C:$FB,144)</f>
        <v>35529.589999999997</v>
      </c>
      <c r="F69" s="50">
        <f>VLOOKUP($A69,'Data Vlaue (Cr)'!$C:$FB,146)*100</f>
        <v>17.87</v>
      </c>
      <c r="G69" s="49">
        <f>VLOOKUP($A69,'Data Vlaue (Cr)'!$C:$FB,43)</f>
        <v>87</v>
      </c>
      <c r="H69" s="49">
        <f>VLOOKUP($A69,'Data Vlaue (Cr)'!$C:$FB,44)</f>
        <v>44</v>
      </c>
      <c r="I69" s="49">
        <f>VLOOKUP($A69,'Data Vlaue (Cr)'!$C:$FB,46)*100</f>
        <v>97.54</v>
      </c>
      <c r="J69" s="51">
        <f>VLOOKUP($A69,'Data Vlaue (Cr)'!$C:$FB,59)</f>
        <v>23082</v>
      </c>
      <c r="K69" s="51">
        <f>VLOOKUP($A69,'Data Vlaue (Cr)'!$C:$FB,60)</f>
        <v>18504</v>
      </c>
      <c r="L69" s="51">
        <f>VLOOKUP($A69,'Data Vlaue (Cr)'!$C:$FB,62)*100</f>
        <v>24.740000000000002</v>
      </c>
      <c r="M69" s="51">
        <f>VLOOKUP($A69,'Data Vlaue (Cr)'!$C:$FB,63)</f>
        <v>18924</v>
      </c>
      <c r="N69" s="51">
        <f>VLOOKUP($A69,'Data Vlaue (Cr)'!$C:$FB,64)</f>
        <v>17385</v>
      </c>
      <c r="O69" s="51">
        <f>VLOOKUP($A69,'Data Vlaue (Cr)'!$C:$FB,66)*100</f>
        <v>8.85</v>
      </c>
    </row>
    <row r="70" spans="1:15" x14ac:dyDescent="0.25">
      <c r="A70" s="101" t="str">
        <f>'Data Vlaue (Cr)'!C65</f>
        <v>FORTIS</v>
      </c>
      <c r="B70" s="50">
        <f>VLOOKUP($A70,'Data Vlaue (Cr)'!$C:$FB,8)</f>
        <v>935.4</v>
      </c>
      <c r="C70" s="50">
        <f>VLOOKUP($A70,'Data Vlaue (Cr)'!$C:$FB,11)*100</f>
        <v>1.35</v>
      </c>
      <c r="D70" s="50">
        <f>VLOOKUP($A70,'Data Vlaue (Cr)'!$C:$FB,143)</f>
        <v>2487.17</v>
      </c>
      <c r="E70" s="50">
        <f>VLOOKUP($A70,'Data Vlaue (Cr)'!$C:$FB,144)</f>
        <v>2312.0700000000002</v>
      </c>
      <c r="F70" s="50">
        <f>VLOOKUP($A70,'Data Vlaue (Cr)'!$C:$FB,146)*100</f>
        <v>7.57</v>
      </c>
      <c r="G70" s="49">
        <f>VLOOKUP($A70,'Data Vlaue (Cr)'!$C:$FB,43)</f>
        <v>710</v>
      </c>
      <c r="H70" s="49">
        <f>VLOOKUP($A70,'Data Vlaue (Cr)'!$C:$FB,44)</f>
        <v>294</v>
      </c>
      <c r="I70" s="49">
        <f>VLOOKUP($A70,'Data Vlaue (Cr)'!$C:$FB,46)*100</f>
        <v>141.13</v>
      </c>
      <c r="J70" s="51">
        <f>VLOOKUP($A70,'Data Vlaue (Cr)'!$C:$FB,59)</f>
        <v>1320</v>
      </c>
      <c r="K70" s="51">
        <f>VLOOKUP($A70,'Data Vlaue (Cr)'!$C:$FB,60)</f>
        <v>1558</v>
      </c>
      <c r="L70" s="51">
        <f>VLOOKUP($A70,'Data Vlaue (Cr)'!$C:$FB,62)*100</f>
        <v>-15.28</v>
      </c>
      <c r="M70" s="51">
        <f>VLOOKUP($A70,'Data Vlaue (Cr)'!$C:$FB,63)</f>
        <v>399</v>
      </c>
      <c r="N70" s="51">
        <f>VLOOKUP($A70,'Data Vlaue (Cr)'!$C:$FB,64)</f>
        <v>399</v>
      </c>
      <c r="O70" s="51">
        <f>VLOOKUP($A70,'Data Vlaue (Cr)'!$C:$FB,66)*100</f>
        <v>-0.13999999999999999</v>
      </c>
    </row>
    <row r="71" spans="1:15" x14ac:dyDescent="0.25">
      <c r="A71" s="101" t="str">
        <f>'Data Vlaue (Cr)'!C66</f>
        <v>GAIL</v>
      </c>
      <c r="B71" s="50">
        <f>VLOOKUP($A71,'Data Vlaue (Cr)'!$C:$FB,8)</f>
        <v>184.31</v>
      </c>
      <c r="C71" s="50">
        <f>VLOOKUP($A71,'Data Vlaue (Cr)'!$C:$FB,11)*100</f>
        <v>0.13999999999999999</v>
      </c>
      <c r="D71" s="50">
        <f>VLOOKUP($A71,'Data Vlaue (Cr)'!$C:$FB,143)</f>
        <v>1674.43</v>
      </c>
      <c r="E71" s="50">
        <f>VLOOKUP($A71,'Data Vlaue (Cr)'!$C:$FB,144)</f>
        <v>669.93</v>
      </c>
      <c r="F71" s="50">
        <f>VLOOKUP($A71,'Data Vlaue (Cr)'!$C:$FB,146)*100</f>
        <v>149.94</v>
      </c>
      <c r="G71" s="49">
        <f>VLOOKUP($A71,'Data Vlaue (Cr)'!$C:$FB,43)</f>
        <v>692</v>
      </c>
      <c r="H71" s="49">
        <f>VLOOKUP($A71,'Data Vlaue (Cr)'!$C:$FB,44)</f>
        <v>179</v>
      </c>
      <c r="I71" s="49">
        <f>VLOOKUP($A71,'Data Vlaue (Cr)'!$C:$FB,46)*100</f>
        <v>286.55</v>
      </c>
      <c r="J71" s="51">
        <f>VLOOKUP($A71,'Data Vlaue (Cr)'!$C:$FB,59)</f>
        <v>609</v>
      </c>
      <c r="K71" s="51">
        <f>VLOOKUP($A71,'Data Vlaue (Cr)'!$C:$FB,60)</f>
        <v>342</v>
      </c>
      <c r="L71" s="51">
        <f>VLOOKUP($A71,'Data Vlaue (Cr)'!$C:$FB,62)*100</f>
        <v>77.94</v>
      </c>
      <c r="M71" s="51">
        <f>VLOOKUP($A71,'Data Vlaue (Cr)'!$C:$FB,63)</f>
        <v>344</v>
      </c>
      <c r="N71" s="51">
        <f>VLOOKUP($A71,'Data Vlaue (Cr)'!$C:$FB,64)</f>
        <v>140</v>
      </c>
      <c r="O71" s="51">
        <f>VLOOKUP($A71,'Data Vlaue (Cr)'!$C:$FB,66)*100</f>
        <v>144.69</v>
      </c>
    </row>
    <row r="72" spans="1:15" x14ac:dyDescent="0.25">
      <c r="A72" s="101" t="str">
        <f>'Data Vlaue (Cr)'!C67</f>
        <v>GLENMARK</v>
      </c>
      <c r="B72" s="50">
        <f>VLOOKUP($A72,'Data Vlaue (Cr)'!$C:$FB,8)</f>
        <v>1878</v>
      </c>
      <c r="C72" s="50">
        <f>VLOOKUP($A72,'Data Vlaue (Cr)'!$C:$FB,11)*100</f>
        <v>2.02</v>
      </c>
      <c r="D72" s="50">
        <f>VLOOKUP($A72,'Data Vlaue (Cr)'!$C:$FB,143)</f>
        <v>8626.64</v>
      </c>
      <c r="E72" s="50">
        <f>VLOOKUP($A72,'Data Vlaue (Cr)'!$C:$FB,144)</f>
        <v>5998.5</v>
      </c>
      <c r="F72" s="50">
        <f>VLOOKUP($A72,'Data Vlaue (Cr)'!$C:$FB,146)*100</f>
        <v>43.81</v>
      </c>
      <c r="G72" s="49">
        <f>VLOOKUP($A72,'Data Vlaue (Cr)'!$C:$FB,43)</f>
        <v>1776</v>
      </c>
      <c r="H72" s="49">
        <f>VLOOKUP($A72,'Data Vlaue (Cr)'!$C:$FB,44)</f>
        <v>1039</v>
      </c>
      <c r="I72" s="49">
        <f>VLOOKUP($A72,'Data Vlaue (Cr)'!$C:$FB,46)*100</f>
        <v>70.899999999999991</v>
      </c>
      <c r="J72" s="51">
        <f>VLOOKUP($A72,'Data Vlaue (Cr)'!$C:$FB,59)</f>
        <v>5237</v>
      </c>
      <c r="K72" s="51">
        <f>VLOOKUP($A72,'Data Vlaue (Cr)'!$C:$FB,60)</f>
        <v>3798</v>
      </c>
      <c r="L72" s="51">
        <f>VLOOKUP($A72,'Data Vlaue (Cr)'!$C:$FB,62)*100</f>
        <v>37.869999999999997</v>
      </c>
      <c r="M72" s="51">
        <f>VLOOKUP($A72,'Data Vlaue (Cr)'!$C:$FB,63)</f>
        <v>1515</v>
      </c>
      <c r="N72" s="51">
        <f>VLOOKUP($A72,'Data Vlaue (Cr)'!$C:$FB,64)</f>
        <v>1106</v>
      </c>
      <c r="O72" s="51">
        <f>VLOOKUP($A72,'Data Vlaue (Cr)'!$C:$FB,66)*100</f>
        <v>36.97</v>
      </c>
    </row>
    <row r="73" spans="1:15" x14ac:dyDescent="0.25">
      <c r="A73" s="101" t="str">
        <f>'Data Vlaue (Cr)'!C68</f>
        <v>GMRAIRPORT</v>
      </c>
      <c r="B73" s="50">
        <f>VLOOKUP($A73,'Data Vlaue (Cr)'!$C:$FB,8)</f>
        <v>103.27</v>
      </c>
      <c r="C73" s="50">
        <f>VLOOKUP($A73,'Data Vlaue (Cr)'!$C:$FB,11)*100</f>
        <v>0.33999999999999997</v>
      </c>
      <c r="D73" s="50">
        <f>VLOOKUP($A73,'Data Vlaue (Cr)'!$C:$FB,143)</f>
        <v>3503.02</v>
      </c>
      <c r="E73" s="50">
        <f>VLOOKUP($A73,'Data Vlaue (Cr)'!$C:$FB,144)</f>
        <v>4972.25</v>
      </c>
      <c r="F73" s="50">
        <f>VLOOKUP($A73,'Data Vlaue (Cr)'!$C:$FB,146)*100</f>
        <v>-29.549999999999997</v>
      </c>
      <c r="G73" s="49">
        <f>VLOOKUP($A73,'Data Vlaue (Cr)'!$C:$FB,43)</f>
        <v>1075</v>
      </c>
      <c r="H73" s="49">
        <f>VLOOKUP($A73,'Data Vlaue (Cr)'!$C:$FB,44)</f>
        <v>694</v>
      </c>
      <c r="I73" s="49">
        <f>VLOOKUP($A73,'Data Vlaue (Cr)'!$C:$FB,46)*100</f>
        <v>54.87</v>
      </c>
      <c r="J73" s="51">
        <f>VLOOKUP($A73,'Data Vlaue (Cr)'!$C:$FB,59)</f>
        <v>1619</v>
      </c>
      <c r="K73" s="51">
        <f>VLOOKUP($A73,'Data Vlaue (Cr)'!$C:$FB,60)</f>
        <v>2868</v>
      </c>
      <c r="L73" s="51">
        <f>VLOOKUP($A73,'Data Vlaue (Cr)'!$C:$FB,62)*100</f>
        <v>-43.53</v>
      </c>
      <c r="M73" s="51">
        <f>VLOOKUP($A73,'Data Vlaue (Cr)'!$C:$FB,63)</f>
        <v>754</v>
      </c>
      <c r="N73" s="51">
        <f>VLOOKUP($A73,'Data Vlaue (Cr)'!$C:$FB,64)</f>
        <v>1313</v>
      </c>
      <c r="O73" s="51">
        <f>VLOOKUP($A73,'Data Vlaue (Cr)'!$C:$FB,66)*100</f>
        <v>-42.59</v>
      </c>
    </row>
    <row r="74" spans="1:15" x14ac:dyDescent="0.25">
      <c r="A74" s="101" t="str">
        <f>'Data Vlaue (Cr)'!C69</f>
        <v>GODREJCP</v>
      </c>
      <c r="B74" s="50">
        <f>VLOOKUP($A74,'Data Vlaue (Cr)'!$C:$FB,8)</f>
        <v>1127.3</v>
      </c>
      <c r="C74" s="50">
        <f>VLOOKUP($A74,'Data Vlaue (Cr)'!$C:$FB,11)*100</f>
        <v>-1.1100000000000001</v>
      </c>
      <c r="D74" s="50">
        <f>VLOOKUP($A74,'Data Vlaue (Cr)'!$C:$FB,143)</f>
        <v>1153.5899999999999</v>
      </c>
      <c r="E74" s="50">
        <f>VLOOKUP($A74,'Data Vlaue (Cr)'!$C:$FB,144)</f>
        <v>709.58</v>
      </c>
      <c r="F74" s="50">
        <f>VLOOKUP($A74,'Data Vlaue (Cr)'!$C:$FB,146)*100</f>
        <v>62.57</v>
      </c>
      <c r="G74" s="49">
        <f>VLOOKUP($A74,'Data Vlaue (Cr)'!$C:$FB,43)</f>
        <v>738</v>
      </c>
      <c r="H74" s="49">
        <f>VLOOKUP($A74,'Data Vlaue (Cr)'!$C:$FB,44)</f>
        <v>215</v>
      </c>
      <c r="I74" s="49">
        <f>VLOOKUP($A74,'Data Vlaue (Cr)'!$C:$FB,46)*100</f>
        <v>243.07</v>
      </c>
      <c r="J74" s="51">
        <f>VLOOKUP($A74,'Data Vlaue (Cr)'!$C:$FB,59)</f>
        <v>262</v>
      </c>
      <c r="K74" s="51">
        <f>VLOOKUP($A74,'Data Vlaue (Cr)'!$C:$FB,60)</f>
        <v>303</v>
      </c>
      <c r="L74" s="51">
        <f>VLOOKUP($A74,'Data Vlaue (Cr)'!$C:$FB,62)*100</f>
        <v>-13.320000000000002</v>
      </c>
      <c r="M74" s="51">
        <f>VLOOKUP($A74,'Data Vlaue (Cr)'!$C:$FB,63)</f>
        <v>135</v>
      </c>
      <c r="N74" s="51">
        <f>VLOOKUP($A74,'Data Vlaue (Cr)'!$C:$FB,64)</f>
        <v>174</v>
      </c>
      <c r="O74" s="51">
        <f>VLOOKUP($A74,'Data Vlaue (Cr)'!$C:$FB,66)*100</f>
        <v>-22.34</v>
      </c>
    </row>
    <row r="75" spans="1:15" x14ac:dyDescent="0.25">
      <c r="A75" s="101" t="str">
        <f>'Data Vlaue (Cr)'!C70</f>
        <v>GODREJPROP</v>
      </c>
      <c r="B75" s="50">
        <f>VLOOKUP($A75,'Data Vlaue (Cr)'!$C:$FB,8)</f>
        <v>2123.8000000000002</v>
      </c>
      <c r="C75" s="50">
        <f>VLOOKUP($A75,'Data Vlaue (Cr)'!$C:$FB,11)*100</f>
        <v>-0.31</v>
      </c>
      <c r="D75" s="50">
        <f>VLOOKUP($A75,'Data Vlaue (Cr)'!$C:$FB,143)</f>
        <v>1645.85</v>
      </c>
      <c r="E75" s="50">
        <f>VLOOKUP($A75,'Data Vlaue (Cr)'!$C:$FB,144)</f>
        <v>1652.58</v>
      </c>
      <c r="F75" s="50">
        <f>VLOOKUP($A75,'Data Vlaue (Cr)'!$C:$FB,146)*100</f>
        <v>-0.41000000000000003</v>
      </c>
      <c r="G75" s="49">
        <f>VLOOKUP($A75,'Data Vlaue (Cr)'!$C:$FB,43)</f>
        <v>723</v>
      </c>
      <c r="H75" s="49">
        <f>VLOOKUP($A75,'Data Vlaue (Cr)'!$C:$FB,44)</f>
        <v>242</v>
      </c>
      <c r="I75" s="49">
        <f>VLOOKUP($A75,'Data Vlaue (Cr)'!$C:$FB,46)*100</f>
        <v>198.79</v>
      </c>
      <c r="J75" s="51">
        <f>VLOOKUP($A75,'Data Vlaue (Cr)'!$C:$FB,59)</f>
        <v>674</v>
      </c>
      <c r="K75" s="51">
        <f>VLOOKUP($A75,'Data Vlaue (Cr)'!$C:$FB,60)</f>
        <v>914</v>
      </c>
      <c r="L75" s="51">
        <f>VLOOKUP($A75,'Data Vlaue (Cr)'!$C:$FB,62)*100</f>
        <v>-26.290000000000003</v>
      </c>
      <c r="M75" s="51">
        <f>VLOOKUP($A75,'Data Vlaue (Cr)'!$C:$FB,63)</f>
        <v>215</v>
      </c>
      <c r="N75" s="51">
        <f>VLOOKUP($A75,'Data Vlaue (Cr)'!$C:$FB,64)</f>
        <v>441</v>
      </c>
      <c r="O75" s="51">
        <f>VLOOKUP($A75,'Data Vlaue (Cr)'!$C:$FB,66)*100</f>
        <v>-51.190000000000005</v>
      </c>
    </row>
    <row r="76" spans="1:15" x14ac:dyDescent="0.25">
      <c r="A76" s="101" t="str">
        <f>'Data Vlaue (Cr)'!C71</f>
        <v>GRASIM</v>
      </c>
      <c r="B76" s="50">
        <f>VLOOKUP($A76,'Data Vlaue (Cr)'!$C:$FB,8)</f>
        <v>2748.6</v>
      </c>
      <c r="C76" s="50">
        <f>VLOOKUP($A76,'Data Vlaue (Cr)'!$C:$FB,11)*100</f>
        <v>0.13999999999999999</v>
      </c>
      <c r="D76" s="50">
        <f>VLOOKUP($A76,'Data Vlaue (Cr)'!$C:$FB,143)</f>
        <v>3368.29</v>
      </c>
      <c r="E76" s="50">
        <f>VLOOKUP($A76,'Data Vlaue (Cr)'!$C:$FB,144)</f>
        <v>3619.29</v>
      </c>
      <c r="F76" s="50">
        <f>VLOOKUP($A76,'Data Vlaue (Cr)'!$C:$FB,146)*100</f>
        <v>-6.94</v>
      </c>
      <c r="G76" s="49">
        <f>VLOOKUP($A76,'Data Vlaue (Cr)'!$C:$FB,43)</f>
        <v>1882</v>
      </c>
      <c r="H76" s="49">
        <f>VLOOKUP($A76,'Data Vlaue (Cr)'!$C:$FB,44)</f>
        <v>1921</v>
      </c>
      <c r="I76" s="49">
        <f>VLOOKUP($A76,'Data Vlaue (Cr)'!$C:$FB,46)*100</f>
        <v>-1.9900000000000002</v>
      </c>
      <c r="J76" s="51">
        <f>VLOOKUP($A76,'Data Vlaue (Cr)'!$C:$FB,59)</f>
        <v>1024</v>
      </c>
      <c r="K76" s="51">
        <f>VLOOKUP($A76,'Data Vlaue (Cr)'!$C:$FB,60)</f>
        <v>1204</v>
      </c>
      <c r="L76" s="51">
        <f>VLOOKUP($A76,'Data Vlaue (Cr)'!$C:$FB,62)*100</f>
        <v>-14.979999999999999</v>
      </c>
      <c r="M76" s="51">
        <f>VLOOKUP($A76,'Data Vlaue (Cr)'!$C:$FB,63)</f>
        <v>409</v>
      </c>
      <c r="N76" s="51">
        <f>VLOOKUP($A76,'Data Vlaue (Cr)'!$C:$FB,64)</f>
        <v>432</v>
      </c>
      <c r="O76" s="51">
        <f>VLOOKUP($A76,'Data Vlaue (Cr)'!$C:$FB,66)*100</f>
        <v>-5.33</v>
      </c>
    </row>
    <row r="77" spans="1:15" x14ac:dyDescent="0.25">
      <c r="A77" s="101" t="str">
        <f>'Data Vlaue (Cr)'!C72</f>
        <v>HAL</v>
      </c>
      <c r="B77" s="50">
        <f>VLOOKUP($A77,'Data Vlaue (Cr)'!$C:$FB,8)</f>
        <v>4716.6000000000004</v>
      </c>
      <c r="C77" s="50">
        <f>VLOOKUP($A77,'Data Vlaue (Cr)'!$C:$FB,11)*100</f>
        <v>-0.57999999999999996</v>
      </c>
      <c r="D77" s="50">
        <f>VLOOKUP($A77,'Data Vlaue (Cr)'!$C:$FB,143)</f>
        <v>11838.07</v>
      </c>
      <c r="E77" s="50">
        <f>VLOOKUP($A77,'Data Vlaue (Cr)'!$C:$FB,144)</f>
        <v>9628.85</v>
      </c>
      <c r="F77" s="50">
        <f>VLOOKUP($A77,'Data Vlaue (Cr)'!$C:$FB,146)*100</f>
        <v>22.939999999999998</v>
      </c>
      <c r="G77" s="49">
        <f>VLOOKUP($A77,'Data Vlaue (Cr)'!$C:$FB,43)</f>
        <v>1693</v>
      </c>
      <c r="H77" s="49">
        <f>VLOOKUP($A77,'Data Vlaue (Cr)'!$C:$FB,44)</f>
        <v>931</v>
      </c>
      <c r="I77" s="49">
        <f>VLOOKUP($A77,'Data Vlaue (Cr)'!$C:$FB,46)*100</f>
        <v>81.789999999999992</v>
      </c>
      <c r="J77" s="51">
        <f>VLOOKUP($A77,'Data Vlaue (Cr)'!$C:$FB,59)</f>
        <v>7572</v>
      </c>
      <c r="K77" s="51">
        <f>VLOOKUP($A77,'Data Vlaue (Cr)'!$C:$FB,60)</f>
        <v>6205</v>
      </c>
      <c r="L77" s="51">
        <f>VLOOKUP($A77,'Data Vlaue (Cr)'!$C:$FB,62)*100</f>
        <v>22.03</v>
      </c>
      <c r="M77" s="51">
        <f>VLOOKUP($A77,'Data Vlaue (Cr)'!$C:$FB,63)</f>
        <v>2195</v>
      </c>
      <c r="N77" s="51">
        <f>VLOOKUP($A77,'Data Vlaue (Cr)'!$C:$FB,64)</f>
        <v>2151</v>
      </c>
      <c r="O77" s="51">
        <f>VLOOKUP($A77,'Data Vlaue (Cr)'!$C:$FB,66)*100</f>
        <v>2.0699999999999998</v>
      </c>
    </row>
    <row r="78" spans="1:15" x14ac:dyDescent="0.25">
      <c r="A78" s="101" t="str">
        <f>'Data Vlaue (Cr)'!C73</f>
        <v>HAVELLS</v>
      </c>
      <c r="B78" s="50">
        <f>VLOOKUP($A78,'Data Vlaue (Cr)'!$C:$FB,8)</f>
        <v>1448.5</v>
      </c>
      <c r="C78" s="50">
        <f>VLOOKUP($A78,'Data Vlaue (Cr)'!$C:$FB,11)*100</f>
        <v>0.55999999999999994</v>
      </c>
      <c r="D78" s="50">
        <f>VLOOKUP($A78,'Data Vlaue (Cr)'!$C:$FB,143)</f>
        <v>1291.3399999999999</v>
      </c>
      <c r="E78" s="50">
        <f>VLOOKUP($A78,'Data Vlaue (Cr)'!$C:$FB,144)</f>
        <v>952.22</v>
      </c>
      <c r="F78" s="50">
        <f>VLOOKUP($A78,'Data Vlaue (Cr)'!$C:$FB,146)*100</f>
        <v>35.61</v>
      </c>
      <c r="G78" s="49">
        <f>VLOOKUP($A78,'Data Vlaue (Cr)'!$C:$FB,43)</f>
        <v>768</v>
      </c>
      <c r="H78" s="49">
        <f>VLOOKUP($A78,'Data Vlaue (Cr)'!$C:$FB,44)</f>
        <v>239</v>
      </c>
      <c r="I78" s="49">
        <f>VLOOKUP($A78,'Data Vlaue (Cr)'!$C:$FB,46)*100</f>
        <v>220.86999999999998</v>
      </c>
      <c r="J78" s="51">
        <f>VLOOKUP($A78,'Data Vlaue (Cr)'!$C:$FB,59)</f>
        <v>351</v>
      </c>
      <c r="K78" s="51">
        <f>VLOOKUP($A78,'Data Vlaue (Cr)'!$C:$FB,60)</f>
        <v>477</v>
      </c>
      <c r="L78" s="51">
        <f>VLOOKUP($A78,'Data Vlaue (Cr)'!$C:$FB,62)*100</f>
        <v>-26.5</v>
      </c>
      <c r="M78" s="51">
        <f>VLOOKUP($A78,'Data Vlaue (Cr)'!$C:$FB,63)</f>
        <v>157</v>
      </c>
      <c r="N78" s="51">
        <f>VLOOKUP($A78,'Data Vlaue (Cr)'!$C:$FB,64)</f>
        <v>217</v>
      </c>
      <c r="O78" s="51">
        <f>VLOOKUP($A78,'Data Vlaue (Cr)'!$C:$FB,66)*100</f>
        <v>-27.639999999999997</v>
      </c>
    </row>
    <row r="79" spans="1:15" x14ac:dyDescent="0.25">
      <c r="A79" s="101" t="str">
        <f>'Data Vlaue (Cr)'!C74</f>
        <v>HCLTECH</v>
      </c>
      <c r="B79" s="50">
        <f>VLOOKUP($A79,'Data Vlaue (Cr)'!$C:$FB,8)</f>
        <v>1645.4</v>
      </c>
      <c r="C79" s="50">
        <f>VLOOKUP($A79,'Data Vlaue (Cr)'!$C:$FB,11)*100</f>
        <v>-1.03</v>
      </c>
      <c r="D79" s="50">
        <f>VLOOKUP($A79,'Data Vlaue (Cr)'!$C:$FB,143)</f>
        <v>6719.17</v>
      </c>
      <c r="E79" s="50">
        <f>VLOOKUP($A79,'Data Vlaue (Cr)'!$C:$FB,144)</f>
        <v>16979.5</v>
      </c>
      <c r="F79" s="50">
        <f>VLOOKUP($A79,'Data Vlaue (Cr)'!$C:$FB,146)*100</f>
        <v>-60.429999999999993</v>
      </c>
      <c r="G79" s="49">
        <f>VLOOKUP($A79,'Data Vlaue (Cr)'!$C:$FB,43)</f>
        <v>1826</v>
      </c>
      <c r="H79" s="49">
        <f>VLOOKUP($A79,'Data Vlaue (Cr)'!$C:$FB,44)</f>
        <v>1138</v>
      </c>
      <c r="I79" s="49">
        <f>VLOOKUP($A79,'Data Vlaue (Cr)'!$C:$FB,46)*100</f>
        <v>60.419999999999995</v>
      </c>
      <c r="J79" s="51">
        <f>VLOOKUP($A79,'Data Vlaue (Cr)'!$C:$FB,59)</f>
        <v>2848</v>
      </c>
      <c r="K79" s="51">
        <f>VLOOKUP($A79,'Data Vlaue (Cr)'!$C:$FB,60)</f>
        <v>11172</v>
      </c>
      <c r="L79" s="51">
        <f>VLOOKUP($A79,'Data Vlaue (Cr)'!$C:$FB,62)*100</f>
        <v>-74.510000000000005</v>
      </c>
      <c r="M79" s="51">
        <f>VLOOKUP($A79,'Data Vlaue (Cr)'!$C:$FB,63)</f>
        <v>1945</v>
      </c>
      <c r="N79" s="51">
        <f>VLOOKUP($A79,'Data Vlaue (Cr)'!$C:$FB,64)</f>
        <v>4518</v>
      </c>
      <c r="O79" s="51">
        <f>VLOOKUP($A79,'Data Vlaue (Cr)'!$C:$FB,66)*100</f>
        <v>-56.96</v>
      </c>
    </row>
    <row r="80" spans="1:15" x14ac:dyDescent="0.25">
      <c r="A80" s="101" t="str">
        <f>'Data Vlaue (Cr)'!C75</f>
        <v>HDFCAMC</v>
      </c>
      <c r="B80" s="50">
        <f>VLOOKUP($A80,'Data Vlaue (Cr)'!$C:$FB,8)</f>
        <v>5399</v>
      </c>
      <c r="C80" s="50">
        <f>VLOOKUP($A80,'Data Vlaue (Cr)'!$C:$FB,11)*100</f>
        <v>0.13</v>
      </c>
      <c r="D80" s="50">
        <f>VLOOKUP($A80,'Data Vlaue (Cr)'!$C:$FB,143)</f>
        <v>1893.09</v>
      </c>
      <c r="E80" s="50">
        <f>VLOOKUP($A80,'Data Vlaue (Cr)'!$C:$FB,144)</f>
        <v>1609.07</v>
      </c>
      <c r="F80" s="50">
        <f>VLOOKUP($A80,'Data Vlaue (Cr)'!$C:$FB,146)*100</f>
        <v>17.649999999999999</v>
      </c>
      <c r="G80" s="49">
        <f>VLOOKUP($A80,'Data Vlaue (Cr)'!$C:$FB,43)</f>
        <v>734</v>
      </c>
      <c r="H80" s="49">
        <f>VLOOKUP($A80,'Data Vlaue (Cr)'!$C:$FB,44)</f>
        <v>214</v>
      </c>
      <c r="I80" s="49">
        <f>VLOOKUP($A80,'Data Vlaue (Cr)'!$C:$FB,46)*100</f>
        <v>242.56000000000003</v>
      </c>
      <c r="J80" s="51">
        <f>VLOOKUP($A80,'Data Vlaue (Cr)'!$C:$FB,59)</f>
        <v>879</v>
      </c>
      <c r="K80" s="51">
        <f>VLOOKUP($A80,'Data Vlaue (Cr)'!$C:$FB,60)</f>
        <v>1086</v>
      </c>
      <c r="L80" s="51">
        <f>VLOOKUP($A80,'Data Vlaue (Cr)'!$C:$FB,62)*100</f>
        <v>-19.059999999999999</v>
      </c>
      <c r="M80" s="51">
        <f>VLOOKUP($A80,'Data Vlaue (Cr)'!$C:$FB,63)</f>
        <v>241</v>
      </c>
      <c r="N80" s="51">
        <f>VLOOKUP($A80,'Data Vlaue (Cr)'!$C:$FB,64)</f>
        <v>257</v>
      </c>
      <c r="O80" s="51">
        <f>VLOOKUP($A80,'Data Vlaue (Cr)'!$C:$FB,66)*100</f>
        <v>-6.1899999999999995</v>
      </c>
    </row>
    <row r="81" spans="1:15" x14ac:dyDescent="0.25">
      <c r="A81" s="101" t="str">
        <f>'Data Vlaue (Cr)'!C76</f>
        <v>HDFCBANK</v>
      </c>
      <c r="B81" s="50">
        <f>VLOOKUP($A81,'Data Vlaue (Cr)'!$C:$FB,8)</f>
        <v>1008.85</v>
      </c>
      <c r="C81" s="50">
        <f>VLOOKUP($A81,'Data Vlaue (Cr)'!$C:$FB,11)*100</f>
        <v>1.43</v>
      </c>
      <c r="D81" s="50">
        <f>VLOOKUP($A81,'Data Vlaue (Cr)'!$C:$FB,143)</f>
        <v>28954.73</v>
      </c>
      <c r="E81" s="50">
        <f>VLOOKUP($A81,'Data Vlaue (Cr)'!$C:$FB,144)</f>
        <v>12691.84</v>
      </c>
      <c r="F81" s="50">
        <f>VLOOKUP($A81,'Data Vlaue (Cr)'!$C:$FB,146)*100</f>
        <v>128.14000000000001</v>
      </c>
      <c r="G81" s="49">
        <f>VLOOKUP($A81,'Data Vlaue (Cr)'!$C:$FB,43)</f>
        <v>11394</v>
      </c>
      <c r="H81" s="49">
        <f>VLOOKUP($A81,'Data Vlaue (Cr)'!$C:$FB,44)</f>
        <v>2737</v>
      </c>
      <c r="I81" s="49">
        <f>VLOOKUP($A81,'Data Vlaue (Cr)'!$C:$FB,46)*100</f>
        <v>316.26</v>
      </c>
      <c r="J81" s="51">
        <f>VLOOKUP($A81,'Data Vlaue (Cr)'!$C:$FB,59)</f>
        <v>11664</v>
      </c>
      <c r="K81" s="51">
        <f>VLOOKUP($A81,'Data Vlaue (Cr)'!$C:$FB,60)</f>
        <v>6844</v>
      </c>
      <c r="L81" s="51">
        <f>VLOOKUP($A81,'Data Vlaue (Cr)'!$C:$FB,62)*100</f>
        <v>70.41</v>
      </c>
      <c r="M81" s="51">
        <f>VLOOKUP($A81,'Data Vlaue (Cr)'!$C:$FB,63)</f>
        <v>5894</v>
      </c>
      <c r="N81" s="51">
        <f>VLOOKUP($A81,'Data Vlaue (Cr)'!$C:$FB,64)</f>
        <v>3221</v>
      </c>
      <c r="O81" s="51">
        <f>VLOOKUP($A81,'Data Vlaue (Cr)'!$C:$FB,66)*100</f>
        <v>82.99</v>
      </c>
    </row>
    <row r="82" spans="1:15" x14ac:dyDescent="0.25">
      <c r="A82" s="101" t="str">
        <f>'Data Vlaue (Cr)'!C77</f>
        <v>HDFCLIFE</v>
      </c>
      <c r="B82" s="50">
        <f>VLOOKUP($A82,'Data Vlaue (Cr)'!$C:$FB,8)</f>
        <v>762.2</v>
      </c>
      <c r="C82" s="50">
        <f>VLOOKUP($A82,'Data Vlaue (Cr)'!$C:$FB,11)*100</f>
        <v>0.13999999999999999</v>
      </c>
      <c r="D82" s="50">
        <f>VLOOKUP($A82,'Data Vlaue (Cr)'!$C:$FB,143)</f>
        <v>3288.85</v>
      </c>
      <c r="E82" s="50">
        <f>VLOOKUP($A82,'Data Vlaue (Cr)'!$C:$FB,144)</f>
        <v>1321.87</v>
      </c>
      <c r="F82" s="50">
        <f>VLOOKUP($A82,'Data Vlaue (Cr)'!$C:$FB,146)*100</f>
        <v>148.80000000000001</v>
      </c>
      <c r="G82" s="49">
        <f>VLOOKUP($A82,'Data Vlaue (Cr)'!$C:$FB,43)</f>
        <v>1386</v>
      </c>
      <c r="H82" s="49">
        <f>VLOOKUP($A82,'Data Vlaue (Cr)'!$C:$FB,44)</f>
        <v>242</v>
      </c>
      <c r="I82" s="49">
        <f>VLOOKUP($A82,'Data Vlaue (Cr)'!$C:$FB,46)*100</f>
        <v>472.98</v>
      </c>
      <c r="J82" s="51">
        <f>VLOOKUP($A82,'Data Vlaue (Cr)'!$C:$FB,59)</f>
        <v>1217</v>
      </c>
      <c r="K82" s="51">
        <f>VLOOKUP($A82,'Data Vlaue (Cr)'!$C:$FB,60)</f>
        <v>721</v>
      </c>
      <c r="L82" s="51">
        <f>VLOOKUP($A82,'Data Vlaue (Cr)'!$C:$FB,62)*100</f>
        <v>68.77</v>
      </c>
      <c r="M82" s="51">
        <f>VLOOKUP($A82,'Data Vlaue (Cr)'!$C:$FB,63)</f>
        <v>677</v>
      </c>
      <c r="N82" s="51">
        <f>VLOOKUP($A82,'Data Vlaue (Cr)'!$C:$FB,64)</f>
        <v>348</v>
      </c>
      <c r="O82" s="51">
        <f>VLOOKUP($A82,'Data Vlaue (Cr)'!$C:$FB,66)*100</f>
        <v>94.789999999999992</v>
      </c>
    </row>
    <row r="83" spans="1:15" x14ac:dyDescent="0.25">
      <c r="A83" s="101" t="str">
        <f>'Data Vlaue (Cr)'!C78</f>
        <v>HEROMOTOCO</v>
      </c>
      <c r="B83" s="50">
        <f>VLOOKUP($A83,'Data Vlaue (Cr)'!$C:$FB,8)</f>
        <v>5999.5</v>
      </c>
      <c r="C83" s="50">
        <f>VLOOKUP($A83,'Data Vlaue (Cr)'!$C:$FB,11)*100</f>
        <v>2.09</v>
      </c>
      <c r="D83" s="50">
        <f>VLOOKUP($A83,'Data Vlaue (Cr)'!$C:$FB,143)</f>
        <v>29295.34</v>
      </c>
      <c r="E83" s="50">
        <f>VLOOKUP($A83,'Data Vlaue (Cr)'!$C:$FB,144)</f>
        <v>14570.16</v>
      </c>
      <c r="F83" s="50">
        <f>VLOOKUP($A83,'Data Vlaue (Cr)'!$C:$FB,146)*100</f>
        <v>101.05999999999999</v>
      </c>
      <c r="G83" s="49">
        <f>VLOOKUP($A83,'Data Vlaue (Cr)'!$C:$FB,43)</f>
        <v>2910</v>
      </c>
      <c r="H83" s="49">
        <f>VLOOKUP($A83,'Data Vlaue (Cr)'!$C:$FB,44)</f>
        <v>765</v>
      </c>
      <c r="I83" s="49">
        <f>VLOOKUP($A83,'Data Vlaue (Cr)'!$C:$FB,46)*100</f>
        <v>280.43</v>
      </c>
      <c r="J83" s="51">
        <f>VLOOKUP($A83,'Data Vlaue (Cr)'!$C:$FB,59)</f>
        <v>17288</v>
      </c>
      <c r="K83" s="51">
        <f>VLOOKUP($A83,'Data Vlaue (Cr)'!$C:$FB,60)</f>
        <v>8824</v>
      </c>
      <c r="L83" s="51">
        <f>VLOOKUP($A83,'Data Vlaue (Cr)'!$C:$FB,62)*100</f>
        <v>95.93</v>
      </c>
      <c r="M83" s="51">
        <f>VLOOKUP($A83,'Data Vlaue (Cr)'!$C:$FB,63)</f>
        <v>8929</v>
      </c>
      <c r="N83" s="51">
        <f>VLOOKUP($A83,'Data Vlaue (Cr)'!$C:$FB,64)</f>
        <v>5197</v>
      </c>
      <c r="O83" s="51">
        <f>VLOOKUP($A83,'Data Vlaue (Cr)'!$C:$FB,66)*100</f>
        <v>71.8</v>
      </c>
    </row>
    <row r="84" spans="1:15" x14ac:dyDescent="0.25">
      <c r="A84" s="101" t="str">
        <f>'Data Vlaue (Cr)'!C79</f>
        <v>HFCL</v>
      </c>
      <c r="B84" s="50">
        <f>VLOOKUP($A84,'Data Vlaue (Cr)'!$C:$FB,8)</f>
        <v>73.400000000000006</v>
      </c>
      <c r="C84" s="50">
        <f>VLOOKUP($A84,'Data Vlaue (Cr)'!$C:$FB,11)*100</f>
        <v>-0.53</v>
      </c>
      <c r="D84" s="50">
        <f>VLOOKUP($A84,'Data Vlaue (Cr)'!$C:$FB,143)</f>
        <v>743.11</v>
      </c>
      <c r="E84" s="50">
        <f>VLOOKUP($A84,'Data Vlaue (Cr)'!$C:$FB,144)</f>
        <v>684.09</v>
      </c>
      <c r="F84" s="50">
        <f>VLOOKUP($A84,'Data Vlaue (Cr)'!$C:$FB,146)*100</f>
        <v>8.6300000000000008</v>
      </c>
      <c r="G84" s="49">
        <f>VLOOKUP($A84,'Data Vlaue (Cr)'!$C:$FB,43)</f>
        <v>337</v>
      </c>
      <c r="H84" s="49">
        <f>VLOOKUP($A84,'Data Vlaue (Cr)'!$C:$FB,44)</f>
        <v>167</v>
      </c>
      <c r="I84" s="49">
        <f>VLOOKUP($A84,'Data Vlaue (Cr)'!$C:$FB,46)*100</f>
        <v>102.21000000000001</v>
      </c>
      <c r="J84" s="51">
        <f>VLOOKUP($A84,'Data Vlaue (Cr)'!$C:$FB,59)</f>
        <v>239</v>
      </c>
      <c r="K84" s="51">
        <f>VLOOKUP($A84,'Data Vlaue (Cr)'!$C:$FB,60)</f>
        <v>340</v>
      </c>
      <c r="L84" s="51">
        <f>VLOOKUP($A84,'Data Vlaue (Cr)'!$C:$FB,62)*100</f>
        <v>-29.770000000000003</v>
      </c>
      <c r="M84" s="51">
        <f>VLOOKUP($A84,'Data Vlaue (Cr)'!$C:$FB,63)</f>
        <v>152</v>
      </c>
      <c r="N84" s="51">
        <f>VLOOKUP($A84,'Data Vlaue (Cr)'!$C:$FB,64)</f>
        <v>153</v>
      </c>
      <c r="O84" s="51">
        <f>VLOOKUP($A84,'Data Vlaue (Cr)'!$C:$FB,66)*100</f>
        <v>-0.8</v>
      </c>
    </row>
    <row r="85" spans="1:15" x14ac:dyDescent="0.25">
      <c r="A85" s="101" t="str">
        <f>'Data Vlaue (Cr)'!C80</f>
        <v>HINDALCO</v>
      </c>
      <c r="B85" s="50">
        <f>VLOOKUP($A85,'Data Vlaue (Cr)'!$C:$FB,8)</f>
        <v>799.8</v>
      </c>
      <c r="C85" s="50">
        <f>VLOOKUP($A85,'Data Vlaue (Cr)'!$C:$FB,11)*100</f>
        <v>1.1199999999999999</v>
      </c>
      <c r="D85" s="50">
        <f>VLOOKUP($A85,'Data Vlaue (Cr)'!$C:$FB,143)</f>
        <v>8689.84</v>
      </c>
      <c r="E85" s="50">
        <f>VLOOKUP($A85,'Data Vlaue (Cr)'!$C:$FB,144)</f>
        <v>6792.05</v>
      </c>
      <c r="F85" s="50">
        <f>VLOOKUP($A85,'Data Vlaue (Cr)'!$C:$FB,146)*100</f>
        <v>27.939999999999998</v>
      </c>
      <c r="G85" s="49">
        <f>VLOOKUP($A85,'Data Vlaue (Cr)'!$C:$FB,43)</f>
        <v>3815</v>
      </c>
      <c r="H85" s="49">
        <f>VLOOKUP($A85,'Data Vlaue (Cr)'!$C:$FB,44)</f>
        <v>3151</v>
      </c>
      <c r="I85" s="49">
        <f>VLOOKUP($A85,'Data Vlaue (Cr)'!$C:$FB,46)*100</f>
        <v>21.07</v>
      </c>
      <c r="J85" s="51">
        <f>VLOOKUP($A85,'Data Vlaue (Cr)'!$C:$FB,59)</f>
        <v>3389</v>
      </c>
      <c r="K85" s="51">
        <f>VLOOKUP($A85,'Data Vlaue (Cr)'!$C:$FB,60)</f>
        <v>2245</v>
      </c>
      <c r="L85" s="51">
        <f>VLOOKUP($A85,'Data Vlaue (Cr)'!$C:$FB,62)*100</f>
        <v>50.960000000000008</v>
      </c>
      <c r="M85" s="51">
        <f>VLOOKUP($A85,'Data Vlaue (Cr)'!$C:$FB,63)</f>
        <v>1402</v>
      </c>
      <c r="N85" s="51">
        <f>VLOOKUP($A85,'Data Vlaue (Cr)'!$C:$FB,64)</f>
        <v>1340</v>
      </c>
      <c r="O85" s="51">
        <f>VLOOKUP($A85,'Data Vlaue (Cr)'!$C:$FB,66)*100</f>
        <v>4.6100000000000003</v>
      </c>
    </row>
    <row r="86" spans="1:15" x14ac:dyDescent="0.25">
      <c r="A86" s="101" t="str">
        <f>'Data Vlaue (Cr)'!C81</f>
        <v>HINDPETRO</v>
      </c>
      <c r="B86" s="50">
        <f>VLOOKUP($A86,'Data Vlaue (Cr)'!$C:$FB,8)</f>
        <v>477.9</v>
      </c>
      <c r="C86" s="50">
        <f>VLOOKUP($A86,'Data Vlaue (Cr)'!$C:$FB,11)*100</f>
        <v>0.16</v>
      </c>
      <c r="D86" s="50">
        <f>VLOOKUP($A86,'Data Vlaue (Cr)'!$C:$FB,143)</f>
        <v>2229.23</v>
      </c>
      <c r="E86" s="50">
        <f>VLOOKUP($A86,'Data Vlaue (Cr)'!$C:$FB,144)</f>
        <v>1652.28</v>
      </c>
      <c r="F86" s="50">
        <f>VLOOKUP($A86,'Data Vlaue (Cr)'!$C:$FB,146)*100</f>
        <v>34.92</v>
      </c>
      <c r="G86" s="49">
        <f>VLOOKUP($A86,'Data Vlaue (Cr)'!$C:$FB,43)</f>
        <v>1320</v>
      </c>
      <c r="H86" s="49">
        <f>VLOOKUP($A86,'Data Vlaue (Cr)'!$C:$FB,44)</f>
        <v>384</v>
      </c>
      <c r="I86" s="49">
        <f>VLOOKUP($A86,'Data Vlaue (Cr)'!$C:$FB,46)*100</f>
        <v>243.67000000000002</v>
      </c>
      <c r="J86" s="51">
        <f>VLOOKUP($A86,'Data Vlaue (Cr)'!$C:$FB,59)</f>
        <v>634</v>
      </c>
      <c r="K86" s="51">
        <f>VLOOKUP($A86,'Data Vlaue (Cr)'!$C:$FB,60)</f>
        <v>828</v>
      </c>
      <c r="L86" s="51">
        <f>VLOOKUP($A86,'Data Vlaue (Cr)'!$C:$FB,62)*100</f>
        <v>-23.400000000000002</v>
      </c>
      <c r="M86" s="51">
        <f>VLOOKUP($A86,'Data Vlaue (Cr)'!$C:$FB,63)</f>
        <v>252</v>
      </c>
      <c r="N86" s="51">
        <f>VLOOKUP($A86,'Data Vlaue (Cr)'!$C:$FB,64)</f>
        <v>413</v>
      </c>
      <c r="O86" s="51">
        <f>VLOOKUP($A86,'Data Vlaue (Cr)'!$C:$FB,66)*100</f>
        <v>-38.940000000000005</v>
      </c>
    </row>
    <row r="87" spans="1:15" x14ac:dyDescent="0.25">
      <c r="A87" s="101" t="str">
        <f>'Data Vlaue (Cr)'!C82</f>
        <v>HINDUNILVR</v>
      </c>
      <c r="B87" s="50">
        <f>VLOOKUP($A87,'Data Vlaue (Cr)'!$C:$FB,8)</f>
        <v>2428.4</v>
      </c>
      <c r="C87" s="50">
        <f>VLOOKUP($A87,'Data Vlaue (Cr)'!$C:$FB,11)*100</f>
        <v>-0.54</v>
      </c>
      <c r="D87" s="50">
        <f>VLOOKUP($A87,'Data Vlaue (Cr)'!$C:$FB,143)</f>
        <v>8592.69</v>
      </c>
      <c r="E87" s="50">
        <f>VLOOKUP($A87,'Data Vlaue (Cr)'!$C:$FB,144)</f>
        <v>11311.16</v>
      </c>
      <c r="F87" s="50">
        <f>VLOOKUP($A87,'Data Vlaue (Cr)'!$C:$FB,146)*100</f>
        <v>-24.03</v>
      </c>
      <c r="G87" s="49">
        <f>VLOOKUP($A87,'Data Vlaue (Cr)'!$C:$FB,43)</f>
        <v>2862</v>
      </c>
      <c r="H87" s="49">
        <f>VLOOKUP($A87,'Data Vlaue (Cr)'!$C:$FB,44)</f>
        <v>1348</v>
      </c>
      <c r="I87" s="49">
        <f>VLOOKUP($A87,'Data Vlaue (Cr)'!$C:$FB,46)*100</f>
        <v>112.4</v>
      </c>
      <c r="J87" s="51">
        <f>VLOOKUP($A87,'Data Vlaue (Cr)'!$C:$FB,59)</f>
        <v>4073</v>
      </c>
      <c r="K87" s="51">
        <f>VLOOKUP($A87,'Data Vlaue (Cr)'!$C:$FB,60)</f>
        <v>7246</v>
      </c>
      <c r="L87" s="51">
        <f>VLOOKUP($A87,'Data Vlaue (Cr)'!$C:$FB,62)*100</f>
        <v>-43.78</v>
      </c>
      <c r="M87" s="51">
        <f>VLOOKUP($A87,'Data Vlaue (Cr)'!$C:$FB,63)</f>
        <v>1499</v>
      </c>
      <c r="N87" s="51">
        <f>VLOOKUP($A87,'Data Vlaue (Cr)'!$C:$FB,64)</f>
        <v>2515</v>
      </c>
      <c r="O87" s="51">
        <f>VLOOKUP($A87,'Data Vlaue (Cr)'!$C:$FB,66)*100</f>
        <v>-40.42</v>
      </c>
    </row>
    <row r="88" spans="1:15" x14ac:dyDescent="0.25">
      <c r="A88" s="101" t="str">
        <f>'Data Vlaue (Cr)'!C83</f>
        <v>HINDZINC</v>
      </c>
      <c r="B88" s="50">
        <f>VLOOKUP($A88,'Data Vlaue (Cr)'!$C:$FB,8)</f>
        <v>472.15</v>
      </c>
      <c r="C88" s="50">
        <f>VLOOKUP($A88,'Data Vlaue (Cr)'!$C:$FB,11)*100</f>
        <v>-0.91999999999999993</v>
      </c>
      <c r="D88" s="50">
        <f>VLOOKUP($A88,'Data Vlaue (Cr)'!$C:$FB,143)</f>
        <v>1887.18</v>
      </c>
      <c r="E88" s="50">
        <f>VLOOKUP($A88,'Data Vlaue (Cr)'!$C:$FB,144)</f>
        <v>1763.95</v>
      </c>
      <c r="F88" s="50">
        <f>VLOOKUP($A88,'Data Vlaue (Cr)'!$C:$FB,146)*100</f>
        <v>6.99</v>
      </c>
      <c r="G88" s="49">
        <f>VLOOKUP($A88,'Data Vlaue (Cr)'!$C:$FB,43)</f>
        <v>623</v>
      </c>
      <c r="H88" s="49">
        <f>VLOOKUP($A88,'Data Vlaue (Cr)'!$C:$FB,44)</f>
        <v>221</v>
      </c>
      <c r="I88" s="49">
        <f>VLOOKUP($A88,'Data Vlaue (Cr)'!$C:$FB,46)*100</f>
        <v>181.27</v>
      </c>
      <c r="J88" s="51">
        <f>VLOOKUP($A88,'Data Vlaue (Cr)'!$C:$FB,59)</f>
        <v>968</v>
      </c>
      <c r="K88" s="51">
        <f>VLOOKUP($A88,'Data Vlaue (Cr)'!$C:$FB,60)</f>
        <v>1092</v>
      </c>
      <c r="L88" s="51">
        <f>VLOOKUP($A88,'Data Vlaue (Cr)'!$C:$FB,62)*100</f>
        <v>-11.360000000000001</v>
      </c>
      <c r="M88" s="51">
        <f>VLOOKUP($A88,'Data Vlaue (Cr)'!$C:$FB,63)</f>
        <v>227</v>
      </c>
      <c r="N88" s="51">
        <f>VLOOKUP($A88,'Data Vlaue (Cr)'!$C:$FB,64)</f>
        <v>377</v>
      </c>
      <c r="O88" s="51">
        <f>VLOOKUP($A88,'Data Vlaue (Cr)'!$C:$FB,66)*100</f>
        <v>-39.78</v>
      </c>
    </row>
    <row r="89" spans="1:15" x14ac:dyDescent="0.25">
      <c r="A89" s="101" t="str">
        <f>'Data Vlaue (Cr)'!C84</f>
        <v>HUDCO</v>
      </c>
      <c r="B89" s="50">
        <f>VLOOKUP($A89,'Data Vlaue (Cr)'!$C:$FB,8)</f>
        <v>237.1</v>
      </c>
      <c r="C89" s="50">
        <f>VLOOKUP($A89,'Data Vlaue (Cr)'!$C:$FB,11)*100</f>
        <v>-0.08</v>
      </c>
      <c r="D89" s="50">
        <f>VLOOKUP($A89,'Data Vlaue (Cr)'!$C:$FB,143)</f>
        <v>2977.35</v>
      </c>
      <c r="E89" s="50">
        <f>VLOOKUP($A89,'Data Vlaue (Cr)'!$C:$FB,144)</f>
        <v>2443.0100000000002</v>
      </c>
      <c r="F89" s="50">
        <f>VLOOKUP($A89,'Data Vlaue (Cr)'!$C:$FB,146)*100</f>
        <v>21.87</v>
      </c>
      <c r="G89" s="49">
        <f>VLOOKUP($A89,'Data Vlaue (Cr)'!$C:$FB,43)</f>
        <v>465</v>
      </c>
      <c r="H89" s="49">
        <f>VLOOKUP($A89,'Data Vlaue (Cr)'!$C:$FB,44)</f>
        <v>294</v>
      </c>
      <c r="I89" s="49">
        <f>VLOOKUP($A89,'Data Vlaue (Cr)'!$C:$FB,46)*100</f>
        <v>58.309999999999995</v>
      </c>
      <c r="J89" s="51">
        <f>VLOOKUP($A89,'Data Vlaue (Cr)'!$C:$FB,59)</f>
        <v>1626</v>
      </c>
      <c r="K89" s="51">
        <f>VLOOKUP($A89,'Data Vlaue (Cr)'!$C:$FB,60)</f>
        <v>1462</v>
      </c>
      <c r="L89" s="51">
        <f>VLOOKUP($A89,'Data Vlaue (Cr)'!$C:$FB,62)*100</f>
        <v>11.23</v>
      </c>
      <c r="M89" s="51">
        <f>VLOOKUP($A89,'Data Vlaue (Cr)'!$C:$FB,63)</f>
        <v>830</v>
      </c>
      <c r="N89" s="51">
        <f>VLOOKUP($A89,'Data Vlaue (Cr)'!$C:$FB,64)</f>
        <v>611</v>
      </c>
      <c r="O89" s="51">
        <f>VLOOKUP($A89,'Data Vlaue (Cr)'!$C:$FB,66)*100</f>
        <v>35.74</v>
      </c>
    </row>
    <row r="90" spans="1:15" x14ac:dyDescent="0.25">
      <c r="A90" s="101" t="str">
        <f>'Data Vlaue (Cr)'!C85</f>
        <v>ICICIBANK</v>
      </c>
      <c r="B90" s="50">
        <f>VLOOKUP($A90,'Data Vlaue (Cr)'!$C:$FB,8)</f>
        <v>1383</v>
      </c>
      <c r="C90" s="50">
        <f>VLOOKUP($A90,'Data Vlaue (Cr)'!$C:$FB,11)*100</f>
        <v>-0.01</v>
      </c>
      <c r="D90" s="50">
        <f>VLOOKUP($A90,'Data Vlaue (Cr)'!$C:$FB,143)</f>
        <v>18256.240000000002</v>
      </c>
      <c r="E90" s="50">
        <f>VLOOKUP($A90,'Data Vlaue (Cr)'!$C:$FB,144)</f>
        <v>10791.01</v>
      </c>
      <c r="F90" s="50">
        <f>VLOOKUP($A90,'Data Vlaue (Cr)'!$C:$FB,146)*100</f>
        <v>69.179999999999993</v>
      </c>
      <c r="G90" s="49">
        <f>VLOOKUP($A90,'Data Vlaue (Cr)'!$C:$FB,43)</f>
        <v>6038</v>
      </c>
      <c r="H90" s="49">
        <f>VLOOKUP($A90,'Data Vlaue (Cr)'!$C:$FB,44)</f>
        <v>1900</v>
      </c>
      <c r="I90" s="49">
        <f>VLOOKUP($A90,'Data Vlaue (Cr)'!$C:$FB,46)*100</f>
        <v>217.74</v>
      </c>
      <c r="J90" s="51">
        <f>VLOOKUP($A90,'Data Vlaue (Cr)'!$C:$FB,59)</f>
        <v>8262</v>
      </c>
      <c r="K90" s="51">
        <f>VLOOKUP($A90,'Data Vlaue (Cr)'!$C:$FB,60)</f>
        <v>5519</v>
      </c>
      <c r="L90" s="51">
        <f>VLOOKUP($A90,'Data Vlaue (Cr)'!$C:$FB,62)*100</f>
        <v>49.69</v>
      </c>
      <c r="M90" s="51">
        <f>VLOOKUP($A90,'Data Vlaue (Cr)'!$C:$FB,63)</f>
        <v>3837</v>
      </c>
      <c r="N90" s="51">
        <f>VLOOKUP($A90,'Data Vlaue (Cr)'!$C:$FB,64)</f>
        <v>3320</v>
      </c>
      <c r="O90" s="51">
        <f>VLOOKUP($A90,'Data Vlaue (Cr)'!$C:$FB,66)*100</f>
        <v>15.57</v>
      </c>
    </row>
    <row r="91" spans="1:15" x14ac:dyDescent="0.25">
      <c r="A91" s="101" t="str">
        <f>'Data Vlaue (Cr)'!C86</f>
        <v>ICICIGI</v>
      </c>
      <c r="B91" s="50">
        <f>VLOOKUP($A91,'Data Vlaue (Cr)'!$C:$FB,8)</f>
        <v>2037.6</v>
      </c>
      <c r="C91" s="50">
        <f>VLOOKUP($A91,'Data Vlaue (Cr)'!$C:$FB,11)*100</f>
        <v>-0.2</v>
      </c>
      <c r="D91" s="50">
        <f>VLOOKUP($A91,'Data Vlaue (Cr)'!$C:$FB,143)</f>
        <v>1094.25</v>
      </c>
      <c r="E91" s="50">
        <f>VLOOKUP($A91,'Data Vlaue (Cr)'!$C:$FB,144)</f>
        <v>680.72</v>
      </c>
      <c r="F91" s="50">
        <f>VLOOKUP($A91,'Data Vlaue (Cr)'!$C:$FB,146)*100</f>
        <v>60.750000000000007</v>
      </c>
      <c r="G91" s="49">
        <f>VLOOKUP($A91,'Data Vlaue (Cr)'!$C:$FB,43)</f>
        <v>564</v>
      </c>
      <c r="H91" s="49">
        <f>VLOOKUP($A91,'Data Vlaue (Cr)'!$C:$FB,44)</f>
        <v>154</v>
      </c>
      <c r="I91" s="49">
        <f>VLOOKUP($A91,'Data Vlaue (Cr)'!$C:$FB,46)*100</f>
        <v>265.55</v>
      </c>
      <c r="J91" s="51">
        <f>VLOOKUP($A91,'Data Vlaue (Cr)'!$C:$FB,59)</f>
        <v>380</v>
      </c>
      <c r="K91" s="51">
        <f>VLOOKUP($A91,'Data Vlaue (Cr)'!$C:$FB,60)</f>
        <v>375</v>
      </c>
      <c r="L91" s="51">
        <f>VLOOKUP($A91,'Data Vlaue (Cr)'!$C:$FB,62)*100</f>
        <v>1.32</v>
      </c>
      <c r="M91" s="51">
        <f>VLOOKUP($A91,'Data Vlaue (Cr)'!$C:$FB,63)</f>
        <v>135</v>
      </c>
      <c r="N91" s="51">
        <f>VLOOKUP($A91,'Data Vlaue (Cr)'!$C:$FB,64)</f>
        <v>142</v>
      </c>
      <c r="O91" s="51">
        <f>VLOOKUP($A91,'Data Vlaue (Cr)'!$C:$FB,66)*100</f>
        <v>-4.8</v>
      </c>
    </row>
    <row r="92" spans="1:15" x14ac:dyDescent="0.25">
      <c r="A92" s="101" t="str">
        <f>'Data Vlaue (Cr)'!C87</f>
        <v>ICICIPRULI</v>
      </c>
      <c r="B92" s="50">
        <f>VLOOKUP($A92,'Data Vlaue (Cr)'!$C:$FB,8)</f>
        <v>618.4</v>
      </c>
      <c r="C92" s="50">
        <f>VLOOKUP($A92,'Data Vlaue (Cr)'!$C:$FB,11)*100</f>
        <v>0.72</v>
      </c>
      <c r="D92" s="50">
        <f>VLOOKUP($A92,'Data Vlaue (Cr)'!$C:$FB,143)</f>
        <v>1177.03</v>
      </c>
      <c r="E92" s="50">
        <f>VLOOKUP($A92,'Data Vlaue (Cr)'!$C:$FB,144)</f>
        <v>651.67999999999995</v>
      </c>
      <c r="F92" s="50">
        <f>VLOOKUP($A92,'Data Vlaue (Cr)'!$C:$FB,146)*100</f>
        <v>80.61</v>
      </c>
      <c r="G92" s="49">
        <f>VLOOKUP($A92,'Data Vlaue (Cr)'!$C:$FB,43)</f>
        <v>496</v>
      </c>
      <c r="H92" s="49">
        <f>VLOOKUP($A92,'Data Vlaue (Cr)'!$C:$FB,44)</f>
        <v>168</v>
      </c>
      <c r="I92" s="49">
        <f>VLOOKUP($A92,'Data Vlaue (Cr)'!$C:$FB,46)*100</f>
        <v>195.82999999999998</v>
      </c>
      <c r="J92" s="51">
        <f>VLOOKUP($A92,'Data Vlaue (Cr)'!$C:$FB,59)</f>
        <v>457</v>
      </c>
      <c r="K92" s="51">
        <f>VLOOKUP($A92,'Data Vlaue (Cr)'!$C:$FB,60)</f>
        <v>298</v>
      </c>
      <c r="L92" s="51">
        <f>VLOOKUP($A92,'Data Vlaue (Cr)'!$C:$FB,62)*100</f>
        <v>53.069999999999993</v>
      </c>
      <c r="M92" s="51">
        <f>VLOOKUP($A92,'Data Vlaue (Cr)'!$C:$FB,63)</f>
        <v>218</v>
      </c>
      <c r="N92" s="51">
        <f>VLOOKUP($A92,'Data Vlaue (Cr)'!$C:$FB,64)</f>
        <v>179</v>
      </c>
      <c r="O92" s="51">
        <f>VLOOKUP($A92,'Data Vlaue (Cr)'!$C:$FB,66)*100</f>
        <v>21.959999999999997</v>
      </c>
    </row>
    <row r="93" spans="1:15" x14ac:dyDescent="0.25">
      <c r="A93" s="101" t="str">
        <f>'Data Vlaue (Cr)'!C88</f>
        <v>IDEA</v>
      </c>
      <c r="B93" s="50">
        <f>VLOOKUP($A93,'Data Vlaue (Cr)'!$C:$FB,8)</f>
        <v>10.17</v>
      </c>
      <c r="C93" s="50">
        <f>VLOOKUP($A93,'Data Vlaue (Cr)'!$C:$FB,11)*100</f>
        <v>-4.8599999999999994</v>
      </c>
      <c r="D93" s="50">
        <f>VLOOKUP($A93,'Data Vlaue (Cr)'!$C:$FB,143)</f>
        <v>7313.86</v>
      </c>
      <c r="E93" s="50">
        <f>VLOOKUP($A93,'Data Vlaue (Cr)'!$C:$FB,144)</f>
        <v>5269.18</v>
      </c>
      <c r="F93" s="50">
        <f>VLOOKUP($A93,'Data Vlaue (Cr)'!$C:$FB,146)*100</f>
        <v>38.800000000000004</v>
      </c>
      <c r="G93" s="49">
        <f>VLOOKUP($A93,'Data Vlaue (Cr)'!$C:$FB,43)</f>
        <v>3663</v>
      </c>
      <c r="H93" s="49">
        <f>VLOOKUP($A93,'Data Vlaue (Cr)'!$C:$FB,44)</f>
        <v>1454</v>
      </c>
      <c r="I93" s="49">
        <f>VLOOKUP($A93,'Data Vlaue (Cr)'!$C:$FB,46)*100</f>
        <v>151.84</v>
      </c>
      <c r="J93" s="51">
        <f>VLOOKUP($A93,'Data Vlaue (Cr)'!$C:$FB,59)</f>
        <v>2107</v>
      </c>
      <c r="K93" s="51">
        <f>VLOOKUP($A93,'Data Vlaue (Cr)'!$C:$FB,60)</f>
        <v>2499</v>
      </c>
      <c r="L93" s="51">
        <f>VLOOKUP($A93,'Data Vlaue (Cr)'!$C:$FB,62)*100</f>
        <v>-15.68</v>
      </c>
      <c r="M93" s="51">
        <f>VLOOKUP($A93,'Data Vlaue (Cr)'!$C:$FB,63)</f>
        <v>1129</v>
      </c>
      <c r="N93" s="51">
        <f>VLOOKUP($A93,'Data Vlaue (Cr)'!$C:$FB,64)</f>
        <v>806</v>
      </c>
      <c r="O93" s="51">
        <f>VLOOKUP($A93,'Data Vlaue (Cr)'!$C:$FB,66)*100</f>
        <v>40.129999999999995</v>
      </c>
    </row>
    <row r="94" spans="1:15" x14ac:dyDescent="0.25">
      <c r="A94" s="101" t="str">
        <f>'Data Vlaue (Cr)'!C89</f>
        <v>IDFCFIRSTB</v>
      </c>
      <c r="B94" s="50">
        <f>VLOOKUP($A94,'Data Vlaue (Cr)'!$C:$FB,8)</f>
        <v>78.930000000000007</v>
      </c>
      <c r="C94" s="50">
        <f>VLOOKUP($A94,'Data Vlaue (Cr)'!$C:$FB,11)*100</f>
        <v>-0.85000000000000009</v>
      </c>
      <c r="D94" s="50">
        <f>VLOOKUP($A94,'Data Vlaue (Cr)'!$C:$FB,143)</f>
        <v>3346.58</v>
      </c>
      <c r="E94" s="50">
        <f>VLOOKUP($A94,'Data Vlaue (Cr)'!$C:$FB,144)</f>
        <v>3108.97</v>
      </c>
      <c r="F94" s="50">
        <f>VLOOKUP($A94,'Data Vlaue (Cr)'!$C:$FB,146)*100</f>
        <v>7.64</v>
      </c>
      <c r="G94" s="49">
        <f>VLOOKUP($A94,'Data Vlaue (Cr)'!$C:$FB,43)</f>
        <v>1391</v>
      </c>
      <c r="H94" s="49">
        <f>VLOOKUP($A94,'Data Vlaue (Cr)'!$C:$FB,44)</f>
        <v>608</v>
      </c>
      <c r="I94" s="49">
        <f>VLOOKUP($A94,'Data Vlaue (Cr)'!$C:$FB,46)*100</f>
        <v>128.84</v>
      </c>
      <c r="J94" s="51">
        <f>VLOOKUP($A94,'Data Vlaue (Cr)'!$C:$FB,59)</f>
        <v>1301</v>
      </c>
      <c r="K94" s="51">
        <f>VLOOKUP($A94,'Data Vlaue (Cr)'!$C:$FB,60)</f>
        <v>1542</v>
      </c>
      <c r="L94" s="51">
        <f>VLOOKUP($A94,'Data Vlaue (Cr)'!$C:$FB,62)*100</f>
        <v>-15.620000000000001</v>
      </c>
      <c r="M94" s="51">
        <f>VLOOKUP($A94,'Data Vlaue (Cr)'!$C:$FB,63)</f>
        <v>577</v>
      </c>
      <c r="N94" s="51">
        <f>VLOOKUP($A94,'Data Vlaue (Cr)'!$C:$FB,64)</f>
        <v>869</v>
      </c>
      <c r="O94" s="51">
        <f>VLOOKUP($A94,'Data Vlaue (Cr)'!$C:$FB,66)*100</f>
        <v>-33.61</v>
      </c>
    </row>
    <row r="95" spans="1:15" x14ac:dyDescent="0.25">
      <c r="A95" s="101" t="str">
        <f>'Data Vlaue (Cr)'!C90</f>
        <v>IEX</v>
      </c>
      <c r="B95" s="50">
        <f>VLOOKUP($A95,'Data Vlaue (Cr)'!$C:$FB,8)</f>
        <v>143.13</v>
      </c>
      <c r="C95" s="50">
        <f>VLOOKUP($A95,'Data Vlaue (Cr)'!$C:$FB,11)*100</f>
        <v>4.3900000000000006</v>
      </c>
      <c r="D95" s="50">
        <f>VLOOKUP($A95,'Data Vlaue (Cr)'!$C:$FB,143)</f>
        <v>5224.57</v>
      </c>
      <c r="E95" s="50">
        <f>VLOOKUP($A95,'Data Vlaue (Cr)'!$C:$FB,144)</f>
        <v>824.68</v>
      </c>
      <c r="F95" s="50">
        <f>VLOOKUP($A95,'Data Vlaue (Cr)'!$C:$FB,146)*100</f>
        <v>533.53</v>
      </c>
      <c r="G95" s="49">
        <f>VLOOKUP($A95,'Data Vlaue (Cr)'!$C:$FB,43)</f>
        <v>832</v>
      </c>
      <c r="H95" s="49">
        <f>VLOOKUP($A95,'Data Vlaue (Cr)'!$C:$FB,44)</f>
        <v>164</v>
      </c>
      <c r="I95" s="49">
        <f>VLOOKUP($A95,'Data Vlaue (Cr)'!$C:$FB,46)*100</f>
        <v>406.16</v>
      </c>
      <c r="J95" s="51">
        <f>VLOOKUP($A95,'Data Vlaue (Cr)'!$C:$FB,59)</f>
        <v>3509</v>
      </c>
      <c r="K95" s="51">
        <f>VLOOKUP($A95,'Data Vlaue (Cr)'!$C:$FB,60)</f>
        <v>464</v>
      </c>
      <c r="L95" s="51">
        <f>VLOOKUP($A95,'Data Vlaue (Cr)'!$C:$FB,62)*100</f>
        <v>656.33999999999992</v>
      </c>
      <c r="M95" s="51">
        <f>VLOOKUP($A95,'Data Vlaue (Cr)'!$C:$FB,63)</f>
        <v>815</v>
      </c>
      <c r="N95" s="51">
        <f>VLOOKUP($A95,'Data Vlaue (Cr)'!$C:$FB,64)</f>
        <v>210</v>
      </c>
      <c r="O95" s="51">
        <f>VLOOKUP($A95,'Data Vlaue (Cr)'!$C:$FB,66)*100</f>
        <v>288.33999999999997</v>
      </c>
    </row>
    <row r="96" spans="1:15" x14ac:dyDescent="0.25">
      <c r="A96" s="101" t="str">
        <f>'Data Vlaue (Cr)'!C91</f>
        <v>IGL</v>
      </c>
      <c r="B96" s="50">
        <f>VLOOKUP($A96,'Data Vlaue (Cr)'!$C:$FB,8)</f>
        <v>204.06</v>
      </c>
      <c r="C96" s="50">
        <f>VLOOKUP($A96,'Data Vlaue (Cr)'!$C:$FB,11)*100</f>
        <v>-1.21</v>
      </c>
      <c r="D96" s="50">
        <f>VLOOKUP($A96,'Data Vlaue (Cr)'!$C:$FB,143)</f>
        <v>407.05</v>
      </c>
      <c r="E96" s="50">
        <f>VLOOKUP($A96,'Data Vlaue (Cr)'!$C:$FB,144)</f>
        <v>539.82000000000005</v>
      </c>
      <c r="F96" s="50">
        <f>VLOOKUP($A96,'Data Vlaue (Cr)'!$C:$FB,146)*100</f>
        <v>-24.6</v>
      </c>
      <c r="G96" s="49">
        <f>VLOOKUP($A96,'Data Vlaue (Cr)'!$C:$FB,43)</f>
        <v>76</v>
      </c>
      <c r="H96" s="49">
        <f>VLOOKUP($A96,'Data Vlaue (Cr)'!$C:$FB,44)</f>
        <v>51</v>
      </c>
      <c r="I96" s="49">
        <f>VLOOKUP($A96,'Data Vlaue (Cr)'!$C:$FB,46)*100</f>
        <v>50.56</v>
      </c>
      <c r="J96" s="51">
        <f>VLOOKUP($A96,'Data Vlaue (Cr)'!$C:$FB,59)</f>
        <v>213</v>
      </c>
      <c r="K96" s="51">
        <f>VLOOKUP($A96,'Data Vlaue (Cr)'!$C:$FB,60)</f>
        <v>312</v>
      </c>
      <c r="L96" s="51">
        <f>VLOOKUP($A96,'Data Vlaue (Cr)'!$C:$FB,62)*100</f>
        <v>-31.81</v>
      </c>
      <c r="M96" s="51">
        <f>VLOOKUP($A96,'Data Vlaue (Cr)'!$C:$FB,63)</f>
        <v>108</v>
      </c>
      <c r="N96" s="51">
        <f>VLOOKUP($A96,'Data Vlaue (Cr)'!$C:$FB,64)</f>
        <v>156</v>
      </c>
      <c r="O96" s="51">
        <f>VLOOKUP($A96,'Data Vlaue (Cr)'!$C:$FB,66)*100</f>
        <v>-31.069999999999997</v>
      </c>
    </row>
    <row r="97" spans="1:15" x14ac:dyDescent="0.25">
      <c r="A97" s="101" t="str">
        <f>'Data Vlaue (Cr)'!C92</f>
        <v>IIFL</v>
      </c>
      <c r="B97" s="50">
        <f>VLOOKUP($A97,'Data Vlaue (Cr)'!$C:$FB,8)</f>
        <v>544.75</v>
      </c>
      <c r="C97" s="50">
        <f>VLOOKUP($A97,'Data Vlaue (Cr)'!$C:$FB,11)*100</f>
        <v>-2.2999999999999998</v>
      </c>
      <c r="D97" s="50">
        <f>VLOOKUP($A97,'Data Vlaue (Cr)'!$C:$FB,143)</f>
        <v>1619.23</v>
      </c>
      <c r="E97" s="50">
        <f>VLOOKUP($A97,'Data Vlaue (Cr)'!$C:$FB,144)</f>
        <v>983.56</v>
      </c>
      <c r="F97" s="50">
        <f>VLOOKUP($A97,'Data Vlaue (Cr)'!$C:$FB,146)*100</f>
        <v>64.63</v>
      </c>
      <c r="G97" s="49">
        <f>VLOOKUP($A97,'Data Vlaue (Cr)'!$C:$FB,43)</f>
        <v>440</v>
      </c>
      <c r="H97" s="49">
        <f>VLOOKUP($A97,'Data Vlaue (Cr)'!$C:$FB,44)</f>
        <v>173</v>
      </c>
      <c r="I97" s="49">
        <f>VLOOKUP($A97,'Data Vlaue (Cr)'!$C:$FB,46)*100</f>
        <v>155.19</v>
      </c>
      <c r="J97" s="51">
        <f>VLOOKUP($A97,'Data Vlaue (Cr)'!$C:$FB,59)</f>
        <v>768</v>
      </c>
      <c r="K97" s="51">
        <f>VLOOKUP($A97,'Data Vlaue (Cr)'!$C:$FB,60)</f>
        <v>569</v>
      </c>
      <c r="L97" s="51">
        <f>VLOOKUP($A97,'Data Vlaue (Cr)'!$C:$FB,62)*100</f>
        <v>34.979999999999997</v>
      </c>
      <c r="M97" s="51">
        <f>VLOOKUP($A97,'Data Vlaue (Cr)'!$C:$FB,63)</f>
        <v>373</v>
      </c>
      <c r="N97" s="51">
        <f>VLOOKUP($A97,'Data Vlaue (Cr)'!$C:$FB,64)</f>
        <v>203</v>
      </c>
      <c r="O97" s="51">
        <f>VLOOKUP($A97,'Data Vlaue (Cr)'!$C:$FB,66)*100</f>
        <v>83.44</v>
      </c>
    </row>
    <row r="98" spans="1:15" x14ac:dyDescent="0.25">
      <c r="A98" s="101" t="str">
        <f>'Data Vlaue (Cr)'!C93</f>
        <v>INDHOTEL</v>
      </c>
      <c r="B98" s="50">
        <f>VLOOKUP($A98,'Data Vlaue (Cr)'!$C:$FB,8)</f>
        <v>733.35</v>
      </c>
      <c r="C98" s="50">
        <f>VLOOKUP($A98,'Data Vlaue (Cr)'!$C:$FB,11)*100</f>
        <v>1.92</v>
      </c>
      <c r="D98" s="50">
        <f>VLOOKUP($A98,'Data Vlaue (Cr)'!$C:$FB,143)</f>
        <v>6333.29</v>
      </c>
      <c r="E98" s="50">
        <f>VLOOKUP($A98,'Data Vlaue (Cr)'!$C:$FB,144)</f>
        <v>1906.11</v>
      </c>
      <c r="F98" s="50">
        <f>VLOOKUP($A98,'Data Vlaue (Cr)'!$C:$FB,146)*100</f>
        <v>232.26</v>
      </c>
      <c r="G98" s="49">
        <f>VLOOKUP($A98,'Data Vlaue (Cr)'!$C:$FB,43)</f>
        <v>1237</v>
      </c>
      <c r="H98" s="49">
        <f>VLOOKUP($A98,'Data Vlaue (Cr)'!$C:$FB,44)</f>
        <v>376</v>
      </c>
      <c r="I98" s="49">
        <f>VLOOKUP($A98,'Data Vlaue (Cr)'!$C:$FB,46)*100</f>
        <v>228.98000000000002</v>
      </c>
      <c r="J98" s="51">
        <f>VLOOKUP($A98,'Data Vlaue (Cr)'!$C:$FB,59)</f>
        <v>3581</v>
      </c>
      <c r="K98" s="51">
        <f>VLOOKUP($A98,'Data Vlaue (Cr)'!$C:$FB,60)</f>
        <v>1055</v>
      </c>
      <c r="L98" s="51">
        <f>VLOOKUP($A98,'Data Vlaue (Cr)'!$C:$FB,62)*100</f>
        <v>239.42999999999998</v>
      </c>
      <c r="M98" s="51">
        <f>VLOOKUP($A98,'Data Vlaue (Cr)'!$C:$FB,63)</f>
        <v>1436</v>
      </c>
      <c r="N98" s="51">
        <f>VLOOKUP($A98,'Data Vlaue (Cr)'!$C:$FB,64)</f>
        <v>483</v>
      </c>
      <c r="O98" s="51">
        <f>VLOOKUP($A98,'Data Vlaue (Cr)'!$C:$FB,66)*100</f>
        <v>197.14000000000001</v>
      </c>
    </row>
    <row r="99" spans="1:15" x14ac:dyDescent="0.25">
      <c r="A99" s="101" t="str">
        <f>'Data Vlaue (Cr)'!C94</f>
        <v>INDIANB</v>
      </c>
      <c r="B99" s="50">
        <f>VLOOKUP($A99,'Data Vlaue (Cr)'!$C:$FB,8)</f>
        <v>882.35</v>
      </c>
      <c r="C99" s="50">
        <f>VLOOKUP($A99,'Data Vlaue (Cr)'!$C:$FB,11)*100</f>
        <v>-0.36</v>
      </c>
      <c r="D99" s="50">
        <f>VLOOKUP($A99,'Data Vlaue (Cr)'!$C:$FB,143)</f>
        <v>1451.65</v>
      </c>
      <c r="E99" s="50">
        <f>VLOOKUP($A99,'Data Vlaue (Cr)'!$C:$FB,144)</f>
        <v>1248.75</v>
      </c>
      <c r="F99" s="50">
        <f>VLOOKUP($A99,'Data Vlaue (Cr)'!$C:$FB,146)*100</f>
        <v>16.25</v>
      </c>
      <c r="G99" s="49">
        <f>VLOOKUP($A99,'Data Vlaue (Cr)'!$C:$FB,43)</f>
        <v>682</v>
      </c>
      <c r="H99" s="49">
        <f>VLOOKUP($A99,'Data Vlaue (Cr)'!$C:$FB,44)</f>
        <v>281</v>
      </c>
      <c r="I99" s="49">
        <f>VLOOKUP($A99,'Data Vlaue (Cr)'!$C:$FB,46)*100</f>
        <v>142.28</v>
      </c>
      <c r="J99" s="51">
        <f>VLOOKUP($A99,'Data Vlaue (Cr)'!$C:$FB,59)</f>
        <v>492</v>
      </c>
      <c r="K99" s="51">
        <f>VLOOKUP($A99,'Data Vlaue (Cr)'!$C:$FB,60)</f>
        <v>643</v>
      </c>
      <c r="L99" s="51">
        <f>VLOOKUP($A99,'Data Vlaue (Cr)'!$C:$FB,62)*100</f>
        <v>-23.52</v>
      </c>
      <c r="M99" s="51">
        <f>VLOOKUP($A99,'Data Vlaue (Cr)'!$C:$FB,63)</f>
        <v>257</v>
      </c>
      <c r="N99" s="51">
        <f>VLOOKUP($A99,'Data Vlaue (Cr)'!$C:$FB,64)</f>
        <v>303</v>
      </c>
      <c r="O99" s="51">
        <f>VLOOKUP($A99,'Data Vlaue (Cr)'!$C:$FB,66)*100</f>
        <v>-15.010000000000002</v>
      </c>
    </row>
    <row r="100" spans="1:15" x14ac:dyDescent="0.25">
      <c r="A100" s="101" t="str">
        <f>'Data Vlaue (Cr)'!C95</f>
        <v>INDIAVIX</v>
      </c>
      <c r="B100" s="50">
        <f>VLOOKUP($A100,'Data Vlaue (Cr)'!$C:$FB,8)</f>
        <v>12.13</v>
      </c>
      <c r="C100" s="50">
        <f>VLOOKUP($A100,'Data Vlaue (Cr)'!$C:$FB,11)*100</f>
        <v>1.38</v>
      </c>
      <c r="D100" s="50">
        <f>VLOOKUP($A100,'Data Vlaue (Cr)'!$C:$FB,143)</f>
        <v>0</v>
      </c>
      <c r="E100" s="50">
        <f>VLOOKUP($A100,'Data Vlaue (Cr)'!$C:$FB,144)</f>
        <v>0</v>
      </c>
      <c r="F100" s="50">
        <f>VLOOKUP($A100,'Data Vlaue (Cr)'!$C:$FB,146)*100</f>
        <v>0</v>
      </c>
      <c r="G100" s="49">
        <f>VLOOKUP($A100,'Data Vlaue (Cr)'!$C:$FB,43)</f>
        <v>0</v>
      </c>
      <c r="H100" s="49">
        <f>VLOOKUP($A100,'Data Vlaue (Cr)'!$C:$FB,44)</f>
        <v>0</v>
      </c>
      <c r="I100" s="49">
        <f>VLOOKUP($A100,'Data Vlaue (Cr)'!$C:$FB,46)*100</f>
        <v>0</v>
      </c>
      <c r="J100" s="51">
        <f>VLOOKUP($A100,'Data Vlaue (Cr)'!$C:$FB,59)</f>
        <v>0</v>
      </c>
      <c r="K100" s="51">
        <f>VLOOKUP($A100,'Data Vlaue (Cr)'!$C:$FB,60)</f>
        <v>0</v>
      </c>
      <c r="L100" s="51">
        <f>VLOOKUP($A100,'Data Vlaue (Cr)'!$C:$FB,62)*100</f>
        <v>0</v>
      </c>
      <c r="M100" s="51">
        <f>VLOOKUP($A100,'Data Vlaue (Cr)'!$C:$FB,63)</f>
        <v>0</v>
      </c>
      <c r="N100" s="51">
        <f>VLOOKUP($A100,'Data Vlaue (Cr)'!$C:$FB,64)</f>
        <v>0</v>
      </c>
      <c r="O100" s="51">
        <f>VLOOKUP($A100,'Data Vlaue (Cr)'!$C:$FB,66)*100</f>
        <v>0</v>
      </c>
    </row>
    <row r="101" spans="1:15" x14ac:dyDescent="0.25">
      <c r="A101" s="101" t="str">
        <f>'Data Vlaue (Cr)'!C96</f>
        <v>INDIGO</v>
      </c>
      <c r="B101" s="50">
        <f>VLOOKUP($A101,'Data Vlaue (Cr)'!$C:$FB,8)</f>
        <v>5785.5</v>
      </c>
      <c r="C101" s="50">
        <f>VLOOKUP($A101,'Data Vlaue (Cr)'!$C:$FB,11)*100</f>
        <v>0.47000000000000003</v>
      </c>
      <c r="D101" s="50">
        <f>VLOOKUP($A101,'Data Vlaue (Cr)'!$C:$FB,143)</f>
        <v>8862.4</v>
      </c>
      <c r="E101" s="50">
        <f>VLOOKUP($A101,'Data Vlaue (Cr)'!$C:$FB,144)</f>
        <v>7172.28</v>
      </c>
      <c r="F101" s="50">
        <f>VLOOKUP($A101,'Data Vlaue (Cr)'!$C:$FB,146)*100</f>
        <v>23.56</v>
      </c>
      <c r="G101" s="49">
        <f>VLOOKUP($A101,'Data Vlaue (Cr)'!$C:$FB,43)</f>
        <v>2952</v>
      </c>
      <c r="H101" s="49">
        <f>VLOOKUP($A101,'Data Vlaue (Cr)'!$C:$FB,44)</f>
        <v>978</v>
      </c>
      <c r="I101" s="49">
        <f>VLOOKUP($A101,'Data Vlaue (Cr)'!$C:$FB,46)*100</f>
        <v>201.85</v>
      </c>
      <c r="J101" s="51">
        <f>VLOOKUP($A101,'Data Vlaue (Cr)'!$C:$FB,59)</f>
        <v>3975</v>
      </c>
      <c r="K101" s="51">
        <f>VLOOKUP($A101,'Data Vlaue (Cr)'!$C:$FB,60)</f>
        <v>3898</v>
      </c>
      <c r="L101" s="51">
        <f>VLOOKUP($A101,'Data Vlaue (Cr)'!$C:$FB,62)*100</f>
        <v>1.96</v>
      </c>
      <c r="M101" s="51">
        <f>VLOOKUP($A101,'Data Vlaue (Cr)'!$C:$FB,63)</f>
        <v>1828</v>
      </c>
      <c r="N101" s="51">
        <f>VLOOKUP($A101,'Data Vlaue (Cr)'!$C:$FB,64)</f>
        <v>2250</v>
      </c>
      <c r="O101" s="51">
        <f>VLOOKUP($A101,'Data Vlaue (Cr)'!$C:$FB,66)*100</f>
        <v>-18.77</v>
      </c>
    </row>
    <row r="102" spans="1:15" x14ac:dyDescent="0.25">
      <c r="A102" s="101" t="str">
        <f>'Data Vlaue (Cr)'!C97</f>
        <v>INDUSINDBK</v>
      </c>
      <c r="B102" s="50">
        <f>VLOOKUP($A102,'Data Vlaue (Cr)'!$C:$FB,8)</f>
        <v>829.4</v>
      </c>
      <c r="C102" s="50">
        <f>VLOOKUP($A102,'Data Vlaue (Cr)'!$C:$FB,11)*100</f>
        <v>-1.21</v>
      </c>
      <c r="D102" s="50">
        <f>VLOOKUP($A102,'Data Vlaue (Cr)'!$C:$FB,143)</f>
        <v>5586.33</v>
      </c>
      <c r="E102" s="50">
        <f>VLOOKUP($A102,'Data Vlaue (Cr)'!$C:$FB,144)</f>
        <v>4552.16</v>
      </c>
      <c r="F102" s="50">
        <f>VLOOKUP($A102,'Data Vlaue (Cr)'!$C:$FB,146)*100</f>
        <v>22.720000000000002</v>
      </c>
      <c r="G102" s="49">
        <f>VLOOKUP($A102,'Data Vlaue (Cr)'!$C:$FB,43)</f>
        <v>2085</v>
      </c>
      <c r="H102" s="49">
        <f>VLOOKUP($A102,'Data Vlaue (Cr)'!$C:$FB,44)</f>
        <v>1206</v>
      </c>
      <c r="I102" s="49">
        <f>VLOOKUP($A102,'Data Vlaue (Cr)'!$C:$FB,46)*100</f>
        <v>72.84</v>
      </c>
      <c r="J102" s="51">
        <f>VLOOKUP($A102,'Data Vlaue (Cr)'!$C:$FB,59)</f>
        <v>2280</v>
      </c>
      <c r="K102" s="51">
        <f>VLOOKUP($A102,'Data Vlaue (Cr)'!$C:$FB,60)</f>
        <v>1955</v>
      </c>
      <c r="L102" s="51">
        <f>VLOOKUP($A102,'Data Vlaue (Cr)'!$C:$FB,62)*100</f>
        <v>16.63</v>
      </c>
      <c r="M102" s="51">
        <f>VLOOKUP($A102,'Data Vlaue (Cr)'!$C:$FB,63)</f>
        <v>1107</v>
      </c>
      <c r="N102" s="51">
        <f>VLOOKUP($A102,'Data Vlaue (Cr)'!$C:$FB,64)</f>
        <v>1269</v>
      </c>
      <c r="O102" s="51">
        <f>VLOOKUP($A102,'Data Vlaue (Cr)'!$C:$FB,66)*100</f>
        <v>-12.8</v>
      </c>
    </row>
    <row r="103" spans="1:15" x14ac:dyDescent="0.25">
      <c r="A103" s="101" t="str">
        <f>'Data Vlaue (Cr)'!C98</f>
        <v>INDUSTOWER</v>
      </c>
      <c r="B103" s="50">
        <f>VLOOKUP($A103,'Data Vlaue (Cr)'!$C:$FB,8)</f>
        <v>400.5</v>
      </c>
      <c r="C103" s="50">
        <f>VLOOKUP($A103,'Data Vlaue (Cr)'!$C:$FB,11)*100</f>
        <v>-0.67999999999999994</v>
      </c>
      <c r="D103" s="50">
        <f>VLOOKUP($A103,'Data Vlaue (Cr)'!$C:$FB,143)</f>
        <v>2838.02</v>
      </c>
      <c r="E103" s="50">
        <f>VLOOKUP($A103,'Data Vlaue (Cr)'!$C:$FB,144)</f>
        <v>2153.29</v>
      </c>
      <c r="F103" s="50">
        <f>VLOOKUP($A103,'Data Vlaue (Cr)'!$C:$FB,146)*100</f>
        <v>31.8</v>
      </c>
      <c r="G103" s="49">
        <f>VLOOKUP($A103,'Data Vlaue (Cr)'!$C:$FB,43)</f>
        <v>1265</v>
      </c>
      <c r="H103" s="49">
        <f>VLOOKUP($A103,'Data Vlaue (Cr)'!$C:$FB,44)</f>
        <v>814</v>
      </c>
      <c r="I103" s="49">
        <f>VLOOKUP($A103,'Data Vlaue (Cr)'!$C:$FB,46)*100</f>
        <v>55.279999999999994</v>
      </c>
      <c r="J103" s="51">
        <f>VLOOKUP($A103,'Data Vlaue (Cr)'!$C:$FB,59)</f>
        <v>941</v>
      </c>
      <c r="K103" s="51">
        <f>VLOOKUP($A103,'Data Vlaue (Cr)'!$C:$FB,60)</f>
        <v>794</v>
      </c>
      <c r="L103" s="51">
        <f>VLOOKUP($A103,'Data Vlaue (Cr)'!$C:$FB,62)*100</f>
        <v>18.509999999999998</v>
      </c>
      <c r="M103" s="51">
        <f>VLOOKUP($A103,'Data Vlaue (Cr)'!$C:$FB,63)</f>
        <v>595</v>
      </c>
      <c r="N103" s="51">
        <f>VLOOKUP($A103,'Data Vlaue (Cr)'!$C:$FB,64)</f>
        <v>510</v>
      </c>
      <c r="O103" s="51">
        <f>VLOOKUP($A103,'Data Vlaue (Cr)'!$C:$FB,66)*100</f>
        <v>16.61</v>
      </c>
    </row>
    <row r="104" spans="1:15" x14ac:dyDescent="0.25">
      <c r="A104" s="101" t="str">
        <f>'Data Vlaue (Cr)'!C99</f>
        <v>INFY</v>
      </c>
      <c r="B104" s="50">
        <f>VLOOKUP($A104,'Data Vlaue (Cr)'!$C:$FB,8)</f>
        <v>1536.5</v>
      </c>
      <c r="C104" s="50">
        <f>VLOOKUP($A104,'Data Vlaue (Cr)'!$C:$FB,11)*100</f>
        <v>-0.3</v>
      </c>
      <c r="D104" s="50">
        <f>VLOOKUP($A104,'Data Vlaue (Cr)'!$C:$FB,143)</f>
        <v>18950.77</v>
      </c>
      <c r="E104" s="50">
        <f>VLOOKUP($A104,'Data Vlaue (Cr)'!$C:$FB,144)</f>
        <v>33231.99</v>
      </c>
      <c r="F104" s="50">
        <f>VLOOKUP($A104,'Data Vlaue (Cr)'!$C:$FB,146)*100</f>
        <v>-42.970000000000006</v>
      </c>
      <c r="G104" s="49">
        <f>VLOOKUP($A104,'Data Vlaue (Cr)'!$C:$FB,43)</f>
        <v>6542</v>
      </c>
      <c r="H104" s="49">
        <f>VLOOKUP($A104,'Data Vlaue (Cr)'!$C:$FB,44)</f>
        <v>3094</v>
      </c>
      <c r="I104" s="49">
        <f>VLOOKUP($A104,'Data Vlaue (Cr)'!$C:$FB,46)*100</f>
        <v>111.47</v>
      </c>
      <c r="J104" s="51">
        <f>VLOOKUP($A104,'Data Vlaue (Cr)'!$C:$FB,59)</f>
        <v>7608</v>
      </c>
      <c r="K104" s="51">
        <f>VLOOKUP($A104,'Data Vlaue (Cr)'!$C:$FB,60)</f>
        <v>21189</v>
      </c>
      <c r="L104" s="51">
        <f>VLOOKUP($A104,'Data Vlaue (Cr)'!$C:$FB,62)*100</f>
        <v>-64.099999999999994</v>
      </c>
      <c r="M104" s="51">
        <f>VLOOKUP($A104,'Data Vlaue (Cr)'!$C:$FB,63)</f>
        <v>4606</v>
      </c>
      <c r="N104" s="51">
        <f>VLOOKUP($A104,'Data Vlaue (Cr)'!$C:$FB,64)</f>
        <v>8641</v>
      </c>
      <c r="O104" s="51">
        <f>VLOOKUP($A104,'Data Vlaue (Cr)'!$C:$FB,66)*100</f>
        <v>-46.69</v>
      </c>
    </row>
    <row r="105" spans="1:15" x14ac:dyDescent="0.25">
      <c r="A105" s="101" t="str">
        <f>'Data Vlaue (Cr)'!C100</f>
        <v>INOXWIND</v>
      </c>
      <c r="B105" s="50">
        <f>VLOOKUP($A105,'Data Vlaue (Cr)'!$C:$FB,8)</f>
        <v>138.08000000000001</v>
      </c>
      <c r="C105" s="50">
        <f>VLOOKUP($A105,'Data Vlaue (Cr)'!$C:$FB,11)*100</f>
        <v>-1.1499999999999999</v>
      </c>
      <c r="D105" s="50">
        <f>VLOOKUP($A105,'Data Vlaue (Cr)'!$C:$FB,143)</f>
        <v>1545.66</v>
      </c>
      <c r="E105" s="50">
        <f>VLOOKUP($A105,'Data Vlaue (Cr)'!$C:$FB,144)</f>
        <v>1410.01</v>
      </c>
      <c r="F105" s="50">
        <f>VLOOKUP($A105,'Data Vlaue (Cr)'!$C:$FB,146)*100</f>
        <v>9.6199999999999992</v>
      </c>
      <c r="G105" s="49">
        <f>VLOOKUP($A105,'Data Vlaue (Cr)'!$C:$FB,43)</f>
        <v>656</v>
      </c>
      <c r="H105" s="49">
        <f>VLOOKUP($A105,'Data Vlaue (Cr)'!$C:$FB,44)</f>
        <v>334</v>
      </c>
      <c r="I105" s="49">
        <f>VLOOKUP($A105,'Data Vlaue (Cr)'!$C:$FB,46)*100</f>
        <v>96.28</v>
      </c>
      <c r="J105" s="51">
        <f>VLOOKUP($A105,'Data Vlaue (Cr)'!$C:$FB,59)</f>
        <v>663</v>
      </c>
      <c r="K105" s="51">
        <f>VLOOKUP($A105,'Data Vlaue (Cr)'!$C:$FB,60)</f>
        <v>794</v>
      </c>
      <c r="L105" s="51">
        <f>VLOOKUP($A105,'Data Vlaue (Cr)'!$C:$FB,62)*100</f>
        <v>-16.489999999999998</v>
      </c>
      <c r="M105" s="51">
        <f>VLOOKUP($A105,'Data Vlaue (Cr)'!$C:$FB,63)</f>
        <v>165</v>
      </c>
      <c r="N105" s="51">
        <f>VLOOKUP($A105,'Data Vlaue (Cr)'!$C:$FB,64)</f>
        <v>201</v>
      </c>
      <c r="O105" s="51">
        <f>VLOOKUP($A105,'Data Vlaue (Cr)'!$C:$FB,66)*100</f>
        <v>-17.98</v>
      </c>
    </row>
    <row r="106" spans="1:15" x14ac:dyDescent="0.25">
      <c r="A106" s="101" t="str">
        <f>'Data Vlaue (Cr)'!C101</f>
        <v>IOC</v>
      </c>
      <c r="B106" s="50">
        <f>VLOOKUP($A106,'Data Vlaue (Cr)'!$C:$FB,8)</f>
        <v>168.7</v>
      </c>
      <c r="C106" s="50">
        <f>VLOOKUP($A106,'Data Vlaue (Cr)'!$C:$FB,11)*100</f>
        <v>-0.37</v>
      </c>
      <c r="D106" s="50">
        <f>VLOOKUP($A106,'Data Vlaue (Cr)'!$C:$FB,143)</f>
        <v>2559.65</v>
      </c>
      <c r="E106" s="50">
        <f>VLOOKUP($A106,'Data Vlaue (Cr)'!$C:$FB,144)</f>
        <v>1934.54</v>
      </c>
      <c r="F106" s="50">
        <f>VLOOKUP($A106,'Data Vlaue (Cr)'!$C:$FB,146)*100</f>
        <v>32.31</v>
      </c>
      <c r="G106" s="49">
        <f>VLOOKUP($A106,'Data Vlaue (Cr)'!$C:$FB,43)</f>
        <v>926</v>
      </c>
      <c r="H106" s="49">
        <f>VLOOKUP($A106,'Data Vlaue (Cr)'!$C:$FB,44)</f>
        <v>269</v>
      </c>
      <c r="I106" s="49">
        <f>VLOOKUP($A106,'Data Vlaue (Cr)'!$C:$FB,46)*100</f>
        <v>244.05</v>
      </c>
      <c r="J106" s="51">
        <f>VLOOKUP($A106,'Data Vlaue (Cr)'!$C:$FB,59)</f>
        <v>1003</v>
      </c>
      <c r="K106" s="51">
        <f>VLOOKUP($A106,'Data Vlaue (Cr)'!$C:$FB,60)</f>
        <v>993</v>
      </c>
      <c r="L106" s="51">
        <f>VLOOKUP($A106,'Data Vlaue (Cr)'!$C:$FB,62)*100</f>
        <v>0.98</v>
      </c>
      <c r="M106" s="51">
        <f>VLOOKUP($A106,'Data Vlaue (Cr)'!$C:$FB,63)</f>
        <v>597</v>
      </c>
      <c r="N106" s="51">
        <f>VLOOKUP($A106,'Data Vlaue (Cr)'!$C:$FB,64)</f>
        <v>632</v>
      </c>
      <c r="O106" s="51">
        <f>VLOOKUP($A106,'Data Vlaue (Cr)'!$C:$FB,66)*100</f>
        <v>-5.57</v>
      </c>
    </row>
    <row r="107" spans="1:15" x14ac:dyDescent="0.25">
      <c r="A107" s="101" t="str">
        <f>'Data Vlaue (Cr)'!C102</f>
        <v>IRCTC</v>
      </c>
      <c r="B107" s="50">
        <f>VLOOKUP($A107,'Data Vlaue (Cr)'!$C:$FB,8)</f>
        <v>703</v>
      </c>
      <c r="C107" s="50">
        <f>VLOOKUP($A107,'Data Vlaue (Cr)'!$C:$FB,11)*100</f>
        <v>-0.27999999999999997</v>
      </c>
      <c r="D107" s="50">
        <f>VLOOKUP($A107,'Data Vlaue (Cr)'!$C:$FB,143)</f>
        <v>2322.4</v>
      </c>
      <c r="E107" s="50">
        <f>VLOOKUP($A107,'Data Vlaue (Cr)'!$C:$FB,144)</f>
        <v>1611.01</v>
      </c>
      <c r="F107" s="50">
        <f>VLOOKUP($A107,'Data Vlaue (Cr)'!$C:$FB,146)*100</f>
        <v>44.16</v>
      </c>
      <c r="G107" s="49">
        <f>VLOOKUP($A107,'Data Vlaue (Cr)'!$C:$FB,43)</f>
        <v>1102</v>
      </c>
      <c r="H107" s="49">
        <f>VLOOKUP($A107,'Data Vlaue (Cr)'!$C:$FB,44)</f>
        <v>269</v>
      </c>
      <c r="I107" s="49">
        <f>VLOOKUP($A107,'Data Vlaue (Cr)'!$C:$FB,46)*100</f>
        <v>308.94</v>
      </c>
      <c r="J107" s="51">
        <f>VLOOKUP($A107,'Data Vlaue (Cr)'!$C:$FB,59)</f>
        <v>838</v>
      </c>
      <c r="K107" s="51">
        <f>VLOOKUP($A107,'Data Vlaue (Cr)'!$C:$FB,60)</f>
        <v>987</v>
      </c>
      <c r="L107" s="51">
        <f>VLOOKUP($A107,'Data Vlaue (Cr)'!$C:$FB,62)*100</f>
        <v>-15.040000000000001</v>
      </c>
      <c r="M107" s="51">
        <f>VLOOKUP($A107,'Data Vlaue (Cr)'!$C:$FB,63)</f>
        <v>336</v>
      </c>
      <c r="N107" s="51">
        <f>VLOOKUP($A107,'Data Vlaue (Cr)'!$C:$FB,64)</f>
        <v>314</v>
      </c>
      <c r="O107" s="51">
        <f>VLOOKUP($A107,'Data Vlaue (Cr)'!$C:$FB,66)*100</f>
        <v>7.07</v>
      </c>
    </row>
    <row r="108" spans="1:15" x14ac:dyDescent="0.25">
      <c r="A108" s="101" t="str">
        <f>'Data Vlaue (Cr)'!C103</f>
        <v>IREDA</v>
      </c>
      <c r="B108" s="50">
        <f>VLOOKUP($A108,'Data Vlaue (Cr)'!$C:$FB,8)</f>
        <v>146.63999999999999</v>
      </c>
      <c r="C108" s="50">
        <f>VLOOKUP($A108,'Data Vlaue (Cr)'!$C:$FB,11)*100</f>
        <v>-0.31</v>
      </c>
      <c r="D108" s="50">
        <f>VLOOKUP($A108,'Data Vlaue (Cr)'!$C:$FB,143)</f>
        <v>685.66</v>
      </c>
      <c r="E108" s="50">
        <f>VLOOKUP($A108,'Data Vlaue (Cr)'!$C:$FB,144)</f>
        <v>748.39</v>
      </c>
      <c r="F108" s="50">
        <f>VLOOKUP($A108,'Data Vlaue (Cr)'!$C:$FB,146)*100</f>
        <v>-8.3800000000000008</v>
      </c>
      <c r="G108" s="49">
        <f>VLOOKUP($A108,'Data Vlaue (Cr)'!$C:$FB,43)</f>
        <v>323</v>
      </c>
      <c r="H108" s="49">
        <f>VLOOKUP($A108,'Data Vlaue (Cr)'!$C:$FB,44)</f>
        <v>159</v>
      </c>
      <c r="I108" s="49">
        <f>VLOOKUP($A108,'Data Vlaue (Cr)'!$C:$FB,46)*100</f>
        <v>103.30999999999999</v>
      </c>
      <c r="J108" s="51">
        <f>VLOOKUP($A108,'Data Vlaue (Cr)'!$C:$FB,59)</f>
        <v>280</v>
      </c>
      <c r="K108" s="51">
        <f>VLOOKUP($A108,'Data Vlaue (Cr)'!$C:$FB,60)</f>
        <v>427</v>
      </c>
      <c r="L108" s="51">
        <f>VLOOKUP($A108,'Data Vlaue (Cr)'!$C:$FB,62)*100</f>
        <v>-34.39</v>
      </c>
      <c r="M108" s="51">
        <f>VLOOKUP($A108,'Data Vlaue (Cr)'!$C:$FB,63)</f>
        <v>64</v>
      </c>
      <c r="N108" s="51">
        <f>VLOOKUP($A108,'Data Vlaue (Cr)'!$C:$FB,64)</f>
        <v>135</v>
      </c>
      <c r="O108" s="51">
        <f>VLOOKUP($A108,'Data Vlaue (Cr)'!$C:$FB,66)*100</f>
        <v>-52.839999999999996</v>
      </c>
    </row>
    <row r="109" spans="1:15" x14ac:dyDescent="0.25">
      <c r="A109" s="101" t="str">
        <f>'Data Vlaue (Cr)'!C104</f>
        <v>IRFC</v>
      </c>
      <c r="B109" s="50">
        <f>VLOOKUP($A109,'Data Vlaue (Cr)'!$C:$FB,8)</f>
        <v>120.08</v>
      </c>
      <c r="C109" s="50">
        <f>VLOOKUP($A109,'Data Vlaue (Cr)'!$C:$FB,11)*100</f>
        <v>-0.64</v>
      </c>
      <c r="D109" s="50">
        <f>VLOOKUP($A109,'Data Vlaue (Cr)'!$C:$FB,143)</f>
        <v>598.86</v>
      </c>
      <c r="E109" s="50">
        <f>VLOOKUP($A109,'Data Vlaue (Cr)'!$C:$FB,144)</f>
        <v>505.58</v>
      </c>
      <c r="F109" s="50">
        <f>VLOOKUP($A109,'Data Vlaue (Cr)'!$C:$FB,146)*100</f>
        <v>18.45</v>
      </c>
      <c r="G109" s="49">
        <f>VLOOKUP($A109,'Data Vlaue (Cr)'!$C:$FB,43)</f>
        <v>249</v>
      </c>
      <c r="H109" s="49">
        <f>VLOOKUP($A109,'Data Vlaue (Cr)'!$C:$FB,44)</f>
        <v>87</v>
      </c>
      <c r="I109" s="49">
        <f>VLOOKUP($A109,'Data Vlaue (Cr)'!$C:$FB,46)*100</f>
        <v>185.14</v>
      </c>
      <c r="J109" s="51">
        <f>VLOOKUP($A109,'Data Vlaue (Cr)'!$C:$FB,59)</f>
        <v>250</v>
      </c>
      <c r="K109" s="51">
        <f>VLOOKUP($A109,'Data Vlaue (Cr)'!$C:$FB,60)</f>
        <v>320</v>
      </c>
      <c r="L109" s="51">
        <f>VLOOKUP($A109,'Data Vlaue (Cr)'!$C:$FB,62)*100</f>
        <v>-21.94</v>
      </c>
      <c r="M109" s="51">
        <f>VLOOKUP($A109,'Data Vlaue (Cr)'!$C:$FB,63)</f>
        <v>85</v>
      </c>
      <c r="N109" s="51">
        <f>VLOOKUP($A109,'Data Vlaue (Cr)'!$C:$FB,64)</f>
        <v>81</v>
      </c>
      <c r="O109" s="51">
        <f>VLOOKUP($A109,'Data Vlaue (Cr)'!$C:$FB,66)*100</f>
        <v>4.32</v>
      </c>
    </row>
    <row r="110" spans="1:15" x14ac:dyDescent="0.25">
      <c r="A110" s="101" t="str">
        <f>'Data Vlaue (Cr)'!C105</f>
        <v>ITC</v>
      </c>
      <c r="B110" s="50">
        <f>VLOOKUP($A110,'Data Vlaue (Cr)'!$C:$FB,8)</f>
        <v>405.45</v>
      </c>
      <c r="C110" s="50">
        <f>VLOOKUP($A110,'Data Vlaue (Cr)'!$C:$FB,11)*100</f>
        <v>0.47000000000000003</v>
      </c>
      <c r="D110" s="50">
        <f>VLOOKUP($A110,'Data Vlaue (Cr)'!$C:$FB,143)</f>
        <v>6201.95</v>
      </c>
      <c r="E110" s="50">
        <f>VLOOKUP($A110,'Data Vlaue (Cr)'!$C:$FB,144)</f>
        <v>3629.56</v>
      </c>
      <c r="F110" s="50">
        <f>VLOOKUP($A110,'Data Vlaue (Cr)'!$C:$FB,146)*100</f>
        <v>70.87</v>
      </c>
      <c r="G110" s="49">
        <f>VLOOKUP($A110,'Data Vlaue (Cr)'!$C:$FB,43)</f>
        <v>3120</v>
      </c>
      <c r="H110" s="49">
        <f>VLOOKUP($A110,'Data Vlaue (Cr)'!$C:$FB,44)</f>
        <v>653</v>
      </c>
      <c r="I110" s="49">
        <f>VLOOKUP($A110,'Data Vlaue (Cr)'!$C:$FB,46)*100</f>
        <v>377.67</v>
      </c>
      <c r="J110" s="51">
        <f>VLOOKUP($A110,'Data Vlaue (Cr)'!$C:$FB,59)</f>
        <v>2082</v>
      </c>
      <c r="K110" s="51">
        <f>VLOOKUP($A110,'Data Vlaue (Cr)'!$C:$FB,60)</f>
        <v>2094</v>
      </c>
      <c r="L110" s="51">
        <f>VLOOKUP($A110,'Data Vlaue (Cr)'!$C:$FB,62)*100</f>
        <v>-0.57000000000000006</v>
      </c>
      <c r="M110" s="51">
        <f>VLOOKUP($A110,'Data Vlaue (Cr)'!$C:$FB,63)</f>
        <v>938</v>
      </c>
      <c r="N110" s="51">
        <f>VLOOKUP($A110,'Data Vlaue (Cr)'!$C:$FB,64)</f>
        <v>831</v>
      </c>
      <c r="O110" s="51">
        <f>VLOOKUP($A110,'Data Vlaue (Cr)'!$C:$FB,66)*100</f>
        <v>12.93</v>
      </c>
    </row>
    <row r="111" spans="1:15" x14ac:dyDescent="0.25">
      <c r="A111" s="101" t="str">
        <f>'Data Vlaue (Cr)'!C106</f>
        <v>JINDALSTEL</v>
      </c>
      <c r="B111" s="50">
        <f>VLOOKUP($A111,'Data Vlaue (Cr)'!$C:$FB,8)</f>
        <v>1069.4000000000001</v>
      </c>
      <c r="C111" s="50">
        <f>VLOOKUP($A111,'Data Vlaue (Cr)'!$C:$FB,11)*100</f>
        <v>-0.15</v>
      </c>
      <c r="D111" s="50">
        <f>VLOOKUP($A111,'Data Vlaue (Cr)'!$C:$FB,143)</f>
        <v>1660.36</v>
      </c>
      <c r="E111" s="50">
        <f>VLOOKUP($A111,'Data Vlaue (Cr)'!$C:$FB,144)</f>
        <v>1513.5</v>
      </c>
      <c r="F111" s="50">
        <f>VLOOKUP($A111,'Data Vlaue (Cr)'!$C:$FB,146)*100</f>
        <v>9.7000000000000011</v>
      </c>
      <c r="G111" s="49">
        <f>VLOOKUP($A111,'Data Vlaue (Cr)'!$C:$FB,43)</f>
        <v>692</v>
      </c>
      <c r="H111" s="49">
        <f>VLOOKUP($A111,'Data Vlaue (Cr)'!$C:$FB,44)</f>
        <v>268</v>
      </c>
      <c r="I111" s="49">
        <f>VLOOKUP($A111,'Data Vlaue (Cr)'!$C:$FB,46)*100</f>
        <v>158.39000000000001</v>
      </c>
      <c r="J111" s="51">
        <f>VLOOKUP($A111,'Data Vlaue (Cr)'!$C:$FB,59)</f>
        <v>608</v>
      </c>
      <c r="K111" s="51">
        <f>VLOOKUP($A111,'Data Vlaue (Cr)'!$C:$FB,60)</f>
        <v>792</v>
      </c>
      <c r="L111" s="51">
        <f>VLOOKUP($A111,'Data Vlaue (Cr)'!$C:$FB,62)*100</f>
        <v>-23.26</v>
      </c>
      <c r="M111" s="51">
        <f>VLOOKUP($A111,'Data Vlaue (Cr)'!$C:$FB,63)</f>
        <v>339</v>
      </c>
      <c r="N111" s="51">
        <f>VLOOKUP($A111,'Data Vlaue (Cr)'!$C:$FB,64)</f>
        <v>434</v>
      </c>
      <c r="O111" s="51">
        <f>VLOOKUP($A111,'Data Vlaue (Cr)'!$C:$FB,66)*100</f>
        <v>-21.93</v>
      </c>
    </row>
    <row r="112" spans="1:15" x14ac:dyDescent="0.25">
      <c r="A112" s="101" t="str">
        <f>'Data Vlaue (Cr)'!C107</f>
        <v>JIOFIN</v>
      </c>
      <c r="B112" s="50">
        <f>VLOOKUP($A112,'Data Vlaue (Cr)'!$C:$FB,8)</f>
        <v>308.35000000000002</v>
      </c>
      <c r="C112" s="50">
        <f>VLOOKUP($A112,'Data Vlaue (Cr)'!$C:$FB,11)*100</f>
        <v>1.28</v>
      </c>
      <c r="D112" s="50">
        <f>VLOOKUP($A112,'Data Vlaue (Cr)'!$C:$FB,143)</f>
        <v>5185.32</v>
      </c>
      <c r="E112" s="50">
        <f>VLOOKUP($A112,'Data Vlaue (Cr)'!$C:$FB,144)</f>
        <v>3666.66</v>
      </c>
      <c r="F112" s="50">
        <f>VLOOKUP($A112,'Data Vlaue (Cr)'!$C:$FB,146)*100</f>
        <v>41.42</v>
      </c>
      <c r="G112" s="49">
        <f>VLOOKUP($A112,'Data Vlaue (Cr)'!$C:$FB,43)</f>
        <v>1682</v>
      </c>
      <c r="H112" s="49">
        <f>VLOOKUP($A112,'Data Vlaue (Cr)'!$C:$FB,44)</f>
        <v>617</v>
      </c>
      <c r="I112" s="49">
        <f>VLOOKUP($A112,'Data Vlaue (Cr)'!$C:$FB,46)*100</f>
        <v>172.47</v>
      </c>
      <c r="J112" s="51">
        <f>VLOOKUP($A112,'Data Vlaue (Cr)'!$C:$FB,59)</f>
        <v>2523</v>
      </c>
      <c r="K112" s="51">
        <f>VLOOKUP($A112,'Data Vlaue (Cr)'!$C:$FB,60)</f>
        <v>2128</v>
      </c>
      <c r="L112" s="51">
        <f>VLOOKUP($A112,'Data Vlaue (Cr)'!$C:$FB,62)*100</f>
        <v>18.54</v>
      </c>
      <c r="M112" s="51">
        <f>VLOOKUP($A112,'Data Vlaue (Cr)'!$C:$FB,63)</f>
        <v>879</v>
      </c>
      <c r="N112" s="51">
        <f>VLOOKUP($A112,'Data Vlaue (Cr)'!$C:$FB,64)</f>
        <v>856</v>
      </c>
      <c r="O112" s="51">
        <f>VLOOKUP($A112,'Data Vlaue (Cr)'!$C:$FB,66)*100</f>
        <v>2.76</v>
      </c>
    </row>
    <row r="113" spans="1:15" x14ac:dyDescent="0.25">
      <c r="A113" s="101" t="str">
        <f>'Data Vlaue (Cr)'!C108</f>
        <v>JSWENERGY</v>
      </c>
      <c r="B113" s="50">
        <f>VLOOKUP($A113,'Data Vlaue (Cr)'!$C:$FB,8)</f>
        <v>504.85</v>
      </c>
      <c r="C113" s="50">
        <f>VLOOKUP($A113,'Data Vlaue (Cr)'!$C:$FB,11)*100</f>
        <v>-1.71</v>
      </c>
      <c r="D113" s="50">
        <f>VLOOKUP($A113,'Data Vlaue (Cr)'!$C:$FB,143)</f>
        <v>2337.7199999999998</v>
      </c>
      <c r="E113" s="50">
        <f>VLOOKUP($A113,'Data Vlaue (Cr)'!$C:$FB,144)</f>
        <v>1559.9</v>
      </c>
      <c r="F113" s="50">
        <f>VLOOKUP($A113,'Data Vlaue (Cr)'!$C:$FB,146)*100</f>
        <v>49.86</v>
      </c>
      <c r="G113" s="49">
        <f>VLOOKUP($A113,'Data Vlaue (Cr)'!$C:$FB,43)</f>
        <v>947</v>
      </c>
      <c r="H113" s="49">
        <f>VLOOKUP($A113,'Data Vlaue (Cr)'!$C:$FB,44)</f>
        <v>376</v>
      </c>
      <c r="I113" s="49">
        <f>VLOOKUP($A113,'Data Vlaue (Cr)'!$C:$FB,46)*100</f>
        <v>151.85999999999999</v>
      </c>
      <c r="J113" s="51">
        <f>VLOOKUP($A113,'Data Vlaue (Cr)'!$C:$FB,59)</f>
        <v>907</v>
      </c>
      <c r="K113" s="51">
        <f>VLOOKUP($A113,'Data Vlaue (Cr)'!$C:$FB,60)</f>
        <v>766</v>
      </c>
      <c r="L113" s="51">
        <f>VLOOKUP($A113,'Data Vlaue (Cr)'!$C:$FB,62)*100</f>
        <v>18.5</v>
      </c>
      <c r="M113" s="51">
        <f>VLOOKUP($A113,'Data Vlaue (Cr)'!$C:$FB,63)</f>
        <v>412</v>
      </c>
      <c r="N113" s="51">
        <f>VLOOKUP($A113,'Data Vlaue (Cr)'!$C:$FB,64)</f>
        <v>341</v>
      </c>
      <c r="O113" s="51">
        <f>VLOOKUP($A113,'Data Vlaue (Cr)'!$C:$FB,66)*100</f>
        <v>20.74</v>
      </c>
    </row>
    <row r="114" spans="1:15" x14ac:dyDescent="0.25">
      <c r="A114" s="101" t="str">
        <f>'Data Vlaue (Cr)'!C109</f>
        <v>JSWSTEEL</v>
      </c>
      <c r="B114" s="50">
        <f>VLOOKUP($A114,'Data Vlaue (Cr)'!$C:$FB,8)</f>
        <v>1170</v>
      </c>
      <c r="C114" s="50">
        <f>VLOOKUP($A114,'Data Vlaue (Cr)'!$C:$FB,11)*100</f>
        <v>0.44</v>
      </c>
      <c r="D114" s="50">
        <f>VLOOKUP($A114,'Data Vlaue (Cr)'!$C:$FB,143)</f>
        <v>4353.25</v>
      </c>
      <c r="E114" s="50">
        <f>VLOOKUP($A114,'Data Vlaue (Cr)'!$C:$FB,144)</f>
        <v>2122.21</v>
      </c>
      <c r="F114" s="50">
        <f>VLOOKUP($A114,'Data Vlaue (Cr)'!$C:$FB,146)*100</f>
        <v>105.13</v>
      </c>
      <c r="G114" s="49">
        <f>VLOOKUP($A114,'Data Vlaue (Cr)'!$C:$FB,43)</f>
        <v>2982</v>
      </c>
      <c r="H114" s="49">
        <f>VLOOKUP($A114,'Data Vlaue (Cr)'!$C:$FB,44)</f>
        <v>899</v>
      </c>
      <c r="I114" s="49">
        <f>VLOOKUP($A114,'Data Vlaue (Cr)'!$C:$FB,46)*100</f>
        <v>231.54</v>
      </c>
      <c r="J114" s="51">
        <f>VLOOKUP($A114,'Data Vlaue (Cr)'!$C:$FB,59)</f>
        <v>897</v>
      </c>
      <c r="K114" s="51">
        <f>VLOOKUP($A114,'Data Vlaue (Cr)'!$C:$FB,60)</f>
        <v>861</v>
      </c>
      <c r="L114" s="51">
        <f>VLOOKUP($A114,'Data Vlaue (Cr)'!$C:$FB,62)*100</f>
        <v>4.1099999999999994</v>
      </c>
      <c r="M114" s="51">
        <f>VLOOKUP($A114,'Data Vlaue (Cr)'!$C:$FB,63)</f>
        <v>447</v>
      </c>
      <c r="N114" s="51">
        <f>VLOOKUP($A114,'Data Vlaue (Cr)'!$C:$FB,64)</f>
        <v>341</v>
      </c>
      <c r="O114" s="51">
        <f>VLOOKUP($A114,'Data Vlaue (Cr)'!$C:$FB,66)*100</f>
        <v>30.91</v>
      </c>
    </row>
    <row r="115" spans="1:15" x14ac:dyDescent="0.25">
      <c r="A115" s="101" t="str">
        <f>'Data Vlaue (Cr)'!C110</f>
        <v>JUBLFOOD</v>
      </c>
      <c r="B115" s="50">
        <f>VLOOKUP($A115,'Data Vlaue (Cr)'!$C:$FB,8)</f>
        <v>591.15</v>
      </c>
      <c r="C115" s="50">
        <f>VLOOKUP($A115,'Data Vlaue (Cr)'!$C:$FB,11)*100</f>
        <v>-0.67</v>
      </c>
      <c r="D115" s="50">
        <f>VLOOKUP($A115,'Data Vlaue (Cr)'!$C:$FB,143)</f>
        <v>2602.4499999999998</v>
      </c>
      <c r="E115" s="50">
        <f>VLOOKUP($A115,'Data Vlaue (Cr)'!$C:$FB,144)</f>
        <v>1843.64</v>
      </c>
      <c r="F115" s="50">
        <f>VLOOKUP($A115,'Data Vlaue (Cr)'!$C:$FB,146)*100</f>
        <v>41.160000000000004</v>
      </c>
      <c r="G115" s="49">
        <f>VLOOKUP($A115,'Data Vlaue (Cr)'!$C:$FB,43)</f>
        <v>1087</v>
      </c>
      <c r="H115" s="49">
        <f>VLOOKUP($A115,'Data Vlaue (Cr)'!$C:$FB,44)</f>
        <v>249</v>
      </c>
      <c r="I115" s="49">
        <f>VLOOKUP($A115,'Data Vlaue (Cr)'!$C:$FB,46)*100</f>
        <v>337</v>
      </c>
      <c r="J115" s="51">
        <f>VLOOKUP($A115,'Data Vlaue (Cr)'!$C:$FB,59)</f>
        <v>1047</v>
      </c>
      <c r="K115" s="51">
        <f>VLOOKUP($A115,'Data Vlaue (Cr)'!$C:$FB,60)</f>
        <v>1026</v>
      </c>
      <c r="L115" s="51">
        <f>VLOOKUP($A115,'Data Vlaue (Cr)'!$C:$FB,62)*100</f>
        <v>2.06</v>
      </c>
      <c r="M115" s="51">
        <f>VLOOKUP($A115,'Data Vlaue (Cr)'!$C:$FB,63)</f>
        <v>413</v>
      </c>
      <c r="N115" s="51">
        <f>VLOOKUP($A115,'Data Vlaue (Cr)'!$C:$FB,64)</f>
        <v>506</v>
      </c>
      <c r="O115" s="51">
        <f>VLOOKUP($A115,'Data Vlaue (Cr)'!$C:$FB,66)*100</f>
        <v>-18.43</v>
      </c>
    </row>
    <row r="116" spans="1:15" x14ac:dyDescent="0.25">
      <c r="A116" s="101" t="str">
        <f>'Data Vlaue (Cr)'!C111</f>
        <v>KALYANKJIL</v>
      </c>
      <c r="B116" s="50">
        <f>VLOOKUP($A116,'Data Vlaue (Cr)'!$C:$FB,8)</f>
        <v>504.1</v>
      </c>
      <c r="C116" s="50">
        <f>VLOOKUP($A116,'Data Vlaue (Cr)'!$C:$FB,11)*100</f>
        <v>0.89999999999999991</v>
      </c>
      <c r="D116" s="50">
        <f>VLOOKUP($A116,'Data Vlaue (Cr)'!$C:$FB,143)</f>
        <v>3731.79</v>
      </c>
      <c r="E116" s="50">
        <f>VLOOKUP($A116,'Data Vlaue (Cr)'!$C:$FB,144)</f>
        <v>2014.37</v>
      </c>
      <c r="F116" s="50">
        <f>VLOOKUP($A116,'Data Vlaue (Cr)'!$C:$FB,146)*100</f>
        <v>85.26</v>
      </c>
      <c r="G116" s="49">
        <f>VLOOKUP($A116,'Data Vlaue (Cr)'!$C:$FB,43)</f>
        <v>1076</v>
      </c>
      <c r="H116" s="49">
        <f>VLOOKUP($A116,'Data Vlaue (Cr)'!$C:$FB,44)</f>
        <v>244</v>
      </c>
      <c r="I116" s="49">
        <f>VLOOKUP($A116,'Data Vlaue (Cr)'!$C:$FB,46)*100</f>
        <v>340.3</v>
      </c>
      <c r="J116" s="51">
        <f>VLOOKUP($A116,'Data Vlaue (Cr)'!$C:$FB,59)</f>
        <v>1875</v>
      </c>
      <c r="K116" s="51">
        <f>VLOOKUP($A116,'Data Vlaue (Cr)'!$C:$FB,60)</f>
        <v>1295</v>
      </c>
      <c r="L116" s="51">
        <f>VLOOKUP($A116,'Data Vlaue (Cr)'!$C:$FB,62)*100</f>
        <v>44.7</v>
      </c>
      <c r="M116" s="51">
        <f>VLOOKUP($A116,'Data Vlaue (Cr)'!$C:$FB,63)</f>
        <v>697</v>
      </c>
      <c r="N116" s="51">
        <f>VLOOKUP($A116,'Data Vlaue (Cr)'!$C:$FB,64)</f>
        <v>457</v>
      </c>
      <c r="O116" s="51">
        <f>VLOOKUP($A116,'Data Vlaue (Cr)'!$C:$FB,66)*100</f>
        <v>52.61</v>
      </c>
    </row>
    <row r="117" spans="1:15" x14ac:dyDescent="0.25">
      <c r="A117" s="101" t="str">
        <f>'Data Vlaue (Cr)'!C112</f>
        <v>KAYNES</v>
      </c>
      <c r="B117" s="50">
        <f>VLOOKUP($A117,'Data Vlaue (Cr)'!$C:$FB,8)</f>
        <v>5967.5</v>
      </c>
      <c r="C117" s="50">
        <f>VLOOKUP($A117,'Data Vlaue (Cr)'!$C:$FB,11)*100</f>
        <v>-0.11</v>
      </c>
      <c r="D117" s="50">
        <f>VLOOKUP($A117,'Data Vlaue (Cr)'!$C:$FB,143)</f>
        <v>5300.4</v>
      </c>
      <c r="E117" s="50">
        <f>VLOOKUP($A117,'Data Vlaue (Cr)'!$C:$FB,144)</f>
        <v>9915.66</v>
      </c>
      <c r="F117" s="50">
        <f>VLOOKUP($A117,'Data Vlaue (Cr)'!$C:$FB,146)*100</f>
        <v>-46.550000000000004</v>
      </c>
      <c r="G117" s="49">
        <f>VLOOKUP($A117,'Data Vlaue (Cr)'!$C:$FB,43)</f>
        <v>607</v>
      </c>
      <c r="H117" s="49">
        <f>VLOOKUP($A117,'Data Vlaue (Cr)'!$C:$FB,44)</f>
        <v>581</v>
      </c>
      <c r="I117" s="49">
        <f>VLOOKUP($A117,'Data Vlaue (Cr)'!$C:$FB,46)*100</f>
        <v>4.42</v>
      </c>
      <c r="J117" s="51">
        <f>VLOOKUP($A117,'Data Vlaue (Cr)'!$C:$FB,59)</f>
        <v>3392</v>
      </c>
      <c r="K117" s="51">
        <f>VLOOKUP($A117,'Data Vlaue (Cr)'!$C:$FB,60)</f>
        <v>6892</v>
      </c>
      <c r="L117" s="51">
        <f>VLOOKUP($A117,'Data Vlaue (Cr)'!$C:$FB,62)*100</f>
        <v>-50.78</v>
      </c>
      <c r="M117" s="51">
        <f>VLOOKUP($A117,'Data Vlaue (Cr)'!$C:$FB,63)</f>
        <v>1080</v>
      </c>
      <c r="N117" s="51">
        <f>VLOOKUP($A117,'Data Vlaue (Cr)'!$C:$FB,64)</f>
        <v>2097</v>
      </c>
      <c r="O117" s="51">
        <f>VLOOKUP($A117,'Data Vlaue (Cr)'!$C:$FB,66)*100</f>
        <v>-48.52</v>
      </c>
    </row>
    <row r="118" spans="1:15" x14ac:dyDescent="0.25">
      <c r="A118" s="101" t="str">
        <f>'Data Vlaue (Cr)'!C113</f>
        <v>KEI</v>
      </c>
      <c r="B118" s="50">
        <f>VLOOKUP($A118,'Data Vlaue (Cr)'!$C:$FB,8)</f>
        <v>4167.3</v>
      </c>
      <c r="C118" s="50">
        <f>VLOOKUP($A118,'Data Vlaue (Cr)'!$C:$FB,11)*100</f>
        <v>1.17</v>
      </c>
      <c r="D118" s="50">
        <f>VLOOKUP($A118,'Data Vlaue (Cr)'!$C:$FB,143)</f>
        <v>838.84</v>
      </c>
      <c r="E118" s="50">
        <f>VLOOKUP($A118,'Data Vlaue (Cr)'!$C:$FB,144)</f>
        <v>305.18</v>
      </c>
      <c r="F118" s="50">
        <f>VLOOKUP($A118,'Data Vlaue (Cr)'!$C:$FB,146)*100</f>
        <v>174.87</v>
      </c>
      <c r="G118" s="49">
        <f>VLOOKUP($A118,'Data Vlaue (Cr)'!$C:$FB,43)</f>
        <v>379</v>
      </c>
      <c r="H118" s="49">
        <f>VLOOKUP($A118,'Data Vlaue (Cr)'!$C:$FB,44)</f>
        <v>68</v>
      </c>
      <c r="I118" s="49">
        <f>VLOOKUP($A118,'Data Vlaue (Cr)'!$C:$FB,46)*100</f>
        <v>458.26000000000005</v>
      </c>
      <c r="J118" s="51">
        <f>VLOOKUP($A118,'Data Vlaue (Cr)'!$C:$FB,59)</f>
        <v>353</v>
      </c>
      <c r="K118" s="51">
        <f>VLOOKUP($A118,'Data Vlaue (Cr)'!$C:$FB,60)</f>
        <v>157</v>
      </c>
      <c r="L118" s="51">
        <f>VLOOKUP($A118,'Data Vlaue (Cr)'!$C:$FB,62)*100</f>
        <v>124.37</v>
      </c>
      <c r="M118" s="51">
        <f>VLOOKUP($A118,'Data Vlaue (Cr)'!$C:$FB,63)</f>
        <v>101</v>
      </c>
      <c r="N118" s="51">
        <f>VLOOKUP($A118,'Data Vlaue (Cr)'!$C:$FB,64)</f>
        <v>81</v>
      </c>
      <c r="O118" s="51">
        <f>VLOOKUP($A118,'Data Vlaue (Cr)'!$C:$FB,66)*100</f>
        <v>24.01</v>
      </c>
    </row>
    <row r="119" spans="1:15" x14ac:dyDescent="0.25">
      <c r="A119" s="101" t="str">
        <f>'Data Vlaue (Cr)'!C114</f>
        <v>KFINTECH</v>
      </c>
      <c r="B119" s="50">
        <f>VLOOKUP($A119,'Data Vlaue (Cr)'!$C:$FB,8)</f>
        <v>1080.4000000000001</v>
      </c>
      <c r="C119" s="50">
        <f>VLOOKUP($A119,'Data Vlaue (Cr)'!$C:$FB,11)*100</f>
        <v>-0.13999999999999999</v>
      </c>
      <c r="D119" s="50">
        <f>VLOOKUP($A119,'Data Vlaue (Cr)'!$C:$FB,143)</f>
        <v>833.49</v>
      </c>
      <c r="E119" s="50">
        <f>VLOOKUP($A119,'Data Vlaue (Cr)'!$C:$FB,144)</f>
        <v>606.9</v>
      </c>
      <c r="F119" s="50">
        <f>VLOOKUP($A119,'Data Vlaue (Cr)'!$C:$FB,146)*100</f>
        <v>37.330000000000005</v>
      </c>
      <c r="G119" s="49">
        <f>VLOOKUP($A119,'Data Vlaue (Cr)'!$C:$FB,43)</f>
        <v>380</v>
      </c>
      <c r="H119" s="49">
        <f>VLOOKUP($A119,'Data Vlaue (Cr)'!$C:$FB,44)</f>
        <v>165</v>
      </c>
      <c r="I119" s="49">
        <f>VLOOKUP($A119,'Data Vlaue (Cr)'!$C:$FB,46)*100</f>
        <v>130.12</v>
      </c>
      <c r="J119" s="51">
        <f>VLOOKUP($A119,'Data Vlaue (Cr)'!$C:$FB,59)</f>
        <v>319</v>
      </c>
      <c r="K119" s="51">
        <f>VLOOKUP($A119,'Data Vlaue (Cr)'!$C:$FB,60)</f>
        <v>312</v>
      </c>
      <c r="L119" s="51">
        <f>VLOOKUP($A119,'Data Vlaue (Cr)'!$C:$FB,62)*100</f>
        <v>2.25</v>
      </c>
      <c r="M119" s="51">
        <f>VLOOKUP($A119,'Data Vlaue (Cr)'!$C:$FB,63)</f>
        <v>112</v>
      </c>
      <c r="N119" s="51">
        <f>VLOOKUP($A119,'Data Vlaue (Cr)'!$C:$FB,64)</f>
        <v>112</v>
      </c>
      <c r="O119" s="51">
        <f>VLOOKUP($A119,'Data Vlaue (Cr)'!$C:$FB,66)*100</f>
        <v>0.16999999999999998</v>
      </c>
    </row>
    <row r="120" spans="1:15" x14ac:dyDescent="0.25">
      <c r="A120" s="101" t="str">
        <f>'Data Vlaue (Cr)'!C115</f>
        <v>KOTAKBANK</v>
      </c>
      <c r="B120" s="50">
        <f>VLOOKUP($A120,'Data Vlaue (Cr)'!$C:$FB,8)</f>
        <v>2098.6999999999998</v>
      </c>
      <c r="C120" s="50">
        <f>VLOOKUP($A120,'Data Vlaue (Cr)'!$C:$FB,11)*100</f>
        <v>-0.33999999999999997</v>
      </c>
      <c r="D120" s="50">
        <f>VLOOKUP($A120,'Data Vlaue (Cr)'!$C:$FB,143)</f>
        <v>11780.09</v>
      </c>
      <c r="E120" s="50">
        <f>VLOOKUP($A120,'Data Vlaue (Cr)'!$C:$FB,144)</f>
        <v>7261.64</v>
      </c>
      <c r="F120" s="50">
        <f>VLOOKUP($A120,'Data Vlaue (Cr)'!$C:$FB,146)*100</f>
        <v>62.22</v>
      </c>
      <c r="G120" s="49">
        <f>VLOOKUP($A120,'Data Vlaue (Cr)'!$C:$FB,43)</f>
        <v>4137</v>
      </c>
      <c r="H120" s="49">
        <f>VLOOKUP($A120,'Data Vlaue (Cr)'!$C:$FB,44)</f>
        <v>1635</v>
      </c>
      <c r="I120" s="49">
        <f>VLOOKUP($A120,'Data Vlaue (Cr)'!$C:$FB,46)*100</f>
        <v>152.96</v>
      </c>
      <c r="J120" s="51">
        <f>VLOOKUP($A120,'Data Vlaue (Cr)'!$C:$FB,59)</f>
        <v>5183</v>
      </c>
      <c r="K120" s="51">
        <f>VLOOKUP($A120,'Data Vlaue (Cr)'!$C:$FB,60)</f>
        <v>3902</v>
      </c>
      <c r="L120" s="51">
        <f>VLOOKUP($A120,'Data Vlaue (Cr)'!$C:$FB,62)*100</f>
        <v>32.82</v>
      </c>
      <c r="M120" s="51">
        <f>VLOOKUP($A120,'Data Vlaue (Cr)'!$C:$FB,63)</f>
        <v>2273</v>
      </c>
      <c r="N120" s="51">
        <f>VLOOKUP($A120,'Data Vlaue (Cr)'!$C:$FB,64)</f>
        <v>1597</v>
      </c>
      <c r="O120" s="51">
        <f>VLOOKUP($A120,'Data Vlaue (Cr)'!$C:$FB,66)*100</f>
        <v>42.32</v>
      </c>
    </row>
    <row r="121" spans="1:15" x14ac:dyDescent="0.25">
      <c r="A121" s="101" t="str">
        <f>'Data Vlaue (Cr)'!C116</f>
        <v>KPITTECH</v>
      </c>
      <c r="B121" s="50">
        <f>VLOOKUP($A121,'Data Vlaue (Cr)'!$C:$FB,8)</f>
        <v>1196.5999999999999</v>
      </c>
      <c r="C121" s="50">
        <f>VLOOKUP($A121,'Data Vlaue (Cr)'!$C:$FB,11)*100</f>
        <v>-0.54</v>
      </c>
      <c r="D121" s="50">
        <f>VLOOKUP($A121,'Data Vlaue (Cr)'!$C:$FB,143)</f>
        <v>967.48</v>
      </c>
      <c r="E121" s="50">
        <f>VLOOKUP($A121,'Data Vlaue (Cr)'!$C:$FB,144)</f>
        <v>877.18</v>
      </c>
      <c r="F121" s="50">
        <f>VLOOKUP($A121,'Data Vlaue (Cr)'!$C:$FB,146)*100</f>
        <v>10.290000000000001</v>
      </c>
      <c r="G121" s="49">
        <f>VLOOKUP($A121,'Data Vlaue (Cr)'!$C:$FB,43)</f>
        <v>241</v>
      </c>
      <c r="H121" s="49">
        <f>VLOOKUP($A121,'Data Vlaue (Cr)'!$C:$FB,44)</f>
        <v>150</v>
      </c>
      <c r="I121" s="49">
        <f>VLOOKUP($A121,'Data Vlaue (Cr)'!$C:$FB,46)*100</f>
        <v>60.29</v>
      </c>
      <c r="J121" s="51">
        <f>VLOOKUP($A121,'Data Vlaue (Cr)'!$C:$FB,59)</f>
        <v>582</v>
      </c>
      <c r="K121" s="51">
        <f>VLOOKUP($A121,'Data Vlaue (Cr)'!$C:$FB,60)</f>
        <v>533</v>
      </c>
      <c r="L121" s="51">
        <f>VLOOKUP($A121,'Data Vlaue (Cr)'!$C:$FB,62)*100</f>
        <v>9.31</v>
      </c>
      <c r="M121" s="51">
        <f>VLOOKUP($A121,'Data Vlaue (Cr)'!$C:$FB,63)</f>
        <v>120</v>
      </c>
      <c r="N121" s="51">
        <f>VLOOKUP($A121,'Data Vlaue (Cr)'!$C:$FB,64)</f>
        <v>173</v>
      </c>
      <c r="O121" s="51">
        <f>VLOOKUP($A121,'Data Vlaue (Cr)'!$C:$FB,66)*100</f>
        <v>-30.72</v>
      </c>
    </row>
    <row r="122" spans="1:15" x14ac:dyDescent="0.25">
      <c r="A122" s="101" t="str">
        <f>'Data Vlaue (Cr)'!C117</f>
        <v>LAURUSLABS</v>
      </c>
      <c r="B122" s="50">
        <f>VLOOKUP($A122,'Data Vlaue (Cr)'!$C:$FB,8)</f>
        <v>987.1</v>
      </c>
      <c r="C122" s="50">
        <f>VLOOKUP($A122,'Data Vlaue (Cr)'!$C:$FB,11)*100</f>
        <v>-0.04</v>
      </c>
      <c r="D122" s="50">
        <f>VLOOKUP($A122,'Data Vlaue (Cr)'!$C:$FB,143)</f>
        <v>4381.5</v>
      </c>
      <c r="E122" s="50">
        <f>VLOOKUP($A122,'Data Vlaue (Cr)'!$C:$FB,144)</f>
        <v>5306.93</v>
      </c>
      <c r="F122" s="50">
        <f>VLOOKUP($A122,'Data Vlaue (Cr)'!$C:$FB,146)*100</f>
        <v>-17.440000000000001</v>
      </c>
      <c r="G122" s="49">
        <f>VLOOKUP($A122,'Data Vlaue (Cr)'!$C:$FB,43)</f>
        <v>953</v>
      </c>
      <c r="H122" s="49">
        <f>VLOOKUP($A122,'Data Vlaue (Cr)'!$C:$FB,44)</f>
        <v>567</v>
      </c>
      <c r="I122" s="49">
        <f>VLOOKUP($A122,'Data Vlaue (Cr)'!$C:$FB,46)*100</f>
        <v>67.900000000000006</v>
      </c>
      <c r="J122" s="51">
        <f>VLOOKUP($A122,'Data Vlaue (Cr)'!$C:$FB,59)</f>
        <v>2041</v>
      </c>
      <c r="K122" s="51">
        <f>VLOOKUP($A122,'Data Vlaue (Cr)'!$C:$FB,60)</f>
        <v>2802</v>
      </c>
      <c r="L122" s="51">
        <f>VLOOKUP($A122,'Data Vlaue (Cr)'!$C:$FB,62)*100</f>
        <v>-27.16</v>
      </c>
      <c r="M122" s="51">
        <f>VLOOKUP($A122,'Data Vlaue (Cr)'!$C:$FB,63)</f>
        <v>1344</v>
      </c>
      <c r="N122" s="51">
        <f>VLOOKUP($A122,'Data Vlaue (Cr)'!$C:$FB,64)</f>
        <v>1846</v>
      </c>
      <c r="O122" s="51">
        <f>VLOOKUP($A122,'Data Vlaue (Cr)'!$C:$FB,66)*100</f>
        <v>-27.169999999999998</v>
      </c>
    </row>
    <row r="123" spans="1:15" x14ac:dyDescent="0.25">
      <c r="A123" s="101" t="str">
        <f>'Data Vlaue (Cr)'!C118</f>
        <v>LICHSGFIN</v>
      </c>
      <c r="B123" s="50">
        <f>VLOOKUP($A123,'Data Vlaue (Cr)'!$C:$FB,8)</f>
        <v>554.79999999999995</v>
      </c>
      <c r="C123" s="50">
        <f>VLOOKUP($A123,'Data Vlaue (Cr)'!$C:$FB,11)*100</f>
        <v>-1.5599999999999998</v>
      </c>
      <c r="D123" s="50">
        <f>VLOOKUP($A123,'Data Vlaue (Cr)'!$C:$FB,143)</f>
        <v>1652.14</v>
      </c>
      <c r="E123" s="50">
        <f>VLOOKUP($A123,'Data Vlaue (Cr)'!$C:$FB,144)</f>
        <v>1112.83</v>
      </c>
      <c r="F123" s="50">
        <f>VLOOKUP($A123,'Data Vlaue (Cr)'!$C:$FB,146)*100</f>
        <v>48.46</v>
      </c>
      <c r="G123" s="49">
        <f>VLOOKUP($A123,'Data Vlaue (Cr)'!$C:$FB,43)</f>
        <v>861</v>
      </c>
      <c r="H123" s="49">
        <f>VLOOKUP($A123,'Data Vlaue (Cr)'!$C:$FB,44)</f>
        <v>287</v>
      </c>
      <c r="I123" s="49">
        <f>VLOOKUP($A123,'Data Vlaue (Cr)'!$C:$FB,46)*100</f>
        <v>200.29</v>
      </c>
      <c r="J123" s="51">
        <f>VLOOKUP($A123,'Data Vlaue (Cr)'!$C:$FB,59)</f>
        <v>501</v>
      </c>
      <c r="K123" s="51">
        <f>VLOOKUP($A123,'Data Vlaue (Cr)'!$C:$FB,60)</f>
        <v>583</v>
      </c>
      <c r="L123" s="51">
        <f>VLOOKUP($A123,'Data Vlaue (Cr)'!$C:$FB,62)*100</f>
        <v>-14.13</v>
      </c>
      <c r="M123" s="51">
        <f>VLOOKUP($A123,'Data Vlaue (Cr)'!$C:$FB,63)</f>
        <v>251</v>
      </c>
      <c r="N123" s="51">
        <f>VLOOKUP($A123,'Data Vlaue (Cr)'!$C:$FB,64)</f>
        <v>203</v>
      </c>
      <c r="O123" s="51">
        <f>VLOOKUP($A123,'Data Vlaue (Cr)'!$C:$FB,66)*100</f>
        <v>23.23</v>
      </c>
    </row>
    <row r="124" spans="1:15" x14ac:dyDescent="0.25">
      <c r="A124" s="101" t="str">
        <f>'Data Vlaue (Cr)'!C119</f>
        <v>LICI</v>
      </c>
      <c r="B124" s="50">
        <f>VLOOKUP($A124,'Data Vlaue (Cr)'!$C:$FB,8)</f>
        <v>908.3</v>
      </c>
      <c r="C124" s="50">
        <f>VLOOKUP($A124,'Data Vlaue (Cr)'!$C:$FB,11)*100</f>
        <v>-0.63</v>
      </c>
      <c r="D124" s="50">
        <f>VLOOKUP($A124,'Data Vlaue (Cr)'!$C:$FB,143)</f>
        <v>1340.12</v>
      </c>
      <c r="E124" s="50">
        <f>VLOOKUP($A124,'Data Vlaue (Cr)'!$C:$FB,144)</f>
        <v>1300.01</v>
      </c>
      <c r="F124" s="50">
        <f>VLOOKUP($A124,'Data Vlaue (Cr)'!$C:$FB,146)*100</f>
        <v>3.09</v>
      </c>
      <c r="G124" s="49">
        <f>VLOOKUP($A124,'Data Vlaue (Cr)'!$C:$FB,43)</f>
        <v>412</v>
      </c>
      <c r="H124" s="49">
        <f>VLOOKUP($A124,'Data Vlaue (Cr)'!$C:$FB,44)</f>
        <v>212</v>
      </c>
      <c r="I124" s="49">
        <f>VLOOKUP($A124,'Data Vlaue (Cr)'!$C:$FB,46)*100</f>
        <v>94.69</v>
      </c>
      <c r="J124" s="51">
        <f>VLOOKUP($A124,'Data Vlaue (Cr)'!$C:$FB,59)</f>
        <v>673</v>
      </c>
      <c r="K124" s="51">
        <f>VLOOKUP($A124,'Data Vlaue (Cr)'!$C:$FB,60)</f>
        <v>792</v>
      </c>
      <c r="L124" s="51">
        <f>VLOOKUP($A124,'Data Vlaue (Cr)'!$C:$FB,62)*100</f>
        <v>-15.02</v>
      </c>
      <c r="M124" s="51">
        <f>VLOOKUP($A124,'Data Vlaue (Cr)'!$C:$FB,63)</f>
        <v>230</v>
      </c>
      <c r="N124" s="51">
        <f>VLOOKUP($A124,'Data Vlaue (Cr)'!$C:$FB,64)</f>
        <v>262</v>
      </c>
      <c r="O124" s="51">
        <f>VLOOKUP($A124,'Data Vlaue (Cr)'!$C:$FB,66)*100</f>
        <v>-12.15</v>
      </c>
    </row>
    <row r="125" spans="1:15" x14ac:dyDescent="0.25">
      <c r="A125" s="101" t="str">
        <f>'Data Vlaue (Cr)'!C120</f>
        <v>LODHA</v>
      </c>
      <c r="B125" s="50">
        <f>VLOOKUP($A125,'Data Vlaue (Cr)'!$C:$FB,8)</f>
        <v>1200.8</v>
      </c>
      <c r="C125" s="50">
        <f>VLOOKUP($A125,'Data Vlaue (Cr)'!$C:$FB,11)*100</f>
        <v>-0.1</v>
      </c>
      <c r="D125" s="50">
        <f>VLOOKUP($A125,'Data Vlaue (Cr)'!$C:$FB,143)</f>
        <v>1461.79</v>
      </c>
      <c r="E125" s="50">
        <f>VLOOKUP($A125,'Data Vlaue (Cr)'!$C:$FB,144)</f>
        <v>1033.03</v>
      </c>
      <c r="F125" s="50">
        <f>VLOOKUP($A125,'Data Vlaue (Cr)'!$C:$FB,146)*100</f>
        <v>41.510000000000005</v>
      </c>
      <c r="G125" s="49">
        <f>VLOOKUP($A125,'Data Vlaue (Cr)'!$C:$FB,43)</f>
        <v>837</v>
      </c>
      <c r="H125" s="49">
        <f>VLOOKUP($A125,'Data Vlaue (Cr)'!$C:$FB,44)</f>
        <v>166</v>
      </c>
      <c r="I125" s="49">
        <f>VLOOKUP($A125,'Data Vlaue (Cr)'!$C:$FB,46)*100</f>
        <v>404.92999999999995</v>
      </c>
      <c r="J125" s="51">
        <f>VLOOKUP($A125,'Data Vlaue (Cr)'!$C:$FB,59)</f>
        <v>454</v>
      </c>
      <c r="K125" s="51">
        <f>VLOOKUP($A125,'Data Vlaue (Cr)'!$C:$FB,60)</f>
        <v>618</v>
      </c>
      <c r="L125" s="51">
        <f>VLOOKUP($A125,'Data Vlaue (Cr)'!$C:$FB,62)*100</f>
        <v>-26.490000000000002</v>
      </c>
      <c r="M125" s="51">
        <f>VLOOKUP($A125,'Data Vlaue (Cr)'!$C:$FB,63)</f>
        <v>162</v>
      </c>
      <c r="N125" s="51">
        <f>VLOOKUP($A125,'Data Vlaue (Cr)'!$C:$FB,64)</f>
        <v>232</v>
      </c>
      <c r="O125" s="51">
        <f>VLOOKUP($A125,'Data Vlaue (Cr)'!$C:$FB,66)*100</f>
        <v>-30.43</v>
      </c>
    </row>
    <row r="126" spans="1:15" x14ac:dyDescent="0.25">
      <c r="A126" s="101" t="str">
        <f>'Data Vlaue (Cr)'!C121</f>
        <v>LT</v>
      </c>
      <c r="B126" s="50">
        <f>VLOOKUP($A126,'Data Vlaue (Cr)'!$C:$FB,8)</f>
        <v>4037.4</v>
      </c>
      <c r="C126" s="50">
        <f>VLOOKUP($A126,'Data Vlaue (Cr)'!$C:$FB,11)*100</f>
        <v>0.44</v>
      </c>
      <c r="D126" s="50">
        <f>VLOOKUP($A126,'Data Vlaue (Cr)'!$C:$FB,143)</f>
        <v>10138.83</v>
      </c>
      <c r="E126" s="50">
        <f>VLOOKUP($A126,'Data Vlaue (Cr)'!$C:$FB,144)</f>
        <v>5373.09</v>
      </c>
      <c r="F126" s="50">
        <f>VLOOKUP($A126,'Data Vlaue (Cr)'!$C:$FB,146)*100</f>
        <v>88.7</v>
      </c>
      <c r="G126" s="49">
        <f>VLOOKUP($A126,'Data Vlaue (Cr)'!$C:$FB,43)</f>
        <v>3337</v>
      </c>
      <c r="H126" s="49">
        <f>VLOOKUP($A126,'Data Vlaue (Cr)'!$C:$FB,44)</f>
        <v>654</v>
      </c>
      <c r="I126" s="49">
        <f>VLOOKUP($A126,'Data Vlaue (Cr)'!$C:$FB,46)*100</f>
        <v>410.06</v>
      </c>
      <c r="J126" s="51">
        <f>VLOOKUP($A126,'Data Vlaue (Cr)'!$C:$FB,59)</f>
        <v>4634</v>
      </c>
      <c r="K126" s="51">
        <f>VLOOKUP($A126,'Data Vlaue (Cr)'!$C:$FB,60)</f>
        <v>3150</v>
      </c>
      <c r="L126" s="51">
        <f>VLOOKUP($A126,'Data Vlaue (Cr)'!$C:$FB,62)*100</f>
        <v>47.12</v>
      </c>
      <c r="M126" s="51">
        <f>VLOOKUP($A126,'Data Vlaue (Cr)'!$C:$FB,63)</f>
        <v>2119</v>
      </c>
      <c r="N126" s="51">
        <f>VLOOKUP($A126,'Data Vlaue (Cr)'!$C:$FB,64)</f>
        <v>1563</v>
      </c>
      <c r="O126" s="51">
        <f>VLOOKUP($A126,'Data Vlaue (Cr)'!$C:$FB,66)*100</f>
        <v>35.57</v>
      </c>
    </row>
    <row r="127" spans="1:15" x14ac:dyDescent="0.25">
      <c r="A127" s="101" t="str">
        <f>'Data Vlaue (Cr)'!C122</f>
        <v>LTF</v>
      </c>
      <c r="B127" s="50">
        <f>VLOOKUP($A127,'Data Vlaue (Cr)'!$C:$FB,8)</f>
        <v>292.3</v>
      </c>
      <c r="C127" s="50">
        <f>VLOOKUP($A127,'Data Vlaue (Cr)'!$C:$FB,11)*100</f>
        <v>-1.7999999999999998</v>
      </c>
      <c r="D127" s="50">
        <f>VLOOKUP($A127,'Data Vlaue (Cr)'!$C:$FB,143)</f>
        <v>3223.63</v>
      </c>
      <c r="E127" s="50">
        <f>VLOOKUP($A127,'Data Vlaue (Cr)'!$C:$FB,144)</f>
        <v>2863.6</v>
      </c>
      <c r="F127" s="50">
        <f>VLOOKUP($A127,'Data Vlaue (Cr)'!$C:$FB,146)*100</f>
        <v>12.57</v>
      </c>
      <c r="G127" s="49">
        <f>VLOOKUP($A127,'Data Vlaue (Cr)'!$C:$FB,43)</f>
        <v>912</v>
      </c>
      <c r="H127" s="49">
        <f>VLOOKUP($A127,'Data Vlaue (Cr)'!$C:$FB,44)</f>
        <v>304</v>
      </c>
      <c r="I127" s="49">
        <f>VLOOKUP($A127,'Data Vlaue (Cr)'!$C:$FB,46)*100</f>
        <v>199.60999999999999</v>
      </c>
      <c r="J127" s="51">
        <f>VLOOKUP($A127,'Data Vlaue (Cr)'!$C:$FB,59)</f>
        <v>1552</v>
      </c>
      <c r="K127" s="51">
        <f>VLOOKUP($A127,'Data Vlaue (Cr)'!$C:$FB,60)</f>
        <v>1612</v>
      </c>
      <c r="L127" s="51">
        <f>VLOOKUP($A127,'Data Vlaue (Cr)'!$C:$FB,62)*100</f>
        <v>-3.73</v>
      </c>
      <c r="M127" s="51">
        <f>VLOOKUP($A127,'Data Vlaue (Cr)'!$C:$FB,63)</f>
        <v>691</v>
      </c>
      <c r="N127" s="51">
        <f>VLOOKUP($A127,'Data Vlaue (Cr)'!$C:$FB,64)</f>
        <v>863</v>
      </c>
      <c r="O127" s="51">
        <f>VLOOKUP($A127,'Data Vlaue (Cr)'!$C:$FB,66)*100</f>
        <v>-19.850000000000001</v>
      </c>
    </row>
    <row r="128" spans="1:15" x14ac:dyDescent="0.25">
      <c r="A128" s="101" t="str">
        <f>'Data Vlaue (Cr)'!C123</f>
        <v>LTIM</v>
      </c>
      <c r="B128" s="50">
        <f>VLOOKUP($A128,'Data Vlaue (Cr)'!$C:$FB,8)</f>
        <v>6027</v>
      </c>
      <c r="C128" s="50">
        <f>VLOOKUP($A128,'Data Vlaue (Cr)'!$C:$FB,11)*100</f>
        <v>0.91999999999999993</v>
      </c>
      <c r="D128" s="50">
        <f>VLOOKUP($A128,'Data Vlaue (Cr)'!$C:$FB,143)</f>
        <v>6061.43</v>
      </c>
      <c r="E128" s="50">
        <f>VLOOKUP($A128,'Data Vlaue (Cr)'!$C:$FB,144)</f>
        <v>11108.39</v>
      </c>
      <c r="F128" s="50">
        <f>VLOOKUP($A128,'Data Vlaue (Cr)'!$C:$FB,146)*100</f>
        <v>-45.43</v>
      </c>
      <c r="G128" s="49">
        <f>VLOOKUP($A128,'Data Vlaue (Cr)'!$C:$FB,43)</f>
        <v>1651</v>
      </c>
      <c r="H128" s="49">
        <f>VLOOKUP($A128,'Data Vlaue (Cr)'!$C:$FB,44)</f>
        <v>895</v>
      </c>
      <c r="I128" s="49">
        <f>VLOOKUP($A128,'Data Vlaue (Cr)'!$C:$FB,46)*100</f>
        <v>84.39</v>
      </c>
      <c r="J128" s="51">
        <f>VLOOKUP($A128,'Data Vlaue (Cr)'!$C:$FB,59)</f>
        <v>2991</v>
      </c>
      <c r="K128" s="51">
        <f>VLOOKUP($A128,'Data Vlaue (Cr)'!$C:$FB,60)</f>
        <v>7999</v>
      </c>
      <c r="L128" s="51">
        <f>VLOOKUP($A128,'Data Vlaue (Cr)'!$C:$FB,62)*100</f>
        <v>-62.61</v>
      </c>
      <c r="M128" s="51">
        <f>VLOOKUP($A128,'Data Vlaue (Cr)'!$C:$FB,63)</f>
        <v>1363</v>
      </c>
      <c r="N128" s="51">
        <f>VLOOKUP($A128,'Data Vlaue (Cr)'!$C:$FB,64)</f>
        <v>2204</v>
      </c>
      <c r="O128" s="51">
        <f>VLOOKUP($A128,'Data Vlaue (Cr)'!$C:$FB,66)*100</f>
        <v>-38.18</v>
      </c>
    </row>
    <row r="129" spans="1:15" x14ac:dyDescent="0.25">
      <c r="A129" s="101" t="str">
        <f>'Data Vlaue (Cr)'!C124</f>
        <v>LUPIN</v>
      </c>
      <c r="B129" s="50">
        <f>VLOOKUP($A129,'Data Vlaue (Cr)'!$C:$FB,8)</f>
        <v>2030.8</v>
      </c>
      <c r="C129" s="50">
        <f>VLOOKUP($A129,'Data Vlaue (Cr)'!$C:$FB,11)*100</f>
        <v>0.27</v>
      </c>
      <c r="D129" s="50">
        <f>VLOOKUP($A129,'Data Vlaue (Cr)'!$C:$FB,143)</f>
        <v>2383.35</v>
      </c>
      <c r="E129" s="50">
        <f>VLOOKUP($A129,'Data Vlaue (Cr)'!$C:$FB,144)</f>
        <v>1770.17</v>
      </c>
      <c r="F129" s="50">
        <f>VLOOKUP($A129,'Data Vlaue (Cr)'!$C:$FB,146)*100</f>
        <v>34.64</v>
      </c>
      <c r="G129" s="49">
        <f>VLOOKUP($A129,'Data Vlaue (Cr)'!$C:$FB,43)</f>
        <v>921</v>
      </c>
      <c r="H129" s="49">
        <f>VLOOKUP($A129,'Data Vlaue (Cr)'!$C:$FB,44)</f>
        <v>315</v>
      </c>
      <c r="I129" s="49">
        <f>VLOOKUP($A129,'Data Vlaue (Cr)'!$C:$FB,46)*100</f>
        <v>192.6</v>
      </c>
      <c r="J129" s="51">
        <f>VLOOKUP($A129,'Data Vlaue (Cr)'!$C:$FB,59)</f>
        <v>1041</v>
      </c>
      <c r="K129" s="51">
        <f>VLOOKUP($A129,'Data Vlaue (Cr)'!$C:$FB,60)</f>
        <v>1054</v>
      </c>
      <c r="L129" s="51">
        <f>VLOOKUP($A129,'Data Vlaue (Cr)'!$C:$FB,62)*100</f>
        <v>-1.22</v>
      </c>
      <c r="M129" s="51">
        <f>VLOOKUP($A129,'Data Vlaue (Cr)'!$C:$FB,63)</f>
        <v>390</v>
      </c>
      <c r="N129" s="51">
        <f>VLOOKUP($A129,'Data Vlaue (Cr)'!$C:$FB,64)</f>
        <v>365</v>
      </c>
      <c r="O129" s="51">
        <f>VLOOKUP($A129,'Data Vlaue (Cr)'!$C:$FB,66)*100</f>
        <v>6.78</v>
      </c>
    </row>
    <row r="130" spans="1:15" x14ac:dyDescent="0.25">
      <c r="A130" s="101" t="str">
        <f>'Data Vlaue (Cr)'!C125</f>
        <v>M&amp;M</v>
      </c>
      <c r="B130" s="50">
        <f>VLOOKUP($A130,'Data Vlaue (Cr)'!$C:$FB,8)</f>
        <v>3716.7</v>
      </c>
      <c r="C130" s="50">
        <f>VLOOKUP($A130,'Data Vlaue (Cr)'!$C:$FB,11)*100</f>
        <v>-0.16</v>
      </c>
      <c r="D130" s="50">
        <f>VLOOKUP($A130,'Data Vlaue (Cr)'!$C:$FB,143)</f>
        <v>8863.9599999999991</v>
      </c>
      <c r="E130" s="50">
        <f>VLOOKUP($A130,'Data Vlaue (Cr)'!$C:$FB,144)</f>
        <v>5480.85</v>
      </c>
      <c r="F130" s="50">
        <f>VLOOKUP($A130,'Data Vlaue (Cr)'!$C:$FB,146)*100</f>
        <v>61.73</v>
      </c>
      <c r="G130" s="49">
        <f>VLOOKUP($A130,'Data Vlaue (Cr)'!$C:$FB,43)</f>
        <v>4574</v>
      </c>
      <c r="H130" s="49">
        <f>VLOOKUP($A130,'Data Vlaue (Cr)'!$C:$FB,44)</f>
        <v>862</v>
      </c>
      <c r="I130" s="49">
        <f>VLOOKUP($A130,'Data Vlaue (Cr)'!$C:$FB,46)*100</f>
        <v>430.52000000000004</v>
      </c>
      <c r="J130" s="51">
        <f>VLOOKUP($A130,'Data Vlaue (Cr)'!$C:$FB,59)</f>
        <v>2746</v>
      </c>
      <c r="K130" s="51">
        <f>VLOOKUP($A130,'Data Vlaue (Cr)'!$C:$FB,60)</f>
        <v>2799</v>
      </c>
      <c r="L130" s="51">
        <f>VLOOKUP($A130,'Data Vlaue (Cr)'!$C:$FB,62)*100</f>
        <v>-1.8599999999999999</v>
      </c>
      <c r="M130" s="51">
        <f>VLOOKUP($A130,'Data Vlaue (Cr)'!$C:$FB,63)</f>
        <v>1455</v>
      </c>
      <c r="N130" s="51">
        <f>VLOOKUP($A130,'Data Vlaue (Cr)'!$C:$FB,64)</f>
        <v>1781</v>
      </c>
      <c r="O130" s="51">
        <f>VLOOKUP($A130,'Data Vlaue (Cr)'!$C:$FB,66)*100</f>
        <v>-18.329999999999998</v>
      </c>
    </row>
    <row r="131" spans="1:15" x14ac:dyDescent="0.25">
      <c r="A131" s="101" t="str">
        <f>'Data Vlaue (Cr)'!C126</f>
        <v>MANAPPURAM</v>
      </c>
      <c r="B131" s="50">
        <f>VLOOKUP($A131,'Data Vlaue (Cr)'!$C:$FB,8)</f>
        <v>282.05</v>
      </c>
      <c r="C131" s="50">
        <f>VLOOKUP($A131,'Data Vlaue (Cr)'!$C:$FB,11)*100</f>
        <v>0.61</v>
      </c>
      <c r="D131" s="50">
        <f>VLOOKUP($A131,'Data Vlaue (Cr)'!$C:$FB,143)</f>
        <v>1717.67</v>
      </c>
      <c r="E131" s="50">
        <f>VLOOKUP($A131,'Data Vlaue (Cr)'!$C:$FB,144)</f>
        <v>1674.32</v>
      </c>
      <c r="F131" s="50">
        <f>VLOOKUP($A131,'Data Vlaue (Cr)'!$C:$FB,146)*100</f>
        <v>2.59</v>
      </c>
      <c r="G131" s="49">
        <f>VLOOKUP($A131,'Data Vlaue (Cr)'!$C:$FB,43)</f>
        <v>536</v>
      </c>
      <c r="H131" s="49">
        <f>VLOOKUP($A131,'Data Vlaue (Cr)'!$C:$FB,44)</f>
        <v>501</v>
      </c>
      <c r="I131" s="49">
        <f>VLOOKUP($A131,'Data Vlaue (Cr)'!$C:$FB,46)*100</f>
        <v>6.9</v>
      </c>
      <c r="J131" s="51">
        <f>VLOOKUP($A131,'Data Vlaue (Cr)'!$C:$FB,59)</f>
        <v>832</v>
      </c>
      <c r="K131" s="51">
        <f>VLOOKUP($A131,'Data Vlaue (Cr)'!$C:$FB,60)</f>
        <v>840</v>
      </c>
      <c r="L131" s="51">
        <f>VLOOKUP($A131,'Data Vlaue (Cr)'!$C:$FB,62)*100</f>
        <v>-1.04</v>
      </c>
      <c r="M131" s="51">
        <f>VLOOKUP($A131,'Data Vlaue (Cr)'!$C:$FB,63)</f>
        <v>330</v>
      </c>
      <c r="N131" s="51">
        <f>VLOOKUP($A131,'Data Vlaue (Cr)'!$C:$FB,64)</f>
        <v>317</v>
      </c>
      <c r="O131" s="51">
        <f>VLOOKUP($A131,'Data Vlaue (Cr)'!$C:$FB,66)*100</f>
        <v>4.1399999999999997</v>
      </c>
    </row>
    <row r="132" spans="1:15" x14ac:dyDescent="0.25">
      <c r="A132" s="101" t="str">
        <f>'Data Vlaue (Cr)'!C127</f>
        <v>MANKIND</v>
      </c>
      <c r="B132" s="50">
        <f>VLOOKUP($A132,'Data Vlaue (Cr)'!$C:$FB,8)</f>
        <v>2239.5</v>
      </c>
      <c r="C132" s="50">
        <f>VLOOKUP($A132,'Data Vlaue (Cr)'!$C:$FB,11)*100</f>
        <v>0.74</v>
      </c>
      <c r="D132" s="50">
        <f>VLOOKUP($A132,'Data Vlaue (Cr)'!$C:$FB,143)</f>
        <v>700.45</v>
      </c>
      <c r="E132" s="50">
        <f>VLOOKUP($A132,'Data Vlaue (Cr)'!$C:$FB,144)</f>
        <v>323.05</v>
      </c>
      <c r="F132" s="50">
        <f>VLOOKUP($A132,'Data Vlaue (Cr)'!$C:$FB,146)*100</f>
        <v>116.82999999999998</v>
      </c>
      <c r="G132" s="49">
        <f>VLOOKUP($A132,'Data Vlaue (Cr)'!$C:$FB,43)</f>
        <v>271</v>
      </c>
      <c r="H132" s="49">
        <f>VLOOKUP($A132,'Data Vlaue (Cr)'!$C:$FB,44)</f>
        <v>89</v>
      </c>
      <c r="I132" s="49">
        <f>VLOOKUP($A132,'Data Vlaue (Cr)'!$C:$FB,46)*100</f>
        <v>204.87</v>
      </c>
      <c r="J132" s="51">
        <f>VLOOKUP($A132,'Data Vlaue (Cr)'!$C:$FB,59)</f>
        <v>335</v>
      </c>
      <c r="K132" s="51">
        <f>VLOOKUP($A132,'Data Vlaue (Cr)'!$C:$FB,60)</f>
        <v>168</v>
      </c>
      <c r="L132" s="51">
        <f>VLOOKUP($A132,'Data Vlaue (Cr)'!$C:$FB,62)*100</f>
        <v>99.009999999999991</v>
      </c>
      <c r="M132" s="51">
        <f>VLOOKUP($A132,'Data Vlaue (Cr)'!$C:$FB,63)</f>
        <v>75</v>
      </c>
      <c r="N132" s="51">
        <f>VLOOKUP($A132,'Data Vlaue (Cr)'!$C:$FB,64)</f>
        <v>57</v>
      </c>
      <c r="O132" s="51">
        <f>VLOOKUP($A132,'Data Vlaue (Cr)'!$C:$FB,66)*100</f>
        <v>30.03</v>
      </c>
    </row>
    <row r="133" spans="1:15" x14ac:dyDescent="0.25">
      <c r="A133" s="101" t="str">
        <f>'Data Vlaue (Cr)'!C128</f>
        <v>MARICO</v>
      </c>
      <c r="B133" s="50">
        <f>VLOOKUP($A133,'Data Vlaue (Cr)'!$C:$FB,8)</f>
        <v>736.15</v>
      </c>
      <c r="C133" s="50">
        <f>VLOOKUP($A133,'Data Vlaue (Cr)'!$C:$FB,11)*100</f>
        <v>-1.6</v>
      </c>
      <c r="D133" s="50">
        <f>VLOOKUP($A133,'Data Vlaue (Cr)'!$C:$FB,143)</f>
        <v>3047.03</v>
      </c>
      <c r="E133" s="50">
        <f>VLOOKUP($A133,'Data Vlaue (Cr)'!$C:$FB,144)</f>
        <v>1985.09</v>
      </c>
      <c r="F133" s="50">
        <f>VLOOKUP($A133,'Data Vlaue (Cr)'!$C:$FB,146)*100</f>
        <v>53.5</v>
      </c>
      <c r="G133" s="49">
        <f>VLOOKUP($A133,'Data Vlaue (Cr)'!$C:$FB,43)</f>
        <v>1482</v>
      </c>
      <c r="H133" s="49">
        <f>VLOOKUP($A133,'Data Vlaue (Cr)'!$C:$FB,44)</f>
        <v>155</v>
      </c>
      <c r="I133" s="49">
        <f>VLOOKUP($A133,'Data Vlaue (Cr)'!$C:$FB,46)*100</f>
        <v>855.7</v>
      </c>
      <c r="J133" s="51">
        <f>VLOOKUP($A133,'Data Vlaue (Cr)'!$C:$FB,59)</f>
        <v>936</v>
      </c>
      <c r="K133" s="51">
        <f>VLOOKUP($A133,'Data Vlaue (Cr)'!$C:$FB,60)</f>
        <v>1083</v>
      </c>
      <c r="L133" s="51">
        <f>VLOOKUP($A133,'Data Vlaue (Cr)'!$C:$FB,62)*100</f>
        <v>-13.639999999999999</v>
      </c>
      <c r="M133" s="51">
        <f>VLOOKUP($A133,'Data Vlaue (Cr)'!$C:$FB,63)</f>
        <v>573</v>
      </c>
      <c r="N133" s="51">
        <f>VLOOKUP($A133,'Data Vlaue (Cr)'!$C:$FB,64)</f>
        <v>683</v>
      </c>
      <c r="O133" s="51">
        <f>VLOOKUP($A133,'Data Vlaue (Cr)'!$C:$FB,66)*100</f>
        <v>-16.11</v>
      </c>
    </row>
    <row r="134" spans="1:15" x14ac:dyDescent="0.25">
      <c r="A134" s="101" t="str">
        <f>'Data Vlaue (Cr)'!C129</f>
        <v>MARUTI</v>
      </c>
      <c r="B134" s="50">
        <f>VLOOKUP($A134,'Data Vlaue (Cr)'!$C:$FB,8)</f>
        <v>15801</v>
      </c>
      <c r="C134" s="50">
        <f>VLOOKUP($A134,'Data Vlaue (Cr)'!$C:$FB,11)*100</f>
        <v>0.21</v>
      </c>
      <c r="D134" s="50">
        <f>VLOOKUP($A134,'Data Vlaue (Cr)'!$C:$FB,143)</f>
        <v>19148.04</v>
      </c>
      <c r="E134" s="50">
        <f>VLOOKUP($A134,'Data Vlaue (Cr)'!$C:$FB,144)</f>
        <v>14392.96</v>
      </c>
      <c r="F134" s="50">
        <f>VLOOKUP($A134,'Data Vlaue (Cr)'!$C:$FB,146)*100</f>
        <v>33.040000000000006</v>
      </c>
      <c r="G134" s="49">
        <f>VLOOKUP($A134,'Data Vlaue (Cr)'!$C:$FB,43)</f>
        <v>2183</v>
      </c>
      <c r="H134" s="49">
        <f>VLOOKUP($A134,'Data Vlaue (Cr)'!$C:$FB,44)</f>
        <v>762</v>
      </c>
      <c r="I134" s="49">
        <f>VLOOKUP($A134,'Data Vlaue (Cr)'!$C:$FB,46)*100</f>
        <v>186.56</v>
      </c>
      <c r="J134" s="51">
        <f>VLOOKUP($A134,'Data Vlaue (Cr)'!$C:$FB,59)</f>
        <v>11709</v>
      </c>
      <c r="K134" s="51">
        <f>VLOOKUP($A134,'Data Vlaue (Cr)'!$C:$FB,60)</f>
        <v>8821</v>
      </c>
      <c r="L134" s="51">
        <f>VLOOKUP($A134,'Data Vlaue (Cr)'!$C:$FB,62)*100</f>
        <v>32.729999999999997</v>
      </c>
      <c r="M134" s="51">
        <f>VLOOKUP($A134,'Data Vlaue (Cr)'!$C:$FB,63)</f>
        <v>5052</v>
      </c>
      <c r="N134" s="51">
        <f>VLOOKUP($A134,'Data Vlaue (Cr)'!$C:$FB,64)</f>
        <v>4623</v>
      </c>
      <c r="O134" s="51">
        <f>VLOOKUP($A134,'Data Vlaue (Cr)'!$C:$FB,66)*100</f>
        <v>9.2899999999999991</v>
      </c>
    </row>
    <row r="135" spans="1:15" x14ac:dyDescent="0.25">
      <c r="A135" s="101" t="str">
        <f>'Data Vlaue (Cr)'!C130</f>
        <v>MAXHEALTH</v>
      </c>
      <c r="B135" s="50">
        <f>VLOOKUP($A135,'Data Vlaue (Cr)'!$C:$FB,8)</f>
        <v>1168.9000000000001</v>
      </c>
      <c r="C135" s="50">
        <f>VLOOKUP($A135,'Data Vlaue (Cr)'!$C:$FB,11)*100</f>
        <v>0.38999999999999996</v>
      </c>
      <c r="D135" s="50">
        <f>VLOOKUP($A135,'Data Vlaue (Cr)'!$C:$FB,143)</f>
        <v>3796.82</v>
      </c>
      <c r="E135" s="50">
        <f>VLOOKUP($A135,'Data Vlaue (Cr)'!$C:$FB,144)</f>
        <v>8925.82</v>
      </c>
      <c r="F135" s="50">
        <f>VLOOKUP($A135,'Data Vlaue (Cr)'!$C:$FB,146)*100</f>
        <v>-57.46</v>
      </c>
      <c r="G135" s="49">
        <f>VLOOKUP($A135,'Data Vlaue (Cr)'!$C:$FB,43)</f>
        <v>1194</v>
      </c>
      <c r="H135" s="49">
        <f>VLOOKUP($A135,'Data Vlaue (Cr)'!$C:$FB,44)</f>
        <v>670</v>
      </c>
      <c r="I135" s="49">
        <f>VLOOKUP($A135,'Data Vlaue (Cr)'!$C:$FB,46)*100</f>
        <v>78.320000000000007</v>
      </c>
      <c r="J135" s="51">
        <f>VLOOKUP($A135,'Data Vlaue (Cr)'!$C:$FB,59)</f>
        <v>1722</v>
      </c>
      <c r="K135" s="51">
        <f>VLOOKUP($A135,'Data Vlaue (Cr)'!$C:$FB,60)</f>
        <v>5763</v>
      </c>
      <c r="L135" s="51">
        <f>VLOOKUP($A135,'Data Vlaue (Cr)'!$C:$FB,62)*100</f>
        <v>-70.12</v>
      </c>
      <c r="M135" s="51">
        <f>VLOOKUP($A135,'Data Vlaue (Cr)'!$C:$FB,63)</f>
        <v>865</v>
      </c>
      <c r="N135" s="51">
        <f>VLOOKUP($A135,'Data Vlaue (Cr)'!$C:$FB,64)</f>
        <v>2493</v>
      </c>
      <c r="O135" s="51">
        <f>VLOOKUP($A135,'Data Vlaue (Cr)'!$C:$FB,66)*100</f>
        <v>-65.319999999999993</v>
      </c>
    </row>
    <row r="136" spans="1:15" x14ac:dyDescent="0.25">
      <c r="A136" s="101" t="str">
        <f>'Data Vlaue (Cr)'!C131</f>
        <v>MAZDOCK</v>
      </c>
      <c r="B136" s="50">
        <f>VLOOKUP($A136,'Data Vlaue (Cr)'!$C:$FB,8)</f>
        <v>2829.5</v>
      </c>
      <c r="C136" s="50">
        <f>VLOOKUP($A136,'Data Vlaue (Cr)'!$C:$FB,11)*100</f>
        <v>1.66</v>
      </c>
      <c r="D136" s="50">
        <f>VLOOKUP($A136,'Data Vlaue (Cr)'!$C:$FB,143)</f>
        <v>4748.75</v>
      </c>
      <c r="E136" s="50">
        <f>VLOOKUP($A136,'Data Vlaue (Cr)'!$C:$FB,144)</f>
        <v>1514.63</v>
      </c>
      <c r="F136" s="50">
        <f>VLOOKUP($A136,'Data Vlaue (Cr)'!$C:$FB,146)*100</f>
        <v>213.52</v>
      </c>
      <c r="G136" s="49">
        <f>VLOOKUP($A136,'Data Vlaue (Cr)'!$C:$FB,43)</f>
        <v>906</v>
      </c>
      <c r="H136" s="49">
        <f>VLOOKUP($A136,'Data Vlaue (Cr)'!$C:$FB,44)</f>
        <v>155</v>
      </c>
      <c r="I136" s="49">
        <f>VLOOKUP($A136,'Data Vlaue (Cr)'!$C:$FB,46)*100</f>
        <v>485.26</v>
      </c>
      <c r="J136" s="51">
        <f>VLOOKUP($A136,'Data Vlaue (Cr)'!$C:$FB,59)</f>
        <v>2891</v>
      </c>
      <c r="K136" s="51">
        <f>VLOOKUP($A136,'Data Vlaue (Cr)'!$C:$FB,60)</f>
        <v>1080</v>
      </c>
      <c r="L136" s="51">
        <f>VLOOKUP($A136,'Data Vlaue (Cr)'!$C:$FB,62)*100</f>
        <v>167.68</v>
      </c>
      <c r="M136" s="51">
        <f>VLOOKUP($A136,'Data Vlaue (Cr)'!$C:$FB,63)</f>
        <v>874</v>
      </c>
      <c r="N136" s="51">
        <f>VLOOKUP($A136,'Data Vlaue (Cr)'!$C:$FB,64)</f>
        <v>253</v>
      </c>
      <c r="O136" s="51">
        <f>VLOOKUP($A136,'Data Vlaue (Cr)'!$C:$FB,66)*100</f>
        <v>245.03</v>
      </c>
    </row>
    <row r="137" spans="1:15" x14ac:dyDescent="0.25">
      <c r="A137" s="101" t="str">
        <f>'Data Vlaue (Cr)'!C132</f>
        <v>MCX</v>
      </c>
      <c r="B137" s="50">
        <f>VLOOKUP($A137,'Data Vlaue (Cr)'!$C:$FB,8)</f>
        <v>9858.5</v>
      </c>
      <c r="C137" s="50">
        <f>VLOOKUP($A137,'Data Vlaue (Cr)'!$C:$FB,11)*100</f>
        <v>0.61</v>
      </c>
      <c r="D137" s="50">
        <f>VLOOKUP($A137,'Data Vlaue (Cr)'!$C:$FB,143)</f>
        <v>19103.03</v>
      </c>
      <c r="E137" s="50">
        <f>VLOOKUP($A137,'Data Vlaue (Cr)'!$C:$FB,144)</f>
        <v>13689.47</v>
      </c>
      <c r="F137" s="50">
        <f>VLOOKUP($A137,'Data Vlaue (Cr)'!$C:$FB,146)*100</f>
        <v>39.550000000000004</v>
      </c>
      <c r="G137" s="49">
        <f>VLOOKUP($A137,'Data Vlaue (Cr)'!$C:$FB,43)</f>
        <v>1696</v>
      </c>
      <c r="H137" s="49">
        <f>VLOOKUP($A137,'Data Vlaue (Cr)'!$C:$FB,44)</f>
        <v>997</v>
      </c>
      <c r="I137" s="49">
        <f>VLOOKUP($A137,'Data Vlaue (Cr)'!$C:$FB,46)*100</f>
        <v>70.13000000000001</v>
      </c>
      <c r="J137" s="51">
        <f>VLOOKUP($A137,'Data Vlaue (Cr)'!$C:$FB,59)</f>
        <v>11160</v>
      </c>
      <c r="K137" s="51">
        <f>VLOOKUP($A137,'Data Vlaue (Cr)'!$C:$FB,60)</f>
        <v>7924</v>
      </c>
      <c r="L137" s="51">
        <f>VLOOKUP($A137,'Data Vlaue (Cr)'!$C:$FB,62)*100</f>
        <v>40.839999999999996</v>
      </c>
      <c r="M137" s="51">
        <f>VLOOKUP($A137,'Data Vlaue (Cr)'!$C:$FB,63)</f>
        <v>6052</v>
      </c>
      <c r="N137" s="51">
        <f>VLOOKUP($A137,'Data Vlaue (Cr)'!$C:$FB,64)</f>
        <v>4788</v>
      </c>
      <c r="O137" s="51">
        <f>VLOOKUP($A137,'Data Vlaue (Cr)'!$C:$FB,66)*100</f>
        <v>26.39</v>
      </c>
    </row>
    <row r="138" spans="1:15" x14ac:dyDescent="0.25">
      <c r="A138" s="101" t="str">
        <f>'Data Vlaue (Cr)'!C133</f>
        <v>MFSL</v>
      </c>
      <c r="B138" s="50">
        <f>VLOOKUP($A138,'Data Vlaue (Cr)'!$C:$FB,8)</f>
        <v>1692.6</v>
      </c>
      <c r="C138" s="50">
        <f>VLOOKUP($A138,'Data Vlaue (Cr)'!$C:$FB,11)*100</f>
        <v>1.47</v>
      </c>
      <c r="D138" s="50">
        <f>VLOOKUP($A138,'Data Vlaue (Cr)'!$C:$FB,143)</f>
        <v>2921.61</v>
      </c>
      <c r="E138" s="50">
        <f>VLOOKUP($A138,'Data Vlaue (Cr)'!$C:$FB,144)</f>
        <v>786.02</v>
      </c>
      <c r="F138" s="50">
        <f>VLOOKUP($A138,'Data Vlaue (Cr)'!$C:$FB,146)*100</f>
        <v>271.7</v>
      </c>
      <c r="G138" s="49">
        <f>VLOOKUP($A138,'Data Vlaue (Cr)'!$C:$FB,43)</f>
        <v>993</v>
      </c>
      <c r="H138" s="49">
        <f>VLOOKUP($A138,'Data Vlaue (Cr)'!$C:$FB,44)</f>
        <v>102</v>
      </c>
      <c r="I138" s="49">
        <f>VLOOKUP($A138,'Data Vlaue (Cr)'!$C:$FB,46)*100</f>
        <v>873.56999999999994</v>
      </c>
      <c r="J138" s="51">
        <f>VLOOKUP($A138,'Data Vlaue (Cr)'!$C:$FB,59)</f>
        <v>1378</v>
      </c>
      <c r="K138" s="51">
        <f>VLOOKUP($A138,'Data Vlaue (Cr)'!$C:$FB,60)</f>
        <v>448</v>
      </c>
      <c r="L138" s="51">
        <f>VLOOKUP($A138,'Data Vlaue (Cr)'!$C:$FB,62)*100</f>
        <v>207.79000000000002</v>
      </c>
      <c r="M138" s="51">
        <f>VLOOKUP($A138,'Data Vlaue (Cr)'!$C:$FB,63)</f>
        <v>524</v>
      </c>
      <c r="N138" s="51">
        <f>VLOOKUP($A138,'Data Vlaue (Cr)'!$C:$FB,64)</f>
        <v>233</v>
      </c>
      <c r="O138" s="51">
        <f>VLOOKUP($A138,'Data Vlaue (Cr)'!$C:$FB,66)*100</f>
        <v>124.64</v>
      </c>
    </row>
    <row r="139" spans="1:15" x14ac:dyDescent="0.25">
      <c r="A139" s="101" t="str">
        <f>'Data Vlaue (Cr)'!C134</f>
        <v>MIDCPNIFTY</v>
      </c>
      <c r="B139" s="50">
        <f>VLOOKUP($A139,'Data Vlaue (Cr)'!$C:$FB,8)</f>
        <v>13992.2</v>
      </c>
      <c r="C139" s="50">
        <f>VLOOKUP($A139,'Data Vlaue (Cr)'!$C:$FB,11)*100</f>
        <v>-0.06</v>
      </c>
      <c r="D139" s="50">
        <f>VLOOKUP($A139,'Data Vlaue (Cr)'!$C:$FB,143)</f>
        <v>115098.97</v>
      </c>
      <c r="E139" s="50">
        <f>VLOOKUP($A139,'Data Vlaue (Cr)'!$C:$FB,144)</f>
        <v>102188.34</v>
      </c>
      <c r="F139" s="50">
        <f>VLOOKUP($A139,'Data Vlaue (Cr)'!$C:$FB,146)*100</f>
        <v>12.629999999999999</v>
      </c>
      <c r="G139" s="49">
        <f>VLOOKUP($A139,'Data Vlaue (Cr)'!$C:$FB,43)</f>
        <v>2805</v>
      </c>
      <c r="H139" s="49">
        <f>VLOOKUP($A139,'Data Vlaue (Cr)'!$C:$FB,44)</f>
        <v>897</v>
      </c>
      <c r="I139" s="49">
        <f>VLOOKUP($A139,'Data Vlaue (Cr)'!$C:$FB,46)*100</f>
        <v>212.82000000000002</v>
      </c>
      <c r="J139" s="51">
        <f>VLOOKUP($A139,'Data Vlaue (Cr)'!$C:$FB,59)</f>
        <v>54643</v>
      </c>
      <c r="K139" s="51">
        <f>VLOOKUP($A139,'Data Vlaue (Cr)'!$C:$FB,60)</f>
        <v>46836</v>
      </c>
      <c r="L139" s="51">
        <f>VLOOKUP($A139,'Data Vlaue (Cr)'!$C:$FB,62)*100</f>
        <v>16.669999999999998</v>
      </c>
      <c r="M139" s="51">
        <f>VLOOKUP($A139,'Data Vlaue (Cr)'!$C:$FB,63)</f>
        <v>57438</v>
      </c>
      <c r="N139" s="51">
        <f>VLOOKUP($A139,'Data Vlaue (Cr)'!$C:$FB,64)</f>
        <v>54664</v>
      </c>
      <c r="O139" s="51">
        <f>VLOOKUP($A139,'Data Vlaue (Cr)'!$C:$FB,66)*100</f>
        <v>5.08</v>
      </c>
    </row>
    <row r="140" spans="1:15" x14ac:dyDescent="0.25">
      <c r="A140" s="101" t="str">
        <f>'Data Vlaue (Cr)'!C135</f>
        <v>MOTHERSON</v>
      </c>
      <c r="B140" s="50">
        <f>VLOOKUP($A140,'Data Vlaue (Cr)'!$C:$FB,8)</f>
        <v>112</v>
      </c>
      <c r="C140" s="50">
        <f>VLOOKUP($A140,'Data Vlaue (Cr)'!$C:$FB,11)*100</f>
        <v>-0.13999999999999999</v>
      </c>
      <c r="D140" s="50">
        <f>VLOOKUP($A140,'Data Vlaue (Cr)'!$C:$FB,143)</f>
        <v>2490.71</v>
      </c>
      <c r="E140" s="50">
        <f>VLOOKUP($A140,'Data Vlaue (Cr)'!$C:$FB,144)</f>
        <v>5701.35</v>
      </c>
      <c r="F140" s="50">
        <f>VLOOKUP($A140,'Data Vlaue (Cr)'!$C:$FB,146)*100</f>
        <v>-56.31</v>
      </c>
      <c r="G140" s="49">
        <f>VLOOKUP($A140,'Data Vlaue (Cr)'!$C:$FB,43)</f>
        <v>1012</v>
      </c>
      <c r="H140" s="49">
        <f>VLOOKUP($A140,'Data Vlaue (Cr)'!$C:$FB,44)</f>
        <v>746</v>
      </c>
      <c r="I140" s="49">
        <f>VLOOKUP($A140,'Data Vlaue (Cr)'!$C:$FB,46)*100</f>
        <v>35.799999999999997</v>
      </c>
      <c r="J140" s="51">
        <f>VLOOKUP($A140,'Data Vlaue (Cr)'!$C:$FB,59)</f>
        <v>1028</v>
      </c>
      <c r="K140" s="51">
        <f>VLOOKUP($A140,'Data Vlaue (Cr)'!$C:$FB,60)</f>
        <v>3633</v>
      </c>
      <c r="L140" s="51">
        <f>VLOOKUP($A140,'Data Vlaue (Cr)'!$C:$FB,62)*100</f>
        <v>-71.709999999999994</v>
      </c>
      <c r="M140" s="51">
        <f>VLOOKUP($A140,'Data Vlaue (Cr)'!$C:$FB,63)</f>
        <v>411</v>
      </c>
      <c r="N140" s="51">
        <f>VLOOKUP($A140,'Data Vlaue (Cr)'!$C:$FB,64)</f>
        <v>1245</v>
      </c>
      <c r="O140" s="51">
        <f>VLOOKUP($A140,'Data Vlaue (Cr)'!$C:$FB,66)*100</f>
        <v>-66.95</v>
      </c>
    </row>
    <row r="141" spans="1:15" x14ac:dyDescent="0.25">
      <c r="A141" s="101" t="str">
        <f>'Data Vlaue (Cr)'!C136</f>
        <v>MPHASIS</v>
      </c>
      <c r="B141" s="50">
        <f>VLOOKUP($A141,'Data Vlaue (Cr)'!$C:$FB,8)</f>
        <v>2740.4</v>
      </c>
      <c r="C141" s="50">
        <f>VLOOKUP($A141,'Data Vlaue (Cr)'!$C:$FB,11)*100</f>
        <v>0.98</v>
      </c>
      <c r="D141" s="50">
        <f>VLOOKUP($A141,'Data Vlaue (Cr)'!$C:$FB,143)</f>
        <v>4446.5</v>
      </c>
      <c r="E141" s="50">
        <f>VLOOKUP($A141,'Data Vlaue (Cr)'!$C:$FB,144)</f>
        <v>5604.94</v>
      </c>
      <c r="F141" s="50">
        <f>VLOOKUP($A141,'Data Vlaue (Cr)'!$C:$FB,146)*100</f>
        <v>-20.669999999999998</v>
      </c>
      <c r="G141" s="49">
        <f>VLOOKUP($A141,'Data Vlaue (Cr)'!$C:$FB,43)</f>
        <v>1050</v>
      </c>
      <c r="H141" s="49">
        <f>VLOOKUP($A141,'Data Vlaue (Cr)'!$C:$FB,44)</f>
        <v>609</v>
      </c>
      <c r="I141" s="49">
        <f>VLOOKUP($A141,'Data Vlaue (Cr)'!$C:$FB,46)*100</f>
        <v>72.28</v>
      </c>
      <c r="J141" s="51">
        <f>VLOOKUP($A141,'Data Vlaue (Cr)'!$C:$FB,59)</f>
        <v>2316</v>
      </c>
      <c r="K141" s="51">
        <f>VLOOKUP($A141,'Data Vlaue (Cr)'!$C:$FB,60)</f>
        <v>3538</v>
      </c>
      <c r="L141" s="51">
        <f>VLOOKUP($A141,'Data Vlaue (Cr)'!$C:$FB,62)*100</f>
        <v>-34.53</v>
      </c>
      <c r="M141" s="51">
        <f>VLOOKUP($A141,'Data Vlaue (Cr)'!$C:$FB,63)</f>
        <v>1026</v>
      </c>
      <c r="N141" s="51">
        <f>VLOOKUP($A141,'Data Vlaue (Cr)'!$C:$FB,64)</f>
        <v>1408</v>
      </c>
      <c r="O141" s="51">
        <f>VLOOKUP($A141,'Data Vlaue (Cr)'!$C:$FB,66)*100</f>
        <v>-27.139999999999997</v>
      </c>
    </row>
    <row r="142" spans="1:15" x14ac:dyDescent="0.25">
      <c r="A142" s="101" t="str">
        <f>'Data Vlaue (Cr)'!C137</f>
        <v>MUTHOOTFIN</v>
      </c>
      <c r="B142" s="50">
        <f>VLOOKUP($A142,'Data Vlaue (Cr)'!$C:$FB,8)</f>
        <v>3697.5</v>
      </c>
      <c r="C142" s="50">
        <f>VLOOKUP($A142,'Data Vlaue (Cr)'!$C:$FB,11)*100</f>
        <v>-0.11</v>
      </c>
      <c r="D142" s="50">
        <f>VLOOKUP($A142,'Data Vlaue (Cr)'!$C:$FB,143)</f>
        <v>3762.17</v>
      </c>
      <c r="E142" s="50">
        <f>VLOOKUP($A142,'Data Vlaue (Cr)'!$C:$FB,144)</f>
        <v>4126.28</v>
      </c>
      <c r="F142" s="50">
        <f>VLOOKUP($A142,'Data Vlaue (Cr)'!$C:$FB,146)*100</f>
        <v>-8.82</v>
      </c>
      <c r="G142" s="49">
        <f>VLOOKUP($A142,'Data Vlaue (Cr)'!$C:$FB,43)</f>
        <v>822</v>
      </c>
      <c r="H142" s="49">
        <f>VLOOKUP($A142,'Data Vlaue (Cr)'!$C:$FB,44)</f>
        <v>339</v>
      </c>
      <c r="I142" s="49">
        <f>VLOOKUP($A142,'Data Vlaue (Cr)'!$C:$FB,46)*100</f>
        <v>142.59</v>
      </c>
      <c r="J142" s="51">
        <f>VLOOKUP($A142,'Data Vlaue (Cr)'!$C:$FB,59)</f>
        <v>1616</v>
      </c>
      <c r="K142" s="51">
        <f>VLOOKUP($A142,'Data Vlaue (Cr)'!$C:$FB,60)</f>
        <v>1994</v>
      </c>
      <c r="L142" s="51">
        <f>VLOOKUP($A142,'Data Vlaue (Cr)'!$C:$FB,62)*100</f>
        <v>-18.940000000000001</v>
      </c>
      <c r="M142" s="51">
        <f>VLOOKUP($A142,'Data Vlaue (Cr)'!$C:$FB,63)</f>
        <v>1308</v>
      </c>
      <c r="N142" s="51">
        <f>VLOOKUP($A142,'Data Vlaue (Cr)'!$C:$FB,64)</f>
        <v>1782</v>
      </c>
      <c r="O142" s="51">
        <f>VLOOKUP($A142,'Data Vlaue (Cr)'!$C:$FB,66)*100</f>
        <v>-26.61</v>
      </c>
    </row>
    <row r="143" spans="1:15" x14ac:dyDescent="0.25">
      <c r="A143" s="101" t="str">
        <f>'Data Vlaue (Cr)'!C138</f>
        <v>NATIONALUM</v>
      </c>
      <c r="B143" s="50">
        <f>VLOOKUP($A143,'Data Vlaue (Cr)'!$C:$FB,8)</f>
        <v>257.62</v>
      </c>
      <c r="C143" s="50">
        <f>VLOOKUP($A143,'Data Vlaue (Cr)'!$C:$FB,11)*100</f>
        <v>0.4</v>
      </c>
      <c r="D143" s="50">
        <f>VLOOKUP($A143,'Data Vlaue (Cr)'!$C:$FB,143)</f>
        <v>3972.02</v>
      </c>
      <c r="E143" s="50">
        <f>VLOOKUP($A143,'Data Vlaue (Cr)'!$C:$FB,144)</f>
        <v>2122.41</v>
      </c>
      <c r="F143" s="50">
        <f>VLOOKUP($A143,'Data Vlaue (Cr)'!$C:$FB,146)*100</f>
        <v>87.15</v>
      </c>
      <c r="G143" s="49">
        <f>VLOOKUP($A143,'Data Vlaue (Cr)'!$C:$FB,43)</f>
        <v>1072</v>
      </c>
      <c r="H143" s="49">
        <f>VLOOKUP($A143,'Data Vlaue (Cr)'!$C:$FB,44)</f>
        <v>352</v>
      </c>
      <c r="I143" s="49">
        <f>VLOOKUP($A143,'Data Vlaue (Cr)'!$C:$FB,46)*100</f>
        <v>204.84</v>
      </c>
      <c r="J143" s="51">
        <f>VLOOKUP($A143,'Data Vlaue (Cr)'!$C:$FB,59)</f>
        <v>1993</v>
      </c>
      <c r="K143" s="51">
        <f>VLOOKUP($A143,'Data Vlaue (Cr)'!$C:$FB,60)</f>
        <v>1131</v>
      </c>
      <c r="L143" s="51">
        <f>VLOOKUP($A143,'Data Vlaue (Cr)'!$C:$FB,62)*100</f>
        <v>76.27000000000001</v>
      </c>
      <c r="M143" s="51">
        <f>VLOOKUP($A143,'Data Vlaue (Cr)'!$C:$FB,63)</f>
        <v>833</v>
      </c>
      <c r="N143" s="51">
        <f>VLOOKUP($A143,'Data Vlaue (Cr)'!$C:$FB,64)</f>
        <v>627</v>
      </c>
      <c r="O143" s="51">
        <f>VLOOKUP($A143,'Data Vlaue (Cr)'!$C:$FB,66)*100</f>
        <v>32.96</v>
      </c>
    </row>
    <row r="144" spans="1:15" x14ac:dyDescent="0.25">
      <c r="A144" s="101" t="str">
        <f>'Data Vlaue (Cr)'!C139</f>
        <v>NAUKRI</v>
      </c>
      <c r="B144" s="50">
        <f>VLOOKUP($A144,'Data Vlaue (Cr)'!$C:$FB,8)</f>
        <v>1365.4</v>
      </c>
      <c r="C144" s="50">
        <f>VLOOKUP($A144,'Data Vlaue (Cr)'!$C:$FB,11)*100</f>
        <v>0.22999999999999998</v>
      </c>
      <c r="D144" s="50">
        <f>VLOOKUP($A144,'Data Vlaue (Cr)'!$C:$FB,143)</f>
        <v>1822.44</v>
      </c>
      <c r="E144" s="50">
        <f>VLOOKUP($A144,'Data Vlaue (Cr)'!$C:$FB,144)</f>
        <v>2088.9899999999998</v>
      </c>
      <c r="F144" s="50">
        <f>VLOOKUP($A144,'Data Vlaue (Cr)'!$C:$FB,146)*100</f>
        <v>-12.76</v>
      </c>
      <c r="G144" s="49">
        <f>VLOOKUP($A144,'Data Vlaue (Cr)'!$C:$FB,43)</f>
        <v>915</v>
      </c>
      <c r="H144" s="49">
        <f>VLOOKUP($A144,'Data Vlaue (Cr)'!$C:$FB,44)</f>
        <v>228</v>
      </c>
      <c r="I144" s="49">
        <f>VLOOKUP($A144,'Data Vlaue (Cr)'!$C:$FB,46)*100</f>
        <v>300.45000000000005</v>
      </c>
      <c r="J144" s="51">
        <f>VLOOKUP($A144,'Data Vlaue (Cr)'!$C:$FB,59)</f>
        <v>649</v>
      </c>
      <c r="K144" s="51">
        <f>VLOOKUP($A144,'Data Vlaue (Cr)'!$C:$FB,60)</f>
        <v>1409</v>
      </c>
      <c r="L144" s="51">
        <f>VLOOKUP($A144,'Data Vlaue (Cr)'!$C:$FB,62)*100</f>
        <v>-53.959999999999994</v>
      </c>
      <c r="M144" s="51">
        <f>VLOOKUP($A144,'Data Vlaue (Cr)'!$C:$FB,63)</f>
        <v>234</v>
      </c>
      <c r="N144" s="51">
        <f>VLOOKUP($A144,'Data Vlaue (Cr)'!$C:$FB,64)</f>
        <v>422</v>
      </c>
      <c r="O144" s="51">
        <f>VLOOKUP($A144,'Data Vlaue (Cr)'!$C:$FB,66)*100</f>
        <v>-44.529999999999994</v>
      </c>
    </row>
    <row r="145" spans="1:15" x14ac:dyDescent="0.25">
      <c r="A145" s="101" t="str">
        <f>'Data Vlaue (Cr)'!C140</f>
        <v>NBCC</v>
      </c>
      <c r="B145" s="50">
        <f>VLOOKUP($A145,'Data Vlaue (Cr)'!$C:$FB,8)</f>
        <v>115.99</v>
      </c>
      <c r="C145" s="50">
        <f>VLOOKUP($A145,'Data Vlaue (Cr)'!$C:$FB,11)*100</f>
        <v>2.6100000000000003</v>
      </c>
      <c r="D145" s="50">
        <f>VLOOKUP($A145,'Data Vlaue (Cr)'!$C:$FB,143)</f>
        <v>4870.6499999999996</v>
      </c>
      <c r="E145" s="50">
        <f>VLOOKUP($A145,'Data Vlaue (Cr)'!$C:$FB,144)</f>
        <v>786.05</v>
      </c>
      <c r="F145" s="50">
        <f>VLOOKUP($A145,'Data Vlaue (Cr)'!$C:$FB,146)*100</f>
        <v>519.64</v>
      </c>
      <c r="G145" s="49">
        <f>VLOOKUP($A145,'Data Vlaue (Cr)'!$C:$FB,43)</f>
        <v>928</v>
      </c>
      <c r="H145" s="49">
        <f>VLOOKUP($A145,'Data Vlaue (Cr)'!$C:$FB,44)</f>
        <v>185</v>
      </c>
      <c r="I145" s="49">
        <f>VLOOKUP($A145,'Data Vlaue (Cr)'!$C:$FB,46)*100</f>
        <v>401.06</v>
      </c>
      <c r="J145" s="51">
        <f>VLOOKUP($A145,'Data Vlaue (Cr)'!$C:$FB,59)</f>
        <v>2891</v>
      </c>
      <c r="K145" s="51">
        <f>VLOOKUP($A145,'Data Vlaue (Cr)'!$C:$FB,60)</f>
        <v>413</v>
      </c>
      <c r="L145" s="51">
        <f>VLOOKUP($A145,'Data Vlaue (Cr)'!$C:$FB,62)*100</f>
        <v>600.41999999999996</v>
      </c>
      <c r="M145" s="51">
        <f>VLOOKUP($A145,'Data Vlaue (Cr)'!$C:$FB,63)</f>
        <v>977</v>
      </c>
      <c r="N145" s="51">
        <f>VLOOKUP($A145,'Data Vlaue (Cr)'!$C:$FB,64)</f>
        <v>189</v>
      </c>
      <c r="O145" s="51">
        <f>VLOOKUP($A145,'Data Vlaue (Cr)'!$C:$FB,66)*100</f>
        <v>416.05999999999995</v>
      </c>
    </row>
    <row r="146" spans="1:15" x14ac:dyDescent="0.25">
      <c r="A146" s="101" t="str">
        <f>'Data Vlaue (Cr)'!C141</f>
        <v>NCC</v>
      </c>
      <c r="B146" s="50">
        <f>VLOOKUP($A146,'Data Vlaue (Cr)'!$C:$FB,8)</f>
        <v>179.03</v>
      </c>
      <c r="C146" s="50">
        <f>VLOOKUP($A146,'Data Vlaue (Cr)'!$C:$FB,11)*100</f>
        <v>-1</v>
      </c>
      <c r="D146" s="50">
        <f>VLOOKUP($A146,'Data Vlaue (Cr)'!$C:$FB,143)</f>
        <v>448.92</v>
      </c>
      <c r="E146" s="50">
        <f>VLOOKUP($A146,'Data Vlaue (Cr)'!$C:$FB,144)</f>
        <v>487.35</v>
      </c>
      <c r="F146" s="50">
        <f>VLOOKUP($A146,'Data Vlaue (Cr)'!$C:$FB,146)*100</f>
        <v>-7.89</v>
      </c>
      <c r="G146" s="49">
        <f>VLOOKUP($A146,'Data Vlaue (Cr)'!$C:$FB,43)</f>
        <v>169</v>
      </c>
      <c r="H146" s="49">
        <f>VLOOKUP($A146,'Data Vlaue (Cr)'!$C:$FB,44)</f>
        <v>65</v>
      </c>
      <c r="I146" s="49">
        <f>VLOOKUP($A146,'Data Vlaue (Cr)'!$C:$FB,46)*100</f>
        <v>159.54</v>
      </c>
      <c r="J146" s="51">
        <f>VLOOKUP($A146,'Data Vlaue (Cr)'!$C:$FB,59)</f>
        <v>195</v>
      </c>
      <c r="K146" s="51">
        <f>VLOOKUP($A146,'Data Vlaue (Cr)'!$C:$FB,60)</f>
        <v>303</v>
      </c>
      <c r="L146" s="51">
        <f>VLOOKUP($A146,'Data Vlaue (Cr)'!$C:$FB,62)*100</f>
        <v>-35.709999999999994</v>
      </c>
      <c r="M146" s="51">
        <f>VLOOKUP($A146,'Data Vlaue (Cr)'!$C:$FB,63)</f>
        <v>65</v>
      </c>
      <c r="N146" s="51">
        <f>VLOOKUP($A146,'Data Vlaue (Cr)'!$C:$FB,64)</f>
        <v>89</v>
      </c>
      <c r="O146" s="51">
        <f>VLOOKUP($A146,'Data Vlaue (Cr)'!$C:$FB,66)*100</f>
        <v>-27.16</v>
      </c>
    </row>
    <row r="147" spans="1:15" x14ac:dyDescent="0.25">
      <c r="A147" s="101" t="str">
        <f>'Data Vlaue (Cr)'!C142</f>
        <v>NESTLEIND</v>
      </c>
      <c r="B147" s="50">
        <f>VLOOKUP($A147,'Data Vlaue (Cr)'!$C:$FB,8)</f>
        <v>1279.2</v>
      </c>
      <c r="C147" s="50">
        <f>VLOOKUP($A147,'Data Vlaue (Cr)'!$C:$FB,11)*100</f>
        <v>0.02</v>
      </c>
      <c r="D147" s="50">
        <f>VLOOKUP($A147,'Data Vlaue (Cr)'!$C:$FB,143)</f>
        <v>2008.67</v>
      </c>
      <c r="E147" s="50">
        <f>VLOOKUP($A147,'Data Vlaue (Cr)'!$C:$FB,144)</f>
        <v>1595.72</v>
      </c>
      <c r="F147" s="50">
        <f>VLOOKUP($A147,'Data Vlaue (Cr)'!$C:$FB,146)*100</f>
        <v>25.88</v>
      </c>
      <c r="G147" s="49">
        <f>VLOOKUP($A147,'Data Vlaue (Cr)'!$C:$FB,43)</f>
        <v>1207</v>
      </c>
      <c r="H147" s="49">
        <f>VLOOKUP($A147,'Data Vlaue (Cr)'!$C:$FB,44)</f>
        <v>258</v>
      </c>
      <c r="I147" s="49">
        <f>VLOOKUP($A147,'Data Vlaue (Cr)'!$C:$FB,46)*100</f>
        <v>368.48</v>
      </c>
      <c r="J147" s="51">
        <f>VLOOKUP($A147,'Data Vlaue (Cr)'!$C:$FB,59)</f>
        <v>609</v>
      </c>
      <c r="K147" s="51">
        <f>VLOOKUP($A147,'Data Vlaue (Cr)'!$C:$FB,60)</f>
        <v>994</v>
      </c>
      <c r="L147" s="51">
        <f>VLOOKUP($A147,'Data Vlaue (Cr)'!$C:$FB,62)*100</f>
        <v>-38.769999999999996</v>
      </c>
      <c r="M147" s="51">
        <f>VLOOKUP($A147,'Data Vlaue (Cr)'!$C:$FB,63)</f>
        <v>180</v>
      </c>
      <c r="N147" s="51">
        <f>VLOOKUP($A147,'Data Vlaue (Cr)'!$C:$FB,64)</f>
        <v>336</v>
      </c>
      <c r="O147" s="51">
        <f>VLOOKUP($A147,'Data Vlaue (Cr)'!$C:$FB,66)*100</f>
        <v>-46.410000000000004</v>
      </c>
    </row>
    <row r="148" spans="1:15" x14ac:dyDescent="0.25">
      <c r="A148" s="101" t="str">
        <f>'Data Vlaue (Cr)'!C143</f>
        <v>NHPC</v>
      </c>
      <c r="B148" s="50">
        <f>VLOOKUP($A148,'Data Vlaue (Cr)'!$C:$FB,8)</f>
        <v>80.12</v>
      </c>
      <c r="C148" s="50">
        <f>VLOOKUP($A148,'Data Vlaue (Cr)'!$C:$FB,11)*100</f>
        <v>0.09</v>
      </c>
      <c r="D148" s="50">
        <f>VLOOKUP($A148,'Data Vlaue (Cr)'!$C:$FB,143)</f>
        <v>485</v>
      </c>
      <c r="E148" s="50">
        <f>VLOOKUP($A148,'Data Vlaue (Cr)'!$C:$FB,144)</f>
        <v>354.47</v>
      </c>
      <c r="F148" s="50">
        <f>VLOOKUP($A148,'Data Vlaue (Cr)'!$C:$FB,146)*100</f>
        <v>36.82</v>
      </c>
      <c r="G148" s="49">
        <f>VLOOKUP($A148,'Data Vlaue (Cr)'!$C:$FB,43)</f>
        <v>257</v>
      </c>
      <c r="H148" s="49">
        <f>VLOOKUP($A148,'Data Vlaue (Cr)'!$C:$FB,44)</f>
        <v>100</v>
      </c>
      <c r="I148" s="49">
        <f>VLOOKUP($A148,'Data Vlaue (Cr)'!$C:$FB,46)*100</f>
        <v>157.32999999999998</v>
      </c>
      <c r="J148" s="51">
        <f>VLOOKUP($A148,'Data Vlaue (Cr)'!$C:$FB,59)</f>
        <v>161</v>
      </c>
      <c r="K148" s="51">
        <f>VLOOKUP($A148,'Data Vlaue (Cr)'!$C:$FB,60)</f>
        <v>184</v>
      </c>
      <c r="L148" s="51">
        <f>VLOOKUP($A148,'Data Vlaue (Cr)'!$C:$FB,62)*100</f>
        <v>-12.3</v>
      </c>
      <c r="M148" s="51">
        <f>VLOOKUP($A148,'Data Vlaue (Cr)'!$C:$FB,63)</f>
        <v>55</v>
      </c>
      <c r="N148" s="51">
        <f>VLOOKUP($A148,'Data Vlaue (Cr)'!$C:$FB,64)</f>
        <v>60</v>
      </c>
      <c r="O148" s="51">
        <f>VLOOKUP($A148,'Data Vlaue (Cr)'!$C:$FB,66)*100</f>
        <v>-9.07</v>
      </c>
    </row>
    <row r="149" spans="1:15" x14ac:dyDescent="0.25">
      <c r="A149" s="101" t="str">
        <f>'Data Vlaue (Cr)'!C144</f>
        <v>NIFTY</v>
      </c>
      <c r="B149" s="50">
        <f>VLOOKUP($A149,'Data Vlaue (Cr)'!$C:$FB,8)</f>
        <v>26192.15</v>
      </c>
      <c r="C149" s="50">
        <f>VLOOKUP($A149,'Data Vlaue (Cr)'!$C:$FB,11)*100</f>
        <v>0.54</v>
      </c>
      <c r="D149" s="50">
        <f>VLOOKUP($A149,'Data Vlaue (Cr)'!$C:$FB,143)</f>
        <v>9731066.2699999996</v>
      </c>
      <c r="E149" s="50">
        <f>VLOOKUP($A149,'Data Vlaue (Cr)'!$C:$FB,144)</f>
        <v>9560020.0999999996</v>
      </c>
      <c r="F149" s="50">
        <f>VLOOKUP($A149,'Data Vlaue (Cr)'!$C:$FB,146)*100</f>
        <v>1.79</v>
      </c>
      <c r="G149" s="49">
        <f>VLOOKUP($A149,'Data Vlaue (Cr)'!$C:$FB,43)</f>
        <v>28518</v>
      </c>
      <c r="H149" s="49">
        <f>VLOOKUP($A149,'Data Vlaue (Cr)'!$C:$FB,44)</f>
        <v>16723</v>
      </c>
      <c r="I149" s="49">
        <f>VLOOKUP($A149,'Data Vlaue (Cr)'!$C:$FB,46)*100</f>
        <v>70.53</v>
      </c>
      <c r="J149" s="51">
        <f>VLOOKUP($A149,'Data Vlaue (Cr)'!$C:$FB,59)</f>
        <v>4992305</v>
      </c>
      <c r="K149" s="51">
        <f>VLOOKUP($A149,'Data Vlaue (Cr)'!$C:$FB,60)</f>
        <v>5088755</v>
      </c>
      <c r="L149" s="51">
        <f>VLOOKUP($A149,'Data Vlaue (Cr)'!$C:$FB,62)*100</f>
        <v>-1.9</v>
      </c>
      <c r="M149" s="51">
        <f>VLOOKUP($A149,'Data Vlaue (Cr)'!$C:$FB,63)</f>
        <v>4754699</v>
      </c>
      <c r="N149" s="51">
        <f>VLOOKUP($A149,'Data Vlaue (Cr)'!$C:$FB,64)</f>
        <v>4526679</v>
      </c>
      <c r="O149" s="51">
        <f>VLOOKUP($A149,'Data Vlaue (Cr)'!$C:$FB,66)*100</f>
        <v>5.04</v>
      </c>
    </row>
    <row r="150" spans="1:15" x14ac:dyDescent="0.25">
      <c r="A150" s="101" t="str">
        <f>'Data Vlaue (Cr)'!C145</f>
        <v>NIFTYNXT50</v>
      </c>
      <c r="B150" s="50">
        <f>VLOOKUP($A150,'Data Vlaue (Cr)'!$C:$FB,8)</f>
        <v>69567.75</v>
      </c>
      <c r="C150" s="50">
        <f>VLOOKUP($A150,'Data Vlaue (Cr)'!$C:$FB,11)*100</f>
        <v>-0.1</v>
      </c>
      <c r="D150" s="50">
        <f>VLOOKUP($A150,'Data Vlaue (Cr)'!$C:$FB,143)</f>
        <v>284.18</v>
      </c>
      <c r="E150" s="50">
        <f>VLOOKUP($A150,'Data Vlaue (Cr)'!$C:$FB,144)</f>
        <v>346.19</v>
      </c>
      <c r="F150" s="50">
        <f>VLOOKUP($A150,'Data Vlaue (Cr)'!$C:$FB,146)*100</f>
        <v>-17.91</v>
      </c>
      <c r="G150" s="49">
        <f>VLOOKUP($A150,'Data Vlaue (Cr)'!$C:$FB,43)</f>
        <v>39</v>
      </c>
      <c r="H150" s="49">
        <f>VLOOKUP($A150,'Data Vlaue (Cr)'!$C:$FB,44)</f>
        <v>89</v>
      </c>
      <c r="I150" s="49">
        <f>VLOOKUP($A150,'Data Vlaue (Cr)'!$C:$FB,46)*100</f>
        <v>-56.53</v>
      </c>
      <c r="J150" s="51">
        <f>VLOOKUP($A150,'Data Vlaue (Cr)'!$C:$FB,59)</f>
        <v>162</v>
      </c>
      <c r="K150" s="51">
        <f>VLOOKUP($A150,'Data Vlaue (Cr)'!$C:$FB,60)</f>
        <v>151</v>
      </c>
      <c r="L150" s="51">
        <f>VLOOKUP($A150,'Data Vlaue (Cr)'!$C:$FB,62)*100</f>
        <v>7.13</v>
      </c>
      <c r="M150" s="51">
        <f>VLOOKUP($A150,'Data Vlaue (Cr)'!$C:$FB,63)</f>
        <v>81</v>
      </c>
      <c r="N150" s="51">
        <f>VLOOKUP($A150,'Data Vlaue (Cr)'!$C:$FB,64)</f>
        <v>102</v>
      </c>
      <c r="O150" s="51">
        <f>VLOOKUP($A150,'Data Vlaue (Cr)'!$C:$FB,66)*100</f>
        <v>-20.580000000000002</v>
      </c>
    </row>
    <row r="151" spans="1:15" x14ac:dyDescent="0.25">
      <c r="A151" s="101" t="str">
        <f>'Data Vlaue (Cr)'!C146</f>
        <v>NMDC</v>
      </c>
      <c r="B151" s="50">
        <f>VLOOKUP($A151,'Data Vlaue (Cr)'!$C:$FB,8)</f>
        <v>74.459999999999994</v>
      </c>
      <c r="C151" s="50">
        <f>VLOOKUP($A151,'Data Vlaue (Cr)'!$C:$FB,11)*100</f>
        <v>-1.06</v>
      </c>
      <c r="D151" s="50">
        <f>VLOOKUP($A151,'Data Vlaue (Cr)'!$C:$FB,143)</f>
        <v>4044.37</v>
      </c>
      <c r="E151" s="50">
        <f>VLOOKUP($A151,'Data Vlaue (Cr)'!$C:$FB,144)</f>
        <v>1367.26</v>
      </c>
      <c r="F151" s="50">
        <f>VLOOKUP($A151,'Data Vlaue (Cr)'!$C:$FB,146)*100</f>
        <v>195.79999999999998</v>
      </c>
      <c r="G151" s="49">
        <f>VLOOKUP($A151,'Data Vlaue (Cr)'!$C:$FB,43)</f>
        <v>2273</v>
      </c>
      <c r="H151" s="49">
        <f>VLOOKUP($A151,'Data Vlaue (Cr)'!$C:$FB,44)</f>
        <v>380</v>
      </c>
      <c r="I151" s="49">
        <f>VLOOKUP($A151,'Data Vlaue (Cr)'!$C:$FB,46)*100</f>
        <v>497.57999999999993</v>
      </c>
      <c r="J151" s="51">
        <f>VLOOKUP($A151,'Data Vlaue (Cr)'!$C:$FB,59)</f>
        <v>1060</v>
      </c>
      <c r="K151" s="51">
        <f>VLOOKUP($A151,'Data Vlaue (Cr)'!$C:$FB,60)</f>
        <v>617</v>
      </c>
      <c r="L151" s="51">
        <f>VLOOKUP($A151,'Data Vlaue (Cr)'!$C:$FB,62)*100</f>
        <v>71.850000000000009</v>
      </c>
      <c r="M151" s="51">
        <f>VLOOKUP($A151,'Data Vlaue (Cr)'!$C:$FB,63)</f>
        <v>638</v>
      </c>
      <c r="N151" s="51">
        <f>VLOOKUP($A151,'Data Vlaue (Cr)'!$C:$FB,64)</f>
        <v>305</v>
      </c>
      <c r="O151" s="51">
        <f>VLOOKUP($A151,'Data Vlaue (Cr)'!$C:$FB,66)*100</f>
        <v>109.11999999999999</v>
      </c>
    </row>
    <row r="152" spans="1:15" x14ac:dyDescent="0.25">
      <c r="A152" s="101" t="str">
        <f>'Data Vlaue (Cr)'!C147</f>
        <v>NTPC</v>
      </c>
      <c r="B152" s="50">
        <f>VLOOKUP($A152,'Data Vlaue (Cr)'!$C:$FB,8)</f>
        <v>326.60000000000002</v>
      </c>
      <c r="C152" s="50">
        <f>VLOOKUP($A152,'Data Vlaue (Cr)'!$C:$FB,11)*100</f>
        <v>0</v>
      </c>
      <c r="D152" s="50">
        <f>VLOOKUP($A152,'Data Vlaue (Cr)'!$C:$FB,143)</f>
        <v>2702.45</v>
      </c>
      <c r="E152" s="50">
        <f>VLOOKUP($A152,'Data Vlaue (Cr)'!$C:$FB,144)</f>
        <v>2745.51</v>
      </c>
      <c r="F152" s="50">
        <f>VLOOKUP($A152,'Data Vlaue (Cr)'!$C:$FB,146)*100</f>
        <v>-1.5699999999999998</v>
      </c>
      <c r="G152" s="49">
        <f>VLOOKUP($A152,'Data Vlaue (Cr)'!$C:$FB,43)</f>
        <v>1223</v>
      </c>
      <c r="H152" s="49">
        <f>VLOOKUP($A152,'Data Vlaue (Cr)'!$C:$FB,44)</f>
        <v>389</v>
      </c>
      <c r="I152" s="49">
        <f>VLOOKUP($A152,'Data Vlaue (Cr)'!$C:$FB,46)*100</f>
        <v>214.71</v>
      </c>
      <c r="J152" s="51">
        <f>VLOOKUP($A152,'Data Vlaue (Cr)'!$C:$FB,59)</f>
        <v>1000</v>
      </c>
      <c r="K152" s="51">
        <f>VLOOKUP($A152,'Data Vlaue (Cr)'!$C:$FB,60)</f>
        <v>1746</v>
      </c>
      <c r="L152" s="51">
        <f>VLOOKUP($A152,'Data Vlaue (Cr)'!$C:$FB,62)*100</f>
        <v>-42.69</v>
      </c>
      <c r="M152" s="51">
        <f>VLOOKUP($A152,'Data Vlaue (Cr)'!$C:$FB,63)</f>
        <v>443</v>
      </c>
      <c r="N152" s="51">
        <f>VLOOKUP($A152,'Data Vlaue (Cr)'!$C:$FB,64)</f>
        <v>557</v>
      </c>
      <c r="O152" s="51">
        <f>VLOOKUP($A152,'Data Vlaue (Cr)'!$C:$FB,66)*100</f>
        <v>-20.45</v>
      </c>
    </row>
    <row r="153" spans="1:15" x14ac:dyDescent="0.25">
      <c r="A153" s="101" t="str">
        <f>'Data Vlaue (Cr)'!C148</f>
        <v>NUVAMA</v>
      </c>
      <c r="B153" s="50">
        <f>VLOOKUP($A153,'Data Vlaue (Cr)'!$C:$FB,8)</f>
        <v>7336</v>
      </c>
      <c r="C153" s="50">
        <f>VLOOKUP($A153,'Data Vlaue (Cr)'!$C:$FB,11)*100</f>
        <v>-0.11</v>
      </c>
      <c r="D153" s="50">
        <f>VLOOKUP($A153,'Data Vlaue (Cr)'!$C:$FB,143)</f>
        <v>697.33</v>
      </c>
      <c r="E153" s="50">
        <f>VLOOKUP($A153,'Data Vlaue (Cr)'!$C:$FB,144)</f>
        <v>407.23</v>
      </c>
      <c r="F153" s="50">
        <f>VLOOKUP($A153,'Data Vlaue (Cr)'!$C:$FB,146)*100</f>
        <v>71.240000000000009</v>
      </c>
      <c r="G153" s="49">
        <f>VLOOKUP($A153,'Data Vlaue (Cr)'!$C:$FB,43)</f>
        <v>155</v>
      </c>
      <c r="H153" s="49">
        <f>VLOOKUP($A153,'Data Vlaue (Cr)'!$C:$FB,44)</f>
        <v>61</v>
      </c>
      <c r="I153" s="49">
        <f>VLOOKUP($A153,'Data Vlaue (Cr)'!$C:$FB,46)*100</f>
        <v>153.41999999999999</v>
      </c>
      <c r="J153" s="51">
        <f>VLOOKUP($A153,'Data Vlaue (Cr)'!$C:$FB,59)</f>
        <v>413</v>
      </c>
      <c r="K153" s="51">
        <f>VLOOKUP($A153,'Data Vlaue (Cr)'!$C:$FB,60)</f>
        <v>276</v>
      </c>
      <c r="L153" s="51">
        <f>VLOOKUP($A153,'Data Vlaue (Cr)'!$C:$FB,62)*100</f>
        <v>49.93</v>
      </c>
      <c r="M153" s="51">
        <f>VLOOKUP($A153,'Data Vlaue (Cr)'!$C:$FB,63)</f>
        <v>106</v>
      </c>
      <c r="N153" s="51">
        <f>VLOOKUP($A153,'Data Vlaue (Cr)'!$C:$FB,64)</f>
        <v>59</v>
      </c>
      <c r="O153" s="51">
        <f>VLOOKUP($A153,'Data Vlaue (Cr)'!$C:$FB,66)*100</f>
        <v>80.06</v>
      </c>
    </row>
    <row r="154" spans="1:15" x14ac:dyDescent="0.25">
      <c r="A154" s="101" t="str">
        <f>'Data Vlaue (Cr)'!C149</f>
        <v>NYKAA</v>
      </c>
      <c r="B154" s="50">
        <f>VLOOKUP($A154,'Data Vlaue (Cr)'!$C:$FB,8)</f>
        <v>268.74</v>
      </c>
      <c r="C154" s="50">
        <f>VLOOKUP($A154,'Data Vlaue (Cr)'!$C:$FB,11)*100</f>
        <v>-0.15</v>
      </c>
      <c r="D154" s="50">
        <f>VLOOKUP($A154,'Data Vlaue (Cr)'!$C:$FB,143)</f>
        <v>2162.59</v>
      </c>
      <c r="E154" s="50">
        <f>VLOOKUP($A154,'Data Vlaue (Cr)'!$C:$FB,144)</f>
        <v>1693.28</v>
      </c>
      <c r="F154" s="50">
        <f>VLOOKUP($A154,'Data Vlaue (Cr)'!$C:$FB,146)*100</f>
        <v>27.72</v>
      </c>
      <c r="G154" s="49">
        <f>VLOOKUP($A154,'Data Vlaue (Cr)'!$C:$FB,43)</f>
        <v>1217</v>
      </c>
      <c r="H154" s="49">
        <f>VLOOKUP($A154,'Data Vlaue (Cr)'!$C:$FB,44)</f>
        <v>326</v>
      </c>
      <c r="I154" s="49">
        <f>VLOOKUP($A154,'Data Vlaue (Cr)'!$C:$FB,46)*100</f>
        <v>273.13</v>
      </c>
      <c r="J154" s="51">
        <f>VLOOKUP($A154,'Data Vlaue (Cr)'!$C:$FB,59)</f>
        <v>667</v>
      </c>
      <c r="K154" s="51">
        <f>VLOOKUP($A154,'Data Vlaue (Cr)'!$C:$FB,60)</f>
        <v>930</v>
      </c>
      <c r="L154" s="51">
        <f>VLOOKUP($A154,'Data Vlaue (Cr)'!$C:$FB,62)*100</f>
        <v>-28.29</v>
      </c>
      <c r="M154" s="51">
        <f>VLOOKUP($A154,'Data Vlaue (Cr)'!$C:$FB,63)</f>
        <v>269</v>
      </c>
      <c r="N154" s="51">
        <f>VLOOKUP($A154,'Data Vlaue (Cr)'!$C:$FB,64)</f>
        <v>424</v>
      </c>
      <c r="O154" s="51">
        <f>VLOOKUP($A154,'Data Vlaue (Cr)'!$C:$FB,66)*100</f>
        <v>-36.590000000000003</v>
      </c>
    </row>
    <row r="155" spans="1:15" x14ac:dyDescent="0.25">
      <c r="A155" s="101" t="str">
        <f>'Data Vlaue (Cr)'!C150</f>
        <v>OBEROIRLTY</v>
      </c>
      <c r="B155" s="50">
        <f>VLOOKUP($A155,'Data Vlaue (Cr)'!$C:$FB,8)</f>
        <v>1708.5</v>
      </c>
      <c r="C155" s="50">
        <f>VLOOKUP($A155,'Data Vlaue (Cr)'!$C:$FB,11)*100</f>
        <v>-0.01</v>
      </c>
      <c r="D155" s="50">
        <f>VLOOKUP($A155,'Data Vlaue (Cr)'!$C:$FB,143)</f>
        <v>915.08</v>
      </c>
      <c r="E155" s="50">
        <f>VLOOKUP($A155,'Data Vlaue (Cr)'!$C:$FB,144)</f>
        <v>739.23</v>
      </c>
      <c r="F155" s="50">
        <f>VLOOKUP($A155,'Data Vlaue (Cr)'!$C:$FB,146)*100</f>
        <v>23.79</v>
      </c>
      <c r="G155" s="49">
        <f>VLOOKUP($A155,'Data Vlaue (Cr)'!$C:$FB,43)</f>
        <v>655</v>
      </c>
      <c r="H155" s="49">
        <f>VLOOKUP($A155,'Data Vlaue (Cr)'!$C:$FB,44)</f>
        <v>218</v>
      </c>
      <c r="I155" s="49">
        <f>VLOOKUP($A155,'Data Vlaue (Cr)'!$C:$FB,46)*100</f>
        <v>199.97</v>
      </c>
      <c r="J155" s="51">
        <f>VLOOKUP($A155,'Data Vlaue (Cr)'!$C:$FB,59)</f>
        <v>176</v>
      </c>
      <c r="K155" s="51">
        <f>VLOOKUP($A155,'Data Vlaue (Cr)'!$C:$FB,60)</f>
        <v>349</v>
      </c>
      <c r="L155" s="51">
        <f>VLOOKUP($A155,'Data Vlaue (Cr)'!$C:$FB,62)*100</f>
        <v>-49.44</v>
      </c>
      <c r="M155" s="51">
        <f>VLOOKUP($A155,'Data Vlaue (Cr)'!$C:$FB,63)</f>
        <v>76</v>
      </c>
      <c r="N155" s="51">
        <f>VLOOKUP($A155,'Data Vlaue (Cr)'!$C:$FB,64)</f>
        <v>159</v>
      </c>
      <c r="O155" s="51">
        <f>VLOOKUP($A155,'Data Vlaue (Cr)'!$C:$FB,66)*100</f>
        <v>-52.43</v>
      </c>
    </row>
    <row r="156" spans="1:15" x14ac:dyDescent="0.25">
      <c r="A156" s="101" t="str">
        <f>'Data Vlaue (Cr)'!C151</f>
        <v>OFSS</v>
      </c>
      <c r="B156" s="50">
        <f>VLOOKUP($A156,'Data Vlaue (Cr)'!$C:$FB,8)</f>
        <v>8372.5</v>
      </c>
      <c r="C156" s="50">
        <f>VLOOKUP($A156,'Data Vlaue (Cr)'!$C:$FB,11)*100</f>
        <v>0.47000000000000003</v>
      </c>
      <c r="D156" s="50">
        <f>VLOOKUP($A156,'Data Vlaue (Cr)'!$C:$FB,143)</f>
        <v>4592.8500000000004</v>
      </c>
      <c r="E156" s="50">
        <f>VLOOKUP($A156,'Data Vlaue (Cr)'!$C:$FB,144)</f>
        <v>2540.5</v>
      </c>
      <c r="F156" s="50">
        <f>VLOOKUP($A156,'Data Vlaue (Cr)'!$C:$FB,146)*100</f>
        <v>80.789999999999992</v>
      </c>
      <c r="G156" s="49">
        <f>VLOOKUP($A156,'Data Vlaue (Cr)'!$C:$FB,43)</f>
        <v>998</v>
      </c>
      <c r="H156" s="49">
        <f>VLOOKUP($A156,'Data Vlaue (Cr)'!$C:$FB,44)</f>
        <v>350</v>
      </c>
      <c r="I156" s="49">
        <f>VLOOKUP($A156,'Data Vlaue (Cr)'!$C:$FB,46)*100</f>
        <v>185.31</v>
      </c>
      <c r="J156" s="51">
        <f>VLOOKUP($A156,'Data Vlaue (Cr)'!$C:$FB,59)</f>
        <v>2750</v>
      </c>
      <c r="K156" s="51">
        <f>VLOOKUP($A156,'Data Vlaue (Cr)'!$C:$FB,60)</f>
        <v>1662</v>
      </c>
      <c r="L156" s="51">
        <f>VLOOKUP($A156,'Data Vlaue (Cr)'!$C:$FB,62)*100</f>
        <v>65.510000000000005</v>
      </c>
      <c r="M156" s="51">
        <f>VLOOKUP($A156,'Data Vlaue (Cr)'!$C:$FB,63)</f>
        <v>741</v>
      </c>
      <c r="N156" s="51">
        <f>VLOOKUP($A156,'Data Vlaue (Cr)'!$C:$FB,64)</f>
        <v>497</v>
      </c>
      <c r="O156" s="51">
        <f>VLOOKUP($A156,'Data Vlaue (Cr)'!$C:$FB,66)*100</f>
        <v>49.04</v>
      </c>
    </row>
    <row r="157" spans="1:15" x14ac:dyDescent="0.25">
      <c r="A157" s="101" t="str">
        <f>'Data Vlaue (Cr)'!C152</f>
        <v>OIL</v>
      </c>
      <c r="B157" s="50">
        <f>VLOOKUP($A157,'Data Vlaue (Cr)'!$C:$FB,8)</f>
        <v>436.2</v>
      </c>
      <c r="C157" s="50">
        <f>VLOOKUP($A157,'Data Vlaue (Cr)'!$C:$FB,11)*100</f>
        <v>-0.15</v>
      </c>
      <c r="D157" s="50">
        <f>VLOOKUP($A157,'Data Vlaue (Cr)'!$C:$FB,143)</f>
        <v>743.23</v>
      </c>
      <c r="E157" s="50">
        <f>VLOOKUP($A157,'Data Vlaue (Cr)'!$C:$FB,144)</f>
        <v>296.77999999999997</v>
      </c>
      <c r="F157" s="50">
        <f>VLOOKUP($A157,'Data Vlaue (Cr)'!$C:$FB,146)*100</f>
        <v>150.44</v>
      </c>
      <c r="G157" s="49">
        <f>VLOOKUP($A157,'Data Vlaue (Cr)'!$C:$FB,43)</f>
        <v>381</v>
      </c>
      <c r="H157" s="49">
        <f>VLOOKUP($A157,'Data Vlaue (Cr)'!$C:$FB,44)</f>
        <v>51</v>
      </c>
      <c r="I157" s="49">
        <f>VLOOKUP($A157,'Data Vlaue (Cr)'!$C:$FB,46)*100</f>
        <v>648.1</v>
      </c>
      <c r="J157" s="51">
        <f>VLOOKUP($A157,'Data Vlaue (Cr)'!$C:$FB,59)</f>
        <v>258</v>
      </c>
      <c r="K157" s="51">
        <f>VLOOKUP($A157,'Data Vlaue (Cr)'!$C:$FB,60)</f>
        <v>189</v>
      </c>
      <c r="L157" s="51">
        <f>VLOOKUP($A157,'Data Vlaue (Cr)'!$C:$FB,62)*100</f>
        <v>36.43</v>
      </c>
      <c r="M157" s="51">
        <f>VLOOKUP($A157,'Data Vlaue (Cr)'!$C:$FB,63)</f>
        <v>96</v>
      </c>
      <c r="N157" s="51">
        <f>VLOOKUP($A157,'Data Vlaue (Cr)'!$C:$FB,64)</f>
        <v>51</v>
      </c>
      <c r="O157" s="51">
        <f>VLOOKUP($A157,'Data Vlaue (Cr)'!$C:$FB,66)*100</f>
        <v>90.05</v>
      </c>
    </row>
    <row r="158" spans="1:15" x14ac:dyDescent="0.25">
      <c r="A158" s="101" t="str">
        <f>'Data Vlaue (Cr)'!C153</f>
        <v>ONGC</v>
      </c>
      <c r="B158" s="50">
        <f>VLOOKUP($A158,'Data Vlaue (Cr)'!$C:$FB,8)</f>
        <v>248.05</v>
      </c>
      <c r="C158" s="50">
        <f>VLOOKUP($A158,'Data Vlaue (Cr)'!$C:$FB,11)*100</f>
        <v>-0.38</v>
      </c>
      <c r="D158" s="50">
        <f>VLOOKUP($A158,'Data Vlaue (Cr)'!$C:$FB,143)</f>
        <v>2662.76</v>
      </c>
      <c r="E158" s="50">
        <f>VLOOKUP($A158,'Data Vlaue (Cr)'!$C:$FB,144)</f>
        <v>2053.21</v>
      </c>
      <c r="F158" s="50">
        <f>VLOOKUP($A158,'Data Vlaue (Cr)'!$C:$FB,146)*100</f>
        <v>29.69</v>
      </c>
      <c r="G158" s="49">
        <f>VLOOKUP($A158,'Data Vlaue (Cr)'!$C:$FB,43)</f>
        <v>1224</v>
      </c>
      <c r="H158" s="49">
        <f>VLOOKUP($A158,'Data Vlaue (Cr)'!$C:$FB,44)</f>
        <v>401</v>
      </c>
      <c r="I158" s="49">
        <f>VLOOKUP($A158,'Data Vlaue (Cr)'!$C:$FB,46)*100</f>
        <v>205.62999999999997</v>
      </c>
      <c r="J158" s="51">
        <f>VLOOKUP($A158,'Data Vlaue (Cr)'!$C:$FB,59)</f>
        <v>942</v>
      </c>
      <c r="K158" s="51">
        <f>VLOOKUP($A158,'Data Vlaue (Cr)'!$C:$FB,60)</f>
        <v>1107</v>
      </c>
      <c r="L158" s="51">
        <f>VLOOKUP($A158,'Data Vlaue (Cr)'!$C:$FB,62)*100</f>
        <v>-14.940000000000001</v>
      </c>
      <c r="M158" s="51">
        <f>VLOOKUP($A158,'Data Vlaue (Cr)'!$C:$FB,63)</f>
        <v>453</v>
      </c>
      <c r="N158" s="51">
        <f>VLOOKUP($A158,'Data Vlaue (Cr)'!$C:$FB,64)</f>
        <v>522</v>
      </c>
      <c r="O158" s="51">
        <f>VLOOKUP($A158,'Data Vlaue (Cr)'!$C:$FB,66)*100</f>
        <v>-13.239999999999998</v>
      </c>
    </row>
    <row r="159" spans="1:15" x14ac:dyDescent="0.25">
      <c r="A159" s="101" t="str">
        <f>'Data Vlaue (Cr)'!C154</f>
        <v>PAGEIND</v>
      </c>
      <c r="B159" s="50">
        <f>VLOOKUP($A159,'Data Vlaue (Cr)'!$C:$FB,8)</f>
        <v>38565</v>
      </c>
      <c r="C159" s="50">
        <f>VLOOKUP($A159,'Data Vlaue (Cr)'!$C:$FB,11)*100</f>
        <v>-0.63</v>
      </c>
      <c r="D159" s="50">
        <f>VLOOKUP($A159,'Data Vlaue (Cr)'!$C:$FB,143)</f>
        <v>2408.5700000000002</v>
      </c>
      <c r="E159" s="50">
        <f>VLOOKUP($A159,'Data Vlaue (Cr)'!$C:$FB,144)</f>
        <v>1745.51</v>
      </c>
      <c r="F159" s="50">
        <f>VLOOKUP($A159,'Data Vlaue (Cr)'!$C:$FB,146)*100</f>
        <v>37.99</v>
      </c>
      <c r="G159" s="49">
        <f>VLOOKUP($A159,'Data Vlaue (Cr)'!$C:$FB,43)</f>
        <v>721</v>
      </c>
      <c r="H159" s="49">
        <f>VLOOKUP($A159,'Data Vlaue (Cr)'!$C:$FB,44)</f>
        <v>195</v>
      </c>
      <c r="I159" s="49">
        <f>VLOOKUP($A159,'Data Vlaue (Cr)'!$C:$FB,46)*100</f>
        <v>270.24</v>
      </c>
      <c r="J159" s="51">
        <f>VLOOKUP($A159,'Data Vlaue (Cr)'!$C:$FB,59)</f>
        <v>1331</v>
      </c>
      <c r="K159" s="51">
        <f>VLOOKUP($A159,'Data Vlaue (Cr)'!$C:$FB,60)</f>
        <v>1173</v>
      </c>
      <c r="L159" s="51">
        <f>VLOOKUP($A159,'Data Vlaue (Cr)'!$C:$FB,62)*100</f>
        <v>13.4</v>
      </c>
      <c r="M159" s="51">
        <f>VLOOKUP($A159,'Data Vlaue (Cr)'!$C:$FB,63)</f>
        <v>271</v>
      </c>
      <c r="N159" s="51">
        <f>VLOOKUP($A159,'Data Vlaue (Cr)'!$C:$FB,64)</f>
        <v>307</v>
      </c>
      <c r="O159" s="51">
        <f>VLOOKUP($A159,'Data Vlaue (Cr)'!$C:$FB,66)*100</f>
        <v>-11.72</v>
      </c>
    </row>
    <row r="160" spans="1:15" x14ac:dyDescent="0.25">
      <c r="A160" s="101" t="str">
        <f>'Data Vlaue (Cr)'!C155</f>
        <v>PATANJALI</v>
      </c>
      <c r="B160" s="50">
        <f>VLOOKUP($A160,'Data Vlaue (Cr)'!$C:$FB,8)</f>
        <v>584.25</v>
      </c>
      <c r="C160" s="50">
        <f>VLOOKUP($A160,'Data Vlaue (Cr)'!$C:$FB,11)*100</f>
        <v>0.22999999999999998</v>
      </c>
      <c r="D160" s="50">
        <f>VLOOKUP($A160,'Data Vlaue (Cr)'!$C:$FB,143)</f>
        <v>1089.72</v>
      </c>
      <c r="E160" s="50">
        <f>VLOOKUP($A160,'Data Vlaue (Cr)'!$C:$FB,144)</f>
        <v>694.25</v>
      </c>
      <c r="F160" s="50">
        <f>VLOOKUP($A160,'Data Vlaue (Cr)'!$C:$FB,146)*100</f>
        <v>56.96</v>
      </c>
      <c r="G160" s="49">
        <f>VLOOKUP($A160,'Data Vlaue (Cr)'!$C:$FB,43)</f>
        <v>662</v>
      </c>
      <c r="H160" s="49">
        <f>VLOOKUP($A160,'Data Vlaue (Cr)'!$C:$FB,44)</f>
        <v>210</v>
      </c>
      <c r="I160" s="49">
        <f>VLOOKUP($A160,'Data Vlaue (Cr)'!$C:$FB,46)*100</f>
        <v>214.36</v>
      </c>
      <c r="J160" s="51">
        <f>VLOOKUP($A160,'Data Vlaue (Cr)'!$C:$FB,59)</f>
        <v>316</v>
      </c>
      <c r="K160" s="51">
        <f>VLOOKUP($A160,'Data Vlaue (Cr)'!$C:$FB,60)</f>
        <v>364</v>
      </c>
      <c r="L160" s="51">
        <f>VLOOKUP($A160,'Data Vlaue (Cr)'!$C:$FB,62)*100</f>
        <v>-13</v>
      </c>
      <c r="M160" s="51">
        <f>VLOOKUP($A160,'Data Vlaue (Cr)'!$C:$FB,63)</f>
        <v>97</v>
      </c>
      <c r="N160" s="51">
        <f>VLOOKUP($A160,'Data Vlaue (Cr)'!$C:$FB,64)</f>
        <v>105</v>
      </c>
      <c r="O160" s="51">
        <f>VLOOKUP($A160,'Data Vlaue (Cr)'!$C:$FB,66)*100</f>
        <v>-6.8199999999999994</v>
      </c>
    </row>
    <row r="161" spans="1:15" x14ac:dyDescent="0.25">
      <c r="A161" s="101" t="str">
        <f>'Data Vlaue (Cr)'!C156</f>
        <v>PAYTM</v>
      </c>
      <c r="B161" s="50">
        <f>VLOOKUP($A161,'Data Vlaue (Cr)'!$C:$FB,8)</f>
        <v>1283.9000000000001</v>
      </c>
      <c r="C161" s="50">
        <f>VLOOKUP($A161,'Data Vlaue (Cr)'!$C:$FB,11)*100</f>
        <v>0.1</v>
      </c>
      <c r="D161" s="50">
        <f>VLOOKUP($A161,'Data Vlaue (Cr)'!$C:$FB,143)</f>
        <v>4852.17</v>
      </c>
      <c r="E161" s="50">
        <f>VLOOKUP($A161,'Data Vlaue (Cr)'!$C:$FB,144)</f>
        <v>5092.6000000000004</v>
      </c>
      <c r="F161" s="50">
        <f>VLOOKUP($A161,'Data Vlaue (Cr)'!$C:$FB,146)*100</f>
        <v>-4.72</v>
      </c>
      <c r="G161" s="49">
        <f>VLOOKUP($A161,'Data Vlaue (Cr)'!$C:$FB,43)</f>
        <v>1366</v>
      </c>
      <c r="H161" s="49">
        <f>VLOOKUP($A161,'Data Vlaue (Cr)'!$C:$FB,44)</f>
        <v>741</v>
      </c>
      <c r="I161" s="49">
        <f>VLOOKUP($A161,'Data Vlaue (Cr)'!$C:$FB,46)*100</f>
        <v>84.31</v>
      </c>
      <c r="J161" s="51">
        <f>VLOOKUP($A161,'Data Vlaue (Cr)'!$C:$FB,59)</f>
        <v>2501</v>
      </c>
      <c r="K161" s="51">
        <f>VLOOKUP($A161,'Data Vlaue (Cr)'!$C:$FB,60)</f>
        <v>2684</v>
      </c>
      <c r="L161" s="51">
        <f>VLOOKUP($A161,'Data Vlaue (Cr)'!$C:$FB,62)*100</f>
        <v>-6.8199999999999994</v>
      </c>
      <c r="M161" s="51">
        <f>VLOOKUP($A161,'Data Vlaue (Cr)'!$C:$FB,63)</f>
        <v>868</v>
      </c>
      <c r="N161" s="51">
        <f>VLOOKUP($A161,'Data Vlaue (Cr)'!$C:$FB,64)</f>
        <v>1549</v>
      </c>
      <c r="O161" s="51">
        <f>VLOOKUP($A161,'Data Vlaue (Cr)'!$C:$FB,66)*100</f>
        <v>-43.94</v>
      </c>
    </row>
    <row r="162" spans="1:15" x14ac:dyDescent="0.25">
      <c r="A162" s="101" t="str">
        <f>'Data Vlaue (Cr)'!C157</f>
        <v>PERSISTENT</v>
      </c>
      <c r="B162" s="50">
        <f>VLOOKUP($A162,'Data Vlaue (Cr)'!$C:$FB,8)</f>
        <v>6350.5</v>
      </c>
      <c r="C162" s="50">
        <f>VLOOKUP($A162,'Data Vlaue (Cr)'!$C:$FB,11)*100</f>
        <v>0.54999999999999993</v>
      </c>
      <c r="D162" s="50">
        <f>VLOOKUP($A162,'Data Vlaue (Cr)'!$C:$FB,143)</f>
        <v>7256.96</v>
      </c>
      <c r="E162" s="50">
        <f>VLOOKUP($A162,'Data Vlaue (Cr)'!$C:$FB,144)</f>
        <v>14878.28</v>
      </c>
      <c r="F162" s="50">
        <f>VLOOKUP($A162,'Data Vlaue (Cr)'!$C:$FB,146)*100</f>
        <v>-51.22</v>
      </c>
      <c r="G162" s="49">
        <f>VLOOKUP($A162,'Data Vlaue (Cr)'!$C:$FB,43)</f>
        <v>936</v>
      </c>
      <c r="H162" s="49">
        <f>VLOOKUP($A162,'Data Vlaue (Cr)'!$C:$FB,44)</f>
        <v>797</v>
      </c>
      <c r="I162" s="49">
        <f>VLOOKUP($A162,'Data Vlaue (Cr)'!$C:$FB,46)*100</f>
        <v>17.45</v>
      </c>
      <c r="J162" s="51">
        <f>VLOOKUP($A162,'Data Vlaue (Cr)'!$C:$FB,59)</f>
        <v>4080</v>
      </c>
      <c r="K162" s="51">
        <f>VLOOKUP($A162,'Data Vlaue (Cr)'!$C:$FB,60)</f>
        <v>10234</v>
      </c>
      <c r="L162" s="51">
        <f>VLOOKUP($A162,'Data Vlaue (Cr)'!$C:$FB,62)*100</f>
        <v>-60.129999999999995</v>
      </c>
      <c r="M162" s="51">
        <f>VLOOKUP($A162,'Data Vlaue (Cr)'!$C:$FB,63)</f>
        <v>2155</v>
      </c>
      <c r="N162" s="51">
        <f>VLOOKUP($A162,'Data Vlaue (Cr)'!$C:$FB,64)</f>
        <v>3830</v>
      </c>
      <c r="O162" s="51">
        <f>VLOOKUP($A162,'Data Vlaue (Cr)'!$C:$FB,66)*100</f>
        <v>-43.72</v>
      </c>
    </row>
    <row r="163" spans="1:15" x14ac:dyDescent="0.25">
      <c r="A163" s="101" t="str">
        <f>'Data Vlaue (Cr)'!C158</f>
        <v>PETRONET</v>
      </c>
      <c r="B163" s="50">
        <f>VLOOKUP($A163,'Data Vlaue (Cr)'!$C:$FB,8)</f>
        <v>274.35000000000002</v>
      </c>
      <c r="C163" s="50">
        <f>VLOOKUP($A163,'Data Vlaue (Cr)'!$C:$FB,11)*100</f>
        <v>0.04</v>
      </c>
      <c r="D163" s="50">
        <f>VLOOKUP($A163,'Data Vlaue (Cr)'!$C:$FB,143)</f>
        <v>1141.05</v>
      </c>
      <c r="E163" s="50">
        <f>VLOOKUP($A163,'Data Vlaue (Cr)'!$C:$FB,144)</f>
        <v>280.35000000000002</v>
      </c>
      <c r="F163" s="50">
        <f>VLOOKUP($A163,'Data Vlaue (Cr)'!$C:$FB,146)*100</f>
        <v>307.02</v>
      </c>
      <c r="G163" s="49">
        <f>VLOOKUP($A163,'Data Vlaue (Cr)'!$C:$FB,43)</f>
        <v>729</v>
      </c>
      <c r="H163" s="49">
        <f>VLOOKUP($A163,'Data Vlaue (Cr)'!$C:$FB,44)</f>
        <v>89</v>
      </c>
      <c r="I163" s="49">
        <f>VLOOKUP($A163,'Data Vlaue (Cr)'!$C:$FB,46)*100</f>
        <v>722.61</v>
      </c>
      <c r="J163" s="51">
        <f>VLOOKUP($A163,'Data Vlaue (Cr)'!$C:$FB,59)</f>
        <v>192</v>
      </c>
      <c r="K163" s="51">
        <f>VLOOKUP($A163,'Data Vlaue (Cr)'!$C:$FB,60)</f>
        <v>99</v>
      </c>
      <c r="L163" s="51">
        <f>VLOOKUP($A163,'Data Vlaue (Cr)'!$C:$FB,62)*100</f>
        <v>94.66</v>
      </c>
      <c r="M163" s="51">
        <f>VLOOKUP($A163,'Data Vlaue (Cr)'!$C:$FB,63)</f>
        <v>199</v>
      </c>
      <c r="N163" s="51">
        <f>VLOOKUP($A163,'Data Vlaue (Cr)'!$C:$FB,64)</f>
        <v>90</v>
      </c>
      <c r="O163" s="51">
        <f>VLOOKUP($A163,'Data Vlaue (Cr)'!$C:$FB,66)*100</f>
        <v>119.6</v>
      </c>
    </row>
    <row r="164" spans="1:15" x14ac:dyDescent="0.25">
      <c r="A164" s="101" t="str">
        <f>'Data Vlaue (Cr)'!C159</f>
        <v>PFC</v>
      </c>
      <c r="B164" s="50">
        <f>VLOOKUP($A164,'Data Vlaue (Cr)'!$C:$FB,8)</f>
        <v>372.75</v>
      </c>
      <c r="C164" s="50">
        <f>VLOOKUP($A164,'Data Vlaue (Cr)'!$C:$FB,11)*100</f>
        <v>-0.24</v>
      </c>
      <c r="D164" s="50">
        <f>VLOOKUP($A164,'Data Vlaue (Cr)'!$C:$FB,143)</f>
        <v>2720.69</v>
      </c>
      <c r="E164" s="50">
        <f>VLOOKUP($A164,'Data Vlaue (Cr)'!$C:$FB,144)</f>
        <v>2171.2600000000002</v>
      </c>
      <c r="F164" s="50">
        <f>VLOOKUP($A164,'Data Vlaue (Cr)'!$C:$FB,146)*100</f>
        <v>25.3</v>
      </c>
      <c r="G164" s="49">
        <f>VLOOKUP($A164,'Data Vlaue (Cr)'!$C:$FB,43)</f>
        <v>901</v>
      </c>
      <c r="H164" s="49">
        <f>VLOOKUP($A164,'Data Vlaue (Cr)'!$C:$FB,44)</f>
        <v>426</v>
      </c>
      <c r="I164" s="49">
        <f>VLOOKUP($A164,'Data Vlaue (Cr)'!$C:$FB,46)*100</f>
        <v>111.66</v>
      </c>
      <c r="J164" s="51">
        <f>VLOOKUP($A164,'Data Vlaue (Cr)'!$C:$FB,59)</f>
        <v>1146</v>
      </c>
      <c r="K164" s="51">
        <f>VLOOKUP($A164,'Data Vlaue (Cr)'!$C:$FB,60)</f>
        <v>1147</v>
      </c>
      <c r="L164" s="51">
        <f>VLOOKUP($A164,'Data Vlaue (Cr)'!$C:$FB,62)*100</f>
        <v>-0.15</v>
      </c>
      <c r="M164" s="51">
        <f>VLOOKUP($A164,'Data Vlaue (Cr)'!$C:$FB,63)</f>
        <v>599</v>
      </c>
      <c r="N164" s="51">
        <f>VLOOKUP($A164,'Data Vlaue (Cr)'!$C:$FB,64)</f>
        <v>532</v>
      </c>
      <c r="O164" s="51">
        <f>VLOOKUP($A164,'Data Vlaue (Cr)'!$C:$FB,66)*100</f>
        <v>12.629999999999999</v>
      </c>
    </row>
    <row r="165" spans="1:15" x14ac:dyDescent="0.25">
      <c r="A165" s="101" t="str">
        <f>'Data Vlaue (Cr)'!C160</f>
        <v>PGEL</v>
      </c>
      <c r="B165" s="50">
        <f>VLOOKUP($A165,'Data Vlaue (Cr)'!$C:$FB,8)</f>
        <v>590.54999999999995</v>
      </c>
      <c r="C165" s="50">
        <f>VLOOKUP($A165,'Data Vlaue (Cr)'!$C:$FB,11)*100</f>
        <v>1.8499999999999999</v>
      </c>
      <c r="D165" s="50">
        <f>VLOOKUP($A165,'Data Vlaue (Cr)'!$C:$FB,143)</f>
        <v>2716</v>
      </c>
      <c r="E165" s="50">
        <f>VLOOKUP($A165,'Data Vlaue (Cr)'!$C:$FB,144)</f>
        <v>1529.98</v>
      </c>
      <c r="F165" s="50">
        <f>VLOOKUP($A165,'Data Vlaue (Cr)'!$C:$FB,146)*100</f>
        <v>77.52</v>
      </c>
      <c r="G165" s="49">
        <f>VLOOKUP($A165,'Data Vlaue (Cr)'!$C:$FB,43)</f>
        <v>549</v>
      </c>
      <c r="H165" s="49">
        <f>VLOOKUP($A165,'Data Vlaue (Cr)'!$C:$FB,44)</f>
        <v>304</v>
      </c>
      <c r="I165" s="49">
        <f>VLOOKUP($A165,'Data Vlaue (Cr)'!$C:$FB,46)*100</f>
        <v>80.900000000000006</v>
      </c>
      <c r="J165" s="51">
        <f>VLOOKUP($A165,'Data Vlaue (Cr)'!$C:$FB,59)</f>
        <v>1617</v>
      </c>
      <c r="K165" s="51">
        <f>VLOOKUP($A165,'Data Vlaue (Cr)'!$C:$FB,60)</f>
        <v>774</v>
      </c>
      <c r="L165" s="51">
        <f>VLOOKUP($A165,'Data Vlaue (Cr)'!$C:$FB,62)*100</f>
        <v>108.96</v>
      </c>
      <c r="M165" s="51">
        <f>VLOOKUP($A165,'Data Vlaue (Cr)'!$C:$FB,63)</f>
        <v>518</v>
      </c>
      <c r="N165" s="51">
        <f>VLOOKUP($A165,'Data Vlaue (Cr)'!$C:$FB,64)</f>
        <v>477</v>
      </c>
      <c r="O165" s="51">
        <f>VLOOKUP($A165,'Data Vlaue (Cr)'!$C:$FB,66)*100</f>
        <v>8.59</v>
      </c>
    </row>
    <row r="166" spans="1:15" x14ac:dyDescent="0.25">
      <c r="A166" s="101" t="str">
        <f>'Data Vlaue (Cr)'!C161</f>
        <v>PHOENIXLTD</v>
      </c>
      <c r="B166" s="50">
        <f>VLOOKUP($A166,'Data Vlaue (Cr)'!$C:$FB,8)</f>
        <v>1715.7</v>
      </c>
      <c r="C166" s="50">
        <f>VLOOKUP($A166,'Data Vlaue (Cr)'!$C:$FB,11)*100</f>
        <v>0.03</v>
      </c>
      <c r="D166" s="50">
        <f>VLOOKUP($A166,'Data Vlaue (Cr)'!$C:$FB,143)</f>
        <v>464.98</v>
      </c>
      <c r="E166" s="50">
        <f>VLOOKUP($A166,'Data Vlaue (Cr)'!$C:$FB,144)</f>
        <v>383.83</v>
      </c>
      <c r="F166" s="50">
        <f>VLOOKUP($A166,'Data Vlaue (Cr)'!$C:$FB,146)*100</f>
        <v>21.14</v>
      </c>
      <c r="G166" s="49">
        <f>VLOOKUP($A166,'Data Vlaue (Cr)'!$C:$FB,43)</f>
        <v>283</v>
      </c>
      <c r="H166" s="49">
        <f>VLOOKUP($A166,'Data Vlaue (Cr)'!$C:$FB,44)</f>
        <v>74</v>
      </c>
      <c r="I166" s="49">
        <f>VLOOKUP($A166,'Data Vlaue (Cr)'!$C:$FB,46)*100</f>
        <v>285.52</v>
      </c>
      <c r="J166" s="51">
        <f>VLOOKUP($A166,'Data Vlaue (Cr)'!$C:$FB,59)</f>
        <v>135</v>
      </c>
      <c r="K166" s="51">
        <f>VLOOKUP($A166,'Data Vlaue (Cr)'!$C:$FB,60)</f>
        <v>248</v>
      </c>
      <c r="L166" s="51">
        <f>VLOOKUP($A166,'Data Vlaue (Cr)'!$C:$FB,62)*100</f>
        <v>-45.839999999999996</v>
      </c>
      <c r="M166" s="51">
        <f>VLOOKUP($A166,'Data Vlaue (Cr)'!$C:$FB,63)</f>
        <v>41</v>
      </c>
      <c r="N166" s="51">
        <f>VLOOKUP($A166,'Data Vlaue (Cr)'!$C:$FB,64)</f>
        <v>50</v>
      </c>
      <c r="O166" s="51">
        <f>VLOOKUP($A166,'Data Vlaue (Cr)'!$C:$FB,66)*100</f>
        <v>-18.62</v>
      </c>
    </row>
    <row r="167" spans="1:15" x14ac:dyDescent="0.25">
      <c r="A167" s="101" t="str">
        <f>'Data Vlaue (Cr)'!C162</f>
        <v>PIDILITIND</v>
      </c>
      <c r="B167" s="50">
        <f>VLOOKUP($A167,'Data Vlaue (Cr)'!$C:$FB,8)</f>
        <v>1489</v>
      </c>
      <c r="C167" s="50">
        <f>VLOOKUP($A167,'Data Vlaue (Cr)'!$C:$FB,11)*100</f>
        <v>0.83</v>
      </c>
      <c r="D167" s="50">
        <f>VLOOKUP($A167,'Data Vlaue (Cr)'!$C:$FB,143)</f>
        <v>1206.6199999999999</v>
      </c>
      <c r="E167" s="50">
        <f>VLOOKUP($A167,'Data Vlaue (Cr)'!$C:$FB,144)</f>
        <v>779.96</v>
      </c>
      <c r="F167" s="50">
        <f>VLOOKUP($A167,'Data Vlaue (Cr)'!$C:$FB,146)*100</f>
        <v>54.7</v>
      </c>
      <c r="G167" s="49">
        <f>VLOOKUP($A167,'Data Vlaue (Cr)'!$C:$FB,43)</f>
        <v>680</v>
      </c>
      <c r="H167" s="49">
        <f>VLOOKUP($A167,'Data Vlaue (Cr)'!$C:$FB,44)</f>
        <v>126</v>
      </c>
      <c r="I167" s="49">
        <f>VLOOKUP($A167,'Data Vlaue (Cr)'!$C:$FB,46)*100</f>
        <v>440.57000000000005</v>
      </c>
      <c r="J167" s="51">
        <f>VLOOKUP($A167,'Data Vlaue (Cr)'!$C:$FB,59)</f>
        <v>388</v>
      </c>
      <c r="K167" s="51">
        <f>VLOOKUP($A167,'Data Vlaue (Cr)'!$C:$FB,60)</f>
        <v>497</v>
      </c>
      <c r="L167" s="51">
        <f>VLOOKUP($A167,'Data Vlaue (Cr)'!$C:$FB,62)*100</f>
        <v>-22.009999999999998</v>
      </c>
      <c r="M167" s="51">
        <f>VLOOKUP($A167,'Data Vlaue (Cr)'!$C:$FB,63)</f>
        <v>129</v>
      </c>
      <c r="N167" s="51">
        <f>VLOOKUP($A167,'Data Vlaue (Cr)'!$C:$FB,64)</f>
        <v>150</v>
      </c>
      <c r="O167" s="51">
        <f>VLOOKUP($A167,'Data Vlaue (Cr)'!$C:$FB,66)*100</f>
        <v>-13.900000000000002</v>
      </c>
    </row>
    <row r="168" spans="1:15" x14ac:dyDescent="0.25">
      <c r="A168" s="101" t="str">
        <f>'Data Vlaue (Cr)'!C163</f>
        <v>PIIND</v>
      </c>
      <c r="B168" s="50">
        <f>VLOOKUP($A168,'Data Vlaue (Cr)'!$C:$FB,8)</f>
        <v>3441.1</v>
      </c>
      <c r="C168" s="50">
        <f>VLOOKUP($A168,'Data Vlaue (Cr)'!$C:$FB,11)*100</f>
        <v>0.03</v>
      </c>
      <c r="D168" s="50">
        <f>VLOOKUP($A168,'Data Vlaue (Cr)'!$C:$FB,143)</f>
        <v>1661.58</v>
      </c>
      <c r="E168" s="50">
        <f>VLOOKUP($A168,'Data Vlaue (Cr)'!$C:$FB,144)</f>
        <v>1577.31</v>
      </c>
      <c r="F168" s="50">
        <f>VLOOKUP($A168,'Data Vlaue (Cr)'!$C:$FB,146)*100</f>
        <v>5.34</v>
      </c>
      <c r="G168" s="49">
        <f>VLOOKUP($A168,'Data Vlaue (Cr)'!$C:$FB,43)</f>
        <v>585</v>
      </c>
      <c r="H168" s="49">
        <f>VLOOKUP($A168,'Data Vlaue (Cr)'!$C:$FB,44)</f>
        <v>119</v>
      </c>
      <c r="I168" s="49">
        <f>VLOOKUP($A168,'Data Vlaue (Cr)'!$C:$FB,46)*100</f>
        <v>392.12</v>
      </c>
      <c r="J168" s="51">
        <f>VLOOKUP($A168,'Data Vlaue (Cr)'!$C:$FB,59)</f>
        <v>772</v>
      </c>
      <c r="K168" s="51">
        <f>VLOOKUP($A168,'Data Vlaue (Cr)'!$C:$FB,60)</f>
        <v>979</v>
      </c>
      <c r="L168" s="51">
        <f>VLOOKUP($A168,'Data Vlaue (Cr)'!$C:$FB,62)*100</f>
        <v>-21.099999999999998</v>
      </c>
      <c r="M168" s="51">
        <f>VLOOKUP($A168,'Data Vlaue (Cr)'!$C:$FB,63)</f>
        <v>267</v>
      </c>
      <c r="N168" s="51">
        <f>VLOOKUP($A168,'Data Vlaue (Cr)'!$C:$FB,64)</f>
        <v>422</v>
      </c>
      <c r="O168" s="51">
        <f>VLOOKUP($A168,'Data Vlaue (Cr)'!$C:$FB,66)*100</f>
        <v>-36.880000000000003</v>
      </c>
    </row>
    <row r="169" spans="1:15" x14ac:dyDescent="0.25">
      <c r="A169" s="101" t="str">
        <f>'Data Vlaue (Cr)'!C164</f>
        <v>PNB</v>
      </c>
      <c r="B169" s="50">
        <f>VLOOKUP($A169,'Data Vlaue (Cr)'!$C:$FB,8)</f>
        <v>123.86</v>
      </c>
      <c r="C169" s="50">
        <f>VLOOKUP($A169,'Data Vlaue (Cr)'!$C:$FB,11)*100</f>
        <v>-0.96</v>
      </c>
      <c r="D169" s="50">
        <f>VLOOKUP($A169,'Data Vlaue (Cr)'!$C:$FB,143)</f>
        <v>6128.36</v>
      </c>
      <c r="E169" s="50">
        <f>VLOOKUP($A169,'Data Vlaue (Cr)'!$C:$FB,144)</f>
        <v>6649.93</v>
      </c>
      <c r="F169" s="50">
        <f>VLOOKUP($A169,'Data Vlaue (Cr)'!$C:$FB,146)*100</f>
        <v>-7.84</v>
      </c>
      <c r="G169" s="49">
        <f>VLOOKUP($A169,'Data Vlaue (Cr)'!$C:$FB,43)</f>
        <v>1551</v>
      </c>
      <c r="H169" s="49">
        <f>VLOOKUP($A169,'Data Vlaue (Cr)'!$C:$FB,44)</f>
        <v>1071</v>
      </c>
      <c r="I169" s="49">
        <f>VLOOKUP($A169,'Data Vlaue (Cr)'!$C:$FB,46)*100</f>
        <v>44.85</v>
      </c>
      <c r="J169" s="51">
        <f>VLOOKUP($A169,'Data Vlaue (Cr)'!$C:$FB,59)</f>
        <v>2673</v>
      </c>
      <c r="K169" s="51">
        <f>VLOOKUP($A169,'Data Vlaue (Cr)'!$C:$FB,60)</f>
        <v>3843</v>
      </c>
      <c r="L169" s="51">
        <f>VLOOKUP($A169,'Data Vlaue (Cr)'!$C:$FB,62)*100</f>
        <v>-30.45</v>
      </c>
      <c r="M169" s="51">
        <f>VLOOKUP($A169,'Data Vlaue (Cr)'!$C:$FB,63)</f>
        <v>1792</v>
      </c>
      <c r="N169" s="51">
        <f>VLOOKUP($A169,'Data Vlaue (Cr)'!$C:$FB,64)</f>
        <v>1625</v>
      </c>
      <c r="O169" s="51">
        <f>VLOOKUP($A169,'Data Vlaue (Cr)'!$C:$FB,66)*100</f>
        <v>10.280000000000001</v>
      </c>
    </row>
    <row r="170" spans="1:15" x14ac:dyDescent="0.25">
      <c r="A170" s="101" t="str">
        <f>'Data Vlaue (Cr)'!C165</f>
        <v>PNBHOUSING</v>
      </c>
      <c r="B170" s="50">
        <f>VLOOKUP($A170,'Data Vlaue (Cr)'!$C:$FB,8)</f>
        <v>905.25</v>
      </c>
      <c r="C170" s="50">
        <f>VLOOKUP($A170,'Data Vlaue (Cr)'!$C:$FB,11)*100</f>
        <v>-0.4</v>
      </c>
      <c r="D170" s="50">
        <f>VLOOKUP($A170,'Data Vlaue (Cr)'!$C:$FB,143)</f>
        <v>934.63</v>
      </c>
      <c r="E170" s="50">
        <f>VLOOKUP($A170,'Data Vlaue (Cr)'!$C:$FB,144)</f>
        <v>1357.68</v>
      </c>
      <c r="F170" s="50">
        <f>VLOOKUP($A170,'Data Vlaue (Cr)'!$C:$FB,146)*100</f>
        <v>-31.16</v>
      </c>
      <c r="G170" s="49">
        <f>VLOOKUP($A170,'Data Vlaue (Cr)'!$C:$FB,43)</f>
        <v>490</v>
      </c>
      <c r="H170" s="49">
        <f>VLOOKUP($A170,'Data Vlaue (Cr)'!$C:$FB,44)</f>
        <v>252</v>
      </c>
      <c r="I170" s="49">
        <f>VLOOKUP($A170,'Data Vlaue (Cr)'!$C:$FB,46)*100</f>
        <v>94.31</v>
      </c>
      <c r="J170" s="51">
        <f>VLOOKUP($A170,'Data Vlaue (Cr)'!$C:$FB,59)</f>
        <v>311</v>
      </c>
      <c r="K170" s="51">
        <f>VLOOKUP($A170,'Data Vlaue (Cr)'!$C:$FB,60)</f>
        <v>695</v>
      </c>
      <c r="L170" s="51">
        <f>VLOOKUP($A170,'Data Vlaue (Cr)'!$C:$FB,62)*100</f>
        <v>-55.33</v>
      </c>
      <c r="M170" s="51">
        <f>VLOOKUP($A170,'Data Vlaue (Cr)'!$C:$FB,63)</f>
        <v>117</v>
      </c>
      <c r="N170" s="51">
        <f>VLOOKUP($A170,'Data Vlaue (Cr)'!$C:$FB,64)</f>
        <v>380</v>
      </c>
      <c r="O170" s="51">
        <f>VLOOKUP($A170,'Data Vlaue (Cr)'!$C:$FB,66)*100</f>
        <v>-69.3</v>
      </c>
    </row>
    <row r="171" spans="1:15" x14ac:dyDescent="0.25">
      <c r="A171" s="101" t="str">
        <f>'Data Vlaue (Cr)'!C166</f>
        <v>POLICYBZR</v>
      </c>
      <c r="B171" s="50">
        <f>VLOOKUP($A171,'Data Vlaue (Cr)'!$C:$FB,8)</f>
        <v>1843.9</v>
      </c>
      <c r="C171" s="50">
        <f>VLOOKUP($A171,'Data Vlaue (Cr)'!$C:$FB,11)*100</f>
        <v>-0.37</v>
      </c>
      <c r="D171" s="50">
        <f>VLOOKUP($A171,'Data Vlaue (Cr)'!$C:$FB,143)</f>
        <v>1822.26</v>
      </c>
      <c r="E171" s="50">
        <f>VLOOKUP($A171,'Data Vlaue (Cr)'!$C:$FB,144)</f>
        <v>3358.11</v>
      </c>
      <c r="F171" s="50">
        <f>VLOOKUP($A171,'Data Vlaue (Cr)'!$C:$FB,146)*100</f>
        <v>-45.739999999999995</v>
      </c>
      <c r="G171" s="49">
        <f>VLOOKUP($A171,'Data Vlaue (Cr)'!$C:$FB,43)</f>
        <v>833</v>
      </c>
      <c r="H171" s="49">
        <f>VLOOKUP($A171,'Data Vlaue (Cr)'!$C:$FB,44)</f>
        <v>432</v>
      </c>
      <c r="I171" s="49">
        <f>VLOOKUP($A171,'Data Vlaue (Cr)'!$C:$FB,46)*100</f>
        <v>92.93</v>
      </c>
      <c r="J171" s="51">
        <f>VLOOKUP($A171,'Data Vlaue (Cr)'!$C:$FB,59)</f>
        <v>614</v>
      </c>
      <c r="K171" s="51">
        <f>VLOOKUP($A171,'Data Vlaue (Cr)'!$C:$FB,60)</f>
        <v>2013</v>
      </c>
      <c r="L171" s="51">
        <f>VLOOKUP($A171,'Data Vlaue (Cr)'!$C:$FB,62)*100</f>
        <v>-69.489999999999995</v>
      </c>
      <c r="M171" s="51">
        <f>VLOOKUP($A171,'Data Vlaue (Cr)'!$C:$FB,63)</f>
        <v>357</v>
      </c>
      <c r="N171" s="51">
        <f>VLOOKUP($A171,'Data Vlaue (Cr)'!$C:$FB,64)</f>
        <v>869</v>
      </c>
      <c r="O171" s="51">
        <f>VLOOKUP($A171,'Data Vlaue (Cr)'!$C:$FB,66)*100</f>
        <v>-58.9</v>
      </c>
    </row>
    <row r="172" spans="1:15" x14ac:dyDescent="0.25">
      <c r="A172" s="101" t="str">
        <f>'Data Vlaue (Cr)'!C167</f>
        <v>POLYCAB</v>
      </c>
      <c r="B172" s="50">
        <f>VLOOKUP($A172,'Data Vlaue (Cr)'!$C:$FB,8)</f>
        <v>7648.5</v>
      </c>
      <c r="C172" s="50">
        <f>VLOOKUP($A172,'Data Vlaue (Cr)'!$C:$FB,11)*100</f>
        <v>-0.51</v>
      </c>
      <c r="D172" s="50">
        <f>VLOOKUP($A172,'Data Vlaue (Cr)'!$C:$FB,143)</f>
        <v>1891.55</v>
      </c>
      <c r="E172" s="50">
        <f>VLOOKUP($A172,'Data Vlaue (Cr)'!$C:$FB,144)</f>
        <v>1035.51</v>
      </c>
      <c r="F172" s="50">
        <f>VLOOKUP($A172,'Data Vlaue (Cr)'!$C:$FB,146)*100</f>
        <v>82.67</v>
      </c>
      <c r="G172" s="49">
        <f>VLOOKUP($A172,'Data Vlaue (Cr)'!$C:$FB,43)</f>
        <v>820</v>
      </c>
      <c r="H172" s="49">
        <f>VLOOKUP($A172,'Data Vlaue (Cr)'!$C:$FB,44)</f>
        <v>149</v>
      </c>
      <c r="I172" s="49">
        <f>VLOOKUP($A172,'Data Vlaue (Cr)'!$C:$FB,46)*100</f>
        <v>450.54999999999995</v>
      </c>
      <c r="J172" s="51">
        <f>VLOOKUP($A172,'Data Vlaue (Cr)'!$C:$FB,59)</f>
        <v>736</v>
      </c>
      <c r="K172" s="51">
        <f>VLOOKUP($A172,'Data Vlaue (Cr)'!$C:$FB,60)</f>
        <v>652</v>
      </c>
      <c r="L172" s="51">
        <f>VLOOKUP($A172,'Data Vlaue (Cr)'!$C:$FB,62)*100</f>
        <v>12.9</v>
      </c>
      <c r="M172" s="51">
        <f>VLOOKUP($A172,'Data Vlaue (Cr)'!$C:$FB,63)</f>
        <v>310</v>
      </c>
      <c r="N172" s="51">
        <f>VLOOKUP($A172,'Data Vlaue (Cr)'!$C:$FB,64)</f>
        <v>219</v>
      </c>
      <c r="O172" s="51">
        <f>VLOOKUP($A172,'Data Vlaue (Cr)'!$C:$FB,66)*100</f>
        <v>41.699999999999996</v>
      </c>
    </row>
    <row r="173" spans="1:15" x14ac:dyDescent="0.25">
      <c r="A173" s="101" t="str">
        <f>'Data Vlaue (Cr)'!C168</f>
        <v>POWERGRID</v>
      </c>
      <c r="B173" s="50">
        <f>VLOOKUP($A173,'Data Vlaue (Cr)'!$C:$FB,8)</f>
        <v>277.2</v>
      </c>
      <c r="C173" s="50">
        <f>VLOOKUP($A173,'Data Vlaue (Cr)'!$C:$FB,11)*100</f>
        <v>0.75</v>
      </c>
      <c r="D173" s="50">
        <f>VLOOKUP($A173,'Data Vlaue (Cr)'!$C:$FB,143)</f>
        <v>2902.38</v>
      </c>
      <c r="E173" s="50">
        <f>VLOOKUP($A173,'Data Vlaue (Cr)'!$C:$FB,144)</f>
        <v>1591.84</v>
      </c>
      <c r="F173" s="50">
        <f>VLOOKUP($A173,'Data Vlaue (Cr)'!$C:$FB,146)*100</f>
        <v>82.33</v>
      </c>
      <c r="G173" s="49">
        <f>VLOOKUP($A173,'Data Vlaue (Cr)'!$C:$FB,43)</f>
        <v>1360</v>
      </c>
      <c r="H173" s="49">
        <f>VLOOKUP($A173,'Data Vlaue (Cr)'!$C:$FB,44)</f>
        <v>331</v>
      </c>
      <c r="I173" s="49">
        <f>VLOOKUP($A173,'Data Vlaue (Cr)'!$C:$FB,46)*100</f>
        <v>311.22999999999996</v>
      </c>
      <c r="J173" s="51">
        <f>VLOOKUP($A173,'Data Vlaue (Cr)'!$C:$FB,59)</f>
        <v>1064</v>
      </c>
      <c r="K173" s="51">
        <f>VLOOKUP($A173,'Data Vlaue (Cr)'!$C:$FB,60)</f>
        <v>957</v>
      </c>
      <c r="L173" s="51">
        <f>VLOOKUP($A173,'Data Vlaue (Cr)'!$C:$FB,62)*100</f>
        <v>11.16</v>
      </c>
      <c r="M173" s="51">
        <f>VLOOKUP($A173,'Data Vlaue (Cr)'!$C:$FB,63)</f>
        <v>439</v>
      </c>
      <c r="N173" s="51">
        <f>VLOOKUP($A173,'Data Vlaue (Cr)'!$C:$FB,64)</f>
        <v>287</v>
      </c>
      <c r="O173" s="51">
        <f>VLOOKUP($A173,'Data Vlaue (Cr)'!$C:$FB,66)*100</f>
        <v>53.12</v>
      </c>
    </row>
    <row r="174" spans="1:15" x14ac:dyDescent="0.25">
      <c r="A174" s="101" t="str">
        <f>'Data Vlaue (Cr)'!C169</f>
        <v>POWERINDIA</v>
      </c>
      <c r="B174" s="50">
        <f>VLOOKUP($A174,'Data Vlaue (Cr)'!$C:$FB,8)</f>
        <v>22397</v>
      </c>
      <c r="C174" s="50">
        <f>VLOOKUP($A174,'Data Vlaue (Cr)'!$C:$FB,11)*100</f>
        <v>3.5700000000000003</v>
      </c>
      <c r="D174" s="50">
        <f>VLOOKUP($A174,'Data Vlaue (Cr)'!$C:$FB,143)</f>
        <v>9613.7900000000009</v>
      </c>
      <c r="E174" s="50">
        <f>VLOOKUP($A174,'Data Vlaue (Cr)'!$C:$FB,144)</f>
        <v>1521.1</v>
      </c>
      <c r="F174" s="50">
        <f>VLOOKUP($A174,'Data Vlaue (Cr)'!$C:$FB,146)*100</f>
        <v>532.03</v>
      </c>
      <c r="G174" s="49">
        <f>VLOOKUP($A174,'Data Vlaue (Cr)'!$C:$FB,43)</f>
        <v>513</v>
      </c>
      <c r="H174" s="49">
        <f>VLOOKUP($A174,'Data Vlaue (Cr)'!$C:$FB,44)</f>
        <v>127</v>
      </c>
      <c r="I174" s="49">
        <f>VLOOKUP($A174,'Data Vlaue (Cr)'!$C:$FB,46)*100</f>
        <v>303.79000000000002</v>
      </c>
      <c r="J174" s="51">
        <f>VLOOKUP($A174,'Data Vlaue (Cr)'!$C:$FB,59)</f>
        <v>6799</v>
      </c>
      <c r="K174" s="51">
        <f>VLOOKUP($A174,'Data Vlaue (Cr)'!$C:$FB,60)</f>
        <v>844</v>
      </c>
      <c r="L174" s="51">
        <f>VLOOKUP($A174,'Data Vlaue (Cr)'!$C:$FB,62)*100</f>
        <v>705.57999999999993</v>
      </c>
      <c r="M174" s="51">
        <f>VLOOKUP($A174,'Data Vlaue (Cr)'!$C:$FB,63)</f>
        <v>2225</v>
      </c>
      <c r="N174" s="51">
        <f>VLOOKUP($A174,'Data Vlaue (Cr)'!$C:$FB,64)</f>
        <v>615</v>
      </c>
      <c r="O174" s="51">
        <f>VLOOKUP($A174,'Data Vlaue (Cr)'!$C:$FB,66)*100</f>
        <v>262</v>
      </c>
    </row>
    <row r="175" spans="1:15" x14ac:dyDescent="0.25">
      <c r="A175" s="101" t="str">
        <f>'Data Vlaue (Cr)'!C170</f>
        <v>PPLPHARMA</v>
      </c>
      <c r="B175" s="50">
        <f>VLOOKUP($A175,'Data Vlaue (Cr)'!$C:$FB,8)</f>
        <v>189.64</v>
      </c>
      <c r="C175" s="50">
        <f>VLOOKUP($A175,'Data Vlaue (Cr)'!$C:$FB,11)*100</f>
        <v>0.44</v>
      </c>
      <c r="D175" s="50">
        <f>VLOOKUP($A175,'Data Vlaue (Cr)'!$C:$FB,143)</f>
        <v>524.29999999999995</v>
      </c>
      <c r="E175" s="50">
        <f>VLOOKUP($A175,'Data Vlaue (Cr)'!$C:$FB,144)</f>
        <v>451.72</v>
      </c>
      <c r="F175" s="50">
        <f>VLOOKUP($A175,'Data Vlaue (Cr)'!$C:$FB,146)*100</f>
        <v>16.07</v>
      </c>
      <c r="G175" s="49">
        <f>VLOOKUP($A175,'Data Vlaue (Cr)'!$C:$FB,43)</f>
        <v>294</v>
      </c>
      <c r="H175" s="49">
        <f>VLOOKUP($A175,'Data Vlaue (Cr)'!$C:$FB,44)</f>
        <v>92</v>
      </c>
      <c r="I175" s="49">
        <f>VLOOKUP($A175,'Data Vlaue (Cr)'!$C:$FB,46)*100</f>
        <v>220.43</v>
      </c>
      <c r="J175" s="51">
        <f>VLOOKUP($A175,'Data Vlaue (Cr)'!$C:$FB,59)</f>
        <v>176</v>
      </c>
      <c r="K175" s="51">
        <f>VLOOKUP($A175,'Data Vlaue (Cr)'!$C:$FB,60)</f>
        <v>250</v>
      </c>
      <c r="L175" s="51">
        <f>VLOOKUP($A175,'Data Vlaue (Cr)'!$C:$FB,62)*100</f>
        <v>-29.630000000000003</v>
      </c>
      <c r="M175" s="51">
        <f>VLOOKUP($A175,'Data Vlaue (Cr)'!$C:$FB,63)</f>
        <v>44</v>
      </c>
      <c r="N175" s="51">
        <f>VLOOKUP($A175,'Data Vlaue (Cr)'!$C:$FB,64)</f>
        <v>94</v>
      </c>
      <c r="O175" s="51">
        <f>VLOOKUP($A175,'Data Vlaue (Cr)'!$C:$FB,66)*100</f>
        <v>-53.22</v>
      </c>
    </row>
    <row r="176" spans="1:15" x14ac:dyDescent="0.25">
      <c r="A176" s="101" t="str">
        <f>'Data Vlaue (Cr)'!C171</f>
        <v>PRESTIGE</v>
      </c>
      <c r="B176" s="50">
        <f>VLOOKUP($A176,'Data Vlaue (Cr)'!$C:$FB,8)</f>
        <v>1717.2</v>
      </c>
      <c r="C176" s="50">
        <f>VLOOKUP($A176,'Data Vlaue (Cr)'!$C:$FB,11)*100</f>
        <v>-0.01</v>
      </c>
      <c r="D176" s="50">
        <f>VLOOKUP($A176,'Data Vlaue (Cr)'!$C:$FB,143)</f>
        <v>1234.71</v>
      </c>
      <c r="E176" s="50">
        <f>VLOOKUP($A176,'Data Vlaue (Cr)'!$C:$FB,144)</f>
        <v>1232.8399999999999</v>
      </c>
      <c r="F176" s="50">
        <f>VLOOKUP($A176,'Data Vlaue (Cr)'!$C:$FB,146)*100</f>
        <v>0.15</v>
      </c>
      <c r="G176" s="49">
        <f>VLOOKUP($A176,'Data Vlaue (Cr)'!$C:$FB,43)</f>
        <v>369</v>
      </c>
      <c r="H176" s="49">
        <f>VLOOKUP($A176,'Data Vlaue (Cr)'!$C:$FB,44)</f>
        <v>190</v>
      </c>
      <c r="I176" s="49">
        <f>VLOOKUP($A176,'Data Vlaue (Cr)'!$C:$FB,46)*100</f>
        <v>94.94</v>
      </c>
      <c r="J176" s="51">
        <f>VLOOKUP($A176,'Data Vlaue (Cr)'!$C:$FB,59)</f>
        <v>675</v>
      </c>
      <c r="K176" s="51">
        <f>VLOOKUP($A176,'Data Vlaue (Cr)'!$C:$FB,60)</f>
        <v>843</v>
      </c>
      <c r="L176" s="51">
        <f>VLOOKUP($A176,'Data Vlaue (Cr)'!$C:$FB,62)*100</f>
        <v>-19.86</v>
      </c>
      <c r="M176" s="51">
        <f>VLOOKUP($A176,'Data Vlaue (Cr)'!$C:$FB,63)</f>
        <v>158</v>
      </c>
      <c r="N176" s="51">
        <f>VLOOKUP($A176,'Data Vlaue (Cr)'!$C:$FB,64)</f>
        <v>158</v>
      </c>
      <c r="O176" s="51">
        <f>VLOOKUP($A176,'Data Vlaue (Cr)'!$C:$FB,66)*100</f>
        <v>0.49</v>
      </c>
    </row>
    <row r="177" spans="1:15" x14ac:dyDescent="0.25">
      <c r="A177" s="101" t="str">
        <f>'Data Vlaue (Cr)'!C172</f>
        <v>RBLBANK</v>
      </c>
      <c r="B177" s="50">
        <f>VLOOKUP($A177,'Data Vlaue (Cr)'!$C:$FB,8)</f>
        <v>313.64999999999998</v>
      </c>
      <c r="C177" s="50">
        <f>VLOOKUP($A177,'Data Vlaue (Cr)'!$C:$FB,11)*100</f>
        <v>1.31</v>
      </c>
      <c r="D177" s="50">
        <f>VLOOKUP($A177,'Data Vlaue (Cr)'!$C:$FB,143)</f>
        <v>1640.13</v>
      </c>
      <c r="E177" s="50">
        <f>VLOOKUP($A177,'Data Vlaue (Cr)'!$C:$FB,144)</f>
        <v>1346.74</v>
      </c>
      <c r="F177" s="50">
        <f>VLOOKUP($A177,'Data Vlaue (Cr)'!$C:$FB,146)*100</f>
        <v>21.790000000000003</v>
      </c>
      <c r="G177" s="49">
        <f>VLOOKUP($A177,'Data Vlaue (Cr)'!$C:$FB,43)</f>
        <v>993</v>
      </c>
      <c r="H177" s="49">
        <f>VLOOKUP($A177,'Data Vlaue (Cr)'!$C:$FB,44)</f>
        <v>468</v>
      </c>
      <c r="I177" s="49">
        <f>VLOOKUP($A177,'Data Vlaue (Cr)'!$C:$FB,46)*100</f>
        <v>112.36999999999999</v>
      </c>
      <c r="J177" s="51">
        <f>VLOOKUP($A177,'Data Vlaue (Cr)'!$C:$FB,59)</f>
        <v>443</v>
      </c>
      <c r="K177" s="51">
        <f>VLOOKUP($A177,'Data Vlaue (Cr)'!$C:$FB,60)</f>
        <v>599</v>
      </c>
      <c r="L177" s="51">
        <f>VLOOKUP($A177,'Data Vlaue (Cr)'!$C:$FB,62)*100</f>
        <v>-26.08</v>
      </c>
      <c r="M177" s="51">
        <f>VLOOKUP($A177,'Data Vlaue (Cr)'!$C:$FB,63)</f>
        <v>184</v>
      </c>
      <c r="N177" s="51">
        <f>VLOOKUP($A177,'Data Vlaue (Cr)'!$C:$FB,64)</f>
        <v>260</v>
      </c>
      <c r="O177" s="51">
        <f>VLOOKUP($A177,'Data Vlaue (Cr)'!$C:$FB,66)*100</f>
        <v>-29.4</v>
      </c>
    </row>
    <row r="178" spans="1:15" x14ac:dyDescent="0.25">
      <c r="A178" s="101" t="str">
        <f>'Data Vlaue (Cr)'!C173</f>
        <v>RECLTD</v>
      </c>
      <c r="B178" s="50">
        <f>VLOOKUP($A178,'Data Vlaue (Cr)'!$C:$FB,8)</f>
        <v>361.4</v>
      </c>
      <c r="C178" s="50">
        <f>VLOOKUP($A178,'Data Vlaue (Cr)'!$C:$FB,11)*100</f>
        <v>0.54</v>
      </c>
      <c r="D178" s="50">
        <f>VLOOKUP($A178,'Data Vlaue (Cr)'!$C:$FB,143)</f>
        <v>3336.22</v>
      </c>
      <c r="E178" s="50">
        <f>VLOOKUP($A178,'Data Vlaue (Cr)'!$C:$FB,144)</f>
        <v>2369.31</v>
      </c>
      <c r="F178" s="50">
        <f>VLOOKUP($A178,'Data Vlaue (Cr)'!$C:$FB,146)*100</f>
        <v>40.81</v>
      </c>
      <c r="G178" s="49">
        <f>VLOOKUP($A178,'Data Vlaue (Cr)'!$C:$FB,43)</f>
        <v>1405</v>
      </c>
      <c r="H178" s="49">
        <f>VLOOKUP($A178,'Data Vlaue (Cr)'!$C:$FB,44)</f>
        <v>666</v>
      </c>
      <c r="I178" s="49">
        <f>VLOOKUP($A178,'Data Vlaue (Cr)'!$C:$FB,46)*100</f>
        <v>110.99000000000001</v>
      </c>
      <c r="J178" s="51">
        <f>VLOOKUP($A178,'Data Vlaue (Cr)'!$C:$FB,59)</f>
        <v>1201</v>
      </c>
      <c r="K178" s="51">
        <f>VLOOKUP($A178,'Data Vlaue (Cr)'!$C:$FB,60)</f>
        <v>1133</v>
      </c>
      <c r="L178" s="51">
        <f>VLOOKUP($A178,'Data Vlaue (Cr)'!$C:$FB,62)*100</f>
        <v>6.03</v>
      </c>
      <c r="M178" s="51">
        <f>VLOOKUP($A178,'Data Vlaue (Cr)'!$C:$FB,63)</f>
        <v>659</v>
      </c>
      <c r="N178" s="51">
        <f>VLOOKUP($A178,'Data Vlaue (Cr)'!$C:$FB,64)</f>
        <v>524</v>
      </c>
      <c r="O178" s="51">
        <f>VLOOKUP($A178,'Data Vlaue (Cr)'!$C:$FB,66)*100</f>
        <v>25.740000000000002</v>
      </c>
    </row>
    <row r="179" spans="1:15" x14ac:dyDescent="0.25">
      <c r="A179" s="101" t="str">
        <f>'Data Vlaue (Cr)'!C174</f>
        <v>RELIANCE</v>
      </c>
      <c r="B179" s="50">
        <f>VLOOKUP($A179,'Data Vlaue (Cr)'!$C:$FB,8)</f>
        <v>1549.1</v>
      </c>
      <c r="C179" s="50">
        <f>VLOOKUP($A179,'Data Vlaue (Cr)'!$C:$FB,11)*100</f>
        <v>1.9900000000000002</v>
      </c>
      <c r="D179" s="50">
        <f>VLOOKUP($A179,'Data Vlaue (Cr)'!$C:$FB,143)</f>
        <v>55504.23</v>
      </c>
      <c r="E179" s="50">
        <f>VLOOKUP($A179,'Data Vlaue (Cr)'!$C:$FB,144)</f>
        <v>18435.11</v>
      </c>
      <c r="F179" s="50">
        <f>VLOOKUP($A179,'Data Vlaue (Cr)'!$C:$FB,146)*100</f>
        <v>201.08</v>
      </c>
      <c r="G179" s="49">
        <f>VLOOKUP($A179,'Data Vlaue (Cr)'!$C:$FB,43)</f>
        <v>9228</v>
      </c>
      <c r="H179" s="49">
        <f>VLOOKUP($A179,'Data Vlaue (Cr)'!$C:$FB,44)</f>
        <v>2631</v>
      </c>
      <c r="I179" s="49">
        <f>VLOOKUP($A179,'Data Vlaue (Cr)'!$C:$FB,46)*100</f>
        <v>250.81000000000003</v>
      </c>
      <c r="J179" s="51">
        <f>VLOOKUP($A179,'Data Vlaue (Cr)'!$C:$FB,59)</f>
        <v>31650</v>
      </c>
      <c r="K179" s="51">
        <f>VLOOKUP($A179,'Data Vlaue (Cr)'!$C:$FB,60)</f>
        <v>10014</v>
      </c>
      <c r="L179" s="51">
        <f>VLOOKUP($A179,'Data Vlaue (Cr)'!$C:$FB,62)*100</f>
        <v>216.06</v>
      </c>
      <c r="M179" s="51">
        <f>VLOOKUP($A179,'Data Vlaue (Cr)'!$C:$FB,63)</f>
        <v>14534</v>
      </c>
      <c r="N179" s="51">
        <f>VLOOKUP($A179,'Data Vlaue (Cr)'!$C:$FB,64)</f>
        <v>5990</v>
      </c>
      <c r="O179" s="51">
        <f>VLOOKUP($A179,'Data Vlaue (Cr)'!$C:$FB,66)*100</f>
        <v>142.65</v>
      </c>
    </row>
    <row r="180" spans="1:15" x14ac:dyDescent="0.25">
      <c r="A180" s="101" t="str">
        <f>'Data Vlaue (Cr)'!C175</f>
        <v>RVNL</v>
      </c>
      <c r="B180" s="50">
        <f>VLOOKUP($A180,'Data Vlaue (Cr)'!$C:$FB,8)</f>
        <v>319.10000000000002</v>
      </c>
      <c r="C180" s="50">
        <f>VLOOKUP($A180,'Data Vlaue (Cr)'!$C:$FB,11)*100</f>
        <v>-0.33</v>
      </c>
      <c r="D180" s="50">
        <f>VLOOKUP($A180,'Data Vlaue (Cr)'!$C:$FB,143)</f>
        <v>1772.88</v>
      </c>
      <c r="E180" s="50">
        <f>VLOOKUP($A180,'Data Vlaue (Cr)'!$C:$FB,144)</f>
        <v>1041.22</v>
      </c>
      <c r="F180" s="50">
        <f>VLOOKUP($A180,'Data Vlaue (Cr)'!$C:$FB,146)*100</f>
        <v>70.27</v>
      </c>
      <c r="G180" s="49">
        <f>VLOOKUP($A180,'Data Vlaue (Cr)'!$C:$FB,43)</f>
        <v>1098</v>
      </c>
      <c r="H180" s="49">
        <f>VLOOKUP($A180,'Data Vlaue (Cr)'!$C:$FB,44)</f>
        <v>254</v>
      </c>
      <c r="I180" s="49">
        <f>VLOOKUP($A180,'Data Vlaue (Cr)'!$C:$FB,46)*100</f>
        <v>332.69</v>
      </c>
      <c r="J180" s="51">
        <f>VLOOKUP($A180,'Data Vlaue (Cr)'!$C:$FB,59)</f>
        <v>470</v>
      </c>
      <c r="K180" s="51">
        <f>VLOOKUP($A180,'Data Vlaue (Cr)'!$C:$FB,60)</f>
        <v>560</v>
      </c>
      <c r="L180" s="51">
        <f>VLOOKUP($A180,'Data Vlaue (Cr)'!$C:$FB,62)*100</f>
        <v>-16.100000000000001</v>
      </c>
      <c r="M180" s="51">
        <f>VLOOKUP($A180,'Data Vlaue (Cr)'!$C:$FB,63)</f>
        <v>183</v>
      </c>
      <c r="N180" s="51">
        <f>VLOOKUP($A180,'Data Vlaue (Cr)'!$C:$FB,64)</f>
        <v>201</v>
      </c>
      <c r="O180" s="51">
        <f>VLOOKUP($A180,'Data Vlaue (Cr)'!$C:$FB,66)*100</f>
        <v>-9.2799999999999994</v>
      </c>
    </row>
    <row r="181" spans="1:15" x14ac:dyDescent="0.25">
      <c r="A181" s="101" t="str">
        <f>'Data Vlaue (Cr)'!C176</f>
        <v>SAIL</v>
      </c>
      <c r="B181" s="50">
        <f>VLOOKUP($A181,'Data Vlaue (Cr)'!$C:$FB,8)</f>
        <v>138.19</v>
      </c>
      <c r="C181" s="50">
        <f>VLOOKUP($A181,'Data Vlaue (Cr)'!$C:$FB,11)*100</f>
        <v>-1.29</v>
      </c>
      <c r="D181" s="50">
        <f>VLOOKUP($A181,'Data Vlaue (Cr)'!$C:$FB,143)</f>
        <v>225.26</v>
      </c>
      <c r="E181" s="50">
        <f>VLOOKUP($A181,'Data Vlaue (Cr)'!$C:$FB,144)</f>
        <v>59.38</v>
      </c>
      <c r="F181" s="50">
        <f>VLOOKUP($A181,'Data Vlaue (Cr)'!$C:$FB,146)*100</f>
        <v>279.34000000000003</v>
      </c>
      <c r="G181" s="49">
        <f>VLOOKUP($A181,'Data Vlaue (Cr)'!$C:$FB,43)</f>
        <v>167</v>
      </c>
      <c r="H181" s="49">
        <f>VLOOKUP($A181,'Data Vlaue (Cr)'!$C:$FB,44)</f>
        <v>16</v>
      </c>
      <c r="I181" s="49">
        <f>VLOOKUP($A181,'Data Vlaue (Cr)'!$C:$FB,46)*100</f>
        <v>916.67000000000007</v>
      </c>
      <c r="J181" s="51">
        <f>VLOOKUP($A181,'Data Vlaue (Cr)'!$C:$FB,59)</f>
        <v>43</v>
      </c>
      <c r="K181" s="51">
        <f>VLOOKUP($A181,'Data Vlaue (Cr)'!$C:$FB,60)</f>
        <v>28</v>
      </c>
      <c r="L181" s="51">
        <f>VLOOKUP($A181,'Data Vlaue (Cr)'!$C:$FB,62)*100</f>
        <v>51.15</v>
      </c>
      <c r="M181" s="51">
        <f>VLOOKUP($A181,'Data Vlaue (Cr)'!$C:$FB,63)</f>
        <v>12</v>
      </c>
      <c r="N181" s="51">
        <f>VLOOKUP($A181,'Data Vlaue (Cr)'!$C:$FB,64)</f>
        <v>12</v>
      </c>
      <c r="O181" s="51">
        <f>VLOOKUP($A181,'Data Vlaue (Cr)'!$C:$FB,66)*100</f>
        <v>0</v>
      </c>
    </row>
    <row r="182" spans="1:15" x14ac:dyDescent="0.25">
      <c r="A182" s="101" t="str">
        <f>'Data Vlaue (Cr)'!C177</f>
        <v>SAMMAANCAP</v>
      </c>
      <c r="B182" s="50">
        <f>VLOOKUP($A182,'Data Vlaue (Cr)'!$C:$FB,8)</f>
        <v>157.02000000000001</v>
      </c>
      <c r="C182" s="50">
        <f>VLOOKUP($A182,'Data Vlaue (Cr)'!$C:$FB,11)*100</f>
        <v>-1.59</v>
      </c>
      <c r="D182" s="50">
        <f>VLOOKUP($A182,'Data Vlaue (Cr)'!$C:$FB,143)</f>
        <v>1175.57</v>
      </c>
      <c r="E182" s="50">
        <f>VLOOKUP($A182,'Data Vlaue (Cr)'!$C:$FB,144)</f>
        <v>12753.34</v>
      </c>
      <c r="F182" s="50">
        <f>VLOOKUP($A182,'Data Vlaue (Cr)'!$C:$FB,146)*100</f>
        <v>-90.78</v>
      </c>
      <c r="G182" s="49">
        <f>VLOOKUP($A182,'Data Vlaue (Cr)'!$C:$FB,43)</f>
        <v>483</v>
      </c>
      <c r="H182" s="49">
        <f>VLOOKUP($A182,'Data Vlaue (Cr)'!$C:$FB,44)</f>
        <v>2376</v>
      </c>
      <c r="I182" s="49">
        <f>VLOOKUP($A182,'Data Vlaue (Cr)'!$C:$FB,46)*100</f>
        <v>-79.67</v>
      </c>
      <c r="J182" s="51">
        <f>VLOOKUP($A182,'Data Vlaue (Cr)'!$C:$FB,59)</f>
        <v>337</v>
      </c>
      <c r="K182" s="51">
        <f>VLOOKUP($A182,'Data Vlaue (Cr)'!$C:$FB,60)</f>
        <v>4704</v>
      </c>
      <c r="L182" s="51">
        <f>VLOOKUP($A182,'Data Vlaue (Cr)'!$C:$FB,62)*100</f>
        <v>-92.84</v>
      </c>
      <c r="M182" s="51">
        <f>VLOOKUP($A182,'Data Vlaue (Cr)'!$C:$FB,63)</f>
        <v>299</v>
      </c>
      <c r="N182" s="51">
        <f>VLOOKUP($A182,'Data Vlaue (Cr)'!$C:$FB,64)</f>
        <v>4513</v>
      </c>
      <c r="O182" s="51">
        <f>VLOOKUP($A182,'Data Vlaue (Cr)'!$C:$FB,66)*100</f>
        <v>-93.38</v>
      </c>
    </row>
    <row r="183" spans="1:15" x14ac:dyDescent="0.25">
      <c r="A183" s="101" t="str">
        <f>'Data Vlaue (Cr)'!C178</f>
        <v>SBICARD</v>
      </c>
      <c r="B183" s="50">
        <f>VLOOKUP($A183,'Data Vlaue (Cr)'!$C:$FB,8)</f>
        <v>874.1</v>
      </c>
      <c r="C183" s="50">
        <f>VLOOKUP($A183,'Data Vlaue (Cr)'!$C:$FB,11)*100</f>
        <v>1.2</v>
      </c>
      <c r="D183" s="50">
        <f>VLOOKUP($A183,'Data Vlaue (Cr)'!$C:$FB,143)</f>
        <v>1988.71</v>
      </c>
      <c r="E183" s="50">
        <f>VLOOKUP($A183,'Data Vlaue (Cr)'!$C:$FB,144)</f>
        <v>1845.4</v>
      </c>
      <c r="F183" s="50">
        <f>VLOOKUP($A183,'Data Vlaue (Cr)'!$C:$FB,146)*100</f>
        <v>7.7700000000000005</v>
      </c>
      <c r="G183" s="49">
        <f>VLOOKUP($A183,'Data Vlaue (Cr)'!$C:$FB,43)</f>
        <v>1089</v>
      </c>
      <c r="H183" s="49">
        <f>VLOOKUP($A183,'Data Vlaue (Cr)'!$C:$FB,44)</f>
        <v>342</v>
      </c>
      <c r="I183" s="49">
        <f>VLOOKUP($A183,'Data Vlaue (Cr)'!$C:$FB,46)*100</f>
        <v>218.07</v>
      </c>
      <c r="J183" s="51">
        <f>VLOOKUP($A183,'Data Vlaue (Cr)'!$C:$FB,59)</f>
        <v>640</v>
      </c>
      <c r="K183" s="51">
        <f>VLOOKUP($A183,'Data Vlaue (Cr)'!$C:$FB,60)</f>
        <v>1119</v>
      </c>
      <c r="L183" s="51">
        <f>VLOOKUP($A183,'Data Vlaue (Cr)'!$C:$FB,62)*100</f>
        <v>-42.76</v>
      </c>
      <c r="M183" s="51">
        <f>VLOOKUP($A183,'Data Vlaue (Cr)'!$C:$FB,63)</f>
        <v>246</v>
      </c>
      <c r="N183" s="51">
        <f>VLOOKUP($A183,'Data Vlaue (Cr)'!$C:$FB,64)</f>
        <v>354</v>
      </c>
      <c r="O183" s="51">
        <f>VLOOKUP($A183,'Data Vlaue (Cr)'!$C:$FB,66)*100</f>
        <v>-30.7</v>
      </c>
    </row>
    <row r="184" spans="1:15" x14ac:dyDescent="0.25">
      <c r="A184" s="101" t="str">
        <f>'Data Vlaue (Cr)'!C179</f>
        <v>SBILIFE</v>
      </c>
      <c r="B184" s="50">
        <f>VLOOKUP($A184,'Data Vlaue (Cr)'!$C:$FB,8)</f>
        <v>2027.1</v>
      </c>
      <c r="C184" s="50">
        <f>VLOOKUP($A184,'Data Vlaue (Cr)'!$C:$FB,11)*100</f>
        <v>1.1100000000000001</v>
      </c>
      <c r="D184" s="50">
        <f>VLOOKUP($A184,'Data Vlaue (Cr)'!$C:$FB,143)</f>
        <v>3427.98</v>
      </c>
      <c r="E184" s="50">
        <f>VLOOKUP($A184,'Data Vlaue (Cr)'!$C:$FB,144)</f>
        <v>1392.94</v>
      </c>
      <c r="F184" s="50">
        <f>VLOOKUP($A184,'Data Vlaue (Cr)'!$C:$FB,146)*100</f>
        <v>146.1</v>
      </c>
      <c r="G184" s="49">
        <f>VLOOKUP($A184,'Data Vlaue (Cr)'!$C:$FB,43)</f>
        <v>1053</v>
      </c>
      <c r="H184" s="49">
        <f>VLOOKUP($A184,'Data Vlaue (Cr)'!$C:$FB,44)</f>
        <v>215</v>
      </c>
      <c r="I184" s="49">
        <f>VLOOKUP($A184,'Data Vlaue (Cr)'!$C:$FB,46)*100</f>
        <v>390.4</v>
      </c>
      <c r="J184" s="51">
        <f>VLOOKUP($A184,'Data Vlaue (Cr)'!$C:$FB,59)</f>
        <v>1684</v>
      </c>
      <c r="K184" s="51">
        <f>VLOOKUP($A184,'Data Vlaue (Cr)'!$C:$FB,60)</f>
        <v>685</v>
      </c>
      <c r="L184" s="51">
        <f>VLOOKUP($A184,'Data Vlaue (Cr)'!$C:$FB,62)*100</f>
        <v>145.93</v>
      </c>
      <c r="M184" s="51">
        <f>VLOOKUP($A184,'Data Vlaue (Cr)'!$C:$FB,63)</f>
        <v>686</v>
      </c>
      <c r="N184" s="51">
        <f>VLOOKUP($A184,'Data Vlaue (Cr)'!$C:$FB,64)</f>
        <v>507</v>
      </c>
      <c r="O184" s="51">
        <f>VLOOKUP($A184,'Data Vlaue (Cr)'!$C:$FB,66)*100</f>
        <v>35.199999999999996</v>
      </c>
    </row>
    <row r="185" spans="1:15" x14ac:dyDescent="0.25">
      <c r="A185" s="101" t="str">
        <f>'Data Vlaue (Cr)'!C180</f>
        <v>SBIN</v>
      </c>
      <c r="B185" s="50">
        <f>VLOOKUP($A185,'Data Vlaue (Cr)'!$C:$FB,8)</f>
        <v>981.55</v>
      </c>
      <c r="C185" s="50">
        <f>VLOOKUP($A185,'Data Vlaue (Cr)'!$C:$FB,11)*100</f>
        <v>-0.12</v>
      </c>
      <c r="D185" s="50">
        <f>VLOOKUP($A185,'Data Vlaue (Cr)'!$C:$FB,143)</f>
        <v>16123.85</v>
      </c>
      <c r="E185" s="50">
        <f>VLOOKUP($A185,'Data Vlaue (Cr)'!$C:$FB,144)</f>
        <v>19762.64</v>
      </c>
      <c r="F185" s="50">
        <f>VLOOKUP($A185,'Data Vlaue (Cr)'!$C:$FB,146)*100</f>
        <v>-18.41</v>
      </c>
      <c r="G185" s="49">
        <f>VLOOKUP($A185,'Data Vlaue (Cr)'!$C:$FB,43)</f>
        <v>4170</v>
      </c>
      <c r="H185" s="49">
        <f>VLOOKUP($A185,'Data Vlaue (Cr)'!$C:$FB,44)</f>
        <v>2008</v>
      </c>
      <c r="I185" s="49">
        <f>VLOOKUP($A185,'Data Vlaue (Cr)'!$C:$FB,46)*100</f>
        <v>107.64</v>
      </c>
      <c r="J185" s="51">
        <f>VLOOKUP($A185,'Data Vlaue (Cr)'!$C:$FB,59)</f>
        <v>7048</v>
      </c>
      <c r="K185" s="51">
        <f>VLOOKUP($A185,'Data Vlaue (Cr)'!$C:$FB,60)</f>
        <v>10390</v>
      </c>
      <c r="L185" s="51">
        <f>VLOOKUP($A185,'Data Vlaue (Cr)'!$C:$FB,62)*100</f>
        <v>-32.159999999999997</v>
      </c>
      <c r="M185" s="51">
        <f>VLOOKUP($A185,'Data Vlaue (Cr)'!$C:$FB,63)</f>
        <v>4840</v>
      </c>
      <c r="N185" s="51">
        <f>VLOOKUP($A185,'Data Vlaue (Cr)'!$C:$FB,64)</f>
        <v>7371</v>
      </c>
      <c r="O185" s="51">
        <f>VLOOKUP($A185,'Data Vlaue (Cr)'!$C:$FB,66)*100</f>
        <v>-34.33</v>
      </c>
    </row>
    <row r="186" spans="1:15" x14ac:dyDescent="0.25">
      <c r="A186" s="101" t="str">
        <f>'Data Vlaue (Cr)'!C181</f>
        <v>SHREECEM</v>
      </c>
      <c r="B186" s="50">
        <f>VLOOKUP($A186,'Data Vlaue (Cr)'!$C:$FB,8)</f>
        <v>26480</v>
      </c>
      <c r="C186" s="50">
        <f>VLOOKUP($A186,'Data Vlaue (Cr)'!$C:$FB,11)*100</f>
        <v>-0.11</v>
      </c>
      <c r="D186" s="50">
        <f>VLOOKUP($A186,'Data Vlaue (Cr)'!$C:$FB,143)</f>
        <v>911.04</v>
      </c>
      <c r="E186" s="50">
        <f>VLOOKUP($A186,'Data Vlaue (Cr)'!$C:$FB,144)</f>
        <v>608.55999999999995</v>
      </c>
      <c r="F186" s="50">
        <f>VLOOKUP($A186,'Data Vlaue (Cr)'!$C:$FB,146)*100</f>
        <v>49.7</v>
      </c>
      <c r="G186" s="49">
        <f>VLOOKUP($A186,'Data Vlaue (Cr)'!$C:$FB,43)</f>
        <v>506</v>
      </c>
      <c r="H186" s="49">
        <f>VLOOKUP($A186,'Data Vlaue (Cr)'!$C:$FB,44)</f>
        <v>75</v>
      </c>
      <c r="I186" s="49">
        <f>VLOOKUP($A186,'Data Vlaue (Cr)'!$C:$FB,46)*100</f>
        <v>577.92000000000007</v>
      </c>
      <c r="J186" s="51">
        <f>VLOOKUP($A186,'Data Vlaue (Cr)'!$C:$FB,59)</f>
        <v>346</v>
      </c>
      <c r="K186" s="51">
        <f>VLOOKUP($A186,'Data Vlaue (Cr)'!$C:$FB,60)</f>
        <v>451</v>
      </c>
      <c r="L186" s="51">
        <f>VLOOKUP($A186,'Data Vlaue (Cr)'!$C:$FB,62)*100</f>
        <v>-23.21</v>
      </c>
      <c r="M186" s="51">
        <f>VLOOKUP($A186,'Data Vlaue (Cr)'!$C:$FB,63)</f>
        <v>38</v>
      </c>
      <c r="N186" s="51">
        <f>VLOOKUP($A186,'Data Vlaue (Cr)'!$C:$FB,64)</f>
        <v>58</v>
      </c>
      <c r="O186" s="51">
        <f>VLOOKUP($A186,'Data Vlaue (Cr)'!$C:$FB,66)*100</f>
        <v>-35.049999999999997</v>
      </c>
    </row>
    <row r="187" spans="1:15" x14ac:dyDescent="0.25">
      <c r="A187" s="101" t="str">
        <f>'Data Vlaue (Cr)'!C182</f>
        <v>SHRIRAMFIN</v>
      </c>
      <c r="B187" s="50">
        <f>VLOOKUP($A187,'Data Vlaue (Cr)'!$C:$FB,8)</f>
        <v>826.6</v>
      </c>
      <c r="C187" s="50">
        <f>VLOOKUP($A187,'Data Vlaue (Cr)'!$C:$FB,11)*100</f>
        <v>1.05</v>
      </c>
      <c r="D187" s="50">
        <f>VLOOKUP($A187,'Data Vlaue (Cr)'!$C:$FB,143)</f>
        <v>4532.04</v>
      </c>
      <c r="E187" s="50">
        <f>VLOOKUP($A187,'Data Vlaue (Cr)'!$C:$FB,144)</f>
        <v>2869.97</v>
      </c>
      <c r="F187" s="50">
        <f>VLOOKUP($A187,'Data Vlaue (Cr)'!$C:$FB,146)*100</f>
        <v>57.91</v>
      </c>
      <c r="G187" s="49">
        <f>VLOOKUP($A187,'Data Vlaue (Cr)'!$C:$FB,43)</f>
        <v>2365</v>
      </c>
      <c r="H187" s="49">
        <f>VLOOKUP($A187,'Data Vlaue (Cr)'!$C:$FB,44)</f>
        <v>660</v>
      </c>
      <c r="I187" s="49">
        <f>VLOOKUP($A187,'Data Vlaue (Cr)'!$C:$FB,46)*100</f>
        <v>258.08</v>
      </c>
      <c r="J187" s="51">
        <f>VLOOKUP($A187,'Data Vlaue (Cr)'!$C:$FB,59)</f>
        <v>1381</v>
      </c>
      <c r="K187" s="51">
        <f>VLOOKUP($A187,'Data Vlaue (Cr)'!$C:$FB,60)</f>
        <v>1328</v>
      </c>
      <c r="L187" s="51">
        <f>VLOOKUP($A187,'Data Vlaue (Cr)'!$C:$FB,62)*100</f>
        <v>3.95</v>
      </c>
      <c r="M187" s="51">
        <f>VLOOKUP($A187,'Data Vlaue (Cr)'!$C:$FB,63)</f>
        <v>783</v>
      </c>
      <c r="N187" s="51">
        <f>VLOOKUP($A187,'Data Vlaue (Cr)'!$C:$FB,64)</f>
        <v>878</v>
      </c>
      <c r="O187" s="51">
        <f>VLOOKUP($A187,'Data Vlaue (Cr)'!$C:$FB,66)*100</f>
        <v>-10.82</v>
      </c>
    </row>
    <row r="188" spans="1:15" x14ac:dyDescent="0.25">
      <c r="A188" s="101" t="str">
        <f>'Data Vlaue (Cr)'!C183</f>
        <v>SIEMENS</v>
      </c>
      <c r="B188" s="50">
        <f>VLOOKUP($A188,'Data Vlaue (Cr)'!$C:$FB,8)</f>
        <v>3216.3</v>
      </c>
      <c r="C188" s="50">
        <f>VLOOKUP($A188,'Data Vlaue (Cr)'!$C:$FB,11)*100</f>
        <v>0.15</v>
      </c>
      <c r="D188" s="50">
        <f>VLOOKUP($A188,'Data Vlaue (Cr)'!$C:$FB,143)</f>
        <v>2836.63</v>
      </c>
      <c r="E188" s="50">
        <f>VLOOKUP($A188,'Data Vlaue (Cr)'!$C:$FB,144)</f>
        <v>2734.29</v>
      </c>
      <c r="F188" s="50">
        <f>VLOOKUP($A188,'Data Vlaue (Cr)'!$C:$FB,146)*100</f>
        <v>3.74</v>
      </c>
      <c r="G188" s="49">
        <f>VLOOKUP($A188,'Data Vlaue (Cr)'!$C:$FB,43)</f>
        <v>623</v>
      </c>
      <c r="H188" s="49">
        <f>VLOOKUP($A188,'Data Vlaue (Cr)'!$C:$FB,44)</f>
        <v>192</v>
      </c>
      <c r="I188" s="49">
        <f>VLOOKUP($A188,'Data Vlaue (Cr)'!$C:$FB,46)*100</f>
        <v>224.18999999999997</v>
      </c>
      <c r="J188" s="51">
        <f>VLOOKUP($A188,'Data Vlaue (Cr)'!$C:$FB,59)</f>
        <v>1506</v>
      </c>
      <c r="K188" s="51">
        <f>VLOOKUP($A188,'Data Vlaue (Cr)'!$C:$FB,60)</f>
        <v>1470</v>
      </c>
      <c r="L188" s="51">
        <f>VLOOKUP($A188,'Data Vlaue (Cr)'!$C:$FB,62)*100</f>
        <v>2.4699999999999998</v>
      </c>
      <c r="M188" s="51">
        <f>VLOOKUP($A188,'Data Vlaue (Cr)'!$C:$FB,63)</f>
        <v>664</v>
      </c>
      <c r="N188" s="51">
        <f>VLOOKUP($A188,'Data Vlaue (Cr)'!$C:$FB,64)</f>
        <v>1047</v>
      </c>
      <c r="O188" s="51">
        <f>VLOOKUP($A188,'Data Vlaue (Cr)'!$C:$FB,66)*100</f>
        <v>-36.58</v>
      </c>
    </row>
    <row r="189" spans="1:15" x14ac:dyDescent="0.25">
      <c r="A189" s="101" t="str">
        <f>'Data Vlaue (Cr)'!C216</f>
        <v>ZYDUSLIFE</v>
      </c>
      <c r="B189" s="50">
        <f>VLOOKUP($A189,'Data Vlaue (Cr)'!$C:$FB,8)</f>
        <v>928</v>
      </c>
      <c r="C189" s="50">
        <f>VLOOKUP($A189,'Data Vlaue (Cr)'!$C:$FB,11)*100</f>
        <v>-0.24</v>
      </c>
      <c r="D189" s="50">
        <f>VLOOKUP($A189,'Data Vlaue (Cr)'!$C:$FB,143)</f>
        <v>1611.27</v>
      </c>
      <c r="E189" s="50">
        <f>VLOOKUP($A189,'Data Vlaue (Cr)'!$C:$FB,144)</f>
        <v>754.07</v>
      </c>
      <c r="F189" s="50">
        <f>VLOOKUP($A189,'Data Vlaue (Cr)'!$C:$FB,146)*100</f>
        <v>113.68</v>
      </c>
      <c r="G189" s="49">
        <f>VLOOKUP($A189,'Data Vlaue (Cr)'!$C:$FB,43)</f>
        <v>883</v>
      </c>
      <c r="H189" s="49">
        <f>VLOOKUP($A189,'Data Vlaue (Cr)'!$C:$FB,44)</f>
        <v>205</v>
      </c>
      <c r="I189" s="49">
        <f>VLOOKUP($A189,'Data Vlaue (Cr)'!$C:$FB,46)*100</f>
        <v>330.86</v>
      </c>
      <c r="J189" s="51">
        <f>VLOOKUP($A189,'Data Vlaue (Cr)'!$C:$FB,59)</f>
        <v>458</v>
      </c>
      <c r="K189" s="51">
        <f>VLOOKUP($A189,'Data Vlaue (Cr)'!$C:$FB,60)</f>
        <v>395</v>
      </c>
      <c r="L189" s="51">
        <f>VLOOKUP($A189,'Data Vlaue (Cr)'!$C:$FB,62)*100</f>
        <v>16.04</v>
      </c>
      <c r="M189" s="51">
        <f>VLOOKUP($A189,'Data Vlaue (Cr)'!$C:$FB,63)</f>
        <v>239</v>
      </c>
      <c r="N189" s="51">
        <f>VLOOKUP($A189,'Data Vlaue (Cr)'!$C:$FB,64)</f>
        <v>136</v>
      </c>
      <c r="O189" s="51">
        <f>VLOOKUP($A189,'Data Vlaue (Cr)'!$C:$FB,66)*100</f>
        <v>75.94</v>
      </c>
    </row>
    <row r="190" spans="1:15" x14ac:dyDescent="0.25">
      <c r="A190" s="101"/>
      <c r="B190" s="50"/>
      <c r="C190" s="50"/>
      <c r="D190" s="50"/>
      <c r="E190" s="50"/>
      <c r="F190" s="50"/>
      <c r="G190" s="49"/>
      <c r="H190" s="49"/>
      <c r="I190" s="49"/>
      <c r="J190" s="51"/>
      <c r="K190" s="51"/>
      <c r="L190" s="51"/>
      <c r="M190" s="51"/>
      <c r="N190" s="51"/>
      <c r="O190" s="51"/>
    </row>
    <row r="191" spans="1:15" x14ac:dyDescent="0.25">
      <c r="A191" s="101"/>
      <c r="B191" s="50"/>
      <c r="C191" s="50"/>
      <c r="D191" s="50"/>
      <c r="E191" s="50"/>
      <c r="F191" s="50"/>
      <c r="G191" s="49"/>
      <c r="H191" s="49"/>
      <c r="I191" s="49"/>
      <c r="J191" s="51"/>
      <c r="K191" s="51"/>
      <c r="L191" s="51"/>
      <c r="M191" s="51"/>
      <c r="N191" s="51"/>
      <c r="O191" s="51"/>
    </row>
    <row r="192" spans="1:15" x14ac:dyDescent="0.25">
      <c r="A192" s="101"/>
      <c r="B192" s="50"/>
      <c r="C192" s="50"/>
      <c r="D192" s="50"/>
      <c r="E192" s="50"/>
      <c r="F192" s="50"/>
      <c r="G192" s="49"/>
      <c r="H192" s="49"/>
      <c r="I192" s="49"/>
      <c r="J192" s="51"/>
      <c r="K192" s="51"/>
      <c r="L192" s="51"/>
      <c r="M192" s="51"/>
      <c r="N192" s="51"/>
      <c r="O192" s="51"/>
    </row>
    <row r="193" spans="1:15" x14ac:dyDescent="0.25">
      <c r="A193" s="101"/>
      <c r="B193" s="50"/>
      <c r="C193" s="50"/>
      <c r="D193" s="50"/>
      <c r="E193" s="50"/>
      <c r="F193" s="50"/>
      <c r="G193" s="49"/>
      <c r="H193" s="49"/>
      <c r="I193" s="49"/>
      <c r="J193" s="51"/>
      <c r="K193" s="51"/>
      <c r="L193" s="51"/>
      <c r="M193" s="51"/>
      <c r="N193" s="51"/>
      <c r="O193" s="51"/>
    </row>
    <row r="194" spans="1:15" x14ac:dyDescent="0.25">
      <c r="A194" s="101"/>
      <c r="B194" s="50"/>
      <c r="C194" s="50"/>
      <c r="D194" s="50"/>
      <c r="E194" s="50"/>
      <c r="F194" s="50"/>
      <c r="G194" s="49"/>
      <c r="H194" s="49"/>
      <c r="I194" s="49"/>
      <c r="J194" s="51"/>
      <c r="K194" s="51"/>
      <c r="L194" s="51"/>
      <c r="M194" s="51"/>
      <c r="N194" s="51"/>
      <c r="O194" s="51"/>
    </row>
    <row r="195" spans="1:15" x14ac:dyDescent="0.25">
      <c r="A195" s="101"/>
      <c r="B195" s="50"/>
      <c r="C195" s="50"/>
      <c r="D195" s="50"/>
      <c r="E195" s="50"/>
      <c r="F195" s="50"/>
      <c r="G195" s="49"/>
      <c r="H195" s="49"/>
      <c r="I195" s="49"/>
      <c r="J195" s="51"/>
      <c r="K195" s="51"/>
      <c r="L195" s="51"/>
      <c r="M195" s="51"/>
      <c r="N195" s="51"/>
      <c r="O195" s="51"/>
    </row>
    <row r="196" spans="1:15" x14ac:dyDescent="0.25">
      <c r="A196" s="101"/>
      <c r="B196" s="50"/>
      <c r="C196" s="50"/>
      <c r="D196" s="50"/>
      <c r="E196" s="50"/>
      <c r="F196" s="50"/>
      <c r="G196" s="49"/>
      <c r="H196" s="49"/>
      <c r="I196" s="49"/>
      <c r="J196" s="51"/>
      <c r="K196" s="51"/>
      <c r="L196" s="51"/>
      <c r="M196" s="51"/>
      <c r="N196" s="51"/>
      <c r="O196" s="51"/>
    </row>
    <row r="197" spans="1:15" x14ac:dyDescent="0.25">
      <c r="A197" s="101"/>
      <c r="B197" s="50"/>
      <c r="C197" s="50"/>
      <c r="D197" s="50"/>
      <c r="E197" s="50"/>
      <c r="F197" s="50"/>
      <c r="G197" s="49"/>
      <c r="H197" s="49"/>
      <c r="I197" s="49"/>
      <c r="J197" s="51"/>
      <c r="K197" s="51"/>
      <c r="L197" s="51"/>
      <c r="M197" s="51"/>
      <c r="N197" s="51"/>
      <c r="O197" s="51"/>
    </row>
    <row r="198" spans="1:15" x14ac:dyDescent="0.25">
      <c r="A198" s="101"/>
      <c r="B198" s="50"/>
      <c r="C198" s="50"/>
      <c r="D198" s="50"/>
      <c r="E198" s="50"/>
      <c r="F198" s="50"/>
      <c r="G198" s="49"/>
      <c r="H198" s="49"/>
      <c r="I198" s="49"/>
      <c r="J198" s="51"/>
      <c r="K198" s="51"/>
      <c r="L198" s="51"/>
      <c r="M198" s="51"/>
      <c r="N198" s="51"/>
      <c r="O198" s="51"/>
    </row>
    <row r="199" spans="1:15" x14ac:dyDescent="0.25">
      <c r="A199" s="101"/>
      <c r="B199" s="50"/>
      <c r="C199" s="50"/>
      <c r="D199" s="50"/>
      <c r="E199" s="50"/>
      <c r="F199" s="50"/>
      <c r="G199" s="49"/>
      <c r="H199" s="49"/>
      <c r="I199" s="49"/>
      <c r="J199" s="51"/>
      <c r="K199" s="51"/>
      <c r="L199" s="51"/>
      <c r="M199" s="51"/>
      <c r="N199" s="51"/>
      <c r="O199" s="51"/>
    </row>
    <row r="200" spans="1:15" x14ac:dyDescent="0.25">
      <c r="A200" s="101"/>
      <c r="B200" s="50"/>
      <c r="C200" s="50"/>
      <c r="D200" s="50"/>
      <c r="E200" s="50"/>
      <c r="F200" s="50"/>
      <c r="G200" s="49"/>
      <c r="H200" s="49"/>
      <c r="I200" s="49"/>
      <c r="J200" s="51"/>
      <c r="K200" s="51"/>
      <c r="L200" s="51"/>
      <c r="M200" s="51"/>
      <c r="N200" s="51"/>
      <c r="O200" s="51"/>
    </row>
    <row r="201" spans="1:15" x14ac:dyDescent="0.25">
      <c r="A201" s="101"/>
      <c r="B201" s="50"/>
      <c r="C201" s="50"/>
      <c r="D201" s="50"/>
      <c r="E201" s="50"/>
      <c r="F201" s="50"/>
      <c r="G201" s="49"/>
      <c r="H201" s="49"/>
      <c r="I201" s="49"/>
      <c r="J201" s="51"/>
      <c r="K201" s="51"/>
      <c r="L201" s="51"/>
      <c r="M201" s="51"/>
      <c r="N201" s="51"/>
      <c r="O201" s="51"/>
    </row>
    <row r="202" spans="1:15" x14ac:dyDescent="0.25">
      <c r="A202" s="101"/>
      <c r="B202" s="50"/>
      <c r="C202" s="50"/>
      <c r="D202" s="50"/>
      <c r="E202" s="50"/>
      <c r="F202" s="50"/>
      <c r="G202" s="49"/>
      <c r="H202" s="49"/>
      <c r="I202" s="49"/>
      <c r="J202" s="51"/>
      <c r="K202" s="51"/>
      <c r="L202" s="51"/>
      <c r="M202" s="51"/>
      <c r="N202" s="51"/>
      <c r="O202" s="51"/>
    </row>
    <row r="203" spans="1:15" x14ac:dyDescent="0.25">
      <c r="A203" s="101"/>
      <c r="B203" s="50"/>
      <c r="C203" s="50"/>
      <c r="D203" s="50"/>
      <c r="E203" s="50"/>
      <c r="F203" s="50"/>
      <c r="G203" s="49"/>
      <c r="H203" s="49"/>
      <c r="I203" s="49"/>
      <c r="J203" s="51"/>
      <c r="K203" s="51"/>
      <c r="L203" s="51"/>
      <c r="M203" s="51"/>
      <c r="N203" s="51"/>
      <c r="O203" s="51"/>
    </row>
    <row r="204" spans="1:15" x14ac:dyDescent="0.25">
      <c r="A204" s="101"/>
      <c r="B204" s="50"/>
      <c r="C204" s="50"/>
      <c r="D204" s="50"/>
      <c r="E204" s="50"/>
      <c r="F204" s="50"/>
      <c r="G204" s="49"/>
      <c r="H204" s="49"/>
      <c r="I204" s="49"/>
      <c r="J204" s="51"/>
      <c r="K204" s="51"/>
      <c r="L204" s="51"/>
      <c r="M204" s="51"/>
      <c r="N204" s="51"/>
      <c r="O204" s="51"/>
    </row>
    <row r="205" spans="1:15" x14ac:dyDescent="0.25">
      <c r="A205" s="101"/>
      <c r="B205" s="50"/>
      <c r="C205" s="50"/>
      <c r="D205" s="50"/>
      <c r="E205" s="50"/>
      <c r="F205" s="50"/>
      <c r="G205" s="49"/>
      <c r="H205" s="49"/>
      <c r="I205" s="49"/>
      <c r="J205" s="51"/>
      <c r="K205" s="51"/>
      <c r="L205" s="51"/>
      <c r="M205" s="51"/>
      <c r="N205" s="51"/>
      <c r="O205" s="51"/>
    </row>
    <row r="206" spans="1:15" x14ac:dyDescent="0.25">
      <c r="A206" s="101"/>
      <c r="B206" s="50"/>
      <c r="C206" s="50"/>
      <c r="D206" s="50"/>
      <c r="E206" s="50"/>
      <c r="F206" s="50"/>
      <c r="G206" s="49"/>
      <c r="H206" s="49"/>
      <c r="I206" s="49"/>
      <c r="J206" s="51"/>
      <c r="K206" s="51"/>
      <c r="L206" s="51"/>
      <c r="M206" s="51"/>
      <c r="N206" s="51"/>
      <c r="O206" s="51"/>
    </row>
    <row r="207" spans="1:15" x14ac:dyDescent="0.25">
      <c r="A207" s="101"/>
      <c r="B207" s="50"/>
      <c r="C207" s="50"/>
      <c r="D207" s="50"/>
      <c r="E207" s="50"/>
      <c r="F207" s="50"/>
      <c r="G207" s="49"/>
      <c r="H207" s="49"/>
      <c r="I207" s="49"/>
      <c r="J207" s="51"/>
      <c r="K207" s="51"/>
      <c r="L207" s="51"/>
      <c r="M207" s="51"/>
      <c r="N207" s="51"/>
      <c r="O207" s="51"/>
    </row>
    <row r="208" spans="1:15" x14ac:dyDescent="0.25">
      <c r="A208" s="101"/>
      <c r="B208" s="50"/>
      <c r="C208" s="50"/>
      <c r="D208" s="50"/>
      <c r="E208" s="50"/>
      <c r="F208" s="50"/>
      <c r="G208" s="49"/>
      <c r="H208" s="49"/>
      <c r="I208" s="49"/>
      <c r="J208" s="51"/>
      <c r="K208" s="51"/>
      <c r="L208" s="51"/>
      <c r="M208" s="51"/>
      <c r="N208" s="51"/>
      <c r="O208" s="51"/>
    </row>
    <row r="209" spans="1:15" x14ac:dyDescent="0.25">
      <c r="A209" s="101"/>
      <c r="B209" s="50"/>
      <c r="C209" s="50"/>
      <c r="D209" s="50"/>
      <c r="E209" s="50"/>
      <c r="F209" s="50"/>
      <c r="G209" s="49"/>
      <c r="H209" s="49"/>
      <c r="I209" s="49"/>
      <c r="J209" s="51"/>
      <c r="K209" s="51"/>
      <c r="L209" s="51"/>
      <c r="M209" s="51"/>
      <c r="N209" s="51"/>
      <c r="O209" s="51"/>
    </row>
    <row r="210" spans="1:15" x14ac:dyDescent="0.25">
      <c r="A210" s="101"/>
      <c r="B210" s="50"/>
      <c r="C210" s="50"/>
      <c r="D210" s="50"/>
      <c r="E210" s="50"/>
      <c r="F210" s="50"/>
      <c r="G210" s="49"/>
      <c r="H210" s="49"/>
      <c r="I210" s="49"/>
      <c r="J210" s="51"/>
      <c r="K210" s="51"/>
      <c r="L210" s="51"/>
      <c r="M210" s="51"/>
      <c r="N210" s="51"/>
      <c r="O210" s="51"/>
    </row>
    <row r="211" spans="1:15" x14ac:dyDescent="0.25">
      <c r="A211" s="101"/>
      <c r="B211" s="17"/>
      <c r="C211" s="17"/>
      <c r="D211" s="17"/>
      <c r="E211" s="17"/>
      <c r="F211" s="17"/>
      <c r="G211" s="17"/>
      <c r="H211" s="17"/>
      <c r="I211" s="17"/>
      <c r="J211" s="17"/>
      <c r="K211" s="17"/>
      <c r="L211" s="17"/>
      <c r="M211" s="17"/>
      <c r="N211" s="17"/>
      <c r="O211" s="17"/>
    </row>
    <row r="212" spans="1:15" x14ac:dyDescent="0.25">
      <c r="A212" s="130" t="s">
        <v>398</v>
      </c>
      <c r="B212" s="130"/>
      <c r="C212" s="130"/>
      <c r="D212" s="131">
        <f>SUM(D7:D211)</f>
        <v>11861809.240000004</v>
      </c>
      <c r="E212" s="131">
        <f>SUM(E7:E211)</f>
        <v>11528780.02</v>
      </c>
      <c r="F212" s="132">
        <f>(D212-E212)/E212</f>
        <v>2.888677027597621E-2</v>
      </c>
      <c r="G212" s="131">
        <f>SUM(G7:G211)</f>
        <v>294661</v>
      </c>
      <c r="H212" s="131">
        <f>SUM(H7:H211)</f>
        <v>119030</v>
      </c>
      <c r="I212" s="132">
        <f>(G212-H212)/H212</f>
        <v>1.4755187767789633</v>
      </c>
      <c r="J212" s="131">
        <f>SUM(J7:J211)</f>
        <v>6044610</v>
      </c>
      <c r="K212" s="131">
        <f>SUM(K7:K211)</f>
        <v>6129369</v>
      </c>
      <c r="L212" s="132">
        <f>(J212-K212)/K212</f>
        <v>-1.3828340241874817E-2</v>
      </c>
      <c r="M212" s="131">
        <f>SUM(M7:M211)</f>
        <v>5560016</v>
      </c>
      <c r="N212" s="131">
        <f>SUM(N7:N211)</f>
        <v>5351375</v>
      </c>
      <c r="O212" s="132">
        <f>(M212-N212)/N212</f>
        <v>3.8988297400200884E-2</v>
      </c>
    </row>
  </sheetData>
  <autoFilter ref="A6:O6">
    <sortState ref="A7:O154">
      <sortCondition ref="A6"/>
    </sortState>
  </autoFilter>
  <mergeCells count="9">
    <mergeCell ref="A3:O3"/>
    <mergeCell ref="A4:A5"/>
    <mergeCell ref="B4:C4"/>
    <mergeCell ref="D4:O4"/>
    <mergeCell ref="B5:C5"/>
    <mergeCell ref="D5:F5"/>
    <mergeCell ref="G5:I5"/>
    <mergeCell ref="J5:L5"/>
    <mergeCell ref="M5:O5"/>
  </mergeCells>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1"/>
  <sheetViews>
    <sheetView workbookViewId="0">
      <pane ySplit="6" topLeftCell="A172" activePane="bottomLeft" state="frozen"/>
      <selection pane="bottomLeft" activeCell="H185" sqref="H185"/>
    </sheetView>
  </sheetViews>
  <sheetFormatPr defaultRowHeight="15" x14ac:dyDescent="0.25"/>
  <cols>
    <col min="1" max="1" width="14.5703125" bestFit="1" customWidth="1"/>
    <col min="2" max="3" width="9.28515625" bestFit="1" customWidth="1"/>
    <col min="4" max="4" width="11.28515625" bestFit="1" customWidth="1"/>
    <col min="5" max="5" width="12.7109375" customWidth="1"/>
    <col min="6" max="6" width="10.28515625" bestFit="1" customWidth="1"/>
    <col min="7" max="8" width="12.5703125" customWidth="1"/>
    <col min="9" max="9" width="9.28515625" bestFit="1" customWidth="1"/>
    <col min="10" max="11" width="11.28515625" bestFit="1" customWidth="1"/>
    <col min="12" max="12" width="9.28515625" bestFit="1" customWidth="1"/>
    <col min="13" max="14" width="11.28515625" bestFit="1" customWidth="1"/>
    <col min="15" max="15" width="9.28515625" bestFit="1" customWidth="1"/>
  </cols>
  <sheetData>
    <row r="2" spans="1:15" ht="23.25" customHeight="1" thickBot="1" x14ac:dyDescent="0.3"/>
    <row r="3" spans="1:15" ht="20.25" customHeight="1" thickBot="1" x14ac:dyDescent="0.3">
      <c r="A3" s="301" t="s">
        <v>315</v>
      </c>
      <c r="B3" s="298"/>
      <c r="C3" s="298"/>
      <c r="D3" s="298"/>
      <c r="E3" s="298"/>
      <c r="F3" s="298"/>
      <c r="G3" s="298"/>
      <c r="H3" s="298"/>
      <c r="I3" s="298"/>
      <c r="J3" s="298"/>
      <c r="K3" s="298"/>
      <c r="L3" s="298"/>
      <c r="M3" s="298"/>
      <c r="N3" s="298"/>
      <c r="O3" s="299"/>
    </row>
    <row r="4" spans="1:15" x14ac:dyDescent="0.25">
      <c r="A4" s="302" t="s">
        <v>330</v>
      </c>
      <c r="B4" s="302" t="s">
        <v>308</v>
      </c>
      <c r="C4" s="302"/>
      <c r="D4" s="302" t="s">
        <v>361</v>
      </c>
      <c r="E4" s="302"/>
      <c r="F4" s="302"/>
      <c r="G4" s="302"/>
      <c r="H4" s="302"/>
      <c r="I4" s="302"/>
      <c r="J4" s="302"/>
      <c r="K4" s="302"/>
      <c r="L4" s="302"/>
      <c r="M4" s="302"/>
      <c r="N4" s="302"/>
      <c r="O4" s="302"/>
    </row>
    <row r="5" spans="1:15" x14ac:dyDescent="0.25">
      <c r="A5" s="303"/>
      <c r="B5" s="303" t="s">
        <v>312</v>
      </c>
      <c r="C5" s="303"/>
      <c r="D5" s="303" t="s">
        <v>315</v>
      </c>
      <c r="E5" s="303"/>
      <c r="F5" s="303"/>
      <c r="G5" s="303" t="s">
        <v>362</v>
      </c>
      <c r="H5" s="303"/>
      <c r="I5" s="303"/>
      <c r="J5" s="303" t="s">
        <v>363</v>
      </c>
      <c r="K5" s="303"/>
      <c r="L5" s="303"/>
      <c r="M5" s="303" t="s">
        <v>364</v>
      </c>
      <c r="N5" s="303"/>
      <c r="O5" s="303"/>
    </row>
    <row r="6" spans="1:15" x14ac:dyDescent="0.25">
      <c r="A6" s="34" t="s">
        <v>318</v>
      </c>
      <c r="B6" s="21">
        <f>'Total Value'!B6</f>
        <v>45981</v>
      </c>
      <c r="C6" s="34" t="s">
        <v>328</v>
      </c>
      <c r="D6" s="21">
        <f>B6</f>
        <v>45981</v>
      </c>
      <c r="E6" s="34" t="s">
        <v>322</v>
      </c>
      <c r="F6" s="34" t="s">
        <v>328</v>
      </c>
      <c r="G6" s="21">
        <f>D6</f>
        <v>45981</v>
      </c>
      <c r="H6" s="34" t="s">
        <v>322</v>
      </c>
      <c r="I6" s="34" t="s">
        <v>328</v>
      </c>
      <c r="J6" s="21">
        <f>D6</f>
        <v>45981</v>
      </c>
      <c r="K6" s="34" t="s">
        <v>322</v>
      </c>
      <c r="L6" s="34" t="s">
        <v>328</v>
      </c>
      <c r="M6" s="21">
        <f>D6</f>
        <v>45981</v>
      </c>
      <c r="N6" s="34" t="s">
        <v>322</v>
      </c>
      <c r="O6" s="34" t="s">
        <v>328</v>
      </c>
    </row>
    <row r="7" spans="1:15" x14ac:dyDescent="0.25">
      <c r="A7" s="101" t="str">
        <f>'Data shares'!C2</f>
        <v>360ONE</v>
      </c>
      <c r="B7" s="50">
        <f>VLOOKUP($A7,'Data shares'!$C:$FB,7)</f>
        <v>1142.0999999999999</v>
      </c>
      <c r="C7" s="50">
        <f>VLOOKUP($A7,'Data shares'!$C:$FB,10)*100</f>
        <v>2.0500000000000003</v>
      </c>
      <c r="D7" s="49">
        <f>VLOOKUP($A7,'Data shares'!$C:$FB,66)</f>
        <v>15743500</v>
      </c>
      <c r="E7" s="49">
        <f>VLOOKUP($A7,'Data shares'!$C:$FB,67)</f>
        <v>11379500</v>
      </c>
      <c r="F7" s="50">
        <f>VLOOKUP($A7,'Data shares'!$C:$FB,69)*100</f>
        <v>38.35</v>
      </c>
      <c r="G7" s="49">
        <f>VLOOKUP($A7,'Data shares'!$C:$FB,42)</f>
        <v>3462500</v>
      </c>
      <c r="H7" s="49">
        <f>VLOOKUP($A7,'Data shares'!$C:$FB,43)</f>
        <v>1681500</v>
      </c>
      <c r="I7" s="50">
        <f>VLOOKUP($A7,'Data shares'!$C:$FB,45)*100</f>
        <v>105.91999999999999</v>
      </c>
      <c r="J7" s="49">
        <f>VLOOKUP($A7,'Data shares'!$C:$FB,58)</f>
        <v>9340000</v>
      </c>
      <c r="K7" s="49">
        <f>VLOOKUP($A7,'Data shares'!$C:$FB,59)</f>
        <v>7395000</v>
      </c>
      <c r="L7" s="50">
        <f>VLOOKUP($A7,'Data shares'!$C:$FB,61)*100</f>
        <v>26.3</v>
      </c>
      <c r="M7" s="49">
        <f>VLOOKUP($A7,'Data shares'!$C:$FB,62)</f>
        <v>2941000</v>
      </c>
      <c r="N7" s="49">
        <f>VLOOKUP($A7,'Data shares'!$C:$FB,63)</f>
        <v>2303000</v>
      </c>
      <c r="O7" s="140">
        <f>VLOOKUP($A7,'Data shares'!$C:$FB,65)*100</f>
        <v>27.700000000000003</v>
      </c>
    </row>
    <row r="8" spans="1:15" x14ac:dyDescent="0.25">
      <c r="A8" s="101" t="str">
        <f>'Data shares'!C3</f>
        <v>ABB</v>
      </c>
      <c r="B8" s="50">
        <f>VLOOKUP($A8,'Data shares'!$C:$FB,7)</f>
        <v>5147</v>
      </c>
      <c r="C8" s="50">
        <f>VLOOKUP($A8,'Data shares'!$C:$FB,10)*100</f>
        <v>1.26</v>
      </c>
      <c r="D8" s="49">
        <f>VLOOKUP($A8,'Data shares'!$C:$FB,66)</f>
        <v>8096000</v>
      </c>
      <c r="E8" s="49">
        <f>VLOOKUP($A8,'Data shares'!$C:$FB,67)</f>
        <v>3951875</v>
      </c>
      <c r="F8" s="50">
        <f>VLOOKUP($A8,'Data shares'!$C:$FB,69)*100</f>
        <v>104.86</v>
      </c>
      <c r="G8" s="49">
        <f>VLOOKUP($A8,'Data shares'!$C:$FB,42)</f>
        <v>3141375</v>
      </c>
      <c r="H8" s="49">
        <f>VLOOKUP($A8,'Data shares'!$C:$FB,43)</f>
        <v>710000</v>
      </c>
      <c r="I8" s="50">
        <f>VLOOKUP($A8,'Data shares'!$C:$FB,45)*100</f>
        <v>342.45</v>
      </c>
      <c r="J8" s="49">
        <f>VLOOKUP($A8,'Data shares'!$C:$FB,58)</f>
        <v>3535750</v>
      </c>
      <c r="K8" s="49">
        <f>VLOOKUP($A8,'Data shares'!$C:$FB,59)</f>
        <v>2306000</v>
      </c>
      <c r="L8" s="50">
        <f>VLOOKUP($A8,'Data shares'!$C:$FB,61)*100</f>
        <v>53.33</v>
      </c>
      <c r="M8" s="49">
        <f>VLOOKUP($A8,'Data shares'!$C:$FB,62)</f>
        <v>1418875</v>
      </c>
      <c r="N8" s="49">
        <f>VLOOKUP($A8,'Data shares'!$C:$FB,63)</f>
        <v>935875</v>
      </c>
      <c r="O8" s="140">
        <f>VLOOKUP($A8,'Data shares'!$C:$FB,65)*100</f>
        <v>51.61</v>
      </c>
    </row>
    <row r="9" spans="1:15" x14ac:dyDescent="0.25">
      <c r="A9" s="101" t="str">
        <f>'Data shares'!C4</f>
        <v>ABCAPITAL</v>
      </c>
      <c r="B9" s="50">
        <f>VLOOKUP($A9,'Data shares'!$C:$FB,7)</f>
        <v>327.85</v>
      </c>
      <c r="C9" s="50">
        <f>VLOOKUP($A9,'Data shares'!$C:$FB,10)*100</f>
        <v>-0.85000000000000009</v>
      </c>
      <c r="D9" s="49">
        <f>VLOOKUP($A9,'Data shares'!$C:$FB,66)</f>
        <v>69901900</v>
      </c>
      <c r="E9" s="49">
        <f>VLOOKUP($A9,'Data shares'!$C:$FB,67)</f>
        <v>42718000</v>
      </c>
      <c r="F9" s="50">
        <f>VLOOKUP($A9,'Data shares'!$C:$FB,69)*100</f>
        <v>63.639999999999993</v>
      </c>
      <c r="G9" s="49">
        <f>VLOOKUP($A9,'Data shares'!$C:$FB,42)</f>
        <v>39568400</v>
      </c>
      <c r="H9" s="49">
        <f>VLOOKUP($A9,'Data shares'!$C:$FB,43)</f>
        <v>9117100</v>
      </c>
      <c r="I9" s="50">
        <f>VLOOKUP($A9,'Data shares'!$C:$FB,45)*100</f>
        <v>334</v>
      </c>
      <c r="J9" s="49">
        <f>VLOOKUP($A9,'Data shares'!$C:$FB,58)</f>
        <v>20469300</v>
      </c>
      <c r="K9" s="49">
        <f>VLOOKUP($A9,'Data shares'!$C:$FB,59)</f>
        <v>25435500</v>
      </c>
      <c r="L9" s="50">
        <f>VLOOKUP($A9,'Data shares'!$C:$FB,61)*100</f>
        <v>-19.52</v>
      </c>
      <c r="M9" s="49">
        <f>VLOOKUP($A9,'Data shares'!$C:$FB,62)</f>
        <v>9864200</v>
      </c>
      <c r="N9" s="49">
        <f>VLOOKUP($A9,'Data shares'!$C:$FB,63)</f>
        <v>8165400</v>
      </c>
      <c r="O9" s="140">
        <f>VLOOKUP($A9,'Data shares'!$C:$FB,65)*100</f>
        <v>20.8</v>
      </c>
    </row>
    <row r="10" spans="1:15" x14ac:dyDescent="0.25">
      <c r="A10" s="101" t="str">
        <f>'Data shares'!C5</f>
        <v>ADANIENSOL</v>
      </c>
      <c r="B10" s="50">
        <f>VLOOKUP($A10,'Data shares'!$C:$FB,7)</f>
        <v>993.6</v>
      </c>
      <c r="C10" s="50">
        <f>VLOOKUP($A10,'Data shares'!$C:$FB,10)*100</f>
        <v>-1.26</v>
      </c>
      <c r="D10" s="49">
        <f>VLOOKUP($A10,'Data shares'!$C:$FB,66)</f>
        <v>39700125</v>
      </c>
      <c r="E10" s="49">
        <f>VLOOKUP($A10,'Data shares'!$C:$FB,67)</f>
        <v>46077525</v>
      </c>
      <c r="F10" s="50">
        <f>VLOOKUP($A10,'Data shares'!$C:$FB,69)*100</f>
        <v>-13.84</v>
      </c>
      <c r="G10" s="49">
        <f>VLOOKUP($A10,'Data shares'!$C:$FB,42)</f>
        <v>15566850</v>
      </c>
      <c r="H10" s="49">
        <f>VLOOKUP($A10,'Data shares'!$C:$FB,43)</f>
        <v>4246425</v>
      </c>
      <c r="I10" s="50">
        <f>VLOOKUP($A10,'Data shares'!$C:$FB,45)*100</f>
        <v>266.59000000000003</v>
      </c>
      <c r="J10" s="49">
        <f>VLOOKUP($A10,'Data shares'!$C:$FB,58)</f>
        <v>19684350</v>
      </c>
      <c r="K10" s="49">
        <f>VLOOKUP($A10,'Data shares'!$C:$FB,59)</f>
        <v>32328450</v>
      </c>
      <c r="L10" s="50">
        <f>VLOOKUP($A10,'Data shares'!$C:$FB,61)*100</f>
        <v>-39.11</v>
      </c>
      <c r="M10" s="49">
        <f>VLOOKUP($A10,'Data shares'!$C:$FB,62)</f>
        <v>4448925</v>
      </c>
      <c r="N10" s="49">
        <f>VLOOKUP($A10,'Data shares'!$C:$FB,63)</f>
        <v>9502650</v>
      </c>
      <c r="O10" s="140">
        <f>VLOOKUP($A10,'Data shares'!$C:$FB,65)*100</f>
        <v>-53.180000000000007</v>
      </c>
    </row>
    <row r="11" spans="1:15" x14ac:dyDescent="0.25">
      <c r="A11" s="101" t="str">
        <f>'Data shares'!C6</f>
        <v>ADANIENT</v>
      </c>
      <c r="B11" s="50">
        <f>VLOOKUP($A11,'Data shares'!$C:$FB,7)</f>
        <v>2446.1</v>
      </c>
      <c r="C11" s="50">
        <f>VLOOKUP($A11,'Data shares'!$C:$FB,10)*100</f>
        <v>0.53</v>
      </c>
      <c r="D11" s="49">
        <f>VLOOKUP($A11,'Data shares'!$C:$FB,66)</f>
        <v>50364528</v>
      </c>
      <c r="E11" s="49">
        <f>VLOOKUP($A11,'Data shares'!$C:$FB,67)</f>
        <v>22661751</v>
      </c>
      <c r="F11" s="50">
        <f>VLOOKUP($A11,'Data shares'!$C:$FB,69)*100</f>
        <v>122.24</v>
      </c>
      <c r="G11" s="49">
        <f>VLOOKUP($A11,'Data shares'!$C:$FB,42)</f>
        <v>7025115</v>
      </c>
      <c r="H11" s="49">
        <f>VLOOKUP($A11,'Data shares'!$C:$FB,43)</f>
        <v>2389806</v>
      </c>
      <c r="I11" s="50">
        <f>VLOOKUP($A11,'Data shares'!$C:$FB,45)*100</f>
        <v>193.96</v>
      </c>
      <c r="J11" s="49">
        <f>VLOOKUP($A11,'Data shares'!$C:$FB,58)</f>
        <v>31599885</v>
      </c>
      <c r="K11" s="49">
        <f>VLOOKUP($A11,'Data shares'!$C:$FB,59)</f>
        <v>13423578</v>
      </c>
      <c r="L11" s="50">
        <f>VLOOKUP($A11,'Data shares'!$C:$FB,61)*100</f>
        <v>135.41</v>
      </c>
      <c r="M11" s="49">
        <f>VLOOKUP($A11,'Data shares'!$C:$FB,62)</f>
        <v>11739528</v>
      </c>
      <c r="N11" s="49">
        <f>VLOOKUP($A11,'Data shares'!$C:$FB,63)</f>
        <v>6848367</v>
      </c>
      <c r="O11" s="140">
        <f>VLOOKUP($A11,'Data shares'!$C:$FB,65)*100</f>
        <v>71.419999999999987</v>
      </c>
    </row>
    <row r="12" spans="1:15" x14ac:dyDescent="0.25">
      <c r="A12" s="101" t="str">
        <f>'Data shares'!C7</f>
        <v>ADANIGREEN</v>
      </c>
      <c r="B12" s="50">
        <f>VLOOKUP($A12,'Data shares'!$C:$FB,7)</f>
        <v>1060</v>
      </c>
      <c r="C12" s="50">
        <f>VLOOKUP($A12,'Data shares'!$C:$FB,10)*100</f>
        <v>-0.92999999999999994</v>
      </c>
      <c r="D12" s="49">
        <f>VLOOKUP($A12,'Data shares'!$C:$FB,66)</f>
        <v>43024200</v>
      </c>
      <c r="E12" s="49">
        <f>VLOOKUP($A12,'Data shares'!$C:$FB,67)</f>
        <v>67338000</v>
      </c>
      <c r="F12" s="50">
        <f>VLOOKUP($A12,'Data shares'!$C:$FB,69)*100</f>
        <v>-36.11</v>
      </c>
      <c r="G12" s="49">
        <f>VLOOKUP($A12,'Data shares'!$C:$FB,42)</f>
        <v>9385800</v>
      </c>
      <c r="H12" s="49">
        <f>VLOOKUP($A12,'Data shares'!$C:$FB,43)</f>
        <v>6637800</v>
      </c>
      <c r="I12" s="50">
        <f>VLOOKUP($A12,'Data shares'!$C:$FB,45)*100</f>
        <v>41.4</v>
      </c>
      <c r="J12" s="49">
        <f>VLOOKUP($A12,'Data shares'!$C:$FB,58)</f>
        <v>25437600</v>
      </c>
      <c r="K12" s="49">
        <f>VLOOKUP($A12,'Data shares'!$C:$FB,59)</f>
        <v>44522400</v>
      </c>
      <c r="L12" s="50">
        <f>VLOOKUP($A12,'Data shares'!$C:$FB,61)*100</f>
        <v>-42.870000000000005</v>
      </c>
      <c r="M12" s="49">
        <f>VLOOKUP($A12,'Data shares'!$C:$FB,62)</f>
        <v>8200800</v>
      </c>
      <c r="N12" s="49">
        <f>VLOOKUP($A12,'Data shares'!$C:$FB,63)</f>
        <v>16177800</v>
      </c>
      <c r="O12" s="140">
        <f>VLOOKUP($A12,'Data shares'!$C:$FB,65)*100</f>
        <v>-49.309999999999995</v>
      </c>
    </row>
    <row r="13" spans="1:15" x14ac:dyDescent="0.25">
      <c r="A13" s="101" t="str">
        <f>'Data shares'!C8</f>
        <v>ADANIPORTS</v>
      </c>
      <c r="B13" s="50">
        <f>VLOOKUP($A13,'Data shares'!$C:$FB,7)</f>
        <v>1491.1</v>
      </c>
      <c r="C13" s="50">
        <f>VLOOKUP($A13,'Data shares'!$C:$FB,10)*100</f>
        <v>0.45999999999999996</v>
      </c>
      <c r="D13" s="49">
        <f>VLOOKUP($A13,'Data shares'!$C:$FB,66)</f>
        <v>41272275</v>
      </c>
      <c r="E13" s="49">
        <f>VLOOKUP($A13,'Data shares'!$C:$FB,67)</f>
        <v>29765875</v>
      </c>
      <c r="F13" s="50">
        <f>VLOOKUP($A13,'Data shares'!$C:$FB,69)*100</f>
        <v>38.659999999999997</v>
      </c>
      <c r="G13" s="49">
        <f>VLOOKUP($A13,'Data shares'!$C:$FB,42)</f>
        <v>11609475</v>
      </c>
      <c r="H13" s="49">
        <f>VLOOKUP($A13,'Data shares'!$C:$FB,43)</f>
        <v>4654050</v>
      </c>
      <c r="I13" s="50">
        <f>VLOOKUP($A13,'Data shares'!$C:$FB,45)*100</f>
        <v>149.44999999999999</v>
      </c>
      <c r="J13" s="49">
        <f>VLOOKUP($A13,'Data shares'!$C:$FB,58)</f>
        <v>21808675</v>
      </c>
      <c r="K13" s="49">
        <f>VLOOKUP($A13,'Data shares'!$C:$FB,59)</f>
        <v>17140375</v>
      </c>
      <c r="L13" s="50">
        <f>VLOOKUP($A13,'Data shares'!$C:$FB,61)*100</f>
        <v>27.24</v>
      </c>
      <c r="M13" s="49">
        <f>VLOOKUP($A13,'Data shares'!$C:$FB,62)</f>
        <v>7854125</v>
      </c>
      <c r="N13" s="49">
        <f>VLOOKUP($A13,'Data shares'!$C:$FB,63)</f>
        <v>7971450</v>
      </c>
      <c r="O13" s="140">
        <f>VLOOKUP($A13,'Data shares'!$C:$FB,65)*100</f>
        <v>-1.47</v>
      </c>
    </row>
    <row r="14" spans="1:15" x14ac:dyDescent="0.25">
      <c r="A14" s="101" t="str">
        <f>'Data shares'!C9</f>
        <v>ALKEM</v>
      </c>
      <c r="B14" s="50">
        <f>VLOOKUP($A14,'Data shares'!$C:$FB,7)</f>
        <v>5700</v>
      </c>
      <c r="C14" s="50">
        <f>VLOOKUP($A14,'Data shares'!$C:$FB,10)*100</f>
        <v>-0.42</v>
      </c>
      <c r="D14" s="49">
        <f>VLOOKUP($A14,'Data shares'!$C:$FB,66)</f>
        <v>1649000</v>
      </c>
      <c r="E14" s="49">
        <f>VLOOKUP($A14,'Data shares'!$C:$FB,67)</f>
        <v>1052500</v>
      </c>
      <c r="F14" s="50">
        <f>VLOOKUP($A14,'Data shares'!$C:$FB,69)*100</f>
        <v>56.67</v>
      </c>
      <c r="G14" s="49">
        <f>VLOOKUP($A14,'Data shares'!$C:$FB,42)</f>
        <v>742500</v>
      </c>
      <c r="H14" s="49">
        <f>VLOOKUP($A14,'Data shares'!$C:$FB,43)</f>
        <v>130750</v>
      </c>
      <c r="I14" s="50">
        <f>VLOOKUP($A14,'Data shares'!$C:$FB,45)*100</f>
        <v>467.88</v>
      </c>
      <c r="J14" s="49">
        <f>VLOOKUP($A14,'Data shares'!$C:$FB,58)</f>
        <v>664625</v>
      </c>
      <c r="K14" s="49">
        <f>VLOOKUP($A14,'Data shares'!$C:$FB,59)</f>
        <v>767875</v>
      </c>
      <c r="L14" s="50">
        <f>VLOOKUP($A14,'Data shares'!$C:$FB,61)*100</f>
        <v>-13.450000000000001</v>
      </c>
      <c r="M14" s="49">
        <f>VLOOKUP($A14,'Data shares'!$C:$FB,62)</f>
        <v>241875</v>
      </c>
      <c r="N14" s="49">
        <f>VLOOKUP($A14,'Data shares'!$C:$FB,63)</f>
        <v>153875</v>
      </c>
      <c r="O14" s="140">
        <f>VLOOKUP($A14,'Data shares'!$C:$FB,65)*100</f>
        <v>57.19</v>
      </c>
    </row>
    <row r="15" spans="1:15" x14ac:dyDescent="0.25">
      <c r="A15" s="101" t="str">
        <f>'Data shares'!C10</f>
        <v>AMBER</v>
      </c>
      <c r="B15" s="50">
        <f>VLOOKUP($A15,'Data shares'!$C:$FB,7)</f>
        <v>7256.5</v>
      </c>
      <c r="C15" s="50">
        <f>VLOOKUP($A15,'Data shares'!$C:$FB,10)*100</f>
        <v>-2.08</v>
      </c>
      <c r="D15" s="49">
        <f>VLOOKUP($A15,'Data shares'!$C:$FB,66)</f>
        <v>4636000</v>
      </c>
      <c r="E15" s="49">
        <f>VLOOKUP($A15,'Data shares'!$C:$FB,67)</f>
        <v>2621700</v>
      </c>
      <c r="F15" s="50">
        <f>VLOOKUP($A15,'Data shares'!$C:$FB,69)*100</f>
        <v>76.83</v>
      </c>
      <c r="G15" s="49">
        <f>VLOOKUP($A15,'Data shares'!$C:$FB,42)</f>
        <v>1045500</v>
      </c>
      <c r="H15" s="49">
        <f>VLOOKUP($A15,'Data shares'!$C:$FB,43)</f>
        <v>308900</v>
      </c>
      <c r="I15" s="50">
        <f>VLOOKUP($A15,'Data shares'!$C:$FB,45)*100</f>
        <v>238.45999999999998</v>
      </c>
      <c r="J15" s="49">
        <f>VLOOKUP($A15,'Data shares'!$C:$FB,58)</f>
        <v>2343000</v>
      </c>
      <c r="K15" s="49">
        <f>VLOOKUP($A15,'Data shares'!$C:$FB,59)</f>
        <v>1720300</v>
      </c>
      <c r="L15" s="50">
        <f>VLOOKUP($A15,'Data shares'!$C:$FB,61)*100</f>
        <v>36.199999999999996</v>
      </c>
      <c r="M15" s="49">
        <f>VLOOKUP($A15,'Data shares'!$C:$FB,62)</f>
        <v>1247500</v>
      </c>
      <c r="N15" s="49">
        <f>VLOOKUP($A15,'Data shares'!$C:$FB,63)</f>
        <v>592500</v>
      </c>
      <c r="O15" s="140">
        <f>VLOOKUP($A15,'Data shares'!$C:$FB,65)*100</f>
        <v>110.55</v>
      </c>
    </row>
    <row r="16" spans="1:15" x14ac:dyDescent="0.25">
      <c r="A16" s="101" t="str">
        <f>'Data shares'!C11</f>
        <v>AMBUJACEM</v>
      </c>
      <c r="B16" s="50">
        <f>VLOOKUP($A16,'Data shares'!$C:$FB,7)</f>
        <v>555.75</v>
      </c>
      <c r="C16" s="50">
        <f>VLOOKUP($A16,'Data shares'!$C:$FB,10)*100</f>
        <v>0.08</v>
      </c>
      <c r="D16" s="49">
        <f>VLOOKUP($A16,'Data shares'!$C:$FB,66)</f>
        <v>44668050</v>
      </c>
      <c r="E16" s="49">
        <f>VLOOKUP($A16,'Data shares'!$C:$FB,67)</f>
        <v>25763850</v>
      </c>
      <c r="F16" s="50">
        <f>VLOOKUP($A16,'Data shares'!$C:$FB,69)*100</f>
        <v>73.37</v>
      </c>
      <c r="G16" s="49">
        <f>VLOOKUP($A16,'Data shares'!$C:$FB,42)</f>
        <v>19428150</v>
      </c>
      <c r="H16" s="49">
        <f>VLOOKUP($A16,'Data shares'!$C:$FB,43)</f>
        <v>4457250</v>
      </c>
      <c r="I16" s="50">
        <f>VLOOKUP($A16,'Data shares'!$C:$FB,45)*100</f>
        <v>335.88</v>
      </c>
      <c r="J16" s="49">
        <f>VLOOKUP($A16,'Data shares'!$C:$FB,58)</f>
        <v>18943050</v>
      </c>
      <c r="K16" s="49">
        <f>VLOOKUP($A16,'Data shares'!$C:$FB,59)</f>
        <v>16083900</v>
      </c>
      <c r="L16" s="50">
        <f>VLOOKUP($A16,'Data shares'!$C:$FB,61)*100</f>
        <v>17.78</v>
      </c>
      <c r="M16" s="49">
        <f>VLOOKUP($A16,'Data shares'!$C:$FB,62)</f>
        <v>6296850</v>
      </c>
      <c r="N16" s="49">
        <f>VLOOKUP($A16,'Data shares'!$C:$FB,63)</f>
        <v>5222700</v>
      </c>
      <c r="O16" s="140">
        <f>VLOOKUP($A16,'Data shares'!$C:$FB,65)*100</f>
        <v>20.57</v>
      </c>
    </row>
    <row r="17" spans="1:15" x14ac:dyDescent="0.25">
      <c r="A17" s="101" t="str">
        <f>'Data shares'!C12</f>
        <v>ANGELONE</v>
      </c>
      <c r="B17" s="50">
        <f>VLOOKUP($A17,'Data shares'!$C:$FB,7)</f>
        <v>2814.3</v>
      </c>
      <c r="C17" s="50">
        <f>VLOOKUP($A17,'Data shares'!$C:$FB,10)*100</f>
        <v>0.01</v>
      </c>
      <c r="D17" s="49">
        <f>VLOOKUP($A17,'Data shares'!$C:$FB,66)</f>
        <v>17311000</v>
      </c>
      <c r="E17" s="49">
        <f>VLOOKUP($A17,'Data shares'!$C:$FB,67)</f>
        <v>12190000</v>
      </c>
      <c r="F17" s="50">
        <f>VLOOKUP($A17,'Data shares'!$C:$FB,69)*100</f>
        <v>42.01</v>
      </c>
      <c r="G17" s="49">
        <f>VLOOKUP($A17,'Data shares'!$C:$FB,42)</f>
        <v>3141750</v>
      </c>
      <c r="H17" s="49">
        <f>VLOOKUP($A17,'Data shares'!$C:$FB,43)</f>
        <v>1388500</v>
      </c>
      <c r="I17" s="50">
        <f>VLOOKUP($A17,'Data shares'!$C:$FB,45)*100</f>
        <v>126.27</v>
      </c>
      <c r="J17" s="49">
        <f>VLOOKUP($A17,'Data shares'!$C:$FB,58)</f>
        <v>8822500</v>
      </c>
      <c r="K17" s="49">
        <f>VLOOKUP($A17,'Data shares'!$C:$FB,59)</f>
        <v>6496500</v>
      </c>
      <c r="L17" s="50">
        <f>VLOOKUP($A17,'Data shares'!$C:$FB,61)*100</f>
        <v>35.799999999999997</v>
      </c>
      <c r="M17" s="49">
        <f>VLOOKUP($A17,'Data shares'!$C:$FB,62)</f>
        <v>5346750</v>
      </c>
      <c r="N17" s="49">
        <f>VLOOKUP($A17,'Data shares'!$C:$FB,63)</f>
        <v>4305000</v>
      </c>
      <c r="O17" s="140">
        <f>VLOOKUP($A17,'Data shares'!$C:$FB,65)*100</f>
        <v>24.2</v>
      </c>
    </row>
    <row r="18" spans="1:15" x14ac:dyDescent="0.25">
      <c r="A18" s="101" t="str">
        <f>'Data shares'!C13</f>
        <v>APLAPOLLO</v>
      </c>
      <c r="B18" s="50">
        <f>VLOOKUP($A18,'Data shares'!$C:$FB,7)</f>
        <v>1721.2</v>
      </c>
      <c r="C18" s="50">
        <f>VLOOKUP($A18,'Data shares'!$C:$FB,10)*100</f>
        <v>0.02</v>
      </c>
      <c r="D18" s="49">
        <f>VLOOKUP($A18,'Data shares'!$C:$FB,66)</f>
        <v>8299900</v>
      </c>
      <c r="E18" s="49">
        <f>VLOOKUP($A18,'Data shares'!$C:$FB,67)</f>
        <v>5110700</v>
      </c>
      <c r="F18" s="50">
        <f>VLOOKUP($A18,'Data shares'!$C:$FB,69)*100</f>
        <v>62.4</v>
      </c>
      <c r="G18" s="49">
        <f>VLOOKUP($A18,'Data shares'!$C:$FB,42)</f>
        <v>4296600</v>
      </c>
      <c r="H18" s="49">
        <f>VLOOKUP($A18,'Data shares'!$C:$FB,43)</f>
        <v>1548400</v>
      </c>
      <c r="I18" s="50">
        <f>VLOOKUP($A18,'Data shares'!$C:$FB,45)*100</f>
        <v>177.48999999999998</v>
      </c>
      <c r="J18" s="49">
        <f>VLOOKUP($A18,'Data shares'!$C:$FB,58)</f>
        <v>2898700</v>
      </c>
      <c r="K18" s="49">
        <f>VLOOKUP($A18,'Data shares'!$C:$FB,59)</f>
        <v>2592800</v>
      </c>
      <c r="L18" s="50">
        <f>VLOOKUP($A18,'Data shares'!$C:$FB,61)*100</f>
        <v>11.799999999999999</v>
      </c>
      <c r="M18" s="49">
        <f>VLOOKUP($A18,'Data shares'!$C:$FB,62)</f>
        <v>1104600</v>
      </c>
      <c r="N18" s="49">
        <f>VLOOKUP($A18,'Data shares'!$C:$FB,63)</f>
        <v>969500</v>
      </c>
      <c r="O18" s="140">
        <f>VLOOKUP($A18,'Data shares'!$C:$FB,65)*100</f>
        <v>13.94</v>
      </c>
    </row>
    <row r="19" spans="1:15" x14ac:dyDescent="0.25">
      <c r="A19" s="101" t="str">
        <f>'Data shares'!C14</f>
        <v>APOLLOHOSP</v>
      </c>
      <c r="B19" s="50">
        <f>VLOOKUP($A19,'Data shares'!$C:$FB,7)</f>
        <v>7423</v>
      </c>
      <c r="C19" s="50">
        <f>VLOOKUP($A19,'Data shares'!$C:$FB,10)*100</f>
        <v>-0.48</v>
      </c>
      <c r="D19" s="49">
        <f>VLOOKUP($A19,'Data shares'!$C:$FB,66)</f>
        <v>4865625</v>
      </c>
      <c r="E19" s="49">
        <f>VLOOKUP($A19,'Data shares'!$C:$FB,67)</f>
        <v>7328625</v>
      </c>
      <c r="F19" s="50">
        <f>VLOOKUP($A19,'Data shares'!$C:$FB,69)*100</f>
        <v>-33.61</v>
      </c>
      <c r="G19" s="49">
        <f>VLOOKUP($A19,'Data shares'!$C:$FB,42)</f>
        <v>1298375</v>
      </c>
      <c r="H19" s="49">
        <f>VLOOKUP($A19,'Data shares'!$C:$FB,43)</f>
        <v>618250</v>
      </c>
      <c r="I19" s="50">
        <f>VLOOKUP($A19,'Data shares'!$C:$FB,45)*100</f>
        <v>110.01</v>
      </c>
      <c r="J19" s="49">
        <f>VLOOKUP($A19,'Data shares'!$C:$FB,58)</f>
        <v>2700000</v>
      </c>
      <c r="K19" s="49">
        <f>VLOOKUP($A19,'Data shares'!$C:$FB,59)</f>
        <v>5164500</v>
      </c>
      <c r="L19" s="50">
        <f>VLOOKUP($A19,'Data shares'!$C:$FB,61)*100</f>
        <v>-47.72</v>
      </c>
      <c r="M19" s="49">
        <f>VLOOKUP($A19,'Data shares'!$C:$FB,62)</f>
        <v>867250</v>
      </c>
      <c r="N19" s="49">
        <f>VLOOKUP($A19,'Data shares'!$C:$FB,63)</f>
        <v>1545875</v>
      </c>
      <c r="O19" s="140">
        <f>VLOOKUP($A19,'Data shares'!$C:$FB,65)*100</f>
        <v>-43.9</v>
      </c>
    </row>
    <row r="20" spans="1:15" x14ac:dyDescent="0.25">
      <c r="A20" s="101" t="str">
        <f>'Data shares'!C15</f>
        <v>ASHOKLEY</v>
      </c>
      <c r="B20" s="50">
        <f>VLOOKUP($A20,'Data shares'!$C:$FB,7)</f>
        <v>146.24</v>
      </c>
      <c r="C20" s="50">
        <f>VLOOKUP($A20,'Data shares'!$C:$FB,10)*100</f>
        <v>0.54</v>
      </c>
      <c r="D20" s="49">
        <f>VLOOKUP($A20,'Data shares'!$C:$FB,66)</f>
        <v>250760000</v>
      </c>
      <c r="E20" s="49">
        <f>VLOOKUP($A20,'Data shares'!$C:$FB,67)</f>
        <v>147800000</v>
      </c>
      <c r="F20" s="50">
        <f>VLOOKUP($A20,'Data shares'!$C:$FB,69)*100</f>
        <v>69.66</v>
      </c>
      <c r="G20" s="49">
        <f>VLOOKUP($A20,'Data shares'!$C:$FB,42)</f>
        <v>126870000</v>
      </c>
      <c r="H20" s="49">
        <f>VLOOKUP($A20,'Data shares'!$C:$FB,43)</f>
        <v>28050000</v>
      </c>
      <c r="I20" s="50">
        <f>VLOOKUP($A20,'Data shares'!$C:$FB,45)*100</f>
        <v>352.3</v>
      </c>
      <c r="J20" s="49">
        <f>VLOOKUP($A20,'Data shares'!$C:$FB,58)</f>
        <v>85765000</v>
      </c>
      <c r="K20" s="49">
        <f>VLOOKUP($A20,'Data shares'!$C:$FB,59)</f>
        <v>79180000</v>
      </c>
      <c r="L20" s="50">
        <f>VLOOKUP($A20,'Data shares'!$C:$FB,61)*100</f>
        <v>8.32</v>
      </c>
      <c r="M20" s="49">
        <f>VLOOKUP($A20,'Data shares'!$C:$FB,62)</f>
        <v>38125000</v>
      </c>
      <c r="N20" s="49">
        <f>VLOOKUP($A20,'Data shares'!$C:$FB,63)</f>
        <v>40570000</v>
      </c>
      <c r="O20" s="140">
        <f>VLOOKUP($A20,'Data shares'!$C:$FB,65)*100</f>
        <v>-6.03</v>
      </c>
    </row>
    <row r="21" spans="1:15" x14ac:dyDescent="0.25">
      <c r="A21" s="101" t="str">
        <f>'Data shares'!C16</f>
        <v>ASIANPAINT</v>
      </c>
      <c r="B21" s="50">
        <f>VLOOKUP($A21,'Data shares'!$C:$FB,7)</f>
        <v>2859.8</v>
      </c>
      <c r="C21" s="50">
        <f>VLOOKUP($A21,'Data shares'!$C:$FB,10)*100</f>
        <v>-1.17</v>
      </c>
      <c r="D21" s="49">
        <f>VLOOKUP($A21,'Data shares'!$C:$FB,66)</f>
        <v>39493000</v>
      </c>
      <c r="E21" s="49">
        <f>VLOOKUP($A21,'Data shares'!$C:$FB,67)</f>
        <v>25545000</v>
      </c>
      <c r="F21" s="50">
        <f>VLOOKUP($A21,'Data shares'!$C:$FB,69)*100</f>
        <v>54.6</v>
      </c>
      <c r="G21" s="49">
        <f>VLOOKUP($A21,'Data shares'!$C:$FB,42)</f>
        <v>6140500</v>
      </c>
      <c r="H21" s="49">
        <f>VLOOKUP($A21,'Data shares'!$C:$FB,43)</f>
        <v>2179750</v>
      </c>
      <c r="I21" s="50">
        <f>VLOOKUP($A21,'Data shares'!$C:$FB,45)*100</f>
        <v>181.70999999999998</v>
      </c>
      <c r="J21" s="49">
        <f>VLOOKUP($A21,'Data shares'!$C:$FB,58)</f>
        <v>19841500</v>
      </c>
      <c r="K21" s="49">
        <f>VLOOKUP($A21,'Data shares'!$C:$FB,59)</f>
        <v>12570000</v>
      </c>
      <c r="L21" s="50">
        <f>VLOOKUP($A21,'Data shares'!$C:$FB,61)*100</f>
        <v>57.85</v>
      </c>
      <c r="M21" s="49">
        <f>VLOOKUP($A21,'Data shares'!$C:$FB,62)</f>
        <v>13511000</v>
      </c>
      <c r="N21" s="49">
        <f>VLOOKUP($A21,'Data shares'!$C:$FB,63)</f>
        <v>10795250</v>
      </c>
      <c r="O21" s="140">
        <f>VLOOKUP($A21,'Data shares'!$C:$FB,65)*100</f>
        <v>25.16</v>
      </c>
    </row>
    <row r="22" spans="1:15" x14ac:dyDescent="0.25">
      <c r="A22" s="101" t="str">
        <f>'Data shares'!C17</f>
        <v>ASTRAL</v>
      </c>
      <c r="B22" s="50">
        <f>VLOOKUP($A22,'Data shares'!$C:$FB,7)</f>
        <v>1462.4</v>
      </c>
      <c r="C22" s="50">
        <f>VLOOKUP($A22,'Data shares'!$C:$FB,10)*100</f>
        <v>0.98</v>
      </c>
      <c r="D22" s="49">
        <f>VLOOKUP($A22,'Data shares'!$C:$FB,66)</f>
        <v>13968475</v>
      </c>
      <c r="E22" s="49">
        <f>VLOOKUP($A22,'Data shares'!$C:$FB,67)</f>
        <v>10616925</v>
      </c>
      <c r="F22" s="50">
        <f>VLOOKUP($A22,'Data shares'!$C:$FB,69)*100</f>
        <v>31.569999999999997</v>
      </c>
      <c r="G22" s="49">
        <f>VLOOKUP($A22,'Data shares'!$C:$FB,42)</f>
        <v>7096225</v>
      </c>
      <c r="H22" s="49">
        <f>VLOOKUP($A22,'Data shares'!$C:$FB,43)</f>
        <v>1887425</v>
      </c>
      <c r="I22" s="50">
        <f>VLOOKUP($A22,'Data shares'!$C:$FB,45)*100</f>
        <v>275.97000000000003</v>
      </c>
      <c r="J22" s="49">
        <f>VLOOKUP($A22,'Data shares'!$C:$FB,58)</f>
        <v>5050700</v>
      </c>
      <c r="K22" s="49">
        <f>VLOOKUP($A22,'Data shares'!$C:$FB,59)</f>
        <v>6432800</v>
      </c>
      <c r="L22" s="50">
        <f>VLOOKUP($A22,'Data shares'!$C:$FB,61)*100</f>
        <v>-21.490000000000002</v>
      </c>
      <c r="M22" s="49">
        <f>VLOOKUP($A22,'Data shares'!$C:$FB,62)</f>
        <v>1821550</v>
      </c>
      <c r="N22" s="49">
        <f>VLOOKUP($A22,'Data shares'!$C:$FB,63)</f>
        <v>2296700</v>
      </c>
      <c r="O22" s="140">
        <f>VLOOKUP($A22,'Data shares'!$C:$FB,65)*100</f>
        <v>-20.69</v>
      </c>
    </row>
    <row r="23" spans="1:15" x14ac:dyDescent="0.25">
      <c r="A23" s="101" t="str">
        <f>'Data shares'!C18</f>
        <v>AUBANK</v>
      </c>
      <c r="B23" s="50">
        <f>VLOOKUP($A23,'Data shares'!$C:$FB,7)</f>
        <v>919.3</v>
      </c>
      <c r="C23" s="50">
        <f>VLOOKUP($A23,'Data shares'!$C:$FB,10)*100</f>
        <v>-0.69</v>
      </c>
      <c r="D23" s="49">
        <f>VLOOKUP($A23,'Data shares'!$C:$FB,66)</f>
        <v>23260000</v>
      </c>
      <c r="E23" s="49">
        <f>VLOOKUP($A23,'Data shares'!$C:$FB,67)</f>
        <v>29591000</v>
      </c>
      <c r="F23" s="50">
        <f>VLOOKUP($A23,'Data shares'!$C:$FB,69)*100</f>
        <v>-21.4</v>
      </c>
      <c r="G23" s="49">
        <f>VLOOKUP($A23,'Data shares'!$C:$FB,42)</f>
        <v>10330000</v>
      </c>
      <c r="H23" s="49">
        <f>VLOOKUP($A23,'Data shares'!$C:$FB,43)</f>
        <v>5293000</v>
      </c>
      <c r="I23" s="50">
        <f>VLOOKUP($A23,'Data shares'!$C:$FB,45)*100</f>
        <v>95.16</v>
      </c>
      <c r="J23" s="49">
        <f>VLOOKUP($A23,'Data shares'!$C:$FB,58)</f>
        <v>7289000</v>
      </c>
      <c r="K23" s="49">
        <f>VLOOKUP($A23,'Data shares'!$C:$FB,59)</f>
        <v>15379000</v>
      </c>
      <c r="L23" s="50">
        <f>VLOOKUP($A23,'Data shares'!$C:$FB,61)*100</f>
        <v>-52.6</v>
      </c>
      <c r="M23" s="49">
        <f>VLOOKUP($A23,'Data shares'!$C:$FB,62)</f>
        <v>5641000</v>
      </c>
      <c r="N23" s="49">
        <f>VLOOKUP($A23,'Data shares'!$C:$FB,63)</f>
        <v>8919000</v>
      </c>
      <c r="O23" s="140">
        <f>VLOOKUP($A23,'Data shares'!$C:$FB,65)*100</f>
        <v>-36.75</v>
      </c>
    </row>
    <row r="24" spans="1:15" x14ac:dyDescent="0.25">
      <c r="A24" s="101" t="str">
        <f>'Data shares'!C19</f>
        <v>AUROPHARMA</v>
      </c>
      <c r="B24" s="50">
        <f>VLOOKUP($A24,'Data shares'!$C:$FB,7)</f>
        <v>1207.7</v>
      </c>
      <c r="C24" s="50">
        <f>VLOOKUP($A24,'Data shares'!$C:$FB,10)*100</f>
        <v>-2.27</v>
      </c>
      <c r="D24" s="49">
        <f>VLOOKUP($A24,'Data shares'!$C:$FB,66)</f>
        <v>30149900</v>
      </c>
      <c r="E24" s="49">
        <f>VLOOKUP($A24,'Data shares'!$C:$FB,67)</f>
        <v>13697200</v>
      </c>
      <c r="F24" s="50">
        <f>VLOOKUP($A24,'Data shares'!$C:$FB,69)*100</f>
        <v>120.12</v>
      </c>
      <c r="G24" s="49">
        <f>VLOOKUP($A24,'Data shares'!$C:$FB,42)</f>
        <v>13323750</v>
      </c>
      <c r="H24" s="49">
        <f>VLOOKUP($A24,'Data shares'!$C:$FB,43)</f>
        <v>3665200</v>
      </c>
      <c r="I24" s="50">
        <f>VLOOKUP($A24,'Data shares'!$C:$FB,45)*100</f>
        <v>263.52000000000004</v>
      </c>
      <c r="J24" s="49">
        <f>VLOOKUP($A24,'Data shares'!$C:$FB,58)</f>
        <v>8840700</v>
      </c>
      <c r="K24" s="49">
        <f>VLOOKUP($A24,'Data shares'!$C:$FB,59)</f>
        <v>5779950</v>
      </c>
      <c r="L24" s="50">
        <f>VLOOKUP($A24,'Data shares'!$C:$FB,61)*100</f>
        <v>52.949999999999996</v>
      </c>
      <c r="M24" s="49">
        <f>VLOOKUP($A24,'Data shares'!$C:$FB,62)</f>
        <v>7985450</v>
      </c>
      <c r="N24" s="49">
        <f>VLOOKUP($A24,'Data shares'!$C:$FB,63)</f>
        <v>4252050</v>
      </c>
      <c r="O24" s="140">
        <f>VLOOKUP($A24,'Data shares'!$C:$FB,65)*100</f>
        <v>87.8</v>
      </c>
    </row>
    <row r="25" spans="1:15" x14ac:dyDescent="0.25">
      <c r="A25" s="101" t="str">
        <f>'Data shares'!C20</f>
        <v>AXISBANK</v>
      </c>
      <c r="B25" s="50">
        <f>VLOOKUP($A25,'Data shares'!$C:$FB,7)</f>
        <v>1285.2</v>
      </c>
      <c r="C25" s="50">
        <f>VLOOKUP($A25,'Data shares'!$C:$FB,10)*100</f>
        <v>1.1599999999999999</v>
      </c>
      <c r="D25" s="49">
        <f>VLOOKUP($A25,'Data shares'!$C:$FB,66)</f>
        <v>186382500</v>
      </c>
      <c r="E25" s="49">
        <f>VLOOKUP($A25,'Data shares'!$C:$FB,67)</f>
        <v>85191875</v>
      </c>
      <c r="F25" s="50">
        <f>VLOOKUP($A25,'Data shares'!$C:$FB,69)*100</f>
        <v>118.78</v>
      </c>
      <c r="G25" s="49">
        <f>VLOOKUP($A25,'Data shares'!$C:$FB,42)</f>
        <v>67015000</v>
      </c>
      <c r="H25" s="49">
        <f>VLOOKUP($A25,'Data shares'!$C:$FB,43)</f>
        <v>16516250</v>
      </c>
      <c r="I25" s="50">
        <f>VLOOKUP($A25,'Data shares'!$C:$FB,45)*100</f>
        <v>305.75</v>
      </c>
      <c r="J25" s="49">
        <f>VLOOKUP($A25,'Data shares'!$C:$FB,58)</f>
        <v>79431250</v>
      </c>
      <c r="K25" s="49">
        <f>VLOOKUP($A25,'Data shares'!$C:$FB,59)</f>
        <v>44776250</v>
      </c>
      <c r="L25" s="50">
        <f>VLOOKUP($A25,'Data shares'!$C:$FB,61)*100</f>
        <v>77.400000000000006</v>
      </c>
      <c r="M25" s="49">
        <f>VLOOKUP($A25,'Data shares'!$C:$FB,62)</f>
        <v>39936250</v>
      </c>
      <c r="N25" s="49">
        <f>VLOOKUP($A25,'Data shares'!$C:$FB,63)</f>
        <v>23899375</v>
      </c>
      <c r="O25" s="140">
        <f>VLOOKUP($A25,'Data shares'!$C:$FB,65)*100</f>
        <v>67.100000000000009</v>
      </c>
    </row>
    <row r="26" spans="1:15" x14ac:dyDescent="0.25">
      <c r="A26" s="101" t="str">
        <f>'Data shares'!C21</f>
        <v>BAJAJ-AUTO</v>
      </c>
      <c r="B26" s="50">
        <f>VLOOKUP($A26,'Data shares'!$C:$FB,7)</f>
        <v>8979.5</v>
      </c>
      <c r="C26" s="50">
        <f>VLOOKUP($A26,'Data shares'!$C:$FB,10)*100</f>
        <v>1.0699999999999998</v>
      </c>
      <c r="D26" s="49">
        <f>VLOOKUP($A26,'Data shares'!$C:$FB,66)</f>
        <v>10457250</v>
      </c>
      <c r="E26" s="49">
        <f>VLOOKUP($A26,'Data shares'!$C:$FB,67)</f>
        <v>4331475</v>
      </c>
      <c r="F26" s="50">
        <f>VLOOKUP($A26,'Data shares'!$C:$FB,69)*100</f>
        <v>141.41999999999999</v>
      </c>
      <c r="G26" s="49">
        <f>VLOOKUP($A26,'Data shares'!$C:$FB,42)</f>
        <v>3171225</v>
      </c>
      <c r="H26" s="49">
        <f>VLOOKUP($A26,'Data shares'!$C:$FB,43)</f>
        <v>480600</v>
      </c>
      <c r="I26" s="50">
        <f>VLOOKUP($A26,'Data shares'!$C:$FB,45)*100</f>
        <v>559.84999999999991</v>
      </c>
      <c r="J26" s="49">
        <f>VLOOKUP($A26,'Data shares'!$C:$FB,58)</f>
        <v>5063550</v>
      </c>
      <c r="K26" s="49">
        <f>VLOOKUP($A26,'Data shares'!$C:$FB,59)</f>
        <v>2792250</v>
      </c>
      <c r="L26" s="50">
        <f>VLOOKUP($A26,'Data shares'!$C:$FB,61)*100</f>
        <v>81.34</v>
      </c>
      <c r="M26" s="49">
        <f>VLOOKUP($A26,'Data shares'!$C:$FB,62)</f>
        <v>2222475</v>
      </c>
      <c r="N26" s="49">
        <f>VLOOKUP($A26,'Data shares'!$C:$FB,63)</f>
        <v>1058625</v>
      </c>
      <c r="O26" s="140">
        <f>VLOOKUP($A26,'Data shares'!$C:$FB,65)*100</f>
        <v>109.94</v>
      </c>
    </row>
    <row r="27" spans="1:15" x14ac:dyDescent="0.25">
      <c r="A27" s="101" t="str">
        <f>'Data shares'!C22</f>
        <v>BAJAJFINSV</v>
      </c>
      <c r="B27" s="50">
        <f>VLOOKUP($A27,'Data shares'!$C:$FB,7)</f>
        <v>2095.6</v>
      </c>
      <c r="C27" s="50">
        <f>VLOOKUP($A27,'Data shares'!$C:$FB,10)*100</f>
        <v>2.21</v>
      </c>
      <c r="D27" s="49">
        <f>VLOOKUP($A27,'Data shares'!$C:$FB,66)</f>
        <v>46338250</v>
      </c>
      <c r="E27" s="49">
        <f>VLOOKUP($A27,'Data shares'!$C:$FB,67)</f>
        <v>16991250</v>
      </c>
      <c r="F27" s="50">
        <f>VLOOKUP($A27,'Data shares'!$C:$FB,69)*100</f>
        <v>172.72</v>
      </c>
      <c r="G27" s="49">
        <f>VLOOKUP($A27,'Data shares'!$C:$FB,42)</f>
        <v>12470500</v>
      </c>
      <c r="H27" s="49">
        <f>VLOOKUP($A27,'Data shares'!$C:$FB,43)</f>
        <v>4199500</v>
      </c>
      <c r="I27" s="50">
        <f>VLOOKUP($A27,'Data shares'!$C:$FB,45)*100</f>
        <v>196.95</v>
      </c>
      <c r="J27" s="49">
        <f>VLOOKUP($A27,'Data shares'!$C:$FB,58)</f>
        <v>24621000</v>
      </c>
      <c r="K27" s="49">
        <f>VLOOKUP($A27,'Data shares'!$C:$FB,59)</f>
        <v>8942500</v>
      </c>
      <c r="L27" s="50">
        <f>VLOOKUP($A27,'Data shares'!$C:$FB,61)*100</f>
        <v>175.33</v>
      </c>
      <c r="M27" s="49">
        <f>VLOOKUP($A27,'Data shares'!$C:$FB,62)</f>
        <v>9246750</v>
      </c>
      <c r="N27" s="49">
        <f>VLOOKUP($A27,'Data shares'!$C:$FB,63)</f>
        <v>3849250</v>
      </c>
      <c r="O27" s="140">
        <f>VLOOKUP($A27,'Data shares'!$C:$FB,65)*100</f>
        <v>140.22</v>
      </c>
    </row>
    <row r="28" spans="1:15" x14ac:dyDescent="0.25">
      <c r="A28" s="101" t="str">
        <f>'Data shares'!C23</f>
        <v>BAJFINANCE</v>
      </c>
      <c r="B28" s="50">
        <f>VLOOKUP($A28,'Data shares'!$C:$FB,7)</f>
        <v>1028.5999999999999</v>
      </c>
      <c r="C28" s="50">
        <f>VLOOKUP($A28,'Data shares'!$C:$FB,10)*100</f>
        <v>2.29</v>
      </c>
      <c r="D28" s="49">
        <f>VLOOKUP($A28,'Data shares'!$C:$FB,66)</f>
        <v>141645750</v>
      </c>
      <c r="E28" s="49">
        <f>VLOOKUP($A28,'Data shares'!$C:$FB,67)</f>
        <v>64251750</v>
      </c>
      <c r="F28" s="50">
        <f>VLOOKUP($A28,'Data shares'!$C:$FB,69)*100</f>
        <v>120.44999999999999</v>
      </c>
      <c r="G28" s="49">
        <f>VLOOKUP($A28,'Data shares'!$C:$FB,42)</f>
        <v>63412500</v>
      </c>
      <c r="H28" s="49">
        <f>VLOOKUP($A28,'Data shares'!$C:$FB,43)</f>
        <v>11743500</v>
      </c>
      <c r="I28" s="50">
        <f>VLOOKUP($A28,'Data shares'!$C:$FB,45)*100</f>
        <v>439.98</v>
      </c>
      <c r="J28" s="49">
        <f>VLOOKUP($A28,'Data shares'!$C:$FB,58)</f>
        <v>54257250</v>
      </c>
      <c r="K28" s="49">
        <f>VLOOKUP($A28,'Data shares'!$C:$FB,59)</f>
        <v>36599250</v>
      </c>
      <c r="L28" s="50">
        <f>VLOOKUP($A28,'Data shares'!$C:$FB,61)*100</f>
        <v>48.25</v>
      </c>
      <c r="M28" s="49">
        <f>VLOOKUP($A28,'Data shares'!$C:$FB,62)</f>
        <v>23976000</v>
      </c>
      <c r="N28" s="49">
        <f>VLOOKUP($A28,'Data shares'!$C:$FB,63)</f>
        <v>15909000</v>
      </c>
      <c r="O28" s="140">
        <f>VLOOKUP($A28,'Data shares'!$C:$FB,65)*100</f>
        <v>50.71</v>
      </c>
    </row>
    <row r="29" spans="1:15" x14ac:dyDescent="0.25">
      <c r="A29" s="101" t="str">
        <f>'Data shares'!C24</f>
        <v>BANDHANBNK</v>
      </c>
      <c r="B29" s="50">
        <f>VLOOKUP($A29,'Data shares'!$C:$FB,7)</f>
        <v>151.22</v>
      </c>
      <c r="C29" s="50">
        <f>VLOOKUP($A29,'Data shares'!$C:$FB,10)*100</f>
        <v>-1.0900000000000001</v>
      </c>
      <c r="D29" s="49">
        <f>VLOOKUP($A29,'Data shares'!$C:$FB,66)</f>
        <v>104983200</v>
      </c>
      <c r="E29" s="49">
        <f>VLOOKUP($A29,'Data shares'!$C:$FB,67)</f>
        <v>86220000</v>
      </c>
      <c r="F29" s="50">
        <f>VLOOKUP($A29,'Data shares'!$C:$FB,69)*100</f>
        <v>21.759999999999998</v>
      </c>
      <c r="G29" s="49">
        <f>VLOOKUP($A29,'Data shares'!$C:$FB,42)</f>
        <v>43873200</v>
      </c>
      <c r="H29" s="49">
        <f>VLOOKUP($A29,'Data shares'!$C:$FB,43)</f>
        <v>24728400</v>
      </c>
      <c r="I29" s="50">
        <f>VLOOKUP($A29,'Data shares'!$C:$FB,45)*100</f>
        <v>77.42</v>
      </c>
      <c r="J29" s="49">
        <f>VLOOKUP($A29,'Data shares'!$C:$FB,58)</f>
        <v>45489600</v>
      </c>
      <c r="K29" s="49">
        <f>VLOOKUP($A29,'Data shares'!$C:$FB,59)</f>
        <v>44787600</v>
      </c>
      <c r="L29" s="50">
        <f>VLOOKUP($A29,'Data shares'!$C:$FB,61)*100</f>
        <v>1.5699999999999998</v>
      </c>
      <c r="M29" s="49">
        <f>VLOOKUP($A29,'Data shares'!$C:$FB,62)</f>
        <v>15620400</v>
      </c>
      <c r="N29" s="49">
        <f>VLOOKUP($A29,'Data shares'!$C:$FB,63)</f>
        <v>16704000</v>
      </c>
      <c r="O29" s="140">
        <f>VLOOKUP($A29,'Data shares'!$C:$FB,65)*100</f>
        <v>-6.49</v>
      </c>
    </row>
    <row r="30" spans="1:15" x14ac:dyDescent="0.25">
      <c r="A30" s="101" t="str">
        <f>'Data shares'!C25</f>
        <v>BANKBARODA</v>
      </c>
      <c r="B30" s="50">
        <f>VLOOKUP($A30,'Data shares'!$C:$FB,7)</f>
        <v>288.25</v>
      </c>
      <c r="C30" s="50">
        <f>VLOOKUP($A30,'Data shares'!$C:$FB,10)*100</f>
        <v>-1.72</v>
      </c>
      <c r="D30" s="49">
        <f>VLOOKUP($A30,'Data shares'!$C:$FB,66)</f>
        <v>129586275</v>
      </c>
      <c r="E30" s="49">
        <f>VLOOKUP($A30,'Data shares'!$C:$FB,67)</f>
        <v>199739475</v>
      </c>
      <c r="F30" s="50">
        <f>VLOOKUP($A30,'Data shares'!$C:$FB,69)*100</f>
        <v>-35.120000000000005</v>
      </c>
      <c r="G30" s="49">
        <f>VLOOKUP($A30,'Data shares'!$C:$FB,42)</f>
        <v>42067350</v>
      </c>
      <c r="H30" s="49">
        <f>VLOOKUP($A30,'Data shares'!$C:$FB,43)</f>
        <v>28849275</v>
      </c>
      <c r="I30" s="50">
        <f>VLOOKUP($A30,'Data shares'!$C:$FB,45)*100</f>
        <v>45.82</v>
      </c>
      <c r="J30" s="49">
        <f>VLOOKUP($A30,'Data shares'!$C:$FB,58)</f>
        <v>58075875</v>
      </c>
      <c r="K30" s="49">
        <f>VLOOKUP($A30,'Data shares'!$C:$FB,59)</f>
        <v>117406575</v>
      </c>
      <c r="L30" s="50">
        <f>VLOOKUP($A30,'Data shares'!$C:$FB,61)*100</f>
        <v>-50.529999999999994</v>
      </c>
      <c r="M30" s="49">
        <f>VLOOKUP($A30,'Data shares'!$C:$FB,62)</f>
        <v>29443050</v>
      </c>
      <c r="N30" s="49">
        <f>VLOOKUP($A30,'Data shares'!$C:$FB,63)</f>
        <v>53483625</v>
      </c>
      <c r="O30" s="140">
        <f>VLOOKUP($A30,'Data shares'!$C:$FB,65)*100</f>
        <v>-44.95</v>
      </c>
    </row>
    <row r="31" spans="1:15" x14ac:dyDescent="0.25">
      <c r="A31" s="101" t="str">
        <f>'Data shares'!C26</f>
        <v>BANKINDIA</v>
      </c>
      <c r="B31" s="50">
        <f>VLOOKUP($A31,'Data shares'!$C:$FB,7)</f>
        <v>147.72</v>
      </c>
      <c r="C31" s="50">
        <f>VLOOKUP($A31,'Data shares'!$C:$FB,10)*100</f>
        <v>-0.59</v>
      </c>
      <c r="D31" s="49">
        <f>VLOOKUP($A31,'Data shares'!$C:$FB,66)</f>
        <v>56836000</v>
      </c>
      <c r="E31" s="49">
        <f>VLOOKUP($A31,'Data shares'!$C:$FB,67)</f>
        <v>54641600</v>
      </c>
      <c r="F31" s="50">
        <f>VLOOKUP($A31,'Data shares'!$C:$FB,69)*100</f>
        <v>4.0199999999999996</v>
      </c>
      <c r="G31" s="49">
        <f>VLOOKUP($A31,'Data shares'!$C:$FB,42)</f>
        <v>29686800</v>
      </c>
      <c r="H31" s="49">
        <f>VLOOKUP($A31,'Data shares'!$C:$FB,43)</f>
        <v>13124800</v>
      </c>
      <c r="I31" s="50">
        <f>VLOOKUP($A31,'Data shares'!$C:$FB,45)*100</f>
        <v>126.19</v>
      </c>
      <c r="J31" s="49">
        <f>VLOOKUP($A31,'Data shares'!$C:$FB,58)</f>
        <v>17160000</v>
      </c>
      <c r="K31" s="49">
        <f>VLOOKUP($A31,'Data shares'!$C:$FB,59)</f>
        <v>27045200</v>
      </c>
      <c r="L31" s="50">
        <f>VLOOKUP($A31,'Data shares'!$C:$FB,61)*100</f>
        <v>-36.549999999999997</v>
      </c>
      <c r="M31" s="49">
        <f>VLOOKUP($A31,'Data shares'!$C:$FB,62)</f>
        <v>9989200</v>
      </c>
      <c r="N31" s="49">
        <f>VLOOKUP($A31,'Data shares'!$C:$FB,63)</f>
        <v>14471600</v>
      </c>
      <c r="O31" s="140">
        <f>VLOOKUP($A31,'Data shares'!$C:$FB,65)*100</f>
        <v>-30.97</v>
      </c>
    </row>
    <row r="32" spans="1:15" x14ac:dyDescent="0.25">
      <c r="A32" s="101" t="str">
        <f>'Data shares'!C27</f>
        <v>BANKNIFTY</v>
      </c>
      <c r="B32" s="50">
        <f>VLOOKUP($A32,'Data shares'!$C:$FB,7)</f>
        <v>59347.7</v>
      </c>
      <c r="C32" s="50">
        <f>VLOOKUP($A32,'Data shares'!$C:$FB,10)*100</f>
        <v>0.22</v>
      </c>
      <c r="D32" s="49">
        <f>VLOOKUP($A32,'Data shares'!$C:$FB,66)</f>
        <v>178418695</v>
      </c>
      <c r="E32" s="49">
        <f>VLOOKUP($A32,'Data shares'!$C:$FB,67)</f>
        <v>195246555</v>
      </c>
      <c r="F32" s="50">
        <f>VLOOKUP($A32,'Data shares'!$C:$FB,69)*100</f>
        <v>-8.6199999999999992</v>
      </c>
      <c r="G32" s="49">
        <f>VLOOKUP($A32,'Data shares'!$C:$FB,42)</f>
        <v>1011640</v>
      </c>
      <c r="H32" s="49">
        <f>VLOOKUP($A32,'Data shares'!$C:$FB,43)</f>
        <v>1183105</v>
      </c>
      <c r="I32" s="50">
        <f>VLOOKUP($A32,'Data shares'!$C:$FB,45)*100</f>
        <v>-14.49</v>
      </c>
      <c r="J32" s="49">
        <f>VLOOKUP($A32,'Data shares'!$C:$FB,58)</f>
        <v>88712960</v>
      </c>
      <c r="K32" s="49">
        <f>VLOOKUP($A32,'Data shares'!$C:$FB,59)</f>
        <v>98423885</v>
      </c>
      <c r="L32" s="50">
        <f>VLOOKUP($A32,'Data shares'!$C:$FB,61)*100</f>
        <v>-9.8699999999999992</v>
      </c>
      <c r="M32" s="49">
        <f>VLOOKUP($A32,'Data shares'!$C:$FB,62)</f>
        <v>88694095</v>
      </c>
      <c r="N32" s="49">
        <f>VLOOKUP($A32,'Data shares'!$C:$FB,63)</f>
        <v>95639565</v>
      </c>
      <c r="O32" s="140">
        <f>VLOOKUP($A32,'Data shares'!$C:$FB,65)*100</f>
        <v>-7.26</v>
      </c>
    </row>
    <row r="33" spans="1:15" x14ac:dyDescent="0.25">
      <c r="A33" s="101" t="str">
        <f>'Data shares'!C28</f>
        <v>BDL</v>
      </c>
      <c r="B33" s="50">
        <f>VLOOKUP($A33,'Data shares'!$C:$FB,7)</f>
        <v>1557</v>
      </c>
      <c r="C33" s="50">
        <f>VLOOKUP($A33,'Data shares'!$C:$FB,10)*100</f>
        <v>1.31</v>
      </c>
      <c r="D33" s="49">
        <f>VLOOKUP($A33,'Data shares'!$C:$FB,66)</f>
        <v>23894325</v>
      </c>
      <c r="E33" s="49">
        <f>VLOOKUP($A33,'Data shares'!$C:$FB,67)</f>
        <v>14909700</v>
      </c>
      <c r="F33" s="50">
        <f>VLOOKUP($A33,'Data shares'!$C:$FB,69)*100</f>
        <v>60.260000000000005</v>
      </c>
      <c r="G33" s="49">
        <f>VLOOKUP($A33,'Data shares'!$C:$FB,42)</f>
        <v>3002025</v>
      </c>
      <c r="H33" s="49">
        <f>VLOOKUP($A33,'Data shares'!$C:$FB,43)</f>
        <v>1616550</v>
      </c>
      <c r="I33" s="50">
        <f>VLOOKUP($A33,'Data shares'!$C:$FB,45)*100</f>
        <v>85.71</v>
      </c>
      <c r="J33" s="49">
        <f>VLOOKUP($A33,'Data shares'!$C:$FB,58)</f>
        <v>16507075</v>
      </c>
      <c r="K33" s="49">
        <f>VLOOKUP($A33,'Data shares'!$C:$FB,59)</f>
        <v>8701875</v>
      </c>
      <c r="L33" s="50">
        <f>VLOOKUP($A33,'Data shares'!$C:$FB,61)*100</f>
        <v>89.7</v>
      </c>
      <c r="M33" s="49">
        <f>VLOOKUP($A33,'Data shares'!$C:$FB,62)</f>
        <v>4385225</v>
      </c>
      <c r="N33" s="49">
        <f>VLOOKUP($A33,'Data shares'!$C:$FB,63)</f>
        <v>4591275</v>
      </c>
      <c r="O33" s="140">
        <f>VLOOKUP($A33,'Data shares'!$C:$FB,65)*100</f>
        <v>-4.49</v>
      </c>
    </row>
    <row r="34" spans="1:15" x14ac:dyDescent="0.25">
      <c r="A34" s="101" t="str">
        <f>'Data shares'!C29</f>
        <v>BEL</v>
      </c>
      <c r="B34" s="50">
        <f>VLOOKUP($A34,'Data shares'!$C:$FB,7)</f>
        <v>423</v>
      </c>
      <c r="C34" s="50">
        <f>VLOOKUP($A34,'Data shares'!$C:$FB,10)*100</f>
        <v>-0.05</v>
      </c>
      <c r="D34" s="49">
        <f>VLOOKUP($A34,'Data shares'!$C:$FB,66)</f>
        <v>225004650</v>
      </c>
      <c r="E34" s="49">
        <f>VLOOKUP($A34,'Data shares'!$C:$FB,67)</f>
        <v>209432250</v>
      </c>
      <c r="F34" s="50">
        <f>VLOOKUP($A34,'Data shares'!$C:$FB,69)*100</f>
        <v>7.4399999999999995</v>
      </c>
      <c r="G34" s="49">
        <f>VLOOKUP($A34,'Data shares'!$C:$FB,42)</f>
        <v>44176425</v>
      </c>
      <c r="H34" s="49">
        <f>VLOOKUP($A34,'Data shares'!$C:$FB,43)</f>
        <v>19858800</v>
      </c>
      <c r="I34" s="50">
        <f>VLOOKUP($A34,'Data shares'!$C:$FB,45)*100</f>
        <v>122.44999999999999</v>
      </c>
      <c r="J34" s="49">
        <f>VLOOKUP($A34,'Data shares'!$C:$FB,58)</f>
        <v>125451300</v>
      </c>
      <c r="K34" s="49">
        <f>VLOOKUP($A34,'Data shares'!$C:$FB,59)</f>
        <v>124607700</v>
      </c>
      <c r="L34" s="50">
        <f>VLOOKUP($A34,'Data shares'!$C:$FB,61)*100</f>
        <v>0.67999999999999994</v>
      </c>
      <c r="M34" s="49">
        <f>VLOOKUP($A34,'Data shares'!$C:$FB,62)</f>
        <v>55376925</v>
      </c>
      <c r="N34" s="49">
        <f>VLOOKUP($A34,'Data shares'!$C:$FB,63)</f>
        <v>64965750</v>
      </c>
      <c r="O34" s="140">
        <f>VLOOKUP($A34,'Data shares'!$C:$FB,65)*100</f>
        <v>-14.760000000000002</v>
      </c>
    </row>
    <row r="35" spans="1:15" x14ac:dyDescent="0.25">
      <c r="A35" s="101" t="str">
        <f>'Data shares'!C30</f>
        <v>BHARATFORG</v>
      </c>
      <c r="B35" s="50">
        <f>VLOOKUP($A35,'Data shares'!$C:$FB,7)</f>
        <v>1435.4</v>
      </c>
      <c r="C35" s="50">
        <f>VLOOKUP($A35,'Data shares'!$C:$FB,10)*100</f>
        <v>-0.75</v>
      </c>
      <c r="D35" s="49">
        <f>VLOOKUP($A35,'Data shares'!$C:$FB,66)</f>
        <v>24961500</v>
      </c>
      <c r="E35" s="49">
        <f>VLOOKUP($A35,'Data shares'!$C:$FB,67)</f>
        <v>53616500</v>
      </c>
      <c r="F35" s="50">
        <f>VLOOKUP($A35,'Data shares'!$C:$FB,69)*100</f>
        <v>-53.44</v>
      </c>
      <c r="G35" s="49">
        <f>VLOOKUP($A35,'Data shares'!$C:$FB,42)</f>
        <v>7028500</v>
      </c>
      <c r="H35" s="49">
        <f>VLOOKUP($A35,'Data shares'!$C:$FB,43)</f>
        <v>5382000</v>
      </c>
      <c r="I35" s="50">
        <f>VLOOKUP($A35,'Data shares'!$C:$FB,45)*100</f>
        <v>30.59</v>
      </c>
      <c r="J35" s="49">
        <f>VLOOKUP($A35,'Data shares'!$C:$FB,58)</f>
        <v>12610500</v>
      </c>
      <c r="K35" s="49">
        <f>VLOOKUP($A35,'Data shares'!$C:$FB,59)</f>
        <v>36152500</v>
      </c>
      <c r="L35" s="50">
        <f>VLOOKUP($A35,'Data shares'!$C:$FB,61)*100</f>
        <v>-65.12</v>
      </c>
      <c r="M35" s="49">
        <f>VLOOKUP($A35,'Data shares'!$C:$FB,62)</f>
        <v>5322500</v>
      </c>
      <c r="N35" s="49">
        <f>VLOOKUP($A35,'Data shares'!$C:$FB,63)</f>
        <v>12082000</v>
      </c>
      <c r="O35" s="140">
        <f>VLOOKUP($A35,'Data shares'!$C:$FB,65)*100</f>
        <v>-55.95</v>
      </c>
    </row>
    <row r="36" spans="1:15" x14ac:dyDescent="0.25">
      <c r="A36" s="101" t="str">
        <f>'Data shares'!C31</f>
        <v>BHARTIARTL</v>
      </c>
      <c r="B36" s="50">
        <f>VLOOKUP($A36,'Data shares'!$C:$FB,7)</f>
        <v>2158.3000000000002</v>
      </c>
      <c r="C36" s="50">
        <f>VLOOKUP($A36,'Data shares'!$C:$FB,10)*100</f>
        <v>-6.9999999999999993E-2</v>
      </c>
      <c r="D36" s="49">
        <f>VLOOKUP($A36,'Data shares'!$C:$FB,66)</f>
        <v>88499625</v>
      </c>
      <c r="E36" s="49">
        <f>VLOOKUP($A36,'Data shares'!$C:$FB,67)</f>
        <v>61981325</v>
      </c>
      <c r="F36" s="50">
        <f>VLOOKUP($A36,'Data shares'!$C:$FB,69)*100</f>
        <v>42.78</v>
      </c>
      <c r="G36" s="49">
        <f>VLOOKUP($A36,'Data shares'!$C:$FB,42)</f>
        <v>26506425</v>
      </c>
      <c r="H36" s="49">
        <f>VLOOKUP($A36,'Data shares'!$C:$FB,43)</f>
        <v>6627675</v>
      </c>
      <c r="I36" s="50">
        <f>VLOOKUP($A36,'Data shares'!$C:$FB,45)*100</f>
        <v>299.94</v>
      </c>
      <c r="J36" s="49">
        <f>VLOOKUP($A36,'Data shares'!$C:$FB,58)</f>
        <v>35110575</v>
      </c>
      <c r="K36" s="49">
        <f>VLOOKUP($A36,'Data shares'!$C:$FB,59)</f>
        <v>31141475</v>
      </c>
      <c r="L36" s="50">
        <f>VLOOKUP($A36,'Data shares'!$C:$FB,61)*100</f>
        <v>12.75</v>
      </c>
      <c r="M36" s="49">
        <f>VLOOKUP($A36,'Data shares'!$C:$FB,62)</f>
        <v>26882625</v>
      </c>
      <c r="N36" s="49">
        <f>VLOOKUP($A36,'Data shares'!$C:$FB,63)</f>
        <v>24212175</v>
      </c>
      <c r="O36" s="140">
        <f>VLOOKUP($A36,'Data shares'!$C:$FB,65)*100</f>
        <v>11.03</v>
      </c>
    </row>
    <row r="37" spans="1:15" x14ac:dyDescent="0.25">
      <c r="A37" s="101" t="str">
        <f>'Data shares'!C32</f>
        <v>BHEL</v>
      </c>
      <c r="B37" s="50">
        <f>VLOOKUP($A37,'Data shares'!$C:$FB,7)</f>
        <v>285.25</v>
      </c>
      <c r="C37" s="50">
        <f>VLOOKUP($A37,'Data shares'!$C:$FB,10)*100</f>
        <v>-1.37</v>
      </c>
      <c r="D37" s="49">
        <f>VLOOKUP($A37,'Data shares'!$C:$FB,66)</f>
        <v>183295875</v>
      </c>
      <c r="E37" s="49">
        <f>VLOOKUP($A37,'Data shares'!$C:$FB,67)</f>
        <v>237935250</v>
      </c>
      <c r="F37" s="50">
        <f>VLOOKUP($A37,'Data shares'!$C:$FB,69)*100</f>
        <v>-22.96</v>
      </c>
      <c r="G37" s="49">
        <f>VLOOKUP($A37,'Data shares'!$C:$FB,42)</f>
        <v>35180250</v>
      </c>
      <c r="H37" s="49">
        <f>VLOOKUP($A37,'Data shares'!$C:$FB,43)</f>
        <v>22323000</v>
      </c>
      <c r="I37" s="50">
        <f>VLOOKUP($A37,'Data shares'!$C:$FB,45)*100</f>
        <v>57.599999999999994</v>
      </c>
      <c r="J37" s="49">
        <f>VLOOKUP($A37,'Data shares'!$C:$FB,58)</f>
        <v>96768000</v>
      </c>
      <c r="K37" s="49">
        <f>VLOOKUP($A37,'Data shares'!$C:$FB,59)</f>
        <v>142828875</v>
      </c>
      <c r="L37" s="50">
        <f>VLOOKUP($A37,'Data shares'!$C:$FB,61)*100</f>
        <v>-32.25</v>
      </c>
      <c r="M37" s="49">
        <f>VLOOKUP($A37,'Data shares'!$C:$FB,62)</f>
        <v>51347625</v>
      </c>
      <c r="N37" s="49">
        <f>VLOOKUP($A37,'Data shares'!$C:$FB,63)</f>
        <v>72783375</v>
      </c>
      <c r="O37" s="140">
        <f>VLOOKUP($A37,'Data shares'!$C:$FB,65)*100</f>
        <v>-29.45</v>
      </c>
    </row>
    <row r="38" spans="1:15" x14ac:dyDescent="0.25">
      <c r="A38" s="101" t="str">
        <f>'Data shares'!C33</f>
        <v>BIOCON</v>
      </c>
      <c r="B38" s="50">
        <f>VLOOKUP($A38,'Data shares'!$C:$FB,7)</f>
        <v>395.15</v>
      </c>
      <c r="C38" s="50">
        <f>VLOOKUP($A38,'Data shares'!$C:$FB,10)*100</f>
        <v>-3.65</v>
      </c>
      <c r="D38" s="49">
        <f>VLOOKUP($A38,'Data shares'!$C:$FB,66)</f>
        <v>269440000</v>
      </c>
      <c r="E38" s="49">
        <f>VLOOKUP($A38,'Data shares'!$C:$FB,67)</f>
        <v>149485000</v>
      </c>
      <c r="F38" s="50">
        <f>VLOOKUP($A38,'Data shares'!$C:$FB,69)*100</f>
        <v>80.25</v>
      </c>
      <c r="G38" s="49">
        <f>VLOOKUP($A38,'Data shares'!$C:$FB,42)</f>
        <v>35750000</v>
      </c>
      <c r="H38" s="49">
        <f>VLOOKUP($A38,'Data shares'!$C:$FB,43)</f>
        <v>24720000</v>
      </c>
      <c r="I38" s="50">
        <f>VLOOKUP($A38,'Data shares'!$C:$FB,45)*100</f>
        <v>44.62</v>
      </c>
      <c r="J38" s="49">
        <f>VLOOKUP($A38,'Data shares'!$C:$FB,58)</f>
        <v>141247500</v>
      </c>
      <c r="K38" s="49">
        <f>VLOOKUP($A38,'Data shares'!$C:$FB,59)</f>
        <v>75295000</v>
      </c>
      <c r="L38" s="50">
        <f>VLOOKUP($A38,'Data shares'!$C:$FB,61)*100</f>
        <v>87.59</v>
      </c>
      <c r="M38" s="49">
        <f>VLOOKUP($A38,'Data shares'!$C:$FB,62)</f>
        <v>92442500</v>
      </c>
      <c r="N38" s="49">
        <f>VLOOKUP($A38,'Data shares'!$C:$FB,63)</f>
        <v>49470000</v>
      </c>
      <c r="O38" s="140">
        <f>VLOOKUP($A38,'Data shares'!$C:$FB,65)*100</f>
        <v>86.87</v>
      </c>
    </row>
    <row r="39" spans="1:15" x14ac:dyDescent="0.25">
      <c r="A39" s="101" t="str">
        <f>'Data shares'!C34</f>
        <v>BLUESTARCO</v>
      </c>
      <c r="B39" s="50">
        <f>VLOOKUP($A39,'Data shares'!$C:$FB,7)</f>
        <v>1794.6</v>
      </c>
      <c r="C39" s="50">
        <f>VLOOKUP($A39,'Data shares'!$C:$FB,10)*100</f>
        <v>-0.02</v>
      </c>
      <c r="D39" s="49">
        <f>VLOOKUP($A39,'Data shares'!$C:$FB,66)</f>
        <v>4813900</v>
      </c>
      <c r="E39" s="49">
        <f>VLOOKUP($A39,'Data shares'!$C:$FB,67)</f>
        <v>5066425</v>
      </c>
      <c r="F39" s="50">
        <f>VLOOKUP($A39,'Data shares'!$C:$FB,69)*100</f>
        <v>-4.9799999999999995</v>
      </c>
      <c r="G39" s="49">
        <f>VLOOKUP($A39,'Data shares'!$C:$FB,42)</f>
        <v>1366950</v>
      </c>
      <c r="H39" s="49">
        <f>VLOOKUP($A39,'Data shares'!$C:$FB,43)</f>
        <v>793325</v>
      </c>
      <c r="I39" s="50">
        <f>VLOOKUP($A39,'Data shares'!$C:$FB,45)*100</f>
        <v>72.31</v>
      </c>
      <c r="J39" s="49">
        <f>VLOOKUP($A39,'Data shares'!$C:$FB,58)</f>
        <v>2080000</v>
      </c>
      <c r="K39" s="49">
        <f>VLOOKUP($A39,'Data shares'!$C:$FB,59)</f>
        <v>2433275</v>
      </c>
      <c r="L39" s="50">
        <f>VLOOKUP($A39,'Data shares'!$C:$FB,61)*100</f>
        <v>-14.52</v>
      </c>
      <c r="M39" s="49">
        <f>VLOOKUP($A39,'Data shares'!$C:$FB,62)</f>
        <v>1366950</v>
      </c>
      <c r="N39" s="49">
        <f>VLOOKUP($A39,'Data shares'!$C:$FB,63)</f>
        <v>1839825</v>
      </c>
      <c r="O39" s="140">
        <f>VLOOKUP($A39,'Data shares'!$C:$FB,65)*100</f>
        <v>-25.7</v>
      </c>
    </row>
    <row r="40" spans="1:15" x14ac:dyDescent="0.25">
      <c r="A40" s="101" t="str">
        <f>'Data shares'!C35</f>
        <v>BOSCHLTD</v>
      </c>
      <c r="B40" s="50">
        <f>VLOOKUP($A40,'Data shares'!$C:$FB,7)</f>
        <v>37050</v>
      </c>
      <c r="C40" s="50">
        <f>VLOOKUP($A40,'Data shares'!$C:$FB,10)*100</f>
        <v>0.49</v>
      </c>
      <c r="D40" s="49">
        <f>VLOOKUP($A40,'Data shares'!$C:$FB,66)</f>
        <v>480875</v>
      </c>
      <c r="E40" s="49">
        <f>VLOOKUP($A40,'Data shares'!$C:$FB,67)</f>
        <v>421275</v>
      </c>
      <c r="F40" s="50">
        <f>VLOOKUP($A40,'Data shares'!$C:$FB,69)*100</f>
        <v>14.149999999999999</v>
      </c>
      <c r="G40" s="49">
        <f>VLOOKUP($A40,'Data shares'!$C:$FB,42)</f>
        <v>152725</v>
      </c>
      <c r="H40" s="49">
        <f>VLOOKUP($A40,'Data shares'!$C:$FB,43)</f>
        <v>53500</v>
      </c>
      <c r="I40" s="50">
        <f>VLOOKUP($A40,'Data shares'!$C:$FB,45)*100</f>
        <v>185.47</v>
      </c>
      <c r="J40" s="49">
        <f>VLOOKUP($A40,'Data shares'!$C:$FB,58)</f>
        <v>265225</v>
      </c>
      <c r="K40" s="49">
        <f>VLOOKUP($A40,'Data shares'!$C:$FB,59)</f>
        <v>302275</v>
      </c>
      <c r="L40" s="50">
        <f>VLOOKUP($A40,'Data shares'!$C:$FB,61)*100</f>
        <v>-12.26</v>
      </c>
      <c r="M40" s="49">
        <f>VLOOKUP($A40,'Data shares'!$C:$FB,62)</f>
        <v>62925</v>
      </c>
      <c r="N40" s="49">
        <f>VLOOKUP($A40,'Data shares'!$C:$FB,63)</f>
        <v>65500</v>
      </c>
      <c r="O40" s="140">
        <f>VLOOKUP($A40,'Data shares'!$C:$FB,65)*100</f>
        <v>-3.93</v>
      </c>
    </row>
    <row r="41" spans="1:15" x14ac:dyDescent="0.25">
      <c r="A41" s="101" t="str">
        <f>'Data shares'!C36</f>
        <v>BPCL</v>
      </c>
      <c r="B41" s="50">
        <f>VLOOKUP($A41,'Data shares'!$C:$FB,7)</f>
        <v>365.05</v>
      </c>
      <c r="C41" s="50">
        <f>VLOOKUP($A41,'Data shares'!$C:$FB,10)*100</f>
        <v>-0.16</v>
      </c>
      <c r="D41" s="49">
        <f>VLOOKUP($A41,'Data shares'!$C:$FB,66)</f>
        <v>62492950</v>
      </c>
      <c r="E41" s="49">
        <f>VLOOKUP($A41,'Data shares'!$C:$FB,67)</f>
        <v>46722575</v>
      </c>
      <c r="F41" s="50">
        <f>VLOOKUP($A41,'Data shares'!$C:$FB,69)*100</f>
        <v>33.75</v>
      </c>
      <c r="G41" s="49">
        <f>VLOOKUP($A41,'Data shares'!$C:$FB,42)</f>
        <v>23445225</v>
      </c>
      <c r="H41" s="49">
        <f>VLOOKUP($A41,'Data shares'!$C:$FB,43)</f>
        <v>7100125</v>
      </c>
      <c r="I41" s="50">
        <f>VLOOKUP($A41,'Data shares'!$C:$FB,45)*100</f>
        <v>230.20999999999998</v>
      </c>
      <c r="J41" s="49">
        <f>VLOOKUP($A41,'Data shares'!$C:$FB,58)</f>
        <v>25540700</v>
      </c>
      <c r="K41" s="49">
        <f>VLOOKUP($A41,'Data shares'!$C:$FB,59)</f>
        <v>23500525</v>
      </c>
      <c r="L41" s="50">
        <f>VLOOKUP($A41,'Data shares'!$C:$FB,61)*100</f>
        <v>8.68</v>
      </c>
      <c r="M41" s="49">
        <f>VLOOKUP($A41,'Data shares'!$C:$FB,62)</f>
        <v>13507025</v>
      </c>
      <c r="N41" s="49">
        <f>VLOOKUP($A41,'Data shares'!$C:$FB,63)</f>
        <v>16121925</v>
      </c>
      <c r="O41" s="140">
        <f>VLOOKUP($A41,'Data shares'!$C:$FB,65)*100</f>
        <v>-16.220000000000002</v>
      </c>
    </row>
    <row r="42" spans="1:15" x14ac:dyDescent="0.25">
      <c r="A42" s="101" t="str">
        <f>'Data shares'!C37</f>
        <v>BRITANNIA</v>
      </c>
      <c r="B42" s="50">
        <f>VLOOKUP($A42,'Data shares'!$C:$FB,7)</f>
        <v>5819</v>
      </c>
      <c r="C42" s="50">
        <f>VLOOKUP($A42,'Data shares'!$C:$FB,10)*100</f>
        <v>-0.94000000000000006</v>
      </c>
      <c r="D42" s="49">
        <f>VLOOKUP($A42,'Data shares'!$C:$FB,66)</f>
        <v>8740500</v>
      </c>
      <c r="E42" s="49">
        <f>VLOOKUP($A42,'Data shares'!$C:$FB,67)</f>
        <v>4046125</v>
      </c>
      <c r="F42" s="50">
        <f>VLOOKUP($A42,'Data shares'!$C:$FB,69)*100</f>
        <v>116.02</v>
      </c>
      <c r="G42" s="49">
        <f>VLOOKUP($A42,'Data shares'!$C:$FB,42)</f>
        <v>1740500</v>
      </c>
      <c r="H42" s="49">
        <f>VLOOKUP($A42,'Data shares'!$C:$FB,43)</f>
        <v>384375</v>
      </c>
      <c r="I42" s="50">
        <f>VLOOKUP($A42,'Data shares'!$C:$FB,45)*100</f>
        <v>352.81</v>
      </c>
      <c r="J42" s="49">
        <f>VLOOKUP($A42,'Data shares'!$C:$FB,58)</f>
        <v>4530125</v>
      </c>
      <c r="K42" s="49">
        <f>VLOOKUP($A42,'Data shares'!$C:$FB,59)</f>
        <v>2807375</v>
      </c>
      <c r="L42" s="50">
        <f>VLOOKUP($A42,'Data shares'!$C:$FB,61)*100</f>
        <v>61.370000000000005</v>
      </c>
      <c r="M42" s="49">
        <f>VLOOKUP($A42,'Data shares'!$C:$FB,62)</f>
        <v>2469875</v>
      </c>
      <c r="N42" s="49">
        <f>VLOOKUP($A42,'Data shares'!$C:$FB,63)</f>
        <v>854375</v>
      </c>
      <c r="O42" s="140">
        <f>VLOOKUP($A42,'Data shares'!$C:$FB,65)*100</f>
        <v>189.09</v>
      </c>
    </row>
    <row r="43" spans="1:15" x14ac:dyDescent="0.25">
      <c r="A43" s="101" t="str">
        <f>'Data shares'!C38</f>
        <v>BSE</v>
      </c>
      <c r="B43" s="50">
        <f>VLOOKUP($A43,'Data shares'!$C:$FB,7)</f>
        <v>2895.5</v>
      </c>
      <c r="C43" s="50">
        <f>VLOOKUP($A43,'Data shares'!$C:$FB,10)*100</f>
        <v>-0.1</v>
      </c>
      <c r="D43" s="49">
        <f>VLOOKUP($A43,'Data shares'!$C:$FB,66)</f>
        <v>95888625</v>
      </c>
      <c r="E43" s="49">
        <f>VLOOKUP($A43,'Data shares'!$C:$FB,67)</f>
        <v>64296000</v>
      </c>
      <c r="F43" s="50">
        <f>VLOOKUP($A43,'Data shares'!$C:$FB,69)*100</f>
        <v>49.14</v>
      </c>
      <c r="G43" s="49">
        <f>VLOOKUP($A43,'Data shares'!$C:$FB,42)</f>
        <v>9286500</v>
      </c>
      <c r="H43" s="49">
        <f>VLOOKUP($A43,'Data shares'!$C:$FB,43)</f>
        <v>4667625</v>
      </c>
      <c r="I43" s="50">
        <f>VLOOKUP($A43,'Data shares'!$C:$FB,45)*100</f>
        <v>98.960000000000008</v>
      </c>
      <c r="J43" s="49">
        <f>VLOOKUP($A43,'Data shares'!$C:$FB,58)</f>
        <v>50593500</v>
      </c>
      <c r="K43" s="49">
        <f>VLOOKUP($A43,'Data shares'!$C:$FB,59)</f>
        <v>37354125</v>
      </c>
      <c r="L43" s="50">
        <f>VLOOKUP($A43,'Data shares'!$C:$FB,61)*100</f>
        <v>35.44</v>
      </c>
      <c r="M43" s="49">
        <f>VLOOKUP($A43,'Data shares'!$C:$FB,62)</f>
        <v>36008625</v>
      </c>
      <c r="N43" s="49">
        <f>VLOOKUP($A43,'Data shares'!$C:$FB,63)</f>
        <v>22274250</v>
      </c>
      <c r="O43" s="140">
        <f>VLOOKUP($A43,'Data shares'!$C:$FB,65)*100</f>
        <v>61.660000000000004</v>
      </c>
    </row>
    <row r="44" spans="1:15" x14ac:dyDescent="0.25">
      <c r="A44" s="101" t="str">
        <f>'Data shares'!C39</f>
        <v>CAMS</v>
      </c>
      <c r="B44" s="50">
        <f>VLOOKUP($A44,'Data shares'!$C:$FB,7)</f>
        <v>4014.5</v>
      </c>
      <c r="C44" s="50">
        <f>VLOOKUP($A44,'Data shares'!$C:$FB,10)*100</f>
        <v>2.1800000000000002</v>
      </c>
      <c r="D44" s="49">
        <f>VLOOKUP($A44,'Data shares'!$C:$FB,66)</f>
        <v>17621100</v>
      </c>
      <c r="E44" s="49">
        <f>VLOOKUP($A44,'Data shares'!$C:$FB,67)</f>
        <v>2942100</v>
      </c>
      <c r="F44" s="50">
        <f>VLOOKUP($A44,'Data shares'!$C:$FB,69)*100</f>
        <v>498.93</v>
      </c>
      <c r="G44" s="49">
        <f>VLOOKUP($A44,'Data shares'!$C:$FB,42)</f>
        <v>1998600</v>
      </c>
      <c r="H44" s="49">
        <f>VLOOKUP($A44,'Data shares'!$C:$FB,43)</f>
        <v>453150</v>
      </c>
      <c r="I44" s="50">
        <f>VLOOKUP($A44,'Data shares'!$C:$FB,45)*100</f>
        <v>341.05</v>
      </c>
      <c r="J44" s="49">
        <f>VLOOKUP($A44,'Data shares'!$C:$FB,58)</f>
        <v>11839800</v>
      </c>
      <c r="K44" s="49">
        <f>VLOOKUP($A44,'Data shares'!$C:$FB,59)</f>
        <v>1995300</v>
      </c>
      <c r="L44" s="50">
        <f>VLOOKUP($A44,'Data shares'!$C:$FB,61)*100</f>
        <v>493.38</v>
      </c>
      <c r="M44" s="49">
        <f>VLOOKUP($A44,'Data shares'!$C:$FB,62)</f>
        <v>3782700</v>
      </c>
      <c r="N44" s="49">
        <f>VLOOKUP($A44,'Data shares'!$C:$FB,63)</f>
        <v>493650</v>
      </c>
      <c r="O44" s="140">
        <f>VLOOKUP($A44,'Data shares'!$C:$FB,65)*100</f>
        <v>666.27</v>
      </c>
    </row>
    <row r="45" spans="1:15" x14ac:dyDescent="0.25">
      <c r="A45" s="101" t="str">
        <f>'Data shares'!C40</f>
        <v>CANBK</v>
      </c>
      <c r="B45" s="50">
        <f>VLOOKUP($A45,'Data shares'!$C:$FB,7)</f>
        <v>147.94</v>
      </c>
      <c r="C45" s="50">
        <f>VLOOKUP($A45,'Data shares'!$C:$FB,10)*100</f>
        <v>-1.6199999999999999</v>
      </c>
      <c r="D45" s="49">
        <f>VLOOKUP($A45,'Data shares'!$C:$FB,66)</f>
        <v>412033500</v>
      </c>
      <c r="E45" s="49">
        <f>VLOOKUP($A45,'Data shares'!$C:$FB,67)</f>
        <v>412391250</v>
      </c>
      <c r="F45" s="50">
        <f>VLOOKUP($A45,'Data shares'!$C:$FB,69)*100</f>
        <v>-0.09</v>
      </c>
      <c r="G45" s="49">
        <f>VLOOKUP($A45,'Data shares'!$C:$FB,42)</f>
        <v>88242750</v>
      </c>
      <c r="H45" s="49">
        <f>VLOOKUP($A45,'Data shares'!$C:$FB,43)</f>
        <v>55140750</v>
      </c>
      <c r="I45" s="50">
        <f>VLOOKUP($A45,'Data shares'!$C:$FB,45)*100</f>
        <v>60.029999999999994</v>
      </c>
      <c r="J45" s="49">
        <f>VLOOKUP($A45,'Data shares'!$C:$FB,58)</f>
        <v>200225250</v>
      </c>
      <c r="K45" s="49">
        <f>VLOOKUP($A45,'Data shares'!$C:$FB,59)</f>
        <v>214812000</v>
      </c>
      <c r="L45" s="50">
        <f>VLOOKUP($A45,'Data shares'!$C:$FB,61)*100</f>
        <v>-6.79</v>
      </c>
      <c r="M45" s="49">
        <f>VLOOKUP($A45,'Data shares'!$C:$FB,62)</f>
        <v>123565500</v>
      </c>
      <c r="N45" s="49">
        <f>VLOOKUP($A45,'Data shares'!$C:$FB,63)</f>
        <v>142438500</v>
      </c>
      <c r="O45" s="140">
        <f>VLOOKUP($A45,'Data shares'!$C:$FB,65)*100</f>
        <v>-13.25</v>
      </c>
    </row>
    <row r="46" spans="1:15" x14ac:dyDescent="0.25">
      <c r="A46" s="101" t="str">
        <f>'Data shares'!C41</f>
        <v>CDSL</v>
      </c>
      <c r="B46" s="50">
        <f>VLOOKUP($A46,'Data shares'!$C:$FB,7)</f>
        <v>1640.1</v>
      </c>
      <c r="C46" s="50">
        <f>VLOOKUP($A46,'Data shares'!$C:$FB,10)*100</f>
        <v>1.0699999999999998</v>
      </c>
      <c r="D46" s="49">
        <f>VLOOKUP($A46,'Data shares'!$C:$FB,66)</f>
        <v>96555625</v>
      </c>
      <c r="E46" s="49">
        <f>VLOOKUP($A46,'Data shares'!$C:$FB,67)</f>
        <v>31067850</v>
      </c>
      <c r="F46" s="50">
        <f>VLOOKUP($A46,'Data shares'!$C:$FB,69)*100</f>
        <v>210.79</v>
      </c>
      <c r="G46" s="49">
        <f>VLOOKUP($A46,'Data shares'!$C:$FB,42)</f>
        <v>10946375</v>
      </c>
      <c r="H46" s="49">
        <f>VLOOKUP($A46,'Data shares'!$C:$FB,43)</f>
        <v>3394825</v>
      </c>
      <c r="I46" s="50">
        <f>VLOOKUP($A46,'Data shares'!$C:$FB,45)*100</f>
        <v>222.44000000000003</v>
      </c>
      <c r="J46" s="49">
        <f>VLOOKUP($A46,'Data shares'!$C:$FB,58)</f>
        <v>65489675</v>
      </c>
      <c r="K46" s="49">
        <f>VLOOKUP($A46,'Data shares'!$C:$FB,59)</f>
        <v>19026125</v>
      </c>
      <c r="L46" s="50">
        <f>VLOOKUP($A46,'Data shares'!$C:$FB,61)*100</f>
        <v>244.20999999999998</v>
      </c>
      <c r="M46" s="49">
        <f>VLOOKUP($A46,'Data shares'!$C:$FB,62)</f>
        <v>20119575</v>
      </c>
      <c r="N46" s="49">
        <f>VLOOKUP($A46,'Data shares'!$C:$FB,63)</f>
        <v>8646900</v>
      </c>
      <c r="O46" s="140">
        <f>VLOOKUP($A46,'Data shares'!$C:$FB,65)*100</f>
        <v>132.68</v>
      </c>
    </row>
    <row r="47" spans="1:15" x14ac:dyDescent="0.25">
      <c r="A47" s="101" t="str">
        <f>'Data shares'!C42</f>
        <v>CGPOWER</v>
      </c>
      <c r="B47" s="50">
        <f>VLOOKUP($A47,'Data shares'!$C:$FB,7)</f>
        <v>721.25</v>
      </c>
      <c r="C47" s="50">
        <f>VLOOKUP($A47,'Data shares'!$C:$FB,10)*100</f>
        <v>-0.38999999999999996</v>
      </c>
      <c r="D47" s="49">
        <f>VLOOKUP($A47,'Data shares'!$C:$FB,66)</f>
        <v>20781650</v>
      </c>
      <c r="E47" s="49">
        <f>VLOOKUP($A47,'Data shares'!$C:$FB,67)</f>
        <v>14102350</v>
      </c>
      <c r="F47" s="50">
        <f>VLOOKUP($A47,'Data shares'!$C:$FB,69)*100</f>
        <v>47.36</v>
      </c>
      <c r="G47" s="49">
        <f>VLOOKUP($A47,'Data shares'!$C:$FB,42)</f>
        <v>9668750</v>
      </c>
      <c r="H47" s="49">
        <f>VLOOKUP($A47,'Data shares'!$C:$FB,43)</f>
        <v>2850050</v>
      </c>
      <c r="I47" s="50">
        <f>VLOOKUP($A47,'Data shares'!$C:$FB,45)*100</f>
        <v>239.25</v>
      </c>
      <c r="J47" s="49">
        <f>VLOOKUP($A47,'Data shares'!$C:$FB,58)</f>
        <v>7717150</v>
      </c>
      <c r="K47" s="49">
        <f>VLOOKUP($A47,'Data shares'!$C:$FB,59)</f>
        <v>8269650</v>
      </c>
      <c r="L47" s="50">
        <f>VLOOKUP($A47,'Data shares'!$C:$FB,61)*100</f>
        <v>-6.68</v>
      </c>
      <c r="M47" s="49">
        <f>VLOOKUP($A47,'Data shares'!$C:$FB,62)</f>
        <v>3395750</v>
      </c>
      <c r="N47" s="49">
        <f>VLOOKUP($A47,'Data shares'!$C:$FB,63)</f>
        <v>2982650</v>
      </c>
      <c r="O47" s="140">
        <f>VLOOKUP($A47,'Data shares'!$C:$FB,65)*100</f>
        <v>13.850000000000001</v>
      </c>
    </row>
    <row r="48" spans="1:15" x14ac:dyDescent="0.25">
      <c r="A48" s="101" t="str">
        <f>'Data shares'!C43</f>
        <v>CHOLAFIN</v>
      </c>
      <c r="B48" s="50">
        <f>VLOOKUP($A48,'Data shares'!$C:$FB,7)</f>
        <v>1703.2</v>
      </c>
      <c r="C48" s="50">
        <f>VLOOKUP($A48,'Data shares'!$C:$FB,10)*100</f>
        <v>1.5</v>
      </c>
      <c r="D48" s="49">
        <f>VLOOKUP($A48,'Data shares'!$C:$FB,66)</f>
        <v>23281250</v>
      </c>
      <c r="E48" s="49">
        <f>VLOOKUP($A48,'Data shares'!$C:$FB,67)</f>
        <v>15461250</v>
      </c>
      <c r="F48" s="50">
        <f>VLOOKUP($A48,'Data shares'!$C:$FB,69)*100</f>
        <v>50.580000000000005</v>
      </c>
      <c r="G48" s="49">
        <f>VLOOKUP($A48,'Data shares'!$C:$FB,42)</f>
        <v>11313125</v>
      </c>
      <c r="H48" s="49">
        <f>VLOOKUP($A48,'Data shares'!$C:$FB,43)</f>
        <v>4352500</v>
      </c>
      <c r="I48" s="50">
        <f>VLOOKUP($A48,'Data shares'!$C:$FB,45)*100</f>
        <v>159.91999999999999</v>
      </c>
      <c r="J48" s="49">
        <f>VLOOKUP($A48,'Data shares'!$C:$FB,58)</f>
        <v>7929375</v>
      </c>
      <c r="K48" s="49">
        <f>VLOOKUP($A48,'Data shares'!$C:$FB,59)</f>
        <v>6786875</v>
      </c>
      <c r="L48" s="50">
        <f>VLOOKUP($A48,'Data shares'!$C:$FB,61)*100</f>
        <v>16.830000000000002</v>
      </c>
      <c r="M48" s="49">
        <f>VLOOKUP($A48,'Data shares'!$C:$FB,62)</f>
        <v>4038750</v>
      </c>
      <c r="N48" s="49">
        <f>VLOOKUP($A48,'Data shares'!$C:$FB,63)</f>
        <v>4321875</v>
      </c>
      <c r="O48" s="140">
        <f>VLOOKUP($A48,'Data shares'!$C:$FB,65)*100</f>
        <v>-6.5500000000000007</v>
      </c>
    </row>
    <row r="49" spans="1:15" x14ac:dyDescent="0.25">
      <c r="A49" s="101" t="str">
        <f>'Data shares'!C44</f>
        <v>CIPLA</v>
      </c>
      <c r="B49" s="50">
        <f>VLOOKUP($A49,'Data shares'!$C:$FB,7)</f>
        <v>1529.2</v>
      </c>
      <c r="C49" s="50">
        <f>VLOOKUP($A49,'Data shares'!$C:$FB,10)*100</f>
        <v>0.16</v>
      </c>
      <c r="D49" s="49">
        <f>VLOOKUP($A49,'Data shares'!$C:$FB,66)</f>
        <v>17790000</v>
      </c>
      <c r="E49" s="49">
        <f>VLOOKUP($A49,'Data shares'!$C:$FB,67)</f>
        <v>15349875</v>
      </c>
      <c r="F49" s="50">
        <f>VLOOKUP($A49,'Data shares'!$C:$FB,69)*100</f>
        <v>15.9</v>
      </c>
      <c r="G49" s="49">
        <f>VLOOKUP($A49,'Data shares'!$C:$FB,42)</f>
        <v>7790250</v>
      </c>
      <c r="H49" s="49">
        <f>VLOOKUP($A49,'Data shares'!$C:$FB,43)</f>
        <v>2201250</v>
      </c>
      <c r="I49" s="50">
        <f>VLOOKUP($A49,'Data shares'!$C:$FB,45)*100</f>
        <v>253.9</v>
      </c>
      <c r="J49" s="49">
        <f>VLOOKUP($A49,'Data shares'!$C:$FB,58)</f>
        <v>7145625</v>
      </c>
      <c r="K49" s="49">
        <f>VLOOKUP($A49,'Data shares'!$C:$FB,59)</f>
        <v>9465750</v>
      </c>
      <c r="L49" s="50">
        <f>VLOOKUP($A49,'Data shares'!$C:$FB,61)*100</f>
        <v>-24.51</v>
      </c>
      <c r="M49" s="49">
        <f>VLOOKUP($A49,'Data shares'!$C:$FB,62)</f>
        <v>2854125</v>
      </c>
      <c r="N49" s="49">
        <f>VLOOKUP($A49,'Data shares'!$C:$FB,63)</f>
        <v>3682875</v>
      </c>
      <c r="O49" s="140">
        <f>VLOOKUP($A49,'Data shares'!$C:$FB,65)*100</f>
        <v>-22.5</v>
      </c>
    </row>
    <row r="50" spans="1:15" x14ac:dyDescent="0.25">
      <c r="A50" s="101" t="str">
        <f>'Data shares'!C45</f>
        <v>COALINDIA</v>
      </c>
      <c r="B50" s="50">
        <f>VLOOKUP($A50,'Data shares'!$C:$FB,7)</f>
        <v>379.65</v>
      </c>
      <c r="C50" s="50">
        <f>VLOOKUP($A50,'Data shares'!$C:$FB,10)*100</f>
        <v>0.16</v>
      </c>
      <c r="D50" s="49">
        <f>VLOOKUP($A50,'Data shares'!$C:$FB,66)</f>
        <v>53377650</v>
      </c>
      <c r="E50" s="49">
        <f>VLOOKUP($A50,'Data shares'!$C:$FB,67)</f>
        <v>41077800</v>
      </c>
      <c r="F50" s="50">
        <f>VLOOKUP($A50,'Data shares'!$C:$FB,69)*100</f>
        <v>29.94</v>
      </c>
      <c r="G50" s="49">
        <f>VLOOKUP($A50,'Data shares'!$C:$FB,42)</f>
        <v>30894750</v>
      </c>
      <c r="H50" s="49">
        <f>VLOOKUP($A50,'Data shares'!$C:$FB,43)</f>
        <v>8171550</v>
      </c>
      <c r="I50" s="50">
        <f>VLOOKUP($A50,'Data shares'!$C:$FB,45)*100</f>
        <v>278.08000000000004</v>
      </c>
      <c r="J50" s="49">
        <f>VLOOKUP($A50,'Data shares'!$C:$FB,58)</f>
        <v>14210100</v>
      </c>
      <c r="K50" s="49">
        <f>VLOOKUP($A50,'Data shares'!$C:$FB,59)</f>
        <v>21478500</v>
      </c>
      <c r="L50" s="50">
        <f>VLOOKUP($A50,'Data shares'!$C:$FB,61)*100</f>
        <v>-33.839999999999996</v>
      </c>
      <c r="M50" s="49">
        <f>VLOOKUP($A50,'Data shares'!$C:$FB,62)</f>
        <v>8272800</v>
      </c>
      <c r="N50" s="49">
        <f>VLOOKUP($A50,'Data shares'!$C:$FB,63)</f>
        <v>11427750</v>
      </c>
      <c r="O50" s="140">
        <f>VLOOKUP($A50,'Data shares'!$C:$FB,65)*100</f>
        <v>-27.61</v>
      </c>
    </row>
    <row r="51" spans="1:15" x14ac:dyDescent="0.25">
      <c r="A51" s="101" t="str">
        <f>'Data shares'!C46</f>
        <v>COFORGE</v>
      </c>
      <c r="B51" s="50">
        <f>VLOOKUP($A51,'Data shares'!$C:$FB,7)</f>
        <v>1846.1</v>
      </c>
      <c r="C51" s="50">
        <f>VLOOKUP($A51,'Data shares'!$C:$FB,10)*100</f>
        <v>-0.65</v>
      </c>
      <c r="D51" s="49">
        <f>VLOOKUP($A51,'Data shares'!$C:$FB,66)</f>
        <v>38726625</v>
      </c>
      <c r="E51" s="49">
        <f>VLOOKUP($A51,'Data shares'!$C:$FB,67)</f>
        <v>44969625</v>
      </c>
      <c r="F51" s="50">
        <f>VLOOKUP($A51,'Data shares'!$C:$FB,69)*100</f>
        <v>-13.88</v>
      </c>
      <c r="G51" s="49">
        <f>VLOOKUP($A51,'Data shares'!$C:$FB,42)</f>
        <v>8948625</v>
      </c>
      <c r="H51" s="49">
        <f>VLOOKUP($A51,'Data shares'!$C:$FB,43)</f>
        <v>4627875</v>
      </c>
      <c r="I51" s="50">
        <f>VLOOKUP($A51,'Data shares'!$C:$FB,45)*100</f>
        <v>93.36</v>
      </c>
      <c r="J51" s="49">
        <f>VLOOKUP($A51,'Data shares'!$C:$FB,58)</f>
        <v>21709125</v>
      </c>
      <c r="K51" s="49">
        <f>VLOOKUP($A51,'Data shares'!$C:$FB,59)</f>
        <v>30714375</v>
      </c>
      <c r="L51" s="50">
        <f>VLOOKUP($A51,'Data shares'!$C:$FB,61)*100</f>
        <v>-29.32</v>
      </c>
      <c r="M51" s="49">
        <f>VLOOKUP($A51,'Data shares'!$C:$FB,62)</f>
        <v>8068875</v>
      </c>
      <c r="N51" s="49">
        <f>VLOOKUP($A51,'Data shares'!$C:$FB,63)</f>
        <v>9627375</v>
      </c>
      <c r="O51" s="140">
        <f>VLOOKUP($A51,'Data shares'!$C:$FB,65)*100</f>
        <v>-16.189999999999998</v>
      </c>
    </row>
    <row r="52" spans="1:15" x14ac:dyDescent="0.25">
      <c r="A52" s="101" t="str">
        <f>'Data shares'!C47</f>
        <v>COLPAL</v>
      </c>
      <c r="B52" s="50">
        <f>VLOOKUP($A52,'Data shares'!$C:$FB,7)</f>
        <v>2179.6999999999998</v>
      </c>
      <c r="C52" s="50">
        <f>VLOOKUP($A52,'Data shares'!$C:$FB,10)*100</f>
        <v>-0.16999999999999998</v>
      </c>
      <c r="D52" s="49">
        <f>VLOOKUP($A52,'Data shares'!$C:$FB,66)</f>
        <v>13662225</v>
      </c>
      <c r="E52" s="49">
        <f>VLOOKUP($A52,'Data shares'!$C:$FB,67)</f>
        <v>2890575</v>
      </c>
      <c r="F52" s="50">
        <f>VLOOKUP($A52,'Data shares'!$C:$FB,69)*100</f>
        <v>372.65000000000003</v>
      </c>
      <c r="G52" s="49">
        <f>VLOOKUP($A52,'Data shares'!$C:$FB,42)</f>
        <v>6608025</v>
      </c>
      <c r="H52" s="49">
        <f>VLOOKUP($A52,'Data shares'!$C:$FB,43)</f>
        <v>744975</v>
      </c>
      <c r="I52" s="50">
        <f>VLOOKUP($A52,'Data shares'!$C:$FB,45)*100</f>
        <v>787.01</v>
      </c>
      <c r="J52" s="49">
        <f>VLOOKUP($A52,'Data shares'!$C:$FB,58)</f>
        <v>5558850</v>
      </c>
      <c r="K52" s="49">
        <f>VLOOKUP($A52,'Data shares'!$C:$FB,59)</f>
        <v>1577925</v>
      </c>
      <c r="L52" s="50">
        <f>VLOOKUP($A52,'Data shares'!$C:$FB,61)*100</f>
        <v>252.29</v>
      </c>
      <c r="M52" s="49">
        <f>VLOOKUP($A52,'Data shares'!$C:$FB,62)</f>
        <v>1495350</v>
      </c>
      <c r="N52" s="49">
        <f>VLOOKUP($A52,'Data shares'!$C:$FB,63)</f>
        <v>567675</v>
      </c>
      <c r="O52" s="140">
        <f>VLOOKUP($A52,'Data shares'!$C:$FB,65)*100</f>
        <v>163.42000000000002</v>
      </c>
    </row>
    <row r="53" spans="1:15" x14ac:dyDescent="0.25">
      <c r="A53" s="101" t="str">
        <f>'Data shares'!C48</f>
        <v>CONCOR</v>
      </c>
      <c r="B53" s="50">
        <f>VLOOKUP($A53,'Data shares'!$C:$FB,7)</f>
        <v>515.4</v>
      </c>
      <c r="C53" s="50">
        <f>VLOOKUP($A53,'Data shares'!$C:$FB,10)*100</f>
        <v>-0.42</v>
      </c>
      <c r="D53" s="49">
        <f>VLOOKUP($A53,'Data shares'!$C:$FB,66)</f>
        <v>45182500</v>
      </c>
      <c r="E53" s="49">
        <f>VLOOKUP($A53,'Data shares'!$C:$FB,67)</f>
        <v>38693750</v>
      </c>
      <c r="F53" s="50">
        <f>VLOOKUP($A53,'Data shares'!$C:$FB,69)*100</f>
        <v>16.77</v>
      </c>
      <c r="G53" s="49">
        <f>VLOOKUP($A53,'Data shares'!$C:$FB,42)</f>
        <v>20180000</v>
      </c>
      <c r="H53" s="49">
        <f>VLOOKUP($A53,'Data shares'!$C:$FB,43)</f>
        <v>7047500</v>
      </c>
      <c r="I53" s="50">
        <f>VLOOKUP($A53,'Data shares'!$C:$FB,45)*100</f>
        <v>186.34</v>
      </c>
      <c r="J53" s="49">
        <f>VLOOKUP($A53,'Data shares'!$C:$FB,58)</f>
        <v>18167500</v>
      </c>
      <c r="K53" s="49">
        <f>VLOOKUP($A53,'Data shares'!$C:$FB,59)</f>
        <v>23957500</v>
      </c>
      <c r="L53" s="50">
        <f>VLOOKUP($A53,'Data shares'!$C:$FB,61)*100</f>
        <v>-24.169999999999998</v>
      </c>
      <c r="M53" s="49">
        <f>VLOOKUP($A53,'Data shares'!$C:$FB,62)</f>
        <v>6835000</v>
      </c>
      <c r="N53" s="49">
        <f>VLOOKUP($A53,'Data shares'!$C:$FB,63)</f>
        <v>7688750</v>
      </c>
      <c r="O53" s="140">
        <f>VLOOKUP($A53,'Data shares'!$C:$FB,65)*100</f>
        <v>-11.1</v>
      </c>
    </row>
    <row r="54" spans="1:15" x14ac:dyDescent="0.25">
      <c r="A54" s="101" t="str">
        <f>'Data shares'!C49</f>
        <v>CROMPTON</v>
      </c>
      <c r="B54" s="50">
        <f>VLOOKUP($A54,'Data shares'!$C:$FB,7)</f>
        <v>270</v>
      </c>
      <c r="C54" s="50">
        <f>VLOOKUP($A54,'Data shares'!$C:$FB,10)*100</f>
        <v>-1.5699999999999998</v>
      </c>
      <c r="D54" s="49">
        <f>VLOOKUP($A54,'Data shares'!$C:$FB,66)</f>
        <v>46134000</v>
      </c>
      <c r="E54" s="49">
        <f>VLOOKUP($A54,'Data shares'!$C:$FB,67)</f>
        <v>23490000</v>
      </c>
      <c r="F54" s="50">
        <f>VLOOKUP($A54,'Data shares'!$C:$FB,69)*100</f>
        <v>96.399999999999991</v>
      </c>
      <c r="G54" s="49">
        <f>VLOOKUP($A54,'Data shares'!$C:$FB,42)</f>
        <v>21420000</v>
      </c>
      <c r="H54" s="49">
        <f>VLOOKUP($A54,'Data shares'!$C:$FB,43)</f>
        <v>5344200</v>
      </c>
      <c r="I54" s="50">
        <f>VLOOKUP($A54,'Data shares'!$C:$FB,45)*100</f>
        <v>300.81</v>
      </c>
      <c r="J54" s="49">
        <f>VLOOKUP($A54,'Data shares'!$C:$FB,58)</f>
        <v>18991800</v>
      </c>
      <c r="K54" s="49">
        <f>VLOOKUP($A54,'Data shares'!$C:$FB,59)</f>
        <v>15039000</v>
      </c>
      <c r="L54" s="50">
        <f>VLOOKUP($A54,'Data shares'!$C:$FB,61)*100</f>
        <v>26.279999999999998</v>
      </c>
      <c r="M54" s="49">
        <f>VLOOKUP($A54,'Data shares'!$C:$FB,62)</f>
        <v>5722200</v>
      </c>
      <c r="N54" s="49">
        <f>VLOOKUP($A54,'Data shares'!$C:$FB,63)</f>
        <v>3106800</v>
      </c>
      <c r="O54" s="140">
        <f>VLOOKUP($A54,'Data shares'!$C:$FB,65)*100</f>
        <v>84.179999999999993</v>
      </c>
    </row>
    <row r="55" spans="1:15" x14ac:dyDescent="0.25">
      <c r="A55" s="101" t="str">
        <f>'Data shares'!C50</f>
        <v>CUMMINSIND</v>
      </c>
      <c r="B55" s="50">
        <f>VLOOKUP($A55,'Data shares'!$C:$FB,7)</f>
        <v>4375.7</v>
      </c>
      <c r="C55" s="50">
        <f>VLOOKUP($A55,'Data shares'!$C:$FB,10)*100</f>
        <v>2.68</v>
      </c>
      <c r="D55" s="49">
        <f>VLOOKUP($A55,'Data shares'!$C:$FB,66)</f>
        <v>21533400</v>
      </c>
      <c r="E55" s="49">
        <f>VLOOKUP($A55,'Data shares'!$C:$FB,67)</f>
        <v>7650200</v>
      </c>
      <c r="F55" s="50">
        <f>VLOOKUP($A55,'Data shares'!$C:$FB,69)*100</f>
        <v>181.47</v>
      </c>
      <c r="G55" s="49">
        <f>VLOOKUP($A55,'Data shares'!$C:$FB,42)</f>
        <v>2718000</v>
      </c>
      <c r="H55" s="49">
        <f>VLOOKUP($A55,'Data shares'!$C:$FB,43)</f>
        <v>950000</v>
      </c>
      <c r="I55" s="50">
        <f>VLOOKUP($A55,'Data shares'!$C:$FB,45)*100</f>
        <v>186.10999999999999</v>
      </c>
      <c r="J55" s="49">
        <f>VLOOKUP($A55,'Data shares'!$C:$FB,58)</f>
        <v>15071800</v>
      </c>
      <c r="K55" s="49">
        <f>VLOOKUP($A55,'Data shares'!$C:$FB,59)</f>
        <v>4465200</v>
      </c>
      <c r="L55" s="50">
        <f>VLOOKUP($A55,'Data shares'!$C:$FB,61)*100</f>
        <v>237.54</v>
      </c>
      <c r="M55" s="49">
        <f>VLOOKUP($A55,'Data shares'!$C:$FB,62)</f>
        <v>3743600</v>
      </c>
      <c r="N55" s="49">
        <f>VLOOKUP($A55,'Data shares'!$C:$FB,63)</f>
        <v>2235000</v>
      </c>
      <c r="O55" s="140">
        <f>VLOOKUP($A55,'Data shares'!$C:$FB,65)*100</f>
        <v>67.5</v>
      </c>
    </row>
    <row r="56" spans="1:15" x14ac:dyDescent="0.25">
      <c r="A56" s="101" t="str">
        <f>'Data shares'!C51</f>
        <v>CYIENT</v>
      </c>
      <c r="B56" s="50">
        <f>VLOOKUP($A56,'Data shares'!$C:$FB,7)</f>
        <v>1148.9000000000001</v>
      </c>
      <c r="C56" s="50">
        <f>VLOOKUP($A56,'Data shares'!$C:$FB,10)*100</f>
        <v>-0.32</v>
      </c>
      <c r="D56" s="49">
        <f>VLOOKUP($A56,'Data shares'!$C:$FB,66)</f>
        <v>4470150</v>
      </c>
      <c r="E56" s="49">
        <f>VLOOKUP($A56,'Data shares'!$C:$FB,67)</f>
        <v>8834050</v>
      </c>
      <c r="F56" s="50">
        <f>VLOOKUP($A56,'Data shares'!$C:$FB,69)*100</f>
        <v>-49.4</v>
      </c>
      <c r="G56" s="49">
        <f>VLOOKUP($A56,'Data shares'!$C:$FB,42)</f>
        <v>2434400</v>
      </c>
      <c r="H56" s="49">
        <f>VLOOKUP($A56,'Data shares'!$C:$FB,43)</f>
        <v>1182775</v>
      </c>
      <c r="I56" s="50">
        <f>VLOOKUP($A56,'Data shares'!$C:$FB,45)*100</f>
        <v>105.82000000000001</v>
      </c>
      <c r="J56" s="49">
        <f>VLOOKUP($A56,'Data shares'!$C:$FB,58)</f>
        <v>1450525</v>
      </c>
      <c r="K56" s="49">
        <f>VLOOKUP($A56,'Data shares'!$C:$FB,59)</f>
        <v>5960625</v>
      </c>
      <c r="L56" s="50">
        <f>VLOOKUP($A56,'Data shares'!$C:$FB,61)*100</f>
        <v>-75.660000000000011</v>
      </c>
      <c r="M56" s="49">
        <f>VLOOKUP($A56,'Data shares'!$C:$FB,62)</f>
        <v>585225</v>
      </c>
      <c r="N56" s="49">
        <f>VLOOKUP($A56,'Data shares'!$C:$FB,63)</f>
        <v>1690650</v>
      </c>
      <c r="O56" s="140">
        <f>VLOOKUP($A56,'Data shares'!$C:$FB,65)*100</f>
        <v>-65.38000000000001</v>
      </c>
    </row>
    <row r="57" spans="1:15" x14ac:dyDescent="0.25">
      <c r="A57" s="101" t="str">
        <f>'Data shares'!C52</f>
        <v>DABUR</v>
      </c>
      <c r="B57" s="50">
        <f>VLOOKUP($A57,'Data shares'!$C:$FB,7)</f>
        <v>525.04999999999995</v>
      </c>
      <c r="C57" s="50">
        <f>VLOOKUP($A57,'Data shares'!$C:$FB,10)*100</f>
        <v>1.4500000000000002</v>
      </c>
      <c r="D57" s="49">
        <f>VLOOKUP($A57,'Data shares'!$C:$FB,66)</f>
        <v>44393750</v>
      </c>
      <c r="E57" s="49">
        <f>VLOOKUP($A57,'Data shares'!$C:$FB,67)</f>
        <v>28993750</v>
      </c>
      <c r="F57" s="50">
        <f>VLOOKUP($A57,'Data shares'!$C:$FB,69)*100</f>
        <v>53.11</v>
      </c>
      <c r="G57" s="49">
        <f>VLOOKUP($A57,'Data shares'!$C:$FB,42)</f>
        <v>17682500</v>
      </c>
      <c r="H57" s="49">
        <f>VLOOKUP($A57,'Data shares'!$C:$FB,43)</f>
        <v>4307500</v>
      </c>
      <c r="I57" s="50">
        <f>VLOOKUP($A57,'Data shares'!$C:$FB,45)*100</f>
        <v>310.5</v>
      </c>
      <c r="J57" s="49">
        <f>VLOOKUP($A57,'Data shares'!$C:$FB,58)</f>
        <v>17453750</v>
      </c>
      <c r="K57" s="49">
        <f>VLOOKUP($A57,'Data shares'!$C:$FB,59)</f>
        <v>16672500</v>
      </c>
      <c r="L57" s="50">
        <f>VLOOKUP($A57,'Data shares'!$C:$FB,61)*100</f>
        <v>4.6899999999999995</v>
      </c>
      <c r="M57" s="49">
        <f>VLOOKUP($A57,'Data shares'!$C:$FB,62)</f>
        <v>9257500</v>
      </c>
      <c r="N57" s="49">
        <f>VLOOKUP($A57,'Data shares'!$C:$FB,63)</f>
        <v>8013750</v>
      </c>
      <c r="O57" s="140">
        <f>VLOOKUP($A57,'Data shares'!$C:$FB,65)*100</f>
        <v>15.52</v>
      </c>
    </row>
    <row r="58" spans="1:15" x14ac:dyDescent="0.25">
      <c r="A58" s="101" t="str">
        <f>'Data shares'!C53</f>
        <v>DALBHARAT</v>
      </c>
      <c r="B58" s="50">
        <f>VLOOKUP($A58,'Data shares'!$C:$FB,7)</f>
        <v>2012.1</v>
      </c>
      <c r="C58" s="50">
        <f>VLOOKUP($A58,'Data shares'!$C:$FB,10)*100</f>
        <v>-0.45999999999999996</v>
      </c>
      <c r="D58" s="49">
        <f>VLOOKUP($A58,'Data shares'!$C:$FB,66)</f>
        <v>2062125</v>
      </c>
      <c r="E58" s="49">
        <f>VLOOKUP($A58,'Data shares'!$C:$FB,67)</f>
        <v>4466150</v>
      </c>
      <c r="F58" s="50">
        <f>VLOOKUP($A58,'Data shares'!$C:$FB,69)*100</f>
        <v>-53.83</v>
      </c>
      <c r="G58" s="49">
        <f>VLOOKUP($A58,'Data shares'!$C:$FB,42)</f>
        <v>1082250</v>
      </c>
      <c r="H58" s="49">
        <f>VLOOKUP($A58,'Data shares'!$C:$FB,43)</f>
        <v>955175</v>
      </c>
      <c r="I58" s="50">
        <f>VLOOKUP($A58,'Data shares'!$C:$FB,45)*100</f>
        <v>13.3</v>
      </c>
      <c r="J58" s="49">
        <f>VLOOKUP($A58,'Data shares'!$C:$FB,58)</f>
        <v>715325</v>
      </c>
      <c r="K58" s="49">
        <f>VLOOKUP($A58,'Data shares'!$C:$FB,59)</f>
        <v>2406300</v>
      </c>
      <c r="L58" s="50">
        <f>VLOOKUP($A58,'Data shares'!$C:$FB,61)*100</f>
        <v>-70.27</v>
      </c>
      <c r="M58" s="49">
        <f>VLOOKUP($A58,'Data shares'!$C:$FB,62)</f>
        <v>264550</v>
      </c>
      <c r="N58" s="49">
        <f>VLOOKUP($A58,'Data shares'!$C:$FB,63)</f>
        <v>1104675</v>
      </c>
      <c r="O58" s="140">
        <f>VLOOKUP($A58,'Data shares'!$C:$FB,65)*100</f>
        <v>-76.05</v>
      </c>
    </row>
    <row r="59" spans="1:15" x14ac:dyDescent="0.25">
      <c r="A59" s="101" t="str">
        <f>'Data shares'!C54</f>
        <v>DELHIVERY</v>
      </c>
      <c r="B59" s="50">
        <f>VLOOKUP($A59,'Data shares'!$C:$FB,7)</f>
        <v>426</v>
      </c>
      <c r="C59" s="50">
        <f>VLOOKUP($A59,'Data shares'!$C:$FB,10)*100</f>
        <v>-2.29</v>
      </c>
      <c r="D59" s="49">
        <f>VLOOKUP($A59,'Data shares'!$C:$FB,66)</f>
        <v>51491125</v>
      </c>
      <c r="E59" s="49">
        <f>VLOOKUP($A59,'Data shares'!$C:$FB,67)</f>
        <v>52553525</v>
      </c>
      <c r="F59" s="50">
        <f>VLOOKUP($A59,'Data shares'!$C:$FB,69)*100</f>
        <v>-2.02</v>
      </c>
      <c r="G59" s="49">
        <f>VLOOKUP($A59,'Data shares'!$C:$FB,42)</f>
        <v>10482900</v>
      </c>
      <c r="H59" s="49">
        <f>VLOOKUP($A59,'Data shares'!$C:$FB,43)</f>
        <v>5044325</v>
      </c>
      <c r="I59" s="50">
        <f>VLOOKUP($A59,'Data shares'!$C:$FB,45)*100</f>
        <v>107.82000000000001</v>
      </c>
      <c r="J59" s="49">
        <f>VLOOKUP($A59,'Data shares'!$C:$FB,58)</f>
        <v>29933950</v>
      </c>
      <c r="K59" s="49">
        <f>VLOOKUP($A59,'Data shares'!$C:$FB,59)</f>
        <v>33675175</v>
      </c>
      <c r="L59" s="50">
        <f>VLOOKUP($A59,'Data shares'!$C:$FB,61)*100</f>
        <v>-11.110000000000001</v>
      </c>
      <c r="M59" s="49">
        <f>VLOOKUP($A59,'Data shares'!$C:$FB,62)</f>
        <v>11074275</v>
      </c>
      <c r="N59" s="49">
        <f>VLOOKUP($A59,'Data shares'!$C:$FB,63)</f>
        <v>13834025</v>
      </c>
      <c r="O59" s="140">
        <f>VLOOKUP($A59,'Data shares'!$C:$FB,65)*100</f>
        <v>-19.950000000000003</v>
      </c>
    </row>
    <row r="60" spans="1:15" x14ac:dyDescent="0.25">
      <c r="A60" s="101" t="str">
        <f>'Data shares'!C55</f>
        <v>DIVISLAB</v>
      </c>
      <c r="B60" s="50">
        <f>VLOOKUP($A60,'Data shares'!$C:$FB,7)</f>
        <v>6462.5</v>
      </c>
      <c r="C60" s="50">
        <f>VLOOKUP($A60,'Data shares'!$C:$FB,10)*100</f>
        <v>0.13</v>
      </c>
      <c r="D60" s="49">
        <f>VLOOKUP($A60,'Data shares'!$C:$FB,66)</f>
        <v>3558900</v>
      </c>
      <c r="E60" s="49">
        <f>VLOOKUP($A60,'Data shares'!$C:$FB,67)</f>
        <v>3440200</v>
      </c>
      <c r="F60" s="50">
        <f>VLOOKUP($A60,'Data shares'!$C:$FB,69)*100</f>
        <v>3.45</v>
      </c>
      <c r="G60" s="49">
        <f>VLOOKUP($A60,'Data shares'!$C:$FB,42)</f>
        <v>1182000</v>
      </c>
      <c r="H60" s="49">
        <f>VLOOKUP($A60,'Data shares'!$C:$FB,43)</f>
        <v>494600</v>
      </c>
      <c r="I60" s="50">
        <f>VLOOKUP($A60,'Data shares'!$C:$FB,45)*100</f>
        <v>138.97999999999999</v>
      </c>
      <c r="J60" s="49">
        <f>VLOOKUP($A60,'Data shares'!$C:$FB,58)</f>
        <v>1717600</v>
      </c>
      <c r="K60" s="49">
        <f>VLOOKUP($A60,'Data shares'!$C:$FB,59)</f>
        <v>2028600</v>
      </c>
      <c r="L60" s="50">
        <f>VLOOKUP($A60,'Data shares'!$C:$FB,61)*100</f>
        <v>-15.329999999999998</v>
      </c>
      <c r="M60" s="49">
        <f>VLOOKUP($A60,'Data shares'!$C:$FB,62)</f>
        <v>659300</v>
      </c>
      <c r="N60" s="49">
        <f>VLOOKUP($A60,'Data shares'!$C:$FB,63)</f>
        <v>917000</v>
      </c>
      <c r="O60" s="140">
        <f>VLOOKUP($A60,'Data shares'!$C:$FB,65)*100</f>
        <v>-28.1</v>
      </c>
    </row>
    <row r="61" spans="1:15" x14ac:dyDescent="0.25">
      <c r="A61" s="101" t="str">
        <f>'Data shares'!C56</f>
        <v>DIXON</v>
      </c>
      <c r="B61" s="50">
        <f>VLOOKUP($A61,'Data shares'!$C:$FB,7)</f>
        <v>15313</v>
      </c>
      <c r="C61" s="50">
        <f>VLOOKUP($A61,'Data shares'!$C:$FB,10)*100</f>
        <v>-1.46</v>
      </c>
      <c r="D61" s="49">
        <f>VLOOKUP($A61,'Data shares'!$C:$FB,66)</f>
        <v>6478000</v>
      </c>
      <c r="E61" s="49">
        <f>VLOOKUP($A61,'Data shares'!$C:$FB,67)</f>
        <v>4572100</v>
      </c>
      <c r="F61" s="50">
        <f>VLOOKUP($A61,'Data shares'!$C:$FB,69)*100</f>
        <v>41.69</v>
      </c>
      <c r="G61" s="49">
        <f>VLOOKUP($A61,'Data shares'!$C:$FB,42)</f>
        <v>895300</v>
      </c>
      <c r="H61" s="49">
        <f>VLOOKUP($A61,'Data shares'!$C:$FB,43)</f>
        <v>453550</v>
      </c>
      <c r="I61" s="50">
        <f>VLOOKUP($A61,'Data shares'!$C:$FB,45)*100</f>
        <v>97.399999999999991</v>
      </c>
      <c r="J61" s="49">
        <f>VLOOKUP($A61,'Data shares'!$C:$FB,58)</f>
        <v>3835400</v>
      </c>
      <c r="K61" s="49">
        <f>VLOOKUP($A61,'Data shares'!$C:$FB,59)</f>
        <v>2819100</v>
      </c>
      <c r="L61" s="50">
        <f>VLOOKUP($A61,'Data shares'!$C:$FB,61)*100</f>
        <v>36.049999999999997</v>
      </c>
      <c r="M61" s="49">
        <f>VLOOKUP($A61,'Data shares'!$C:$FB,62)</f>
        <v>1747300</v>
      </c>
      <c r="N61" s="49">
        <f>VLOOKUP($A61,'Data shares'!$C:$FB,63)</f>
        <v>1299450</v>
      </c>
      <c r="O61" s="140">
        <f>VLOOKUP($A61,'Data shares'!$C:$FB,65)*100</f>
        <v>34.46</v>
      </c>
    </row>
    <row r="62" spans="1:15" x14ac:dyDescent="0.25">
      <c r="A62" s="101" t="str">
        <f>'Data shares'!C57</f>
        <v>DLF</v>
      </c>
      <c r="B62" s="50">
        <f>VLOOKUP($A62,'Data shares'!$C:$FB,7)</f>
        <v>741.1</v>
      </c>
      <c r="C62" s="50">
        <f>VLOOKUP($A62,'Data shares'!$C:$FB,10)*100</f>
        <v>-0.33999999999999997</v>
      </c>
      <c r="D62" s="49">
        <f>VLOOKUP($A62,'Data shares'!$C:$FB,66)</f>
        <v>43717575</v>
      </c>
      <c r="E62" s="49">
        <f>VLOOKUP($A62,'Data shares'!$C:$FB,67)</f>
        <v>43233300</v>
      </c>
      <c r="F62" s="50">
        <f>VLOOKUP($A62,'Data shares'!$C:$FB,69)*100</f>
        <v>1.1199999999999999</v>
      </c>
      <c r="G62" s="49">
        <f>VLOOKUP($A62,'Data shares'!$C:$FB,42)</f>
        <v>19847025</v>
      </c>
      <c r="H62" s="49">
        <f>VLOOKUP($A62,'Data shares'!$C:$FB,43)</f>
        <v>9331575</v>
      </c>
      <c r="I62" s="50">
        <f>VLOOKUP($A62,'Data shares'!$C:$FB,45)*100</f>
        <v>112.69</v>
      </c>
      <c r="J62" s="49">
        <f>VLOOKUP($A62,'Data shares'!$C:$FB,58)</f>
        <v>17318400</v>
      </c>
      <c r="K62" s="49">
        <f>VLOOKUP($A62,'Data shares'!$C:$FB,59)</f>
        <v>21332850</v>
      </c>
      <c r="L62" s="50">
        <f>VLOOKUP($A62,'Data shares'!$C:$FB,61)*100</f>
        <v>-18.82</v>
      </c>
      <c r="M62" s="49">
        <f>VLOOKUP($A62,'Data shares'!$C:$FB,62)</f>
        <v>6552150</v>
      </c>
      <c r="N62" s="49">
        <f>VLOOKUP($A62,'Data shares'!$C:$FB,63)</f>
        <v>12568875</v>
      </c>
      <c r="O62" s="140">
        <f>VLOOKUP($A62,'Data shares'!$C:$FB,65)*100</f>
        <v>-47.870000000000005</v>
      </c>
    </row>
    <row r="63" spans="1:15" x14ac:dyDescent="0.25">
      <c r="A63" s="101" t="str">
        <f>'Data shares'!C58</f>
        <v>DMART</v>
      </c>
      <c r="B63" s="50">
        <f>VLOOKUP($A63,'Data shares'!$C:$FB,7)</f>
        <v>4085</v>
      </c>
      <c r="C63" s="50">
        <f>VLOOKUP($A63,'Data shares'!$C:$FB,10)*100</f>
        <v>1.4500000000000002</v>
      </c>
      <c r="D63" s="49">
        <f>VLOOKUP($A63,'Data shares'!$C:$FB,66)</f>
        <v>13114350</v>
      </c>
      <c r="E63" s="49">
        <f>VLOOKUP($A63,'Data shares'!$C:$FB,67)</f>
        <v>4847100</v>
      </c>
      <c r="F63" s="50">
        <f>VLOOKUP($A63,'Data shares'!$C:$FB,69)*100</f>
        <v>170.56</v>
      </c>
      <c r="G63" s="49">
        <f>VLOOKUP($A63,'Data shares'!$C:$FB,42)</f>
        <v>5091300</v>
      </c>
      <c r="H63" s="49">
        <f>VLOOKUP($A63,'Data shares'!$C:$FB,43)</f>
        <v>883350</v>
      </c>
      <c r="I63" s="50">
        <f>VLOOKUP($A63,'Data shares'!$C:$FB,45)*100</f>
        <v>476.36</v>
      </c>
      <c r="J63" s="49">
        <f>VLOOKUP($A63,'Data shares'!$C:$FB,58)</f>
        <v>6401550</v>
      </c>
      <c r="K63" s="49">
        <f>VLOOKUP($A63,'Data shares'!$C:$FB,59)</f>
        <v>3149250</v>
      </c>
      <c r="L63" s="50">
        <f>VLOOKUP($A63,'Data shares'!$C:$FB,61)*100</f>
        <v>103.27</v>
      </c>
      <c r="M63" s="49">
        <f>VLOOKUP($A63,'Data shares'!$C:$FB,62)</f>
        <v>1621500</v>
      </c>
      <c r="N63" s="49">
        <f>VLOOKUP($A63,'Data shares'!$C:$FB,63)</f>
        <v>814500</v>
      </c>
      <c r="O63" s="140">
        <f>VLOOKUP($A63,'Data shares'!$C:$FB,65)*100</f>
        <v>99.08</v>
      </c>
    </row>
    <row r="64" spans="1:15" x14ac:dyDescent="0.25">
      <c r="A64" s="101" t="str">
        <f>'Data shares'!C59</f>
        <v>DRREDDY</v>
      </c>
      <c r="B64" s="50">
        <f>VLOOKUP($A64,'Data shares'!$C:$FB,7)</f>
        <v>1248.5999999999999</v>
      </c>
      <c r="C64" s="50">
        <f>VLOOKUP($A64,'Data shares'!$C:$FB,10)*100</f>
        <v>-0.13</v>
      </c>
      <c r="D64" s="49">
        <f>VLOOKUP($A64,'Data shares'!$C:$FB,66)</f>
        <v>22773750</v>
      </c>
      <c r="E64" s="49">
        <f>VLOOKUP($A64,'Data shares'!$C:$FB,67)</f>
        <v>13061875</v>
      </c>
      <c r="F64" s="50">
        <f>VLOOKUP($A64,'Data shares'!$C:$FB,69)*100</f>
        <v>74.350000000000009</v>
      </c>
      <c r="G64" s="49">
        <f>VLOOKUP($A64,'Data shares'!$C:$FB,42)</f>
        <v>11478125</v>
      </c>
      <c r="H64" s="49">
        <f>VLOOKUP($A64,'Data shares'!$C:$FB,43)</f>
        <v>1878750</v>
      </c>
      <c r="I64" s="50">
        <f>VLOOKUP($A64,'Data shares'!$C:$FB,45)*100</f>
        <v>510.94</v>
      </c>
      <c r="J64" s="49">
        <f>VLOOKUP($A64,'Data shares'!$C:$FB,58)</f>
        <v>7407500</v>
      </c>
      <c r="K64" s="49">
        <f>VLOOKUP($A64,'Data shares'!$C:$FB,59)</f>
        <v>7811250</v>
      </c>
      <c r="L64" s="50">
        <f>VLOOKUP($A64,'Data shares'!$C:$FB,61)*100</f>
        <v>-5.17</v>
      </c>
      <c r="M64" s="49">
        <f>VLOOKUP($A64,'Data shares'!$C:$FB,62)</f>
        <v>3888125</v>
      </c>
      <c r="N64" s="49">
        <f>VLOOKUP($A64,'Data shares'!$C:$FB,63)</f>
        <v>3371875</v>
      </c>
      <c r="O64" s="140">
        <f>VLOOKUP($A64,'Data shares'!$C:$FB,65)*100</f>
        <v>15.310000000000002</v>
      </c>
    </row>
    <row r="65" spans="1:15" x14ac:dyDescent="0.25">
      <c r="A65" s="101" t="str">
        <f>'Data shares'!C60</f>
        <v>EICHERMOT</v>
      </c>
      <c r="B65" s="50">
        <f>VLOOKUP($A65,'Data shares'!$C:$FB,7)</f>
        <v>7125.5</v>
      </c>
      <c r="C65" s="50">
        <f>VLOOKUP($A65,'Data shares'!$C:$FB,10)*100</f>
        <v>3.32</v>
      </c>
      <c r="D65" s="49">
        <f>VLOOKUP($A65,'Data shares'!$C:$FB,66)</f>
        <v>42444325</v>
      </c>
      <c r="E65" s="49">
        <f>VLOOKUP($A65,'Data shares'!$C:$FB,67)</f>
        <v>8484525</v>
      </c>
      <c r="F65" s="50">
        <f>VLOOKUP($A65,'Data shares'!$C:$FB,69)*100</f>
        <v>400.26</v>
      </c>
      <c r="G65" s="49">
        <f>VLOOKUP($A65,'Data shares'!$C:$FB,42)</f>
        <v>2646175</v>
      </c>
      <c r="H65" s="49">
        <f>VLOOKUP($A65,'Data shares'!$C:$FB,43)</f>
        <v>721175</v>
      </c>
      <c r="I65" s="50">
        <f>VLOOKUP($A65,'Data shares'!$C:$FB,45)*100</f>
        <v>266.92999999999995</v>
      </c>
      <c r="J65" s="49">
        <f>VLOOKUP($A65,'Data shares'!$C:$FB,58)</f>
        <v>30734200</v>
      </c>
      <c r="K65" s="49">
        <f>VLOOKUP($A65,'Data shares'!$C:$FB,59)</f>
        <v>5511275</v>
      </c>
      <c r="L65" s="50">
        <f>VLOOKUP($A65,'Data shares'!$C:$FB,61)*100</f>
        <v>457.66</v>
      </c>
      <c r="M65" s="49">
        <f>VLOOKUP($A65,'Data shares'!$C:$FB,62)</f>
        <v>9063950</v>
      </c>
      <c r="N65" s="49">
        <f>VLOOKUP($A65,'Data shares'!$C:$FB,63)</f>
        <v>2252075</v>
      </c>
      <c r="O65" s="140">
        <f>VLOOKUP($A65,'Data shares'!$C:$FB,65)*100</f>
        <v>302.47000000000003</v>
      </c>
    </row>
    <row r="66" spans="1:15" x14ac:dyDescent="0.25">
      <c r="A66" s="101" t="str">
        <f>'Data shares'!C61</f>
        <v>ETERNAL</v>
      </c>
      <c r="B66" s="50">
        <f>VLOOKUP($A66,'Data shares'!$C:$FB,7)</f>
        <v>306.89999999999998</v>
      </c>
      <c r="C66" s="50">
        <f>VLOOKUP($A66,'Data shares'!$C:$FB,10)*100</f>
        <v>0.1</v>
      </c>
      <c r="D66" s="49">
        <f>VLOOKUP($A66,'Data shares'!$C:$FB,66)</f>
        <v>299938550</v>
      </c>
      <c r="E66" s="49">
        <f>VLOOKUP($A66,'Data shares'!$C:$FB,67)</f>
        <v>148824675</v>
      </c>
      <c r="F66" s="50">
        <f>VLOOKUP($A66,'Data shares'!$C:$FB,69)*100</f>
        <v>101.54</v>
      </c>
      <c r="G66" s="49">
        <f>VLOOKUP($A66,'Data shares'!$C:$FB,42)</f>
        <v>180104750</v>
      </c>
      <c r="H66" s="49">
        <f>VLOOKUP($A66,'Data shares'!$C:$FB,43)</f>
        <v>24279100</v>
      </c>
      <c r="I66" s="50">
        <f>VLOOKUP($A66,'Data shares'!$C:$FB,45)*100</f>
        <v>641.80999999999995</v>
      </c>
      <c r="J66" s="49">
        <f>VLOOKUP($A66,'Data shares'!$C:$FB,58)</f>
        <v>90612550</v>
      </c>
      <c r="K66" s="49">
        <f>VLOOKUP($A66,'Data shares'!$C:$FB,59)</f>
        <v>91240625</v>
      </c>
      <c r="L66" s="50">
        <f>VLOOKUP($A66,'Data shares'!$C:$FB,61)*100</f>
        <v>-0.69</v>
      </c>
      <c r="M66" s="49">
        <f>VLOOKUP($A66,'Data shares'!$C:$FB,62)</f>
        <v>29221250</v>
      </c>
      <c r="N66" s="49">
        <f>VLOOKUP($A66,'Data shares'!$C:$FB,63)</f>
        <v>33304950</v>
      </c>
      <c r="O66" s="140">
        <f>VLOOKUP($A66,'Data shares'!$C:$FB,65)*100</f>
        <v>-12.26</v>
      </c>
    </row>
    <row r="67" spans="1:15" x14ac:dyDescent="0.25">
      <c r="A67" s="101" t="str">
        <f>'Data shares'!C62</f>
        <v>EXIDEIND</v>
      </c>
      <c r="B67" s="50">
        <f>VLOOKUP($A67,'Data shares'!$C:$FB,7)</f>
        <v>380.8</v>
      </c>
      <c r="C67" s="50">
        <f>VLOOKUP($A67,'Data shares'!$C:$FB,10)*100</f>
        <v>-0.03</v>
      </c>
      <c r="D67" s="49">
        <f>VLOOKUP($A67,'Data shares'!$C:$FB,66)</f>
        <v>31469400</v>
      </c>
      <c r="E67" s="49">
        <f>VLOOKUP($A67,'Data shares'!$C:$FB,67)</f>
        <v>39738600</v>
      </c>
      <c r="F67" s="50">
        <f>VLOOKUP($A67,'Data shares'!$C:$FB,69)*100</f>
        <v>-20.810000000000002</v>
      </c>
      <c r="G67" s="49">
        <f>VLOOKUP($A67,'Data shares'!$C:$FB,42)</f>
        <v>11584800</v>
      </c>
      <c r="H67" s="49">
        <f>VLOOKUP($A67,'Data shares'!$C:$FB,43)</f>
        <v>8654400</v>
      </c>
      <c r="I67" s="50">
        <f>VLOOKUP($A67,'Data shares'!$C:$FB,45)*100</f>
        <v>33.86</v>
      </c>
      <c r="J67" s="49">
        <f>VLOOKUP($A67,'Data shares'!$C:$FB,58)</f>
        <v>14351400</v>
      </c>
      <c r="K67" s="49">
        <f>VLOOKUP($A67,'Data shares'!$C:$FB,59)</f>
        <v>21907800</v>
      </c>
      <c r="L67" s="50">
        <f>VLOOKUP($A67,'Data shares'!$C:$FB,61)*100</f>
        <v>-34.489999999999995</v>
      </c>
      <c r="M67" s="49">
        <f>VLOOKUP($A67,'Data shares'!$C:$FB,62)</f>
        <v>5533200</v>
      </c>
      <c r="N67" s="49">
        <f>VLOOKUP($A67,'Data shares'!$C:$FB,63)</f>
        <v>9176400</v>
      </c>
      <c r="O67" s="140">
        <f>VLOOKUP($A67,'Data shares'!$C:$FB,65)*100</f>
        <v>-39.700000000000003</v>
      </c>
    </row>
    <row r="68" spans="1:15" x14ac:dyDescent="0.25">
      <c r="A68" s="101" t="str">
        <f>'Data shares'!C63</f>
        <v>FEDERALBNK</v>
      </c>
      <c r="B68" s="50">
        <f>VLOOKUP($A68,'Data shares'!$C:$FB,7)</f>
        <v>244.93</v>
      </c>
      <c r="C68" s="50">
        <f>VLOOKUP($A68,'Data shares'!$C:$FB,10)*100</f>
        <v>-0.44</v>
      </c>
      <c r="D68" s="49">
        <f>VLOOKUP($A68,'Data shares'!$C:$FB,66)</f>
        <v>129680000</v>
      </c>
      <c r="E68" s="49">
        <f>VLOOKUP($A68,'Data shares'!$C:$FB,67)</f>
        <v>221570000</v>
      </c>
      <c r="F68" s="50">
        <f>VLOOKUP($A68,'Data shares'!$C:$FB,69)*100</f>
        <v>-41.47</v>
      </c>
      <c r="G68" s="49">
        <f>VLOOKUP($A68,'Data shares'!$C:$FB,42)</f>
        <v>34515000</v>
      </c>
      <c r="H68" s="49">
        <f>VLOOKUP($A68,'Data shares'!$C:$FB,43)</f>
        <v>30770000</v>
      </c>
      <c r="I68" s="50">
        <f>VLOOKUP($A68,'Data shares'!$C:$FB,45)*100</f>
        <v>12.17</v>
      </c>
      <c r="J68" s="49">
        <f>VLOOKUP($A68,'Data shares'!$C:$FB,58)</f>
        <v>57085000</v>
      </c>
      <c r="K68" s="49">
        <f>VLOOKUP($A68,'Data shares'!$C:$FB,59)</f>
        <v>129175000</v>
      </c>
      <c r="L68" s="50">
        <f>VLOOKUP($A68,'Data shares'!$C:$FB,61)*100</f>
        <v>-55.81</v>
      </c>
      <c r="M68" s="49">
        <f>VLOOKUP($A68,'Data shares'!$C:$FB,62)</f>
        <v>38080000</v>
      </c>
      <c r="N68" s="49">
        <f>VLOOKUP($A68,'Data shares'!$C:$FB,63)</f>
        <v>61625000</v>
      </c>
      <c r="O68" s="140">
        <f>VLOOKUP($A68,'Data shares'!$C:$FB,65)*100</f>
        <v>-38.21</v>
      </c>
    </row>
    <row r="69" spans="1:15" x14ac:dyDescent="0.25">
      <c r="A69" s="101" t="str">
        <f>'Data shares'!C64</f>
        <v>FINNIFTY</v>
      </c>
      <c r="B69" s="50">
        <f>VLOOKUP($A69,'Data shares'!$C:$FB,7)</f>
        <v>27861.35</v>
      </c>
      <c r="C69" s="50">
        <f>VLOOKUP($A69,'Data shares'!$C:$FB,10)*100</f>
        <v>0.79</v>
      </c>
      <c r="D69" s="49">
        <f>VLOOKUP($A69,'Data shares'!$C:$FB,66)</f>
        <v>15095080</v>
      </c>
      <c r="E69" s="49">
        <f>VLOOKUP($A69,'Data shares'!$C:$FB,67)</f>
        <v>12885860</v>
      </c>
      <c r="F69" s="50">
        <f>VLOOKUP($A69,'Data shares'!$C:$FB,69)*100</f>
        <v>17.14</v>
      </c>
      <c r="G69" s="49">
        <f>VLOOKUP($A69,'Data shares'!$C:$FB,42)</f>
        <v>31330</v>
      </c>
      <c r="H69" s="49">
        <f>VLOOKUP($A69,'Data shares'!$C:$FB,43)</f>
        <v>15860</v>
      </c>
      <c r="I69" s="50">
        <f>VLOOKUP($A69,'Data shares'!$C:$FB,45)*100</f>
        <v>97.54</v>
      </c>
      <c r="J69" s="49">
        <f>VLOOKUP($A69,'Data shares'!$C:$FB,58)</f>
        <v>8277425</v>
      </c>
      <c r="K69" s="49">
        <f>VLOOKUP($A69,'Data shares'!$C:$FB,59)</f>
        <v>6635655</v>
      </c>
      <c r="L69" s="50">
        <f>VLOOKUP($A69,'Data shares'!$C:$FB,61)*100</f>
        <v>24.740000000000002</v>
      </c>
      <c r="M69" s="49">
        <f>VLOOKUP($A69,'Data shares'!$C:$FB,62)</f>
        <v>6786325</v>
      </c>
      <c r="N69" s="49">
        <f>VLOOKUP($A69,'Data shares'!$C:$FB,63)</f>
        <v>6234345</v>
      </c>
      <c r="O69" s="140">
        <f>VLOOKUP($A69,'Data shares'!$C:$FB,65)*100</f>
        <v>8.85</v>
      </c>
    </row>
    <row r="70" spans="1:15" x14ac:dyDescent="0.25">
      <c r="A70" s="101" t="str">
        <f>'Data shares'!C65</f>
        <v>FORTIS</v>
      </c>
      <c r="B70" s="50">
        <f>VLOOKUP($A70,'Data shares'!$C:$FB,7)</f>
        <v>935.4</v>
      </c>
      <c r="C70" s="50">
        <f>VLOOKUP($A70,'Data shares'!$C:$FB,10)*100</f>
        <v>1.35</v>
      </c>
      <c r="D70" s="49">
        <f>VLOOKUP($A70,'Data shares'!$C:$FB,66)</f>
        <v>26045425</v>
      </c>
      <c r="E70" s="49">
        <f>VLOOKUP($A70,'Data shares'!$C:$FB,67)</f>
        <v>24150550</v>
      </c>
      <c r="F70" s="50">
        <f>VLOOKUP($A70,'Data shares'!$C:$FB,69)*100</f>
        <v>7.85</v>
      </c>
      <c r="G70" s="49">
        <f>VLOOKUP($A70,'Data shares'!$C:$FB,42)</f>
        <v>7609725</v>
      </c>
      <c r="H70" s="49">
        <f>VLOOKUP($A70,'Data shares'!$C:$FB,43)</f>
        <v>3155800</v>
      </c>
      <c r="I70" s="50">
        <f>VLOOKUP($A70,'Data shares'!$C:$FB,45)*100</f>
        <v>141.13</v>
      </c>
      <c r="J70" s="49">
        <f>VLOOKUP($A70,'Data shares'!$C:$FB,58)</f>
        <v>14157700</v>
      </c>
      <c r="K70" s="49">
        <f>VLOOKUP($A70,'Data shares'!$C:$FB,59)</f>
        <v>16710550</v>
      </c>
      <c r="L70" s="50">
        <f>VLOOKUP($A70,'Data shares'!$C:$FB,61)*100</f>
        <v>-15.28</v>
      </c>
      <c r="M70" s="49">
        <f>VLOOKUP($A70,'Data shares'!$C:$FB,62)</f>
        <v>4278000</v>
      </c>
      <c r="N70" s="49">
        <f>VLOOKUP($A70,'Data shares'!$C:$FB,63)</f>
        <v>4284200</v>
      </c>
      <c r="O70" s="140">
        <f>VLOOKUP($A70,'Data shares'!$C:$FB,65)*100</f>
        <v>-0.13999999999999999</v>
      </c>
    </row>
    <row r="71" spans="1:15" x14ac:dyDescent="0.25">
      <c r="A71" s="101" t="str">
        <f>'Data shares'!C66</f>
        <v>GAIL</v>
      </c>
      <c r="B71" s="50">
        <f>VLOOKUP($A71,'Data shares'!$C:$FB,7)</f>
        <v>184.31</v>
      </c>
      <c r="C71" s="50">
        <f>VLOOKUP($A71,'Data shares'!$C:$FB,10)*100</f>
        <v>0.13999999999999999</v>
      </c>
      <c r="D71" s="49">
        <f>VLOOKUP($A71,'Data shares'!$C:$FB,66)</f>
        <v>89261550</v>
      </c>
      <c r="E71" s="49">
        <f>VLOOKUP($A71,'Data shares'!$C:$FB,67)</f>
        <v>35910000</v>
      </c>
      <c r="F71" s="50">
        <f>VLOOKUP($A71,'Data shares'!$C:$FB,69)*100</f>
        <v>148.57</v>
      </c>
      <c r="G71" s="49">
        <f>VLOOKUP($A71,'Data shares'!$C:$FB,42)</f>
        <v>37563750</v>
      </c>
      <c r="H71" s="49">
        <f>VLOOKUP($A71,'Data shares'!$C:$FB,43)</f>
        <v>9717750</v>
      </c>
      <c r="I71" s="50">
        <f>VLOOKUP($A71,'Data shares'!$C:$FB,45)*100</f>
        <v>286.55</v>
      </c>
      <c r="J71" s="49">
        <f>VLOOKUP($A71,'Data shares'!$C:$FB,58)</f>
        <v>33037200</v>
      </c>
      <c r="K71" s="49">
        <f>VLOOKUP($A71,'Data shares'!$C:$FB,59)</f>
        <v>18566100</v>
      </c>
      <c r="L71" s="50">
        <f>VLOOKUP($A71,'Data shares'!$C:$FB,61)*100</f>
        <v>77.94</v>
      </c>
      <c r="M71" s="49">
        <f>VLOOKUP($A71,'Data shares'!$C:$FB,62)</f>
        <v>18660600</v>
      </c>
      <c r="N71" s="49">
        <f>VLOOKUP($A71,'Data shares'!$C:$FB,63)</f>
        <v>7626150</v>
      </c>
      <c r="O71" s="140">
        <f>VLOOKUP($A71,'Data shares'!$C:$FB,65)*100</f>
        <v>144.69</v>
      </c>
    </row>
    <row r="72" spans="1:15" x14ac:dyDescent="0.25">
      <c r="A72" s="101" t="str">
        <f>'Data shares'!C67</f>
        <v>GLENMARK</v>
      </c>
      <c r="B72" s="50">
        <f>VLOOKUP($A72,'Data shares'!$C:$FB,7)</f>
        <v>1878</v>
      </c>
      <c r="C72" s="50">
        <f>VLOOKUP($A72,'Data shares'!$C:$FB,10)*100</f>
        <v>2.02</v>
      </c>
      <c r="D72" s="49">
        <f>VLOOKUP($A72,'Data shares'!$C:$FB,66)</f>
        <v>45263625</v>
      </c>
      <c r="E72" s="49">
        <f>VLOOKUP($A72,'Data shares'!$C:$FB,67)</f>
        <v>31548000</v>
      </c>
      <c r="F72" s="50">
        <f>VLOOKUP($A72,'Data shares'!$C:$FB,69)*100</f>
        <v>43.480000000000004</v>
      </c>
      <c r="G72" s="49">
        <f>VLOOKUP($A72,'Data shares'!$C:$FB,42)</f>
        <v>9424875</v>
      </c>
      <c r="H72" s="49">
        <f>VLOOKUP($A72,'Data shares'!$C:$FB,43)</f>
        <v>5514750</v>
      </c>
      <c r="I72" s="50">
        <f>VLOOKUP($A72,'Data shares'!$C:$FB,45)*100</f>
        <v>70.899999999999991</v>
      </c>
      <c r="J72" s="49">
        <f>VLOOKUP($A72,'Data shares'!$C:$FB,58)</f>
        <v>27796500</v>
      </c>
      <c r="K72" s="49">
        <f>VLOOKUP($A72,'Data shares'!$C:$FB,59)</f>
        <v>20161875</v>
      </c>
      <c r="L72" s="50">
        <f>VLOOKUP($A72,'Data shares'!$C:$FB,61)*100</f>
        <v>37.869999999999997</v>
      </c>
      <c r="M72" s="49">
        <f>VLOOKUP($A72,'Data shares'!$C:$FB,62)</f>
        <v>8042250</v>
      </c>
      <c r="N72" s="49">
        <f>VLOOKUP($A72,'Data shares'!$C:$FB,63)</f>
        <v>5871375</v>
      </c>
      <c r="O72" s="140">
        <f>VLOOKUP($A72,'Data shares'!$C:$FB,65)*100</f>
        <v>36.97</v>
      </c>
    </row>
    <row r="73" spans="1:15" x14ac:dyDescent="0.25">
      <c r="A73" s="101" t="str">
        <f>'Data shares'!C68</f>
        <v>GMRAIRPORT</v>
      </c>
      <c r="B73" s="50">
        <f>VLOOKUP($A73,'Data shares'!$C:$FB,7)</f>
        <v>103.27</v>
      </c>
      <c r="C73" s="50">
        <f>VLOOKUP($A73,'Data shares'!$C:$FB,10)*100</f>
        <v>0.33999999999999997</v>
      </c>
      <c r="D73" s="49">
        <f>VLOOKUP($A73,'Data shares'!$C:$FB,66)</f>
        <v>334130400</v>
      </c>
      <c r="E73" s="49">
        <f>VLOOKUP($A73,'Data shares'!$C:$FB,67)</f>
        <v>472381875</v>
      </c>
      <c r="F73" s="50">
        <f>VLOOKUP($A73,'Data shares'!$C:$FB,69)*100</f>
        <v>-29.270000000000003</v>
      </c>
      <c r="G73" s="49">
        <f>VLOOKUP($A73,'Data shares'!$C:$FB,42)</f>
        <v>104164650</v>
      </c>
      <c r="H73" s="49">
        <f>VLOOKUP($A73,'Data shares'!$C:$FB,43)</f>
        <v>67259925</v>
      </c>
      <c r="I73" s="50">
        <f>VLOOKUP($A73,'Data shares'!$C:$FB,45)*100</f>
        <v>54.87</v>
      </c>
      <c r="J73" s="49">
        <f>VLOOKUP($A73,'Data shares'!$C:$FB,58)</f>
        <v>156916575</v>
      </c>
      <c r="K73" s="49">
        <f>VLOOKUP($A73,'Data shares'!$C:$FB,59)</f>
        <v>277870050</v>
      </c>
      <c r="L73" s="50">
        <f>VLOOKUP($A73,'Data shares'!$C:$FB,61)*100</f>
        <v>-43.53</v>
      </c>
      <c r="M73" s="49">
        <f>VLOOKUP($A73,'Data shares'!$C:$FB,62)</f>
        <v>73049175</v>
      </c>
      <c r="N73" s="49">
        <f>VLOOKUP($A73,'Data shares'!$C:$FB,63)</f>
        <v>127251900</v>
      </c>
      <c r="O73" s="140">
        <f>VLOOKUP($A73,'Data shares'!$C:$FB,65)*100</f>
        <v>-42.59</v>
      </c>
    </row>
    <row r="74" spans="1:15" x14ac:dyDescent="0.25">
      <c r="A74" s="101" t="str">
        <f>'Data shares'!C69</f>
        <v>GODREJCP</v>
      </c>
      <c r="B74" s="50">
        <f>VLOOKUP($A74,'Data shares'!$C:$FB,7)</f>
        <v>1127.3</v>
      </c>
      <c r="C74" s="50">
        <f>VLOOKUP($A74,'Data shares'!$C:$FB,10)*100</f>
        <v>-1.1100000000000001</v>
      </c>
      <c r="D74" s="49">
        <f>VLOOKUP($A74,'Data shares'!$C:$FB,66)</f>
        <v>10058000</v>
      </c>
      <c r="E74" s="49">
        <f>VLOOKUP($A74,'Data shares'!$C:$FB,67)</f>
        <v>6129500</v>
      </c>
      <c r="F74" s="50">
        <f>VLOOKUP($A74,'Data shares'!$C:$FB,69)*100</f>
        <v>64.09</v>
      </c>
      <c r="G74" s="49">
        <f>VLOOKUP($A74,'Data shares'!$C:$FB,42)</f>
        <v>6535500</v>
      </c>
      <c r="H74" s="49">
        <f>VLOOKUP($A74,'Data shares'!$C:$FB,43)</f>
        <v>1905000</v>
      </c>
      <c r="I74" s="50">
        <f>VLOOKUP($A74,'Data shares'!$C:$FB,45)*100</f>
        <v>243.07</v>
      </c>
      <c r="J74" s="49">
        <f>VLOOKUP($A74,'Data shares'!$C:$FB,58)</f>
        <v>2323000</v>
      </c>
      <c r="K74" s="49">
        <f>VLOOKUP($A74,'Data shares'!$C:$FB,59)</f>
        <v>2680000</v>
      </c>
      <c r="L74" s="50">
        <f>VLOOKUP($A74,'Data shares'!$C:$FB,61)*100</f>
        <v>-13.320000000000002</v>
      </c>
      <c r="M74" s="49">
        <f>VLOOKUP($A74,'Data shares'!$C:$FB,62)</f>
        <v>1199500</v>
      </c>
      <c r="N74" s="49">
        <f>VLOOKUP($A74,'Data shares'!$C:$FB,63)</f>
        <v>1544500</v>
      </c>
      <c r="O74" s="140">
        <f>VLOOKUP($A74,'Data shares'!$C:$FB,65)*100</f>
        <v>-22.34</v>
      </c>
    </row>
    <row r="75" spans="1:15" x14ac:dyDescent="0.25">
      <c r="A75" s="101" t="str">
        <f>'Data shares'!C70</f>
        <v>GODREJPROP</v>
      </c>
      <c r="B75" s="50">
        <f>VLOOKUP($A75,'Data shares'!$C:$FB,7)</f>
        <v>2123.8000000000002</v>
      </c>
      <c r="C75" s="50">
        <f>VLOOKUP($A75,'Data shares'!$C:$FB,10)*100</f>
        <v>-0.31</v>
      </c>
      <c r="D75" s="49">
        <f>VLOOKUP($A75,'Data shares'!$C:$FB,66)</f>
        <v>7585875</v>
      </c>
      <c r="E75" s="49">
        <f>VLOOKUP($A75,'Data shares'!$C:$FB,67)</f>
        <v>7515750</v>
      </c>
      <c r="F75" s="50">
        <f>VLOOKUP($A75,'Data shares'!$C:$FB,69)*100</f>
        <v>0.92999999999999994</v>
      </c>
      <c r="G75" s="49">
        <f>VLOOKUP($A75,'Data shares'!$C:$FB,42)</f>
        <v>3402575</v>
      </c>
      <c r="H75" s="49">
        <f>VLOOKUP($A75,'Data shares'!$C:$FB,43)</f>
        <v>1138775</v>
      </c>
      <c r="I75" s="50">
        <f>VLOOKUP($A75,'Data shares'!$C:$FB,45)*100</f>
        <v>198.79</v>
      </c>
      <c r="J75" s="49">
        <f>VLOOKUP($A75,'Data shares'!$C:$FB,58)</f>
        <v>3169650</v>
      </c>
      <c r="K75" s="49">
        <f>VLOOKUP($A75,'Data shares'!$C:$FB,59)</f>
        <v>4300450</v>
      </c>
      <c r="L75" s="50">
        <f>VLOOKUP($A75,'Data shares'!$C:$FB,61)*100</f>
        <v>-26.290000000000003</v>
      </c>
      <c r="M75" s="49">
        <f>VLOOKUP($A75,'Data shares'!$C:$FB,62)</f>
        <v>1013650</v>
      </c>
      <c r="N75" s="49">
        <f>VLOOKUP($A75,'Data shares'!$C:$FB,63)</f>
        <v>2076525</v>
      </c>
      <c r="O75" s="140">
        <f>VLOOKUP($A75,'Data shares'!$C:$FB,65)*100</f>
        <v>-51.190000000000005</v>
      </c>
    </row>
    <row r="76" spans="1:15" x14ac:dyDescent="0.25">
      <c r="A76" s="101" t="str">
        <f>'Data shares'!C71</f>
        <v>GRASIM</v>
      </c>
      <c r="B76" s="50">
        <f>VLOOKUP($A76,'Data shares'!$C:$FB,7)</f>
        <v>2748.6</v>
      </c>
      <c r="C76" s="50">
        <f>VLOOKUP($A76,'Data shares'!$C:$FB,10)*100</f>
        <v>0.13999999999999999</v>
      </c>
      <c r="D76" s="49">
        <f>VLOOKUP($A76,'Data shares'!$C:$FB,66)</f>
        <v>12046750</v>
      </c>
      <c r="E76" s="49">
        <f>VLOOKUP($A76,'Data shares'!$C:$FB,67)</f>
        <v>12924500</v>
      </c>
      <c r="F76" s="50">
        <f>VLOOKUP($A76,'Data shares'!$C:$FB,69)*100</f>
        <v>-6.79</v>
      </c>
      <c r="G76" s="49">
        <f>VLOOKUP($A76,'Data shares'!$C:$FB,42)</f>
        <v>6840250</v>
      </c>
      <c r="H76" s="49">
        <f>VLOOKUP($A76,'Data shares'!$C:$FB,43)</f>
        <v>6979000</v>
      </c>
      <c r="I76" s="50">
        <f>VLOOKUP($A76,'Data shares'!$C:$FB,45)*100</f>
        <v>-1.9900000000000002</v>
      </c>
      <c r="J76" s="49">
        <f>VLOOKUP($A76,'Data shares'!$C:$FB,58)</f>
        <v>3720250</v>
      </c>
      <c r="K76" s="49">
        <f>VLOOKUP($A76,'Data shares'!$C:$FB,59)</f>
        <v>4375500</v>
      </c>
      <c r="L76" s="50">
        <f>VLOOKUP($A76,'Data shares'!$C:$FB,61)*100</f>
        <v>-14.979999999999999</v>
      </c>
      <c r="M76" s="49">
        <f>VLOOKUP($A76,'Data shares'!$C:$FB,62)</f>
        <v>1486250</v>
      </c>
      <c r="N76" s="49">
        <f>VLOOKUP($A76,'Data shares'!$C:$FB,63)</f>
        <v>1570000</v>
      </c>
      <c r="O76" s="140">
        <f>VLOOKUP($A76,'Data shares'!$C:$FB,65)*100</f>
        <v>-5.33</v>
      </c>
    </row>
    <row r="77" spans="1:15" x14ac:dyDescent="0.25">
      <c r="A77" s="101" t="str">
        <f>'Data shares'!C72</f>
        <v>HAL</v>
      </c>
      <c r="B77" s="50">
        <f>VLOOKUP($A77,'Data shares'!$C:$FB,7)</f>
        <v>4716.6000000000004</v>
      </c>
      <c r="C77" s="50">
        <f>VLOOKUP($A77,'Data shares'!$C:$FB,10)*100</f>
        <v>-0.57999999999999996</v>
      </c>
      <c r="D77" s="49">
        <f>VLOOKUP($A77,'Data shares'!$C:$FB,66)</f>
        <v>24296400</v>
      </c>
      <c r="E77" s="49">
        <f>VLOOKUP($A77,'Data shares'!$C:$FB,67)</f>
        <v>19688550</v>
      </c>
      <c r="F77" s="50">
        <f>VLOOKUP($A77,'Data shares'!$C:$FB,69)*100</f>
        <v>23.400000000000002</v>
      </c>
      <c r="G77" s="49">
        <f>VLOOKUP($A77,'Data shares'!$C:$FB,42)</f>
        <v>3589050</v>
      </c>
      <c r="H77" s="49">
        <f>VLOOKUP($A77,'Data shares'!$C:$FB,43)</f>
        <v>1974300</v>
      </c>
      <c r="I77" s="50">
        <f>VLOOKUP($A77,'Data shares'!$C:$FB,45)*100</f>
        <v>81.789999999999992</v>
      </c>
      <c r="J77" s="49">
        <f>VLOOKUP($A77,'Data shares'!$C:$FB,58)</f>
        <v>16053600</v>
      </c>
      <c r="K77" s="49">
        <f>VLOOKUP($A77,'Data shares'!$C:$FB,59)</f>
        <v>13155000</v>
      </c>
      <c r="L77" s="50">
        <f>VLOOKUP($A77,'Data shares'!$C:$FB,61)*100</f>
        <v>22.03</v>
      </c>
      <c r="M77" s="49">
        <f>VLOOKUP($A77,'Data shares'!$C:$FB,62)</f>
        <v>4653750</v>
      </c>
      <c r="N77" s="49">
        <f>VLOOKUP($A77,'Data shares'!$C:$FB,63)</f>
        <v>4559250</v>
      </c>
      <c r="O77" s="140">
        <f>VLOOKUP($A77,'Data shares'!$C:$FB,65)*100</f>
        <v>2.0699999999999998</v>
      </c>
    </row>
    <row r="78" spans="1:15" x14ac:dyDescent="0.25">
      <c r="A78" s="101" t="str">
        <f>'Data shares'!C73</f>
        <v>HAVELLS</v>
      </c>
      <c r="B78" s="50">
        <f>VLOOKUP($A78,'Data shares'!$C:$FB,7)</f>
        <v>1448.5</v>
      </c>
      <c r="C78" s="50">
        <f>VLOOKUP($A78,'Data shares'!$C:$FB,10)*100</f>
        <v>0.55999999999999994</v>
      </c>
      <c r="D78" s="49">
        <f>VLOOKUP($A78,'Data shares'!$C:$FB,66)</f>
        <v>8811500</v>
      </c>
      <c r="E78" s="49">
        <f>VLOOKUP($A78,'Data shares'!$C:$FB,67)</f>
        <v>6448500</v>
      </c>
      <c r="F78" s="50">
        <f>VLOOKUP($A78,'Data shares'!$C:$FB,69)*100</f>
        <v>36.64</v>
      </c>
      <c r="G78" s="49">
        <f>VLOOKUP($A78,'Data shares'!$C:$FB,42)</f>
        <v>5304000</v>
      </c>
      <c r="H78" s="49">
        <f>VLOOKUP($A78,'Data shares'!$C:$FB,43)</f>
        <v>1653000</v>
      </c>
      <c r="I78" s="50">
        <f>VLOOKUP($A78,'Data shares'!$C:$FB,45)*100</f>
        <v>220.86999999999998</v>
      </c>
      <c r="J78" s="49">
        <f>VLOOKUP($A78,'Data shares'!$C:$FB,58)</f>
        <v>2422500</v>
      </c>
      <c r="K78" s="49">
        <f>VLOOKUP($A78,'Data shares'!$C:$FB,59)</f>
        <v>3296000</v>
      </c>
      <c r="L78" s="50">
        <f>VLOOKUP($A78,'Data shares'!$C:$FB,61)*100</f>
        <v>-26.5</v>
      </c>
      <c r="M78" s="49">
        <f>VLOOKUP($A78,'Data shares'!$C:$FB,62)</f>
        <v>1085000</v>
      </c>
      <c r="N78" s="49">
        <f>VLOOKUP($A78,'Data shares'!$C:$FB,63)</f>
        <v>1499500</v>
      </c>
      <c r="O78" s="140">
        <f>VLOOKUP($A78,'Data shares'!$C:$FB,65)*100</f>
        <v>-27.639999999999997</v>
      </c>
    </row>
    <row r="79" spans="1:15" x14ac:dyDescent="0.25">
      <c r="A79" s="101" t="str">
        <f>'Data shares'!C74</f>
        <v>HCLTECH</v>
      </c>
      <c r="B79" s="50">
        <f>VLOOKUP($A79,'Data shares'!$C:$FB,7)</f>
        <v>1645.4</v>
      </c>
      <c r="C79" s="50">
        <f>VLOOKUP($A79,'Data shares'!$C:$FB,10)*100</f>
        <v>-1.03</v>
      </c>
      <c r="D79" s="49">
        <f>VLOOKUP($A79,'Data shares'!$C:$FB,66)</f>
        <v>40168800</v>
      </c>
      <c r="E79" s="49">
        <f>VLOOKUP($A79,'Data shares'!$C:$FB,67)</f>
        <v>102140500</v>
      </c>
      <c r="F79" s="50">
        <f>VLOOKUP($A79,'Data shares'!$C:$FB,69)*100</f>
        <v>-60.67</v>
      </c>
      <c r="G79" s="49">
        <f>VLOOKUP($A79,'Data shares'!$C:$FB,42)</f>
        <v>11080300</v>
      </c>
      <c r="H79" s="49">
        <f>VLOOKUP($A79,'Data shares'!$C:$FB,43)</f>
        <v>6906900</v>
      </c>
      <c r="I79" s="50">
        <f>VLOOKUP($A79,'Data shares'!$C:$FB,45)*100</f>
        <v>60.419999999999995</v>
      </c>
      <c r="J79" s="49">
        <f>VLOOKUP($A79,'Data shares'!$C:$FB,58)</f>
        <v>17284400</v>
      </c>
      <c r="K79" s="49">
        <f>VLOOKUP($A79,'Data shares'!$C:$FB,59)</f>
        <v>67809350</v>
      </c>
      <c r="L79" s="50">
        <f>VLOOKUP($A79,'Data shares'!$C:$FB,61)*100</f>
        <v>-74.510000000000005</v>
      </c>
      <c r="M79" s="49">
        <f>VLOOKUP($A79,'Data shares'!$C:$FB,62)</f>
        <v>11804100</v>
      </c>
      <c r="N79" s="49">
        <f>VLOOKUP($A79,'Data shares'!$C:$FB,63)</f>
        <v>27424250</v>
      </c>
      <c r="O79" s="140">
        <f>VLOOKUP($A79,'Data shares'!$C:$FB,65)*100</f>
        <v>-56.96</v>
      </c>
    </row>
    <row r="80" spans="1:15" x14ac:dyDescent="0.25">
      <c r="A80" s="101" t="str">
        <f>'Data shares'!C75</f>
        <v>HDFCAMC</v>
      </c>
      <c r="B80" s="50">
        <f>VLOOKUP($A80,'Data shares'!$C:$FB,7)</f>
        <v>5399</v>
      </c>
      <c r="C80" s="50">
        <f>VLOOKUP($A80,'Data shares'!$C:$FB,10)*100</f>
        <v>0.13</v>
      </c>
      <c r="D80" s="49">
        <f>VLOOKUP($A80,'Data shares'!$C:$FB,66)</f>
        <v>3429300</v>
      </c>
      <c r="E80" s="49">
        <f>VLOOKUP($A80,'Data shares'!$C:$FB,67)</f>
        <v>2880750</v>
      </c>
      <c r="F80" s="50">
        <f>VLOOKUP($A80,'Data shares'!$C:$FB,69)*100</f>
        <v>19.040000000000003</v>
      </c>
      <c r="G80" s="49">
        <f>VLOOKUP($A80,'Data shares'!$C:$FB,42)</f>
        <v>1357050</v>
      </c>
      <c r="H80" s="49">
        <f>VLOOKUP($A80,'Data shares'!$C:$FB,43)</f>
        <v>396150</v>
      </c>
      <c r="I80" s="50">
        <f>VLOOKUP($A80,'Data shares'!$C:$FB,45)*100</f>
        <v>242.56000000000003</v>
      </c>
      <c r="J80" s="49">
        <f>VLOOKUP($A80,'Data shares'!$C:$FB,58)</f>
        <v>1626450</v>
      </c>
      <c r="K80" s="49">
        <f>VLOOKUP($A80,'Data shares'!$C:$FB,59)</f>
        <v>2009400</v>
      </c>
      <c r="L80" s="50">
        <f>VLOOKUP($A80,'Data shares'!$C:$FB,61)*100</f>
        <v>-19.059999999999999</v>
      </c>
      <c r="M80" s="49">
        <f>VLOOKUP($A80,'Data shares'!$C:$FB,62)</f>
        <v>445800</v>
      </c>
      <c r="N80" s="49">
        <f>VLOOKUP($A80,'Data shares'!$C:$FB,63)</f>
        <v>475200</v>
      </c>
      <c r="O80" s="140">
        <f>VLOOKUP($A80,'Data shares'!$C:$FB,65)*100</f>
        <v>-6.1899999999999995</v>
      </c>
    </row>
    <row r="81" spans="1:15" x14ac:dyDescent="0.25">
      <c r="A81" s="101" t="str">
        <f>'Data shares'!C76</f>
        <v>HDFCBANK</v>
      </c>
      <c r="B81" s="50">
        <f>VLOOKUP($A81,'Data shares'!$C:$FB,7)</f>
        <v>1008.85</v>
      </c>
      <c r="C81" s="50">
        <f>VLOOKUP($A81,'Data shares'!$C:$FB,10)*100</f>
        <v>1.43</v>
      </c>
      <c r="D81" s="49">
        <f>VLOOKUP($A81,'Data shares'!$C:$FB,66)</f>
        <v>286645700</v>
      </c>
      <c r="E81" s="49">
        <f>VLOOKUP($A81,'Data shares'!$C:$FB,67)</f>
        <v>126755750</v>
      </c>
      <c r="F81" s="50">
        <f>VLOOKUP($A81,'Data shares'!$C:$FB,69)*100</f>
        <v>126.14000000000001</v>
      </c>
      <c r="G81" s="49">
        <f>VLOOKUP($A81,'Data shares'!$C:$FB,42)</f>
        <v>112808850</v>
      </c>
      <c r="H81" s="49">
        <f>VLOOKUP($A81,'Data shares'!$C:$FB,43)</f>
        <v>27100700</v>
      </c>
      <c r="I81" s="50">
        <f>VLOOKUP($A81,'Data shares'!$C:$FB,45)*100</f>
        <v>316.26</v>
      </c>
      <c r="J81" s="49">
        <f>VLOOKUP($A81,'Data shares'!$C:$FB,58)</f>
        <v>115478550</v>
      </c>
      <c r="K81" s="49">
        <f>VLOOKUP($A81,'Data shares'!$C:$FB,59)</f>
        <v>67763300</v>
      </c>
      <c r="L81" s="50">
        <f>VLOOKUP($A81,'Data shares'!$C:$FB,61)*100</f>
        <v>70.41</v>
      </c>
      <c r="M81" s="49">
        <f>VLOOKUP($A81,'Data shares'!$C:$FB,62)</f>
        <v>58358300</v>
      </c>
      <c r="N81" s="49">
        <f>VLOOKUP($A81,'Data shares'!$C:$FB,63)</f>
        <v>31891750</v>
      </c>
      <c r="O81" s="140">
        <f>VLOOKUP($A81,'Data shares'!$C:$FB,65)*100</f>
        <v>82.99</v>
      </c>
    </row>
    <row r="82" spans="1:15" x14ac:dyDescent="0.25">
      <c r="A82" s="101" t="str">
        <f>'Data shares'!C77</f>
        <v>HDFCLIFE</v>
      </c>
      <c r="B82" s="50">
        <f>VLOOKUP($A82,'Data shares'!$C:$FB,7)</f>
        <v>762.2</v>
      </c>
      <c r="C82" s="50">
        <f>VLOOKUP($A82,'Data shares'!$C:$FB,10)*100</f>
        <v>0.13999999999999999</v>
      </c>
      <c r="D82" s="49">
        <f>VLOOKUP($A82,'Data shares'!$C:$FB,66)</f>
        <v>43008900</v>
      </c>
      <c r="E82" s="49">
        <f>VLOOKUP($A82,'Data shares'!$C:$FB,67)</f>
        <v>17185300</v>
      </c>
      <c r="F82" s="50">
        <f>VLOOKUP($A82,'Data shares'!$C:$FB,69)*100</f>
        <v>150.26999999999998</v>
      </c>
      <c r="G82" s="49">
        <f>VLOOKUP($A82,'Data shares'!$C:$FB,42)</f>
        <v>18170900</v>
      </c>
      <c r="H82" s="49">
        <f>VLOOKUP($A82,'Data shares'!$C:$FB,43)</f>
        <v>3171300</v>
      </c>
      <c r="I82" s="50">
        <f>VLOOKUP($A82,'Data shares'!$C:$FB,45)*100</f>
        <v>472.98</v>
      </c>
      <c r="J82" s="49">
        <f>VLOOKUP($A82,'Data shares'!$C:$FB,58)</f>
        <v>15956600</v>
      </c>
      <c r="K82" s="49">
        <f>VLOOKUP($A82,'Data shares'!$C:$FB,59)</f>
        <v>9454500</v>
      </c>
      <c r="L82" s="50">
        <f>VLOOKUP($A82,'Data shares'!$C:$FB,61)*100</f>
        <v>68.77</v>
      </c>
      <c r="M82" s="49">
        <f>VLOOKUP($A82,'Data shares'!$C:$FB,62)</f>
        <v>8881400</v>
      </c>
      <c r="N82" s="49">
        <f>VLOOKUP($A82,'Data shares'!$C:$FB,63)</f>
        <v>4559500</v>
      </c>
      <c r="O82" s="140">
        <f>VLOOKUP($A82,'Data shares'!$C:$FB,65)*100</f>
        <v>94.789999999999992</v>
      </c>
    </row>
    <row r="83" spans="1:15" x14ac:dyDescent="0.25">
      <c r="A83" s="101" t="str">
        <f>'Data shares'!C78</f>
        <v>HEROMOTOCO</v>
      </c>
      <c r="B83" s="50">
        <f>VLOOKUP($A83,'Data shares'!$C:$FB,7)</f>
        <v>5999.5</v>
      </c>
      <c r="C83" s="50">
        <f>VLOOKUP($A83,'Data shares'!$C:$FB,10)*100</f>
        <v>2.09</v>
      </c>
      <c r="D83" s="49">
        <f>VLOOKUP($A83,'Data shares'!$C:$FB,66)</f>
        <v>48506250</v>
      </c>
      <c r="E83" s="49">
        <f>VLOOKUP($A83,'Data shares'!$C:$FB,67)</f>
        <v>24623250</v>
      </c>
      <c r="F83" s="50">
        <f>VLOOKUP($A83,'Data shares'!$C:$FB,69)*100</f>
        <v>96.99</v>
      </c>
      <c r="G83" s="49">
        <f>VLOOKUP($A83,'Data shares'!$C:$FB,42)</f>
        <v>4846500</v>
      </c>
      <c r="H83" s="49">
        <f>VLOOKUP($A83,'Data shares'!$C:$FB,43)</f>
        <v>1273950</v>
      </c>
      <c r="I83" s="50">
        <f>VLOOKUP($A83,'Data shares'!$C:$FB,45)*100</f>
        <v>280.43</v>
      </c>
      <c r="J83" s="49">
        <f>VLOOKUP($A83,'Data shares'!$C:$FB,58)</f>
        <v>28790100</v>
      </c>
      <c r="K83" s="49">
        <f>VLOOKUP($A83,'Data shares'!$C:$FB,59)</f>
        <v>14694300</v>
      </c>
      <c r="L83" s="50">
        <f>VLOOKUP($A83,'Data shares'!$C:$FB,61)*100</f>
        <v>95.93</v>
      </c>
      <c r="M83" s="49">
        <f>VLOOKUP($A83,'Data shares'!$C:$FB,62)</f>
        <v>14869650</v>
      </c>
      <c r="N83" s="49">
        <f>VLOOKUP($A83,'Data shares'!$C:$FB,63)</f>
        <v>8655000</v>
      </c>
      <c r="O83" s="140">
        <f>VLOOKUP($A83,'Data shares'!$C:$FB,65)*100</f>
        <v>71.8</v>
      </c>
    </row>
    <row r="84" spans="1:15" x14ac:dyDescent="0.25">
      <c r="A84" s="101" t="str">
        <f>'Data shares'!C79</f>
        <v>HFCL</v>
      </c>
      <c r="B84" s="50">
        <f>VLOOKUP($A84,'Data shares'!$C:$FB,7)</f>
        <v>73.400000000000006</v>
      </c>
      <c r="C84" s="50">
        <f>VLOOKUP($A84,'Data shares'!$C:$FB,10)*100</f>
        <v>-0.53</v>
      </c>
      <c r="D84" s="49">
        <f>VLOOKUP($A84,'Data shares'!$C:$FB,66)</f>
        <v>99252600</v>
      </c>
      <c r="E84" s="49">
        <f>VLOOKUP($A84,'Data shares'!$C:$FB,67)</f>
        <v>89990400</v>
      </c>
      <c r="F84" s="50">
        <f>VLOOKUP($A84,'Data shares'!$C:$FB,69)*100</f>
        <v>10.290000000000001</v>
      </c>
      <c r="G84" s="49">
        <f>VLOOKUP($A84,'Data shares'!$C:$FB,42)</f>
        <v>45949800</v>
      </c>
      <c r="H84" s="49">
        <f>VLOOKUP($A84,'Data shares'!$C:$FB,43)</f>
        <v>22723350</v>
      </c>
      <c r="I84" s="50">
        <f>VLOOKUP($A84,'Data shares'!$C:$FB,45)*100</f>
        <v>102.21000000000001</v>
      </c>
      <c r="J84" s="49">
        <f>VLOOKUP($A84,'Data shares'!$C:$FB,58)</f>
        <v>32553150</v>
      </c>
      <c r="K84" s="49">
        <f>VLOOKUP($A84,'Data shares'!$C:$FB,59)</f>
        <v>46349700</v>
      </c>
      <c r="L84" s="50">
        <f>VLOOKUP($A84,'Data shares'!$C:$FB,61)*100</f>
        <v>-29.770000000000003</v>
      </c>
      <c r="M84" s="49">
        <f>VLOOKUP($A84,'Data shares'!$C:$FB,62)</f>
        <v>20749650</v>
      </c>
      <c r="N84" s="49">
        <f>VLOOKUP($A84,'Data shares'!$C:$FB,63)</f>
        <v>20917350</v>
      </c>
      <c r="O84" s="140">
        <f>VLOOKUP($A84,'Data shares'!$C:$FB,65)*100</f>
        <v>-0.8</v>
      </c>
    </row>
    <row r="85" spans="1:15" x14ac:dyDescent="0.25">
      <c r="A85" s="101" t="str">
        <f>'Data shares'!C80</f>
        <v>HINDALCO</v>
      </c>
      <c r="B85" s="50">
        <f>VLOOKUP($A85,'Data shares'!$C:$FB,7)</f>
        <v>799.8</v>
      </c>
      <c r="C85" s="50">
        <f>VLOOKUP($A85,'Data shares'!$C:$FB,10)*100</f>
        <v>1.1199999999999999</v>
      </c>
      <c r="D85" s="49">
        <f>VLOOKUP($A85,'Data shares'!$C:$FB,66)</f>
        <v>107504600</v>
      </c>
      <c r="E85" s="49">
        <f>VLOOKUP($A85,'Data shares'!$C:$FB,67)</f>
        <v>84147700</v>
      </c>
      <c r="F85" s="50">
        <f>VLOOKUP($A85,'Data shares'!$C:$FB,69)*100</f>
        <v>27.76</v>
      </c>
      <c r="G85" s="49">
        <f>VLOOKUP($A85,'Data shares'!$C:$FB,42)</f>
        <v>47655300</v>
      </c>
      <c r="H85" s="49">
        <f>VLOOKUP($A85,'Data shares'!$C:$FB,43)</f>
        <v>39363100</v>
      </c>
      <c r="I85" s="50">
        <f>VLOOKUP($A85,'Data shares'!$C:$FB,45)*100</f>
        <v>21.07</v>
      </c>
      <c r="J85" s="49">
        <f>VLOOKUP($A85,'Data shares'!$C:$FB,58)</f>
        <v>42338100</v>
      </c>
      <c r="K85" s="49">
        <f>VLOOKUP($A85,'Data shares'!$C:$FB,59)</f>
        <v>28045500</v>
      </c>
      <c r="L85" s="50">
        <f>VLOOKUP($A85,'Data shares'!$C:$FB,61)*100</f>
        <v>50.960000000000008</v>
      </c>
      <c r="M85" s="49">
        <f>VLOOKUP($A85,'Data shares'!$C:$FB,62)</f>
        <v>17511200</v>
      </c>
      <c r="N85" s="49">
        <f>VLOOKUP($A85,'Data shares'!$C:$FB,63)</f>
        <v>16739100</v>
      </c>
      <c r="O85" s="140">
        <f>VLOOKUP($A85,'Data shares'!$C:$FB,65)*100</f>
        <v>4.6100000000000003</v>
      </c>
    </row>
    <row r="86" spans="1:15" x14ac:dyDescent="0.25">
      <c r="A86" s="101" t="str">
        <f>'Data shares'!C81</f>
        <v>HINDPETRO</v>
      </c>
      <c r="B86" s="50">
        <f>VLOOKUP($A86,'Data shares'!$C:$FB,7)</f>
        <v>477.9</v>
      </c>
      <c r="C86" s="50">
        <f>VLOOKUP($A86,'Data shares'!$C:$FB,10)*100</f>
        <v>0.16</v>
      </c>
      <c r="D86" s="49">
        <f>VLOOKUP($A86,'Data shares'!$C:$FB,66)</f>
        <v>46107225</v>
      </c>
      <c r="E86" s="49">
        <f>VLOOKUP($A86,'Data shares'!$C:$FB,67)</f>
        <v>33957225</v>
      </c>
      <c r="F86" s="50">
        <f>VLOOKUP($A86,'Data shares'!$C:$FB,69)*100</f>
        <v>35.78</v>
      </c>
      <c r="G86" s="49">
        <f>VLOOKUP($A86,'Data shares'!$C:$FB,42)</f>
        <v>27586575</v>
      </c>
      <c r="H86" s="49">
        <f>VLOOKUP($A86,'Data shares'!$C:$FB,43)</f>
        <v>8027100</v>
      </c>
      <c r="I86" s="50">
        <f>VLOOKUP($A86,'Data shares'!$C:$FB,45)*100</f>
        <v>243.67000000000002</v>
      </c>
      <c r="J86" s="49">
        <f>VLOOKUP($A86,'Data shares'!$C:$FB,58)</f>
        <v>13245525</v>
      </c>
      <c r="K86" s="49">
        <f>VLOOKUP($A86,'Data shares'!$C:$FB,59)</f>
        <v>17291475</v>
      </c>
      <c r="L86" s="50">
        <f>VLOOKUP($A86,'Data shares'!$C:$FB,61)*100</f>
        <v>-23.400000000000002</v>
      </c>
      <c r="M86" s="49">
        <f>VLOOKUP($A86,'Data shares'!$C:$FB,62)</f>
        <v>5275125</v>
      </c>
      <c r="N86" s="49">
        <f>VLOOKUP($A86,'Data shares'!$C:$FB,63)</f>
        <v>8638650</v>
      </c>
      <c r="O86" s="140">
        <f>VLOOKUP($A86,'Data shares'!$C:$FB,65)*100</f>
        <v>-38.940000000000005</v>
      </c>
    </row>
    <row r="87" spans="1:15" x14ac:dyDescent="0.25">
      <c r="A87" s="101" t="str">
        <f>'Data shares'!C82</f>
        <v>HINDUNILVR</v>
      </c>
      <c r="B87" s="50">
        <f>VLOOKUP($A87,'Data shares'!$C:$FB,7)</f>
        <v>2428.4</v>
      </c>
      <c r="C87" s="50">
        <f>VLOOKUP($A87,'Data shares'!$C:$FB,10)*100</f>
        <v>-0.54</v>
      </c>
      <c r="D87" s="49">
        <f>VLOOKUP($A87,'Data shares'!$C:$FB,66)</f>
        <v>34668900</v>
      </c>
      <c r="E87" s="49">
        <f>VLOOKUP($A87,'Data shares'!$C:$FB,67)</f>
        <v>45661500</v>
      </c>
      <c r="F87" s="50">
        <f>VLOOKUP($A87,'Data shares'!$C:$FB,69)*100</f>
        <v>-24.07</v>
      </c>
      <c r="G87" s="49">
        <f>VLOOKUP($A87,'Data shares'!$C:$FB,42)</f>
        <v>11765400</v>
      </c>
      <c r="H87" s="49">
        <f>VLOOKUP($A87,'Data shares'!$C:$FB,43)</f>
        <v>5539200</v>
      </c>
      <c r="I87" s="50">
        <f>VLOOKUP($A87,'Data shares'!$C:$FB,45)*100</f>
        <v>112.4</v>
      </c>
      <c r="J87" s="49">
        <f>VLOOKUP($A87,'Data shares'!$C:$FB,58)</f>
        <v>16743600</v>
      </c>
      <c r="K87" s="49">
        <f>VLOOKUP($A87,'Data shares'!$C:$FB,59)</f>
        <v>29783700</v>
      </c>
      <c r="L87" s="50">
        <f>VLOOKUP($A87,'Data shares'!$C:$FB,61)*100</f>
        <v>-43.78</v>
      </c>
      <c r="M87" s="49">
        <f>VLOOKUP($A87,'Data shares'!$C:$FB,62)</f>
        <v>6159900</v>
      </c>
      <c r="N87" s="49">
        <f>VLOOKUP($A87,'Data shares'!$C:$FB,63)</f>
        <v>10338600</v>
      </c>
      <c r="O87" s="140">
        <f>VLOOKUP($A87,'Data shares'!$C:$FB,65)*100</f>
        <v>-40.42</v>
      </c>
    </row>
    <row r="88" spans="1:15" x14ac:dyDescent="0.25">
      <c r="A88" s="101" t="str">
        <f>'Data shares'!C83</f>
        <v>HINDZINC</v>
      </c>
      <c r="B88" s="50">
        <f>VLOOKUP($A88,'Data shares'!$C:$FB,7)</f>
        <v>472.15</v>
      </c>
      <c r="C88" s="50">
        <f>VLOOKUP($A88,'Data shares'!$C:$FB,10)*100</f>
        <v>-0.91999999999999993</v>
      </c>
      <c r="D88" s="49">
        <f>VLOOKUP($A88,'Data shares'!$C:$FB,66)</f>
        <v>38509100</v>
      </c>
      <c r="E88" s="49">
        <f>VLOOKUP($A88,'Data shares'!$C:$FB,67)</f>
        <v>35809200</v>
      </c>
      <c r="F88" s="50">
        <f>VLOOKUP($A88,'Data shares'!$C:$FB,69)*100</f>
        <v>7.5399999999999991</v>
      </c>
      <c r="G88" s="49">
        <f>VLOOKUP($A88,'Data shares'!$C:$FB,42)</f>
        <v>13193250</v>
      </c>
      <c r="H88" s="49">
        <f>VLOOKUP($A88,'Data shares'!$C:$FB,43)</f>
        <v>4690525</v>
      </c>
      <c r="I88" s="50">
        <f>VLOOKUP($A88,'Data shares'!$C:$FB,45)*100</f>
        <v>181.27</v>
      </c>
      <c r="J88" s="49">
        <f>VLOOKUP($A88,'Data shares'!$C:$FB,58)</f>
        <v>20512625</v>
      </c>
      <c r="K88" s="49">
        <f>VLOOKUP($A88,'Data shares'!$C:$FB,59)</f>
        <v>23142700</v>
      </c>
      <c r="L88" s="50">
        <f>VLOOKUP($A88,'Data shares'!$C:$FB,61)*100</f>
        <v>-11.360000000000001</v>
      </c>
      <c r="M88" s="49">
        <f>VLOOKUP($A88,'Data shares'!$C:$FB,62)</f>
        <v>4803225</v>
      </c>
      <c r="N88" s="49">
        <f>VLOOKUP($A88,'Data shares'!$C:$FB,63)</f>
        <v>7975975</v>
      </c>
      <c r="O88" s="140">
        <f>VLOOKUP($A88,'Data shares'!$C:$FB,65)*100</f>
        <v>-39.78</v>
      </c>
    </row>
    <row r="89" spans="1:15" x14ac:dyDescent="0.25">
      <c r="A89" s="101" t="str">
        <f>'Data shares'!C84</f>
        <v>HUDCO</v>
      </c>
      <c r="B89" s="50">
        <f>VLOOKUP($A89,'Data shares'!$C:$FB,7)</f>
        <v>237.1</v>
      </c>
      <c r="C89" s="50">
        <f>VLOOKUP($A89,'Data shares'!$C:$FB,10)*100</f>
        <v>-0.08</v>
      </c>
      <c r="D89" s="49">
        <f>VLOOKUP($A89,'Data shares'!$C:$FB,66)</f>
        <v>122840925</v>
      </c>
      <c r="E89" s="49">
        <f>VLOOKUP($A89,'Data shares'!$C:$FB,67)</f>
        <v>99547575</v>
      </c>
      <c r="F89" s="50">
        <f>VLOOKUP($A89,'Data shares'!$C:$FB,69)*100</f>
        <v>23.400000000000002</v>
      </c>
      <c r="G89" s="49">
        <f>VLOOKUP($A89,'Data shares'!$C:$FB,42)</f>
        <v>19544325</v>
      </c>
      <c r="H89" s="49">
        <f>VLOOKUP($A89,'Data shares'!$C:$FB,43)</f>
        <v>12345975</v>
      </c>
      <c r="I89" s="50">
        <f>VLOOKUP($A89,'Data shares'!$C:$FB,45)*100</f>
        <v>58.309999999999995</v>
      </c>
      <c r="J89" s="49">
        <f>VLOOKUP($A89,'Data shares'!$C:$FB,58)</f>
        <v>68400975</v>
      </c>
      <c r="K89" s="49">
        <f>VLOOKUP($A89,'Data shares'!$C:$FB,59)</f>
        <v>61494000</v>
      </c>
      <c r="L89" s="50">
        <f>VLOOKUP($A89,'Data shares'!$C:$FB,61)*100</f>
        <v>11.23</v>
      </c>
      <c r="M89" s="49">
        <f>VLOOKUP($A89,'Data shares'!$C:$FB,62)</f>
        <v>34895625</v>
      </c>
      <c r="N89" s="49">
        <f>VLOOKUP($A89,'Data shares'!$C:$FB,63)</f>
        <v>25707600</v>
      </c>
      <c r="O89" s="140">
        <f>VLOOKUP($A89,'Data shares'!$C:$FB,65)*100</f>
        <v>35.74</v>
      </c>
    </row>
    <row r="90" spans="1:15" x14ac:dyDescent="0.25">
      <c r="A90" s="101" t="str">
        <f>'Data shares'!C85</f>
        <v>ICICIBANK</v>
      </c>
      <c r="B90" s="50">
        <f>VLOOKUP($A90,'Data shares'!$C:$FB,7)</f>
        <v>1383</v>
      </c>
      <c r="C90" s="50">
        <f>VLOOKUP($A90,'Data shares'!$C:$FB,10)*100</f>
        <v>-0.01</v>
      </c>
      <c r="D90" s="49">
        <f>VLOOKUP($A90,'Data shares'!$C:$FB,66)</f>
        <v>130966500</v>
      </c>
      <c r="E90" s="49">
        <f>VLOOKUP($A90,'Data shares'!$C:$FB,67)</f>
        <v>77550200</v>
      </c>
      <c r="F90" s="50">
        <f>VLOOKUP($A90,'Data shares'!$C:$FB,69)*100</f>
        <v>68.88</v>
      </c>
      <c r="G90" s="49">
        <f>VLOOKUP($A90,'Data shares'!$C:$FB,42)</f>
        <v>43598800</v>
      </c>
      <c r="H90" s="49">
        <f>VLOOKUP($A90,'Data shares'!$C:$FB,43)</f>
        <v>13721400</v>
      </c>
      <c r="I90" s="50">
        <f>VLOOKUP($A90,'Data shares'!$C:$FB,45)*100</f>
        <v>217.74</v>
      </c>
      <c r="J90" s="49">
        <f>VLOOKUP($A90,'Data shares'!$C:$FB,58)</f>
        <v>59662400</v>
      </c>
      <c r="K90" s="49">
        <f>VLOOKUP($A90,'Data shares'!$C:$FB,59)</f>
        <v>39856600</v>
      </c>
      <c r="L90" s="50">
        <f>VLOOKUP($A90,'Data shares'!$C:$FB,61)*100</f>
        <v>49.69</v>
      </c>
      <c r="M90" s="49">
        <f>VLOOKUP($A90,'Data shares'!$C:$FB,62)</f>
        <v>27705300</v>
      </c>
      <c r="N90" s="49">
        <f>VLOOKUP($A90,'Data shares'!$C:$FB,63)</f>
        <v>23972200</v>
      </c>
      <c r="O90" s="140">
        <f>VLOOKUP($A90,'Data shares'!$C:$FB,65)*100</f>
        <v>15.57</v>
      </c>
    </row>
    <row r="91" spans="1:15" x14ac:dyDescent="0.25">
      <c r="A91" s="101" t="str">
        <f>'Data shares'!C86</f>
        <v>ICICIGI</v>
      </c>
      <c r="B91" s="50">
        <f>VLOOKUP($A91,'Data shares'!$C:$FB,7)</f>
        <v>2037.6</v>
      </c>
      <c r="C91" s="50">
        <f>VLOOKUP($A91,'Data shares'!$C:$FB,10)*100</f>
        <v>-0.2</v>
      </c>
      <c r="D91" s="49">
        <f>VLOOKUP($A91,'Data shares'!$C:$FB,66)</f>
        <v>5300100</v>
      </c>
      <c r="E91" s="49">
        <f>VLOOKUP($A91,'Data shares'!$C:$FB,67)</f>
        <v>3297450</v>
      </c>
      <c r="F91" s="50">
        <f>VLOOKUP($A91,'Data shares'!$C:$FB,69)*100</f>
        <v>60.73</v>
      </c>
      <c r="G91" s="49">
        <f>VLOOKUP($A91,'Data shares'!$C:$FB,42)</f>
        <v>2769325</v>
      </c>
      <c r="H91" s="49">
        <f>VLOOKUP($A91,'Data shares'!$C:$FB,43)</f>
        <v>757575</v>
      </c>
      <c r="I91" s="50">
        <f>VLOOKUP($A91,'Data shares'!$C:$FB,45)*100</f>
        <v>265.55</v>
      </c>
      <c r="J91" s="49">
        <f>VLOOKUP($A91,'Data shares'!$C:$FB,58)</f>
        <v>1866150</v>
      </c>
      <c r="K91" s="49">
        <f>VLOOKUP($A91,'Data shares'!$C:$FB,59)</f>
        <v>1841775</v>
      </c>
      <c r="L91" s="50">
        <f>VLOOKUP($A91,'Data shares'!$C:$FB,61)*100</f>
        <v>1.32</v>
      </c>
      <c r="M91" s="49">
        <f>VLOOKUP($A91,'Data shares'!$C:$FB,62)</f>
        <v>664625</v>
      </c>
      <c r="N91" s="49">
        <f>VLOOKUP($A91,'Data shares'!$C:$FB,63)</f>
        <v>698100</v>
      </c>
      <c r="O91" s="140">
        <f>VLOOKUP($A91,'Data shares'!$C:$FB,65)*100</f>
        <v>-4.8</v>
      </c>
    </row>
    <row r="92" spans="1:15" x14ac:dyDescent="0.25">
      <c r="A92" s="101" t="str">
        <f>'Data shares'!C87</f>
        <v>ICICIPRULI</v>
      </c>
      <c r="B92" s="50">
        <f>VLOOKUP($A92,'Data shares'!$C:$FB,7)</f>
        <v>618.4</v>
      </c>
      <c r="C92" s="50">
        <f>VLOOKUP($A92,'Data shares'!$C:$FB,10)*100</f>
        <v>0.72</v>
      </c>
      <c r="D92" s="49">
        <f>VLOOKUP($A92,'Data shares'!$C:$FB,66)</f>
        <v>18902375</v>
      </c>
      <c r="E92" s="49">
        <f>VLOOKUP($A92,'Data shares'!$C:$FB,67)</f>
        <v>10412725</v>
      </c>
      <c r="F92" s="50">
        <f>VLOOKUP($A92,'Data shares'!$C:$FB,69)*100</f>
        <v>81.53</v>
      </c>
      <c r="G92" s="49">
        <f>VLOOKUP($A92,'Data shares'!$C:$FB,42)</f>
        <v>8004025</v>
      </c>
      <c r="H92" s="49">
        <f>VLOOKUP($A92,'Data shares'!$C:$FB,43)</f>
        <v>2705625</v>
      </c>
      <c r="I92" s="50">
        <f>VLOOKUP($A92,'Data shares'!$C:$FB,45)*100</f>
        <v>195.82999999999998</v>
      </c>
      <c r="J92" s="49">
        <f>VLOOKUP($A92,'Data shares'!$C:$FB,58)</f>
        <v>7374100</v>
      </c>
      <c r="K92" s="49">
        <f>VLOOKUP($A92,'Data shares'!$C:$FB,59)</f>
        <v>4817400</v>
      </c>
      <c r="L92" s="50">
        <f>VLOOKUP($A92,'Data shares'!$C:$FB,61)*100</f>
        <v>53.069999999999993</v>
      </c>
      <c r="M92" s="49">
        <f>VLOOKUP($A92,'Data shares'!$C:$FB,62)</f>
        <v>3524250</v>
      </c>
      <c r="N92" s="49">
        <f>VLOOKUP($A92,'Data shares'!$C:$FB,63)</f>
        <v>2889700</v>
      </c>
      <c r="O92" s="140">
        <f>VLOOKUP($A92,'Data shares'!$C:$FB,65)*100</f>
        <v>21.959999999999997</v>
      </c>
    </row>
    <row r="93" spans="1:15" x14ac:dyDescent="0.25">
      <c r="A93" s="101" t="str">
        <f>'Data shares'!C88</f>
        <v>IDEA</v>
      </c>
      <c r="B93" s="50">
        <f>VLOOKUP($A93,'Data shares'!$C:$FB,7)</f>
        <v>10.17</v>
      </c>
      <c r="C93" s="50">
        <f>VLOOKUP($A93,'Data shares'!$C:$FB,10)*100</f>
        <v>-4.8599999999999994</v>
      </c>
      <c r="D93" s="49">
        <f>VLOOKUP($A93,'Data shares'!$C:$FB,66)</f>
        <v>6783835200</v>
      </c>
      <c r="E93" s="49">
        <f>VLOOKUP($A93,'Data shares'!$C:$FB,67)</f>
        <v>4679825625</v>
      </c>
      <c r="F93" s="50">
        <f>VLOOKUP($A93,'Data shares'!$C:$FB,69)*100</f>
        <v>44.96</v>
      </c>
      <c r="G93" s="49">
        <f>VLOOKUP($A93,'Data shares'!$C:$FB,42)</f>
        <v>3601482300</v>
      </c>
      <c r="H93" s="49">
        <f>VLOOKUP($A93,'Data shares'!$C:$FB,43)</f>
        <v>1430071800</v>
      </c>
      <c r="I93" s="50">
        <f>VLOOKUP($A93,'Data shares'!$C:$FB,45)*100</f>
        <v>151.84</v>
      </c>
      <c r="J93" s="49">
        <f>VLOOKUP($A93,'Data shares'!$C:$FB,58)</f>
        <v>2071988775</v>
      </c>
      <c r="K93" s="49">
        <f>VLOOKUP($A93,'Data shares'!$C:$FB,59)</f>
        <v>2457381975</v>
      </c>
      <c r="L93" s="50">
        <f>VLOOKUP($A93,'Data shares'!$C:$FB,61)*100</f>
        <v>-15.68</v>
      </c>
      <c r="M93" s="49">
        <f>VLOOKUP($A93,'Data shares'!$C:$FB,62)</f>
        <v>1110364125</v>
      </c>
      <c r="N93" s="49">
        <f>VLOOKUP($A93,'Data shares'!$C:$FB,63)</f>
        <v>792371850</v>
      </c>
      <c r="O93" s="140">
        <f>VLOOKUP($A93,'Data shares'!$C:$FB,65)*100</f>
        <v>40.129999999999995</v>
      </c>
    </row>
    <row r="94" spans="1:15" x14ac:dyDescent="0.25">
      <c r="A94" s="101" t="str">
        <f>'Data shares'!C89</f>
        <v>IDFCFIRSTB</v>
      </c>
      <c r="B94" s="50">
        <f>VLOOKUP($A94,'Data shares'!$C:$FB,7)</f>
        <v>78.930000000000007</v>
      </c>
      <c r="C94" s="50">
        <f>VLOOKUP($A94,'Data shares'!$C:$FB,10)*100</f>
        <v>-0.85000000000000009</v>
      </c>
      <c r="D94" s="49">
        <f>VLOOKUP($A94,'Data shares'!$C:$FB,66)</f>
        <v>413702100</v>
      </c>
      <c r="E94" s="49">
        <f>VLOOKUP($A94,'Data shares'!$C:$FB,67)</f>
        <v>382009425</v>
      </c>
      <c r="F94" s="50">
        <f>VLOOKUP($A94,'Data shares'!$C:$FB,69)*100</f>
        <v>8.3000000000000007</v>
      </c>
      <c r="G94" s="49">
        <f>VLOOKUP($A94,'Data shares'!$C:$FB,42)</f>
        <v>176039500</v>
      </c>
      <c r="H94" s="49">
        <f>VLOOKUP($A94,'Data shares'!$C:$FB,43)</f>
        <v>76926850</v>
      </c>
      <c r="I94" s="50">
        <f>VLOOKUP($A94,'Data shares'!$C:$FB,45)*100</f>
        <v>128.84</v>
      </c>
      <c r="J94" s="49">
        <f>VLOOKUP($A94,'Data shares'!$C:$FB,58)</f>
        <v>164686900</v>
      </c>
      <c r="K94" s="49">
        <f>VLOOKUP($A94,'Data shares'!$C:$FB,59)</f>
        <v>195164550</v>
      </c>
      <c r="L94" s="50">
        <f>VLOOKUP($A94,'Data shares'!$C:$FB,61)*100</f>
        <v>-15.620000000000001</v>
      </c>
      <c r="M94" s="49">
        <f>VLOOKUP($A94,'Data shares'!$C:$FB,62)</f>
        <v>72975700</v>
      </c>
      <c r="N94" s="49">
        <f>VLOOKUP($A94,'Data shares'!$C:$FB,63)</f>
        <v>109918025</v>
      </c>
      <c r="O94" s="140">
        <f>VLOOKUP($A94,'Data shares'!$C:$FB,65)*100</f>
        <v>-33.61</v>
      </c>
    </row>
    <row r="95" spans="1:15" x14ac:dyDescent="0.25">
      <c r="A95" s="101" t="str">
        <f>'Data shares'!C90</f>
        <v>IEX</v>
      </c>
      <c r="B95" s="50">
        <f>VLOOKUP($A95,'Data shares'!$C:$FB,7)</f>
        <v>143.13</v>
      </c>
      <c r="C95" s="50">
        <f>VLOOKUP($A95,'Data shares'!$C:$FB,10)*100</f>
        <v>4.3900000000000006</v>
      </c>
      <c r="D95" s="49">
        <f>VLOOKUP($A95,'Data shares'!$C:$FB,66)</f>
        <v>360502500</v>
      </c>
      <c r="E95" s="49">
        <f>VLOOKUP($A95,'Data shares'!$C:$FB,67)</f>
        <v>58605000</v>
      </c>
      <c r="F95" s="50">
        <f>VLOOKUP($A95,'Data shares'!$C:$FB,69)*100</f>
        <v>515.14</v>
      </c>
      <c r="G95" s="49">
        <f>VLOOKUP($A95,'Data shares'!$C:$FB,42)</f>
        <v>58196250</v>
      </c>
      <c r="H95" s="49">
        <f>VLOOKUP($A95,'Data shares'!$C:$FB,43)</f>
        <v>11497500</v>
      </c>
      <c r="I95" s="50">
        <f>VLOOKUP($A95,'Data shares'!$C:$FB,45)*100</f>
        <v>406.16</v>
      </c>
      <c r="J95" s="49">
        <f>VLOOKUP($A95,'Data shares'!$C:$FB,58)</f>
        <v>245336250</v>
      </c>
      <c r="K95" s="49">
        <f>VLOOKUP($A95,'Data shares'!$C:$FB,59)</f>
        <v>32437500</v>
      </c>
      <c r="L95" s="50">
        <f>VLOOKUP($A95,'Data shares'!$C:$FB,61)*100</f>
        <v>656.33999999999992</v>
      </c>
      <c r="M95" s="49">
        <f>VLOOKUP($A95,'Data shares'!$C:$FB,62)</f>
        <v>56970000</v>
      </c>
      <c r="N95" s="49">
        <f>VLOOKUP($A95,'Data shares'!$C:$FB,63)</f>
        <v>14670000</v>
      </c>
      <c r="O95" s="140">
        <f>VLOOKUP($A95,'Data shares'!$C:$FB,65)*100</f>
        <v>288.33999999999997</v>
      </c>
    </row>
    <row r="96" spans="1:15" x14ac:dyDescent="0.25">
      <c r="A96" s="101" t="str">
        <f>'Data shares'!C91</f>
        <v>IGL</v>
      </c>
      <c r="B96" s="50">
        <f>VLOOKUP($A96,'Data shares'!$C:$FB,7)</f>
        <v>204.06</v>
      </c>
      <c r="C96" s="50">
        <f>VLOOKUP($A96,'Data shares'!$C:$FB,10)*100</f>
        <v>-1.21</v>
      </c>
      <c r="D96" s="49">
        <f>VLOOKUP($A96,'Data shares'!$C:$FB,66)</f>
        <v>19387500</v>
      </c>
      <c r="E96" s="49">
        <f>VLOOKUP($A96,'Data shares'!$C:$FB,67)</f>
        <v>25366000</v>
      </c>
      <c r="F96" s="50">
        <f>VLOOKUP($A96,'Data shares'!$C:$FB,69)*100</f>
        <v>-23.57</v>
      </c>
      <c r="G96" s="49">
        <f>VLOOKUP($A96,'Data shares'!$C:$FB,42)</f>
        <v>3718000</v>
      </c>
      <c r="H96" s="49">
        <f>VLOOKUP($A96,'Data shares'!$C:$FB,43)</f>
        <v>2469500</v>
      </c>
      <c r="I96" s="50">
        <f>VLOOKUP($A96,'Data shares'!$C:$FB,45)*100</f>
        <v>50.56</v>
      </c>
      <c r="J96" s="49">
        <f>VLOOKUP($A96,'Data shares'!$C:$FB,58)</f>
        <v>10411500</v>
      </c>
      <c r="K96" s="49">
        <f>VLOOKUP($A96,'Data shares'!$C:$FB,59)</f>
        <v>15268000</v>
      </c>
      <c r="L96" s="50">
        <f>VLOOKUP($A96,'Data shares'!$C:$FB,61)*100</f>
        <v>-31.81</v>
      </c>
      <c r="M96" s="49">
        <f>VLOOKUP($A96,'Data shares'!$C:$FB,62)</f>
        <v>5258000</v>
      </c>
      <c r="N96" s="49">
        <f>VLOOKUP($A96,'Data shares'!$C:$FB,63)</f>
        <v>7628500</v>
      </c>
      <c r="O96" s="140">
        <f>VLOOKUP($A96,'Data shares'!$C:$FB,65)*100</f>
        <v>-31.069999999999997</v>
      </c>
    </row>
    <row r="97" spans="1:15" x14ac:dyDescent="0.25">
      <c r="A97" s="101" t="str">
        <f>'Data shares'!C92</f>
        <v>IIFL</v>
      </c>
      <c r="B97" s="50">
        <f>VLOOKUP($A97,'Data shares'!$C:$FB,7)</f>
        <v>544.75</v>
      </c>
      <c r="C97" s="50">
        <f>VLOOKUP($A97,'Data shares'!$C:$FB,10)*100</f>
        <v>-2.2999999999999998</v>
      </c>
      <c r="D97" s="49">
        <f>VLOOKUP($A97,'Data shares'!$C:$FB,66)</f>
        <v>28988850</v>
      </c>
      <c r="E97" s="49">
        <f>VLOOKUP($A97,'Data shares'!$C:$FB,67)</f>
        <v>17321700</v>
      </c>
      <c r="F97" s="50">
        <f>VLOOKUP($A97,'Data shares'!$C:$FB,69)*100</f>
        <v>67.36</v>
      </c>
      <c r="G97" s="49">
        <f>VLOOKUP($A97,'Data shares'!$C:$FB,42)</f>
        <v>8071800</v>
      </c>
      <c r="H97" s="49">
        <f>VLOOKUP($A97,'Data shares'!$C:$FB,43)</f>
        <v>3163050</v>
      </c>
      <c r="I97" s="50">
        <f>VLOOKUP($A97,'Data shares'!$C:$FB,45)*100</f>
        <v>155.19</v>
      </c>
      <c r="J97" s="49">
        <f>VLOOKUP($A97,'Data shares'!$C:$FB,58)</f>
        <v>14082750</v>
      </c>
      <c r="K97" s="49">
        <f>VLOOKUP($A97,'Data shares'!$C:$FB,59)</f>
        <v>10432950</v>
      </c>
      <c r="L97" s="50">
        <f>VLOOKUP($A97,'Data shares'!$C:$FB,61)*100</f>
        <v>34.979999999999997</v>
      </c>
      <c r="M97" s="49">
        <f>VLOOKUP($A97,'Data shares'!$C:$FB,62)</f>
        <v>6834300</v>
      </c>
      <c r="N97" s="49">
        <f>VLOOKUP($A97,'Data shares'!$C:$FB,63)</f>
        <v>3725700</v>
      </c>
      <c r="O97" s="140">
        <f>VLOOKUP($A97,'Data shares'!$C:$FB,65)*100</f>
        <v>83.44</v>
      </c>
    </row>
    <row r="98" spans="1:15" x14ac:dyDescent="0.25">
      <c r="A98" s="101" t="str">
        <f>'Data shares'!C93</f>
        <v>INDHOTEL</v>
      </c>
      <c r="B98" s="50">
        <f>VLOOKUP($A98,'Data shares'!$C:$FB,7)</f>
        <v>733.35</v>
      </c>
      <c r="C98" s="50">
        <f>VLOOKUP($A98,'Data shares'!$C:$FB,10)*100</f>
        <v>1.92</v>
      </c>
      <c r="D98" s="49">
        <f>VLOOKUP($A98,'Data shares'!$C:$FB,66)</f>
        <v>85208000</v>
      </c>
      <c r="E98" s="49">
        <f>VLOOKUP($A98,'Data shares'!$C:$FB,67)</f>
        <v>26081000</v>
      </c>
      <c r="F98" s="50">
        <f>VLOOKUP($A98,'Data shares'!$C:$FB,69)*100</f>
        <v>226.71</v>
      </c>
      <c r="G98" s="49">
        <f>VLOOKUP($A98,'Data shares'!$C:$FB,42)</f>
        <v>16857000</v>
      </c>
      <c r="H98" s="49">
        <f>VLOOKUP($A98,'Data shares'!$C:$FB,43)</f>
        <v>5124000</v>
      </c>
      <c r="I98" s="50">
        <f>VLOOKUP($A98,'Data shares'!$C:$FB,45)*100</f>
        <v>228.98000000000002</v>
      </c>
      <c r="J98" s="49">
        <f>VLOOKUP($A98,'Data shares'!$C:$FB,58)</f>
        <v>48790000</v>
      </c>
      <c r="K98" s="49">
        <f>VLOOKUP($A98,'Data shares'!$C:$FB,59)</f>
        <v>14374000</v>
      </c>
      <c r="L98" s="50">
        <f>VLOOKUP($A98,'Data shares'!$C:$FB,61)*100</f>
        <v>239.42999999999998</v>
      </c>
      <c r="M98" s="49">
        <f>VLOOKUP($A98,'Data shares'!$C:$FB,62)</f>
        <v>19561000</v>
      </c>
      <c r="N98" s="49">
        <f>VLOOKUP($A98,'Data shares'!$C:$FB,63)</f>
        <v>6583000</v>
      </c>
      <c r="O98" s="140">
        <f>VLOOKUP($A98,'Data shares'!$C:$FB,65)*100</f>
        <v>197.14000000000001</v>
      </c>
    </row>
    <row r="99" spans="1:15" x14ac:dyDescent="0.25">
      <c r="A99" s="101" t="str">
        <f>'Data shares'!C94</f>
        <v>INDIANB</v>
      </c>
      <c r="B99" s="50">
        <f>VLOOKUP($A99,'Data shares'!$C:$FB,7)</f>
        <v>882.35</v>
      </c>
      <c r="C99" s="50">
        <f>VLOOKUP($A99,'Data shares'!$C:$FB,10)*100</f>
        <v>-0.36</v>
      </c>
      <c r="D99" s="49">
        <f>VLOOKUP($A99,'Data shares'!$C:$FB,66)</f>
        <v>16250000</v>
      </c>
      <c r="E99" s="49">
        <f>VLOOKUP($A99,'Data shares'!$C:$FB,67)</f>
        <v>13938000</v>
      </c>
      <c r="F99" s="50">
        <f>VLOOKUP($A99,'Data shares'!$C:$FB,69)*100</f>
        <v>16.59</v>
      </c>
      <c r="G99" s="49">
        <f>VLOOKUP($A99,'Data shares'!$C:$FB,42)</f>
        <v>7741000</v>
      </c>
      <c r="H99" s="49">
        <f>VLOOKUP($A99,'Data shares'!$C:$FB,43)</f>
        <v>3195000</v>
      </c>
      <c r="I99" s="50">
        <f>VLOOKUP($A99,'Data shares'!$C:$FB,45)*100</f>
        <v>142.28</v>
      </c>
      <c r="J99" s="49">
        <f>VLOOKUP($A99,'Data shares'!$C:$FB,58)</f>
        <v>5587000</v>
      </c>
      <c r="K99" s="49">
        <f>VLOOKUP($A99,'Data shares'!$C:$FB,59)</f>
        <v>7305000</v>
      </c>
      <c r="L99" s="50">
        <f>VLOOKUP($A99,'Data shares'!$C:$FB,61)*100</f>
        <v>-23.52</v>
      </c>
      <c r="M99" s="49">
        <f>VLOOKUP($A99,'Data shares'!$C:$FB,62)</f>
        <v>2922000</v>
      </c>
      <c r="N99" s="49">
        <f>VLOOKUP($A99,'Data shares'!$C:$FB,63)</f>
        <v>3438000</v>
      </c>
      <c r="O99" s="140">
        <f>VLOOKUP($A99,'Data shares'!$C:$FB,65)*100</f>
        <v>-15.010000000000002</v>
      </c>
    </row>
    <row r="100" spans="1:15" x14ac:dyDescent="0.25">
      <c r="A100" s="101" t="str">
        <f>'Data shares'!C95</f>
        <v>INDIAVIX</v>
      </c>
      <c r="B100" s="50">
        <f>VLOOKUP($A100,'Data shares'!$C:$FB,7)</f>
        <v>12.13</v>
      </c>
      <c r="C100" s="50">
        <f>VLOOKUP($A100,'Data shares'!$C:$FB,10)*100</f>
        <v>1.38</v>
      </c>
      <c r="D100" s="49">
        <f>VLOOKUP($A100,'Data shares'!$C:$FB,66)</f>
        <v>0</v>
      </c>
      <c r="E100" s="49">
        <f>VLOOKUP($A100,'Data shares'!$C:$FB,67)</f>
        <v>0</v>
      </c>
      <c r="F100" s="50">
        <f>VLOOKUP($A100,'Data shares'!$C:$FB,69)*100</f>
        <v>0</v>
      </c>
      <c r="G100" s="49">
        <f>VLOOKUP($A100,'Data shares'!$C:$FB,42)</f>
        <v>0</v>
      </c>
      <c r="H100" s="49">
        <f>VLOOKUP($A100,'Data shares'!$C:$FB,43)</f>
        <v>0</v>
      </c>
      <c r="I100" s="50">
        <f>VLOOKUP($A100,'Data shares'!$C:$FB,45)*100</f>
        <v>0</v>
      </c>
      <c r="J100" s="49">
        <f>VLOOKUP($A100,'Data shares'!$C:$FB,58)</f>
        <v>0</v>
      </c>
      <c r="K100" s="49">
        <f>VLOOKUP($A100,'Data shares'!$C:$FB,59)</f>
        <v>0</v>
      </c>
      <c r="L100" s="50">
        <f>VLOOKUP($A100,'Data shares'!$C:$FB,61)*100</f>
        <v>0</v>
      </c>
      <c r="M100" s="49">
        <f>VLOOKUP($A100,'Data shares'!$C:$FB,62)</f>
        <v>0</v>
      </c>
      <c r="N100" s="49">
        <f>VLOOKUP($A100,'Data shares'!$C:$FB,63)</f>
        <v>0</v>
      </c>
      <c r="O100" s="140">
        <f>VLOOKUP($A100,'Data shares'!$C:$FB,65)*100</f>
        <v>0</v>
      </c>
    </row>
    <row r="101" spans="1:15" x14ac:dyDescent="0.25">
      <c r="A101" s="101" t="str">
        <f>'Data shares'!C96</f>
        <v>INDIGO</v>
      </c>
      <c r="B101" s="50">
        <f>VLOOKUP($A101,'Data shares'!$C:$FB,7)</f>
        <v>5785.5</v>
      </c>
      <c r="C101" s="50">
        <f>VLOOKUP($A101,'Data shares'!$C:$FB,10)*100</f>
        <v>0.47000000000000003</v>
      </c>
      <c r="D101" s="49">
        <f>VLOOKUP($A101,'Data shares'!$C:$FB,66)</f>
        <v>15125250</v>
      </c>
      <c r="E101" s="49">
        <f>VLOOKUP($A101,'Data shares'!$C:$FB,67)</f>
        <v>12312750</v>
      </c>
      <c r="F101" s="50">
        <f>VLOOKUP($A101,'Data shares'!$C:$FB,69)*100</f>
        <v>22.84</v>
      </c>
      <c r="G101" s="49">
        <f>VLOOKUP($A101,'Data shares'!$C:$FB,42)</f>
        <v>5099550</v>
      </c>
      <c r="H101" s="49">
        <f>VLOOKUP($A101,'Data shares'!$C:$FB,43)</f>
        <v>1689450</v>
      </c>
      <c r="I101" s="50">
        <f>VLOOKUP($A101,'Data shares'!$C:$FB,45)*100</f>
        <v>201.85</v>
      </c>
      <c r="J101" s="49">
        <f>VLOOKUP($A101,'Data shares'!$C:$FB,58)</f>
        <v>6867600</v>
      </c>
      <c r="K101" s="49">
        <f>VLOOKUP($A101,'Data shares'!$C:$FB,59)</f>
        <v>6735300</v>
      </c>
      <c r="L101" s="50">
        <f>VLOOKUP($A101,'Data shares'!$C:$FB,61)*100</f>
        <v>1.96</v>
      </c>
      <c r="M101" s="49">
        <f>VLOOKUP($A101,'Data shares'!$C:$FB,62)</f>
        <v>3158100</v>
      </c>
      <c r="N101" s="49">
        <f>VLOOKUP($A101,'Data shares'!$C:$FB,63)</f>
        <v>3888000</v>
      </c>
      <c r="O101" s="140">
        <f>VLOOKUP($A101,'Data shares'!$C:$FB,65)*100</f>
        <v>-18.77</v>
      </c>
    </row>
    <row r="102" spans="1:15" x14ac:dyDescent="0.25">
      <c r="A102" s="101" t="str">
        <f>'Data shares'!C97</f>
        <v>INDUSINDBK</v>
      </c>
      <c r="B102" s="50">
        <f>VLOOKUP($A102,'Data shares'!$C:$FB,7)</f>
        <v>829.4</v>
      </c>
      <c r="C102" s="50">
        <f>VLOOKUP($A102,'Data shares'!$C:$FB,10)*100</f>
        <v>-1.21</v>
      </c>
      <c r="D102" s="49">
        <f>VLOOKUP($A102,'Data shares'!$C:$FB,66)</f>
        <v>65928100</v>
      </c>
      <c r="E102" s="49">
        <f>VLOOKUP($A102,'Data shares'!$C:$FB,67)</f>
        <v>53382000</v>
      </c>
      <c r="F102" s="50">
        <f>VLOOKUP($A102,'Data shares'!$C:$FB,69)*100</f>
        <v>23.5</v>
      </c>
      <c r="G102" s="49">
        <f>VLOOKUP($A102,'Data shares'!$C:$FB,42)</f>
        <v>25120200</v>
      </c>
      <c r="H102" s="49">
        <f>VLOOKUP($A102,'Data shares'!$C:$FB,43)</f>
        <v>14533400</v>
      </c>
      <c r="I102" s="50">
        <f>VLOOKUP($A102,'Data shares'!$C:$FB,45)*100</f>
        <v>72.84</v>
      </c>
      <c r="J102" s="49">
        <f>VLOOKUP($A102,'Data shares'!$C:$FB,58)</f>
        <v>27472900</v>
      </c>
      <c r="K102" s="49">
        <f>VLOOKUP($A102,'Data shares'!$C:$FB,59)</f>
        <v>23556400</v>
      </c>
      <c r="L102" s="50">
        <f>VLOOKUP($A102,'Data shares'!$C:$FB,61)*100</f>
        <v>16.63</v>
      </c>
      <c r="M102" s="49">
        <f>VLOOKUP($A102,'Data shares'!$C:$FB,62)</f>
        <v>13335000</v>
      </c>
      <c r="N102" s="49">
        <f>VLOOKUP($A102,'Data shares'!$C:$FB,63)</f>
        <v>15292200</v>
      </c>
      <c r="O102" s="140">
        <f>VLOOKUP($A102,'Data shares'!$C:$FB,65)*100</f>
        <v>-12.8</v>
      </c>
    </row>
    <row r="103" spans="1:15" x14ac:dyDescent="0.25">
      <c r="A103" s="101" t="str">
        <f>'Data shares'!C98</f>
        <v>INDUSTOWER</v>
      </c>
      <c r="B103" s="50">
        <f>VLOOKUP($A103,'Data shares'!$C:$FB,7)</f>
        <v>400.5</v>
      </c>
      <c r="C103" s="50">
        <f>VLOOKUP($A103,'Data shares'!$C:$FB,10)*100</f>
        <v>-0.67999999999999994</v>
      </c>
      <c r="D103" s="49">
        <f>VLOOKUP($A103,'Data shares'!$C:$FB,66)</f>
        <v>69893800</v>
      </c>
      <c r="E103" s="49">
        <f>VLOOKUP($A103,'Data shares'!$C:$FB,67)</f>
        <v>52875100</v>
      </c>
      <c r="F103" s="50">
        <f>VLOOKUP($A103,'Data shares'!$C:$FB,69)*100</f>
        <v>32.190000000000005</v>
      </c>
      <c r="G103" s="49">
        <f>VLOOKUP($A103,'Data shares'!$C:$FB,42)</f>
        <v>31560500</v>
      </c>
      <c r="H103" s="49">
        <f>VLOOKUP($A103,'Data shares'!$C:$FB,43)</f>
        <v>20325200</v>
      </c>
      <c r="I103" s="50">
        <f>VLOOKUP($A103,'Data shares'!$C:$FB,45)*100</f>
        <v>55.279999999999994</v>
      </c>
      <c r="J103" s="49">
        <f>VLOOKUP($A103,'Data shares'!$C:$FB,58)</f>
        <v>23485500</v>
      </c>
      <c r="K103" s="49">
        <f>VLOOKUP($A103,'Data shares'!$C:$FB,59)</f>
        <v>19816900</v>
      </c>
      <c r="L103" s="50">
        <f>VLOOKUP($A103,'Data shares'!$C:$FB,61)*100</f>
        <v>18.509999999999998</v>
      </c>
      <c r="M103" s="49">
        <f>VLOOKUP($A103,'Data shares'!$C:$FB,62)</f>
        <v>14847800</v>
      </c>
      <c r="N103" s="49">
        <f>VLOOKUP($A103,'Data shares'!$C:$FB,63)</f>
        <v>12733000</v>
      </c>
      <c r="O103" s="140">
        <f>VLOOKUP($A103,'Data shares'!$C:$FB,65)*100</f>
        <v>16.61</v>
      </c>
    </row>
    <row r="104" spans="1:15" x14ac:dyDescent="0.25">
      <c r="A104" s="101" t="str">
        <f>'Data shares'!C99</f>
        <v>INFY</v>
      </c>
      <c r="B104" s="50">
        <f>VLOOKUP($A104,'Data shares'!$C:$FB,7)</f>
        <v>1536.5</v>
      </c>
      <c r="C104" s="50">
        <f>VLOOKUP($A104,'Data shares'!$C:$FB,10)*100</f>
        <v>-0.3</v>
      </c>
      <c r="D104" s="49">
        <f>VLOOKUP($A104,'Data shares'!$C:$FB,66)</f>
        <v>121854400</v>
      </c>
      <c r="E104" s="49">
        <f>VLOOKUP($A104,'Data shares'!$C:$FB,67)</f>
        <v>213904000</v>
      </c>
      <c r="F104" s="50">
        <f>VLOOKUP($A104,'Data shares'!$C:$FB,69)*100</f>
        <v>-43.03</v>
      </c>
      <c r="G104" s="49">
        <f>VLOOKUP($A104,'Data shares'!$C:$FB,42)</f>
        <v>42502000</v>
      </c>
      <c r="H104" s="49">
        <f>VLOOKUP($A104,'Data shares'!$C:$FB,43)</f>
        <v>20098400</v>
      </c>
      <c r="I104" s="50">
        <f>VLOOKUP($A104,'Data shares'!$C:$FB,45)*100</f>
        <v>111.47</v>
      </c>
      <c r="J104" s="49">
        <f>VLOOKUP($A104,'Data shares'!$C:$FB,58)</f>
        <v>49425600</v>
      </c>
      <c r="K104" s="49">
        <f>VLOOKUP($A104,'Data shares'!$C:$FB,59)</f>
        <v>137664000</v>
      </c>
      <c r="L104" s="50">
        <f>VLOOKUP($A104,'Data shares'!$C:$FB,61)*100</f>
        <v>-64.099999999999994</v>
      </c>
      <c r="M104" s="49">
        <f>VLOOKUP($A104,'Data shares'!$C:$FB,62)</f>
        <v>29926800</v>
      </c>
      <c r="N104" s="49">
        <f>VLOOKUP($A104,'Data shares'!$C:$FB,63)</f>
        <v>56141600</v>
      </c>
      <c r="O104" s="140">
        <f>VLOOKUP($A104,'Data shares'!$C:$FB,65)*100</f>
        <v>-46.69</v>
      </c>
    </row>
    <row r="105" spans="1:15" x14ac:dyDescent="0.25">
      <c r="A105" s="101" t="str">
        <f>'Data shares'!C100</f>
        <v>INOXWIND</v>
      </c>
      <c r="B105" s="50">
        <f>VLOOKUP($A105,'Data shares'!$C:$FB,7)</f>
        <v>138.08000000000001</v>
      </c>
      <c r="C105" s="50">
        <f>VLOOKUP($A105,'Data shares'!$C:$FB,10)*100</f>
        <v>-1.1499999999999999</v>
      </c>
      <c r="D105" s="49">
        <f>VLOOKUP($A105,'Data shares'!$C:$FB,66)</f>
        <v>107285608</v>
      </c>
      <c r="E105" s="49">
        <f>VLOOKUP($A105,'Data shares'!$C:$FB,67)</f>
        <v>96108456</v>
      </c>
      <c r="F105" s="50">
        <f>VLOOKUP($A105,'Data shares'!$C:$FB,69)*100</f>
        <v>11.63</v>
      </c>
      <c r="G105" s="49">
        <f>VLOOKUP($A105,'Data shares'!$C:$FB,42)</f>
        <v>47414552</v>
      </c>
      <c r="H105" s="49">
        <f>VLOOKUP($A105,'Data shares'!$C:$FB,43)</f>
        <v>24157176</v>
      </c>
      <c r="I105" s="50">
        <f>VLOOKUP($A105,'Data shares'!$C:$FB,45)*100</f>
        <v>96.28</v>
      </c>
      <c r="J105" s="49">
        <f>VLOOKUP($A105,'Data shares'!$C:$FB,58)</f>
        <v>47931528</v>
      </c>
      <c r="K105" s="49">
        <f>VLOOKUP($A105,'Data shares'!$C:$FB,59)</f>
        <v>57394152</v>
      </c>
      <c r="L105" s="50">
        <f>VLOOKUP($A105,'Data shares'!$C:$FB,61)*100</f>
        <v>-16.489999999999998</v>
      </c>
      <c r="M105" s="49">
        <f>VLOOKUP($A105,'Data shares'!$C:$FB,62)</f>
        <v>11939528</v>
      </c>
      <c r="N105" s="49">
        <f>VLOOKUP($A105,'Data shares'!$C:$FB,63)</f>
        <v>14557128</v>
      </c>
      <c r="O105" s="140">
        <f>VLOOKUP($A105,'Data shares'!$C:$FB,65)*100</f>
        <v>-17.98</v>
      </c>
    </row>
    <row r="106" spans="1:15" x14ac:dyDescent="0.25">
      <c r="A106" s="101" t="str">
        <f>'Data shares'!C101</f>
        <v>IOC</v>
      </c>
      <c r="B106" s="50">
        <f>VLOOKUP($A106,'Data shares'!$C:$FB,7)</f>
        <v>168.7</v>
      </c>
      <c r="C106" s="50">
        <f>VLOOKUP($A106,'Data shares'!$C:$FB,10)*100</f>
        <v>-0.37</v>
      </c>
      <c r="D106" s="49">
        <f>VLOOKUP($A106,'Data shares'!$C:$FB,66)</f>
        <v>149838000</v>
      </c>
      <c r="E106" s="49">
        <f>VLOOKUP($A106,'Data shares'!$C:$FB,67)</f>
        <v>112368750</v>
      </c>
      <c r="F106" s="50">
        <f>VLOOKUP($A106,'Data shares'!$C:$FB,69)*100</f>
        <v>33.339999999999996</v>
      </c>
      <c r="G106" s="49">
        <f>VLOOKUP($A106,'Data shares'!$C:$FB,42)</f>
        <v>54946125</v>
      </c>
      <c r="H106" s="49">
        <f>VLOOKUP($A106,'Data shares'!$C:$FB,43)</f>
        <v>15970500</v>
      </c>
      <c r="I106" s="50">
        <f>VLOOKUP($A106,'Data shares'!$C:$FB,45)*100</f>
        <v>244.05</v>
      </c>
      <c r="J106" s="49">
        <f>VLOOKUP($A106,'Data shares'!$C:$FB,58)</f>
        <v>59489625</v>
      </c>
      <c r="K106" s="49">
        <f>VLOOKUP($A106,'Data shares'!$C:$FB,59)</f>
        <v>58909500</v>
      </c>
      <c r="L106" s="50">
        <f>VLOOKUP($A106,'Data shares'!$C:$FB,61)*100</f>
        <v>0.98</v>
      </c>
      <c r="M106" s="49">
        <f>VLOOKUP($A106,'Data shares'!$C:$FB,62)</f>
        <v>35402250</v>
      </c>
      <c r="N106" s="49">
        <f>VLOOKUP($A106,'Data shares'!$C:$FB,63)</f>
        <v>37488750</v>
      </c>
      <c r="O106" s="140">
        <f>VLOOKUP($A106,'Data shares'!$C:$FB,65)*100</f>
        <v>-5.57</v>
      </c>
    </row>
    <row r="107" spans="1:15" x14ac:dyDescent="0.25">
      <c r="A107" s="101" t="str">
        <f>'Data shares'!C102</f>
        <v>IRCTC</v>
      </c>
      <c r="B107" s="50">
        <f>VLOOKUP($A107,'Data shares'!$C:$FB,7)</f>
        <v>703</v>
      </c>
      <c r="C107" s="50">
        <f>VLOOKUP($A107,'Data shares'!$C:$FB,10)*100</f>
        <v>-0.27999999999999997</v>
      </c>
      <c r="D107" s="49">
        <f>VLOOKUP($A107,'Data shares'!$C:$FB,66)</f>
        <v>32567500</v>
      </c>
      <c r="E107" s="49">
        <f>VLOOKUP($A107,'Data shares'!$C:$FB,67)</f>
        <v>22462125</v>
      </c>
      <c r="F107" s="50">
        <f>VLOOKUP($A107,'Data shares'!$C:$FB,69)*100</f>
        <v>44.99</v>
      </c>
      <c r="G107" s="49">
        <f>VLOOKUP($A107,'Data shares'!$C:$FB,42)</f>
        <v>15765750</v>
      </c>
      <c r="H107" s="49">
        <f>VLOOKUP($A107,'Data shares'!$C:$FB,43)</f>
        <v>3855250</v>
      </c>
      <c r="I107" s="50">
        <f>VLOOKUP($A107,'Data shares'!$C:$FB,45)*100</f>
        <v>308.94</v>
      </c>
      <c r="J107" s="49">
        <f>VLOOKUP($A107,'Data shares'!$C:$FB,58)</f>
        <v>11994500</v>
      </c>
      <c r="K107" s="49">
        <f>VLOOKUP($A107,'Data shares'!$C:$FB,59)</f>
        <v>14117250</v>
      </c>
      <c r="L107" s="50">
        <f>VLOOKUP($A107,'Data shares'!$C:$FB,61)*100</f>
        <v>-15.040000000000001</v>
      </c>
      <c r="M107" s="49">
        <f>VLOOKUP($A107,'Data shares'!$C:$FB,62)</f>
        <v>4807250</v>
      </c>
      <c r="N107" s="49">
        <f>VLOOKUP($A107,'Data shares'!$C:$FB,63)</f>
        <v>4489625</v>
      </c>
      <c r="O107" s="140">
        <f>VLOOKUP($A107,'Data shares'!$C:$FB,65)*100</f>
        <v>7.07</v>
      </c>
    </row>
    <row r="108" spans="1:15" x14ac:dyDescent="0.25">
      <c r="A108" s="101" t="str">
        <f>'Data shares'!C103</f>
        <v>IREDA</v>
      </c>
      <c r="B108" s="50">
        <f>VLOOKUP($A108,'Data shares'!$C:$FB,7)</f>
        <v>146.63999999999999</v>
      </c>
      <c r="C108" s="50">
        <f>VLOOKUP($A108,'Data shares'!$C:$FB,10)*100</f>
        <v>-0.31</v>
      </c>
      <c r="D108" s="49">
        <f>VLOOKUP($A108,'Data shares'!$C:$FB,66)</f>
        <v>45460650</v>
      </c>
      <c r="E108" s="49">
        <f>VLOOKUP($A108,'Data shares'!$C:$FB,67)</f>
        <v>49138350</v>
      </c>
      <c r="F108" s="50">
        <f>VLOOKUP($A108,'Data shares'!$C:$FB,69)*100</f>
        <v>-7.48</v>
      </c>
      <c r="G108" s="49">
        <f>VLOOKUP($A108,'Data shares'!$C:$FB,42)</f>
        <v>22031700</v>
      </c>
      <c r="H108" s="49">
        <f>VLOOKUP($A108,'Data shares'!$C:$FB,43)</f>
        <v>10836450</v>
      </c>
      <c r="I108" s="50">
        <f>VLOOKUP($A108,'Data shares'!$C:$FB,45)*100</f>
        <v>103.30999999999999</v>
      </c>
      <c r="J108" s="49">
        <f>VLOOKUP($A108,'Data shares'!$C:$FB,58)</f>
        <v>19078500</v>
      </c>
      <c r="K108" s="49">
        <f>VLOOKUP($A108,'Data shares'!$C:$FB,59)</f>
        <v>29076600</v>
      </c>
      <c r="L108" s="50">
        <f>VLOOKUP($A108,'Data shares'!$C:$FB,61)*100</f>
        <v>-34.39</v>
      </c>
      <c r="M108" s="49">
        <f>VLOOKUP($A108,'Data shares'!$C:$FB,62)</f>
        <v>4350450</v>
      </c>
      <c r="N108" s="49">
        <f>VLOOKUP($A108,'Data shares'!$C:$FB,63)</f>
        <v>9225300</v>
      </c>
      <c r="O108" s="140">
        <f>VLOOKUP($A108,'Data shares'!$C:$FB,65)*100</f>
        <v>-52.839999999999996</v>
      </c>
    </row>
    <row r="109" spans="1:15" x14ac:dyDescent="0.25">
      <c r="A109" s="101" t="str">
        <f>'Data shares'!C104</f>
        <v>IRFC</v>
      </c>
      <c r="B109" s="50">
        <f>VLOOKUP($A109,'Data shares'!$C:$FB,7)</f>
        <v>120.08</v>
      </c>
      <c r="C109" s="50">
        <f>VLOOKUP($A109,'Data shares'!$C:$FB,10)*100</f>
        <v>-0.64</v>
      </c>
      <c r="D109" s="49">
        <f>VLOOKUP($A109,'Data shares'!$C:$FB,66)</f>
        <v>48577500</v>
      </c>
      <c r="E109" s="49">
        <f>VLOOKUP($A109,'Data shares'!$C:$FB,67)</f>
        <v>40681000</v>
      </c>
      <c r="F109" s="50">
        <f>VLOOKUP($A109,'Data shares'!$C:$FB,69)*100</f>
        <v>19.41</v>
      </c>
      <c r="G109" s="49">
        <f>VLOOKUP($A109,'Data shares'!$C:$FB,42)</f>
        <v>20710250</v>
      </c>
      <c r="H109" s="49">
        <f>VLOOKUP($A109,'Data shares'!$C:$FB,43)</f>
        <v>7263250</v>
      </c>
      <c r="I109" s="50">
        <f>VLOOKUP($A109,'Data shares'!$C:$FB,45)*100</f>
        <v>185.14</v>
      </c>
      <c r="J109" s="49">
        <f>VLOOKUP($A109,'Data shares'!$C:$FB,58)</f>
        <v>20791000</v>
      </c>
      <c r="K109" s="49">
        <f>VLOOKUP($A109,'Data shares'!$C:$FB,59)</f>
        <v>26634750</v>
      </c>
      <c r="L109" s="50">
        <f>VLOOKUP($A109,'Data shares'!$C:$FB,61)*100</f>
        <v>-21.94</v>
      </c>
      <c r="M109" s="49">
        <f>VLOOKUP($A109,'Data shares'!$C:$FB,62)</f>
        <v>7076250</v>
      </c>
      <c r="N109" s="49">
        <f>VLOOKUP($A109,'Data shares'!$C:$FB,63)</f>
        <v>6783000</v>
      </c>
      <c r="O109" s="140">
        <f>VLOOKUP($A109,'Data shares'!$C:$FB,65)*100</f>
        <v>4.32</v>
      </c>
    </row>
    <row r="110" spans="1:15" x14ac:dyDescent="0.25">
      <c r="A110" s="101" t="str">
        <f>'Data shares'!C105</f>
        <v>ITC</v>
      </c>
      <c r="B110" s="50">
        <f>VLOOKUP($A110,'Data shares'!$C:$FB,7)</f>
        <v>405.45</v>
      </c>
      <c r="C110" s="50">
        <f>VLOOKUP($A110,'Data shares'!$C:$FB,10)*100</f>
        <v>0.47000000000000003</v>
      </c>
      <c r="D110" s="49">
        <f>VLOOKUP($A110,'Data shares'!$C:$FB,66)</f>
        <v>151296000</v>
      </c>
      <c r="E110" s="49">
        <f>VLOOKUP($A110,'Data shares'!$C:$FB,67)</f>
        <v>88155200</v>
      </c>
      <c r="F110" s="50">
        <f>VLOOKUP($A110,'Data shares'!$C:$FB,69)*100</f>
        <v>71.61999999999999</v>
      </c>
      <c r="G110" s="49">
        <f>VLOOKUP($A110,'Data shares'!$C:$FB,42)</f>
        <v>76886400</v>
      </c>
      <c r="H110" s="49">
        <f>VLOOKUP($A110,'Data shares'!$C:$FB,43)</f>
        <v>16096000</v>
      </c>
      <c r="I110" s="50">
        <f>VLOOKUP($A110,'Data shares'!$C:$FB,45)*100</f>
        <v>377.67</v>
      </c>
      <c r="J110" s="49">
        <f>VLOOKUP($A110,'Data shares'!$C:$FB,58)</f>
        <v>51296000</v>
      </c>
      <c r="K110" s="49">
        <f>VLOOKUP($A110,'Data shares'!$C:$FB,59)</f>
        <v>51592000</v>
      </c>
      <c r="L110" s="50">
        <f>VLOOKUP($A110,'Data shares'!$C:$FB,61)*100</f>
        <v>-0.57000000000000006</v>
      </c>
      <c r="M110" s="49">
        <f>VLOOKUP($A110,'Data shares'!$C:$FB,62)</f>
        <v>23113600</v>
      </c>
      <c r="N110" s="49">
        <f>VLOOKUP($A110,'Data shares'!$C:$FB,63)</f>
        <v>20467200</v>
      </c>
      <c r="O110" s="140">
        <f>VLOOKUP($A110,'Data shares'!$C:$FB,65)*100</f>
        <v>12.93</v>
      </c>
    </row>
    <row r="111" spans="1:15" x14ac:dyDescent="0.25">
      <c r="A111" s="101" t="str">
        <f>'Data shares'!C106</f>
        <v>JINDALSTEL</v>
      </c>
      <c r="B111" s="50">
        <f>VLOOKUP($A111,'Data shares'!$C:$FB,7)</f>
        <v>1069.4000000000001</v>
      </c>
      <c r="C111" s="50">
        <f>VLOOKUP($A111,'Data shares'!$C:$FB,10)*100</f>
        <v>-0.15</v>
      </c>
      <c r="D111" s="49">
        <f>VLOOKUP($A111,'Data shares'!$C:$FB,66)</f>
        <v>15306875</v>
      </c>
      <c r="E111" s="49">
        <f>VLOOKUP($A111,'Data shares'!$C:$FB,67)</f>
        <v>13951875</v>
      </c>
      <c r="F111" s="50">
        <f>VLOOKUP($A111,'Data shares'!$C:$FB,69)*100</f>
        <v>9.7100000000000009</v>
      </c>
      <c r="G111" s="49">
        <f>VLOOKUP($A111,'Data shares'!$C:$FB,42)</f>
        <v>6466250</v>
      </c>
      <c r="H111" s="49">
        <f>VLOOKUP($A111,'Data shares'!$C:$FB,43)</f>
        <v>2502500</v>
      </c>
      <c r="I111" s="50">
        <f>VLOOKUP($A111,'Data shares'!$C:$FB,45)*100</f>
        <v>158.39000000000001</v>
      </c>
      <c r="J111" s="49">
        <f>VLOOKUP($A111,'Data shares'!$C:$FB,58)</f>
        <v>5678125</v>
      </c>
      <c r="K111" s="49">
        <f>VLOOKUP($A111,'Data shares'!$C:$FB,59)</f>
        <v>7398750</v>
      </c>
      <c r="L111" s="50">
        <f>VLOOKUP($A111,'Data shares'!$C:$FB,61)*100</f>
        <v>-23.26</v>
      </c>
      <c r="M111" s="49">
        <f>VLOOKUP($A111,'Data shares'!$C:$FB,62)</f>
        <v>3162500</v>
      </c>
      <c r="N111" s="49">
        <f>VLOOKUP($A111,'Data shares'!$C:$FB,63)</f>
        <v>4050625</v>
      </c>
      <c r="O111" s="140">
        <f>VLOOKUP($A111,'Data shares'!$C:$FB,65)*100</f>
        <v>-21.93</v>
      </c>
    </row>
    <row r="112" spans="1:15" x14ac:dyDescent="0.25">
      <c r="A112" s="101" t="str">
        <f>'Data shares'!C107</f>
        <v>JIOFIN</v>
      </c>
      <c r="B112" s="50">
        <f>VLOOKUP($A112,'Data shares'!$C:$FB,7)</f>
        <v>308.35000000000002</v>
      </c>
      <c r="C112" s="50">
        <f>VLOOKUP($A112,'Data shares'!$C:$FB,10)*100</f>
        <v>1.28</v>
      </c>
      <c r="D112" s="49">
        <f>VLOOKUP($A112,'Data shares'!$C:$FB,66)</f>
        <v>164655100</v>
      </c>
      <c r="E112" s="49">
        <f>VLOOKUP($A112,'Data shares'!$C:$FB,67)</f>
        <v>116630500</v>
      </c>
      <c r="F112" s="50">
        <f>VLOOKUP($A112,'Data shares'!$C:$FB,69)*100</f>
        <v>41.18</v>
      </c>
      <c r="G112" s="49">
        <f>VLOOKUP($A112,'Data shares'!$C:$FB,42)</f>
        <v>54470650</v>
      </c>
      <c r="H112" s="49">
        <f>VLOOKUP($A112,'Data shares'!$C:$FB,43)</f>
        <v>19991450</v>
      </c>
      <c r="I112" s="50">
        <f>VLOOKUP($A112,'Data shares'!$C:$FB,45)*100</f>
        <v>172.47</v>
      </c>
      <c r="J112" s="49">
        <f>VLOOKUP($A112,'Data shares'!$C:$FB,58)</f>
        <v>81704800</v>
      </c>
      <c r="K112" s="49">
        <f>VLOOKUP($A112,'Data shares'!$C:$FB,59)</f>
        <v>68925500</v>
      </c>
      <c r="L112" s="50">
        <f>VLOOKUP($A112,'Data shares'!$C:$FB,61)*100</f>
        <v>18.54</v>
      </c>
      <c r="M112" s="49">
        <f>VLOOKUP($A112,'Data shares'!$C:$FB,62)</f>
        <v>28479650</v>
      </c>
      <c r="N112" s="49">
        <f>VLOOKUP($A112,'Data shares'!$C:$FB,63)</f>
        <v>27713550</v>
      </c>
      <c r="O112" s="140">
        <f>VLOOKUP($A112,'Data shares'!$C:$FB,65)*100</f>
        <v>2.76</v>
      </c>
    </row>
    <row r="113" spans="1:15" x14ac:dyDescent="0.25">
      <c r="A113" s="101" t="str">
        <f>'Data shares'!C108</f>
        <v>JSWENERGY</v>
      </c>
      <c r="B113" s="50">
        <f>VLOOKUP($A113,'Data shares'!$C:$FB,7)</f>
        <v>504.85</v>
      </c>
      <c r="C113" s="50">
        <f>VLOOKUP($A113,'Data shares'!$C:$FB,10)*100</f>
        <v>-1.71</v>
      </c>
      <c r="D113" s="49">
        <f>VLOOKUP($A113,'Data shares'!$C:$FB,66)</f>
        <v>44889000</v>
      </c>
      <c r="E113" s="49">
        <f>VLOOKUP($A113,'Data shares'!$C:$FB,67)</f>
        <v>29373000</v>
      </c>
      <c r="F113" s="50">
        <f>VLOOKUP($A113,'Data shares'!$C:$FB,69)*100</f>
        <v>52.82</v>
      </c>
      <c r="G113" s="49">
        <f>VLOOKUP($A113,'Data shares'!$C:$FB,42)</f>
        <v>18756000</v>
      </c>
      <c r="H113" s="49">
        <f>VLOOKUP($A113,'Data shares'!$C:$FB,43)</f>
        <v>7447000</v>
      </c>
      <c r="I113" s="50">
        <f>VLOOKUP($A113,'Data shares'!$C:$FB,45)*100</f>
        <v>151.85999999999999</v>
      </c>
      <c r="J113" s="49">
        <f>VLOOKUP($A113,'Data shares'!$C:$FB,58)</f>
        <v>17971000</v>
      </c>
      <c r="K113" s="49">
        <f>VLOOKUP($A113,'Data shares'!$C:$FB,59)</f>
        <v>15166000</v>
      </c>
      <c r="L113" s="50">
        <f>VLOOKUP($A113,'Data shares'!$C:$FB,61)*100</f>
        <v>18.5</v>
      </c>
      <c r="M113" s="49">
        <f>VLOOKUP($A113,'Data shares'!$C:$FB,62)</f>
        <v>8162000</v>
      </c>
      <c r="N113" s="49">
        <f>VLOOKUP($A113,'Data shares'!$C:$FB,63)</f>
        <v>6760000</v>
      </c>
      <c r="O113" s="140">
        <f>VLOOKUP($A113,'Data shares'!$C:$FB,65)*100</f>
        <v>20.74</v>
      </c>
    </row>
    <row r="114" spans="1:15" x14ac:dyDescent="0.25">
      <c r="A114" s="101" t="str">
        <f>'Data shares'!C109</f>
        <v>JSWSTEEL</v>
      </c>
      <c r="B114" s="50">
        <f>VLOOKUP($A114,'Data shares'!$C:$FB,7)</f>
        <v>1170</v>
      </c>
      <c r="C114" s="50">
        <f>VLOOKUP($A114,'Data shares'!$C:$FB,10)*100</f>
        <v>0.44</v>
      </c>
      <c r="D114" s="49">
        <f>VLOOKUP($A114,'Data shares'!$C:$FB,66)</f>
        <v>36901575</v>
      </c>
      <c r="E114" s="49">
        <f>VLOOKUP($A114,'Data shares'!$C:$FB,67)</f>
        <v>17933400</v>
      </c>
      <c r="F114" s="50">
        <f>VLOOKUP($A114,'Data shares'!$C:$FB,69)*100</f>
        <v>105.77000000000001</v>
      </c>
      <c r="G114" s="49">
        <f>VLOOKUP($A114,'Data shares'!$C:$FB,42)</f>
        <v>25440075</v>
      </c>
      <c r="H114" s="49">
        <f>VLOOKUP($A114,'Data shares'!$C:$FB,43)</f>
        <v>7673400</v>
      </c>
      <c r="I114" s="50">
        <f>VLOOKUP($A114,'Data shares'!$C:$FB,45)*100</f>
        <v>231.54</v>
      </c>
      <c r="J114" s="49">
        <f>VLOOKUP($A114,'Data shares'!$C:$FB,58)</f>
        <v>7651125</v>
      </c>
      <c r="K114" s="49">
        <f>VLOOKUP($A114,'Data shares'!$C:$FB,59)</f>
        <v>7349400</v>
      </c>
      <c r="L114" s="50">
        <f>VLOOKUP($A114,'Data shares'!$C:$FB,61)*100</f>
        <v>4.1099999999999994</v>
      </c>
      <c r="M114" s="49">
        <f>VLOOKUP($A114,'Data shares'!$C:$FB,62)</f>
        <v>3810375</v>
      </c>
      <c r="N114" s="49">
        <f>VLOOKUP($A114,'Data shares'!$C:$FB,63)</f>
        <v>2910600</v>
      </c>
      <c r="O114" s="140">
        <f>VLOOKUP($A114,'Data shares'!$C:$FB,65)*100</f>
        <v>30.91</v>
      </c>
    </row>
    <row r="115" spans="1:15" x14ac:dyDescent="0.25">
      <c r="A115" s="101" t="str">
        <f>'Data shares'!C110</f>
        <v>JUBLFOOD</v>
      </c>
      <c r="B115" s="50">
        <f>VLOOKUP($A115,'Data shares'!$C:$FB,7)</f>
        <v>591.15</v>
      </c>
      <c r="C115" s="50">
        <f>VLOOKUP($A115,'Data shares'!$C:$FB,10)*100</f>
        <v>-0.67</v>
      </c>
      <c r="D115" s="49">
        <f>VLOOKUP($A115,'Data shares'!$C:$FB,66)</f>
        <v>43021250</v>
      </c>
      <c r="E115" s="49">
        <f>VLOOKUP($A115,'Data shares'!$C:$FB,67)</f>
        <v>30077500</v>
      </c>
      <c r="F115" s="50">
        <f>VLOOKUP($A115,'Data shares'!$C:$FB,69)*100</f>
        <v>43.03</v>
      </c>
      <c r="G115" s="49">
        <f>VLOOKUP($A115,'Data shares'!$C:$FB,42)</f>
        <v>18365000</v>
      </c>
      <c r="H115" s="49">
        <f>VLOOKUP($A115,'Data shares'!$C:$FB,43)</f>
        <v>4202500</v>
      </c>
      <c r="I115" s="50">
        <f>VLOOKUP($A115,'Data shares'!$C:$FB,45)*100</f>
        <v>337</v>
      </c>
      <c r="J115" s="49">
        <f>VLOOKUP($A115,'Data shares'!$C:$FB,58)</f>
        <v>17686250</v>
      </c>
      <c r="K115" s="49">
        <f>VLOOKUP($A115,'Data shares'!$C:$FB,59)</f>
        <v>17330000</v>
      </c>
      <c r="L115" s="50">
        <f>VLOOKUP($A115,'Data shares'!$C:$FB,61)*100</f>
        <v>2.06</v>
      </c>
      <c r="M115" s="49">
        <f>VLOOKUP($A115,'Data shares'!$C:$FB,62)</f>
        <v>6970000</v>
      </c>
      <c r="N115" s="49">
        <f>VLOOKUP($A115,'Data shares'!$C:$FB,63)</f>
        <v>8545000</v>
      </c>
      <c r="O115" s="140">
        <f>VLOOKUP($A115,'Data shares'!$C:$FB,65)*100</f>
        <v>-18.43</v>
      </c>
    </row>
    <row r="116" spans="1:15" x14ac:dyDescent="0.25">
      <c r="A116" s="101" t="str">
        <f>'Data shares'!C111</f>
        <v>KALYANKJIL</v>
      </c>
      <c r="B116" s="50">
        <f>VLOOKUP($A116,'Data shares'!$C:$FB,7)</f>
        <v>504.1</v>
      </c>
      <c r="C116" s="50">
        <f>VLOOKUP($A116,'Data shares'!$C:$FB,10)*100</f>
        <v>0.89999999999999991</v>
      </c>
      <c r="D116" s="49">
        <f>VLOOKUP($A116,'Data shares'!$C:$FB,66)</f>
        <v>72253100</v>
      </c>
      <c r="E116" s="49">
        <f>VLOOKUP($A116,'Data shares'!$C:$FB,67)</f>
        <v>39550500</v>
      </c>
      <c r="F116" s="50">
        <f>VLOOKUP($A116,'Data shares'!$C:$FB,69)*100</f>
        <v>82.69</v>
      </c>
      <c r="G116" s="49">
        <f>VLOOKUP($A116,'Data shares'!$C:$FB,42)</f>
        <v>21309800</v>
      </c>
      <c r="H116" s="49">
        <f>VLOOKUP($A116,'Data shares'!$C:$FB,43)</f>
        <v>4839825</v>
      </c>
      <c r="I116" s="50">
        <f>VLOOKUP($A116,'Data shares'!$C:$FB,45)*100</f>
        <v>340.3</v>
      </c>
      <c r="J116" s="49">
        <f>VLOOKUP($A116,'Data shares'!$C:$FB,58)</f>
        <v>37132350</v>
      </c>
      <c r="K116" s="49">
        <f>VLOOKUP($A116,'Data shares'!$C:$FB,59)</f>
        <v>25660825</v>
      </c>
      <c r="L116" s="50">
        <f>VLOOKUP($A116,'Data shares'!$C:$FB,61)*100</f>
        <v>44.7</v>
      </c>
      <c r="M116" s="49">
        <f>VLOOKUP($A116,'Data shares'!$C:$FB,62)</f>
        <v>13810950</v>
      </c>
      <c r="N116" s="49">
        <f>VLOOKUP($A116,'Data shares'!$C:$FB,63)</f>
        <v>9049850</v>
      </c>
      <c r="O116" s="140">
        <f>VLOOKUP($A116,'Data shares'!$C:$FB,65)*100</f>
        <v>52.61</v>
      </c>
    </row>
    <row r="117" spans="1:15" x14ac:dyDescent="0.25">
      <c r="A117" s="101" t="str">
        <f>'Data shares'!C112</f>
        <v>KAYNES</v>
      </c>
      <c r="B117" s="50">
        <f>VLOOKUP($A117,'Data shares'!$C:$FB,7)</f>
        <v>5967.5</v>
      </c>
      <c r="C117" s="50">
        <f>VLOOKUP($A117,'Data shares'!$C:$FB,10)*100</f>
        <v>-0.11</v>
      </c>
      <c r="D117" s="49">
        <f>VLOOKUP($A117,'Data shares'!$C:$FB,66)</f>
        <v>8495000</v>
      </c>
      <c r="E117" s="49">
        <f>VLOOKUP($A117,'Data shares'!$C:$FB,67)</f>
        <v>16007400</v>
      </c>
      <c r="F117" s="50">
        <f>VLOOKUP($A117,'Data shares'!$C:$FB,69)*100</f>
        <v>-46.93</v>
      </c>
      <c r="G117" s="49">
        <f>VLOOKUP($A117,'Data shares'!$C:$FB,42)</f>
        <v>1015500</v>
      </c>
      <c r="H117" s="49">
        <f>VLOOKUP($A117,'Data shares'!$C:$FB,43)</f>
        <v>972500</v>
      </c>
      <c r="I117" s="50">
        <f>VLOOKUP($A117,'Data shares'!$C:$FB,45)*100</f>
        <v>4.42</v>
      </c>
      <c r="J117" s="49">
        <f>VLOOKUP($A117,'Data shares'!$C:$FB,58)</f>
        <v>5673700</v>
      </c>
      <c r="K117" s="49">
        <f>VLOOKUP($A117,'Data shares'!$C:$FB,59)</f>
        <v>11527200</v>
      </c>
      <c r="L117" s="50">
        <f>VLOOKUP($A117,'Data shares'!$C:$FB,61)*100</f>
        <v>-50.78</v>
      </c>
      <c r="M117" s="49">
        <f>VLOOKUP($A117,'Data shares'!$C:$FB,62)</f>
        <v>1805800</v>
      </c>
      <c r="N117" s="49">
        <f>VLOOKUP($A117,'Data shares'!$C:$FB,63)</f>
        <v>3507700</v>
      </c>
      <c r="O117" s="140">
        <f>VLOOKUP($A117,'Data shares'!$C:$FB,65)*100</f>
        <v>-48.52</v>
      </c>
    </row>
    <row r="118" spans="1:15" x14ac:dyDescent="0.25">
      <c r="A118" s="101" t="str">
        <f>'Data shares'!C113</f>
        <v>KEI</v>
      </c>
      <c r="B118" s="50">
        <f>VLOOKUP($A118,'Data shares'!$C:$FB,7)</f>
        <v>4167.3</v>
      </c>
      <c r="C118" s="50">
        <f>VLOOKUP($A118,'Data shares'!$C:$FB,10)*100</f>
        <v>1.17</v>
      </c>
      <c r="D118" s="49">
        <f>VLOOKUP($A118,'Data shares'!$C:$FB,66)</f>
        <v>2000075</v>
      </c>
      <c r="E118" s="49">
        <f>VLOOKUP($A118,'Data shares'!$C:$FB,67)</f>
        <v>736050</v>
      </c>
      <c r="F118" s="50">
        <f>VLOOKUP($A118,'Data shares'!$C:$FB,69)*100</f>
        <v>171.73000000000002</v>
      </c>
      <c r="G118" s="49">
        <f>VLOOKUP($A118,'Data shares'!$C:$FB,42)</f>
        <v>910525</v>
      </c>
      <c r="H118" s="49">
        <f>VLOOKUP($A118,'Data shares'!$C:$FB,43)</f>
        <v>163100</v>
      </c>
      <c r="I118" s="50">
        <f>VLOOKUP($A118,'Data shares'!$C:$FB,45)*100</f>
        <v>458.26000000000005</v>
      </c>
      <c r="J118" s="49">
        <f>VLOOKUP($A118,'Data shares'!$C:$FB,58)</f>
        <v>847350</v>
      </c>
      <c r="K118" s="49">
        <f>VLOOKUP($A118,'Data shares'!$C:$FB,59)</f>
        <v>377650</v>
      </c>
      <c r="L118" s="50">
        <f>VLOOKUP($A118,'Data shares'!$C:$FB,61)*100</f>
        <v>124.37</v>
      </c>
      <c r="M118" s="49">
        <f>VLOOKUP($A118,'Data shares'!$C:$FB,62)</f>
        <v>242200</v>
      </c>
      <c r="N118" s="49">
        <f>VLOOKUP($A118,'Data shares'!$C:$FB,63)</f>
        <v>195300</v>
      </c>
      <c r="O118" s="140">
        <f>VLOOKUP($A118,'Data shares'!$C:$FB,65)*100</f>
        <v>24.01</v>
      </c>
    </row>
    <row r="119" spans="1:15" x14ac:dyDescent="0.25">
      <c r="A119" s="101" t="str">
        <f>'Data shares'!C114</f>
        <v>KFINTECH</v>
      </c>
      <c r="B119" s="50">
        <f>VLOOKUP($A119,'Data shares'!$C:$FB,7)</f>
        <v>1080.4000000000001</v>
      </c>
      <c r="C119" s="50">
        <f>VLOOKUP($A119,'Data shares'!$C:$FB,10)*100</f>
        <v>-0.13999999999999999</v>
      </c>
      <c r="D119" s="49">
        <f>VLOOKUP($A119,'Data shares'!$C:$FB,66)</f>
        <v>7498350</v>
      </c>
      <c r="E119" s="49">
        <f>VLOOKUP($A119,'Data shares'!$C:$FB,67)</f>
        <v>5446800</v>
      </c>
      <c r="F119" s="50">
        <f>VLOOKUP($A119,'Data shares'!$C:$FB,69)*100</f>
        <v>37.669999999999995</v>
      </c>
      <c r="G119" s="49">
        <f>VLOOKUP($A119,'Data shares'!$C:$FB,42)</f>
        <v>3510450</v>
      </c>
      <c r="H119" s="49">
        <f>VLOOKUP($A119,'Data shares'!$C:$FB,43)</f>
        <v>1525500</v>
      </c>
      <c r="I119" s="50">
        <f>VLOOKUP($A119,'Data shares'!$C:$FB,45)*100</f>
        <v>130.12</v>
      </c>
      <c r="J119" s="49">
        <f>VLOOKUP($A119,'Data shares'!$C:$FB,58)</f>
        <v>2948850</v>
      </c>
      <c r="K119" s="49">
        <f>VLOOKUP($A119,'Data shares'!$C:$FB,59)</f>
        <v>2884050</v>
      </c>
      <c r="L119" s="50">
        <f>VLOOKUP($A119,'Data shares'!$C:$FB,61)*100</f>
        <v>2.25</v>
      </c>
      <c r="M119" s="49">
        <f>VLOOKUP($A119,'Data shares'!$C:$FB,62)</f>
        <v>1039050</v>
      </c>
      <c r="N119" s="49">
        <f>VLOOKUP($A119,'Data shares'!$C:$FB,63)</f>
        <v>1037250</v>
      </c>
      <c r="O119" s="140">
        <f>VLOOKUP($A119,'Data shares'!$C:$FB,65)*100</f>
        <v>0.16999999999999998</v>
      </c>
    </row>
    <row r="120" spans="1:15" x14ac:dyDescent="0.25">
      <c r="A120" s="101" t="str">
        <f>'Data shares'!C115</f>
        <v>KOTAKBANK</v>
      </c>
      <c r="B120" s="50">
        <f>VLOOKUP($A120,'Data shares'!$C:$FB,7)</f>
        <v>2098.6999999999998</v>
      </c>
      <c r="C120" s="50">
        <f>VLOOKUP($A120,'Data shares'!$C:$FB,10)*100</f>
        <v>-0.33999999999999997</v>
      </c>
      <c r="D120" s="49">
        <f>VLOOKUP($A120,'Data shares'!$C:$FB,66)</f>
        <v>55280400</v>
      </c>
      <c r="E120" s="49">
        <f>VLOOKUP($A120,'Data shares'!$C:$FB,67)</f>
        <v>34021200</v>
      </c>
      <c r="F120" s="50">
        <f>VLOOKUP($A120,'Data shares'!$C:$FB,69)*100</f>
        <v>62.49</v>
      </c>
      <c r="G120" s="49">
        <f>VLOOKUP($A120,'Data shares'!$C:$FB,42)</f>
        <v>19728000</v>
      </c>
      <c r="H120" s="49">
        <f>VLOOKUP($A120,'Data shares'!$C:$FB,43)</f>
        <v>7798800</v>
      </c>
      <c r="I120" s="50">
        <f>VLOOKUP($A120,'Data shares'!$C:$FB,45)*100</f>
        <v>152.96</v>
      </c>
      <c r="J120" s="49">
        <f>VLOOKUP($A120,'Data shares'!$C:$FB,58)</f>
        <v>24715200</v>
      </c>
      <c r="K120" s="49">
        <f>VLOOKUP($A120,'Data shares'!$C:$FB,59)</f>
        <v>18607600</v>
      </c>
      <c r="L120" s="50">
        <f>VLOOKUP($A120,'Data shares'!$C:$FB,61)*100</f>
        <v>32.82</v>
      </c>
      <c r="M120" s="49">
        <f>VLOOKUP($A120,'Data shares'!$C:$FB,62)</f>
        <v>10837200</v>
      </c>
      <c r="N120" s="49">
        <f>VLOOKUP($A120,'Data shares'!$C:$FB,63)</f>
        <v>7614800</v>
      </c>
      <c r="O120" s="140">
        <f>VLOOKUP($A120,'Data shares'!$C:$FB,65)*100</f>
        <v>42.32</v>
      </c>
    </row>
    <row r="121" spans="1:15" x14ac:dyDescent="0.25">
      <c r="A121" s="101" t="str">
        <f>'Data shares'!C116</f>
        <v>KPITTECH</v>
      </c>
      <c r="B121" s="50">
        <f>VLOOKUP($A121,'Data shares'!$C:$FB,7)</f>
        <v>1196.5999999999999</v>
      </c>
      <c r="C121" s="50">
        <f>VLOOKUP($A121,'Data shares'!$C:$FB,10)*100</f>
        <v>-0.54</v>
      </c>
      <c r="D121" s="49">
        <f>VLOOKUP($A121,'Data shares'!$C:$FB,66)</f>
        <v>7856800</v>
      </c>
      <c r="E121" s="49">
        <f>VLOOKUP($A121,'Data shares'!$C:$FB,67)</f>
        <v>7132000</v>
      </c>
      <c r="F121" s="50">
        <f>VLOOKUP($A121,'Data shares'!$C:$FB,69)*100</f>
        <v>10.16</v>
      </c>
      <c r="G121" s="49">
        <f>VLOOKUP($A121,'Data shares'!$C:$FB,42)</f>
        <v>2006800</v>
      </c>
      <c r="H121" s="49">
        <f>VLOOKUP($A121,'Data shares'!$C:$FB,43)</f>
        <v>1252000</v>
      </c>
      <c r="I121" s="50">
        <f>VLOOKUP($A121,'Data shares'!$C:$FB,45)*100</f>
        <v>60.29</v>
      </c>
      <c r="J121" s="49">
        <f>VLOOKUP($A121,'Data shares'!$C:$FB,58)</f>
        <v>4850400</v>
      </c>
      <c r="K121" s="49">
        <f>VLOOKUP($A121,'Data shares'!$C:$FB,59)</f>
        <v>4437200</v>
      </c>
      <c r="L121" s="50">
        <f>VLOOKUP($A121,'Data shares'!$C:$FB,61)*100</f>
        <v>9.31</v>
      </c>
      <c r="M121" s="49">
        <f>VLOOKUP($A121,'Data shares'!$C:$FB,62)</f>
        <v>999600</v>
      </c>
      <c r="N121" s="49">
        <f>VLOOKUP($A121,'Data shares'!$C:$FB,63)</f>
        <v>1442800</v>
      </c>
      <c r="O121" s="140">
        <f>VLOOKUP($A121,'Data shares'!$C:$FB,65)*100</f>
        <v>-30.72</v>
      </c>
    </row>
    <row r="122" spans="1:15" x14ac:dyDescent="0.25">
      <c r="A122" s="101" t="str">
        <f>'Data shares'!C117</f>
        <v>LAURUSLABS</v>
      </c>
      <c r="B122" s="50">
        <f>VLOOKUP($A122,'Data shares'!$C:$FB,7)</f>
        <v>987.1</v>
      </c>
      <c r="C122" s="50">
        <f>VLOOKUP($A122,'Data shares'!$C:$FB,10)*100</f>
        <v>-0.04</v>
      </c>
      <c r="D122" s="49">
        <f>VLOOKUP($A122,'Data shares'!$C:$FB,66)</f>
        <v>43942450</v>
      </c>
      <c r="E122" s="49">
        <f>VLOOKUP($A122,'Data shares'!$C:$FB,67)</f>
        <v>52827500</v>
      </c>
      <c r="F122" s="50">
        <f>VLOOKUP($A122,'Data shares'!$C:$FB,69)*100</f>
        <v>-16.82</v>
      </c>
      <c r="G122" s="49">
        <f>VLOOKUP($A122,'Data shares'!$C:$FB,42)</f>
        <v>9651750</v>
      </c>
      <c r="H122" s="49">
        <f>VLOOKUP($A122,'Data shares'!$C:$FB,43)</f>
        <v>5748550</v>
      </c>
      <c r="I122" s="50">
        <f>VLOOKUP($A122,'Data shares'!$C:$FB,45)*100</f>
        <v>67.900000000000006</v>
      </c>
      <c r="J122" s="49">
        <f>VLOOKUP($A122,'Data shares'!$C:$FB,58)</f>
        <v>20672000</v>
      </c>
      <c r="K122" s="49">
        <f>VLOOKUP($A122,'Data shares'!$C:$FB,59)</f>
        <v>28380650</v>
      </c>
      <c r="L122" s="50">
        <f>VLOOKUP($A122,'Data shares'!$C:$FB,61)*100</f>
        <v>-27.16</v>
      </c>
      <c r="M122" s="49">
        <f>VLOOKUP($A122,'Data shares'!$C:$FB,62)</f>
        <v>13618700</v>
      </c>
      <c r="N122" s="49">
        <f>VLOOKUP($A122,'Data shares'!$C:$FB,63)</f>
        <v>18698300</v>
      </c>
      <c r="O122" s="140">
        <f>VLOOKUP($A122,'Data shares'!$C:$FB,65)*100</f>
        <v>-27.169999999999998</v>
      </c>
    </row>
    <row r="123" spans="1:15" x14ac:dyDescent="0.25">
      <c r="A123" s="101" t="str">
        <f>'Data shares'!C118</f>
        <v>LICHSGFIN</v>
      </c>
      <c r="B123" s="50">
        <f>VLOOKUP($A123,'Data shares'!$C:$FB,7)</f>
        <v>554.79999999999995</v>
      </c>
      <c r="C123" s="50">
        <f>VLOOKUP($A123,'Data shares'!$C:$FB,10)*100</f>
        <v>-1.5599999999999998</v>
      </c>
      <c r="D123" s="49">
        <f>VLOOKUP($A123,'Data shares'!$C:$FB,66)</f>
        <v>29037000</v>
      </c>
      <c r="E123" s="49">
        <f>VLOOKUP($A123,'Data shares'!$C:$FB,67)</f>
        <v>19324000</v>
      </c>
      <c r="F123" s="50">
        <f>VLOOKUP($A123,'Data shares'!$C:$FB,69)*100</f>
        <v>50.260000000000005</v>
      </c>
      <c r="G123" s="49">
        <f>VLOOKUP($A123,'Data shares'!$C:$FB,42)</f>
        <v>15510000</v>
      </c>
      <c r="H123" s="49">
        <f>VLOOKUP($A123,'Data shares'!$C:$FB,43)</f>
        <v>5165000</v>
      </c>
      <c r="I123" s="50">
        <f>VLOOKUP($A123,'Data shares'!$C:$FB,45)*100</f>
        <v>200.29</v>
      </c>
      <c r="J123" s="49">
        <f>VLOOKUP($A123,'Data shares'!$C:$FB,58)</f>
        <v>9012000</v>
      </c>
      <c r="K123" s="49">
        <f>VLOOKUP($A123,'Data shares'!$C:$FB,59)</f>
        <v>10495000</v>
      </c>
      <c r="L123" s="50">
        <f>VLOOKUP($A123,'Data shares'!$C:$FB,61)*100</f>
        <v>-14.13</v>
      </c>
      <c r="M123" s="49">
        <f>VLOOKUP($A123,'Data shares'!$C:$FB,62)</f>
        <v>4515000</v>
      </c>
      <c r="N123" s="49">
        <f>VLOOKUP($A123,'Data shares'!$C:$FB,63)</f>
        <v>3664000</v>
      </c>
      <c r="O123" s="140">
        <f>VLOOKUP($A123,'Data shares'!$C:$FB,65)*100</f>
        <v>23.23</v>
      </c>
    </row>
    <row r="124" spans="1:15" x14ac:dyDescent="0.25">
      <c r="A124" s="101" t="str">
        <f>'Data shares'!C119</f>
        <v>LICI</v>
      </c>
      <c r="B124" s="50">
        <f>VLOOKUP($A124,'Data shares'!$C:$FB,7)</f>
        <v>908.3</v>
      </c>
      <c r="C124" s="50">
        <f>VLOOKUP($A124,'Data shares'!$C:$FB,10)*100</f>
        <v>-0.63</v>
      </c>
      <c r="D124" s="49">
        <f>VLOOKUP($A124,'Data shares'!$C:$FB,66)</f>
        <v>14479500</v>
      </c>
      <c r="E124" s="49">
        <f>VLOOKUP($A124,'Data shares'!$C:$FB,67)</f>
        <v>13930700</v>
      </c>
      <c r="F124" s="50">
        <f>VLOOKUP($A124,'Data shares'!$C:$FB,69)*100</f>
        <v>3.94</v>
      </c>
      <c r="G124" s="49">
        <f>VLOOKUP($A124,'Data shares'!$C:$FB,42)</f>
        <v>4540900</v>
      </c>
      <c r="H124" s="49">
        <f>VLOOKUP($A124,'Data shares'!$C:$FB,43)</f>
        <v>2332400</v>
      </c>
      <c r="I124" s="50">
        <f>VLOOKUP($A124,'Data shares'!$C:$FB,45)*100</f>
        <v>94.69</v>
      </c>
      <c r="J124" s="49">
        <f>VLOOKUP($A124,'Data shares'!$C:$FB,58)</f>
        <v>7407400</v>
      </c>
      <c r="K124" s="49">
        <f>VLOOKUP($A124,'Data shares'!$C:$FB,59)</f>
        <v>8717100</v>
      </c>
      <c r="L124" s="50">
        <f>VLOOKUP($A124,'Data shares'!$C:$FB,61)*100</f>
        <v>-15.02</v>
      </c>
      <c r="M124" s="49">
        <f>VLOOKUP($A124,'Data shares'!$C:$FB,62)</f>
        <v>2531200</v>
      </c>
      <c r="N124" s="49">
        <f>VLOOKUP($A124,'Data shares'!$C:$FB,63)</f>
        <v>2881200</v>
      </c>
      <c r="O124" s="140">
        <f>VLOOKUP($A124,'Data shares'!$C:$FB,65)*100</f>
        <v>-12.15</v>
      </c>
    </row>
    <row r="125" spans="1:15" x14ac:dyDescent="0.25">
      <c r="A125" s="101" t="str">
        <f>'Data shares'!C120</f>
        <v>LODHA</v>
      </c>
      <c r="B125" s="50">
        <f>VLOOKUP($A125,'Data shares'!$C:$FB,7)</f>
        <v>1200.8</v>
      </c>
      <c r="C125" s="50">
        <f>VLOOKUP($A125,'Data shares'!$C:$FB,10)*100</f>
        <v>-0.1</v>
      </c>
      <c r="D125" s="49">
        <f>VLOOKUP($A125,'Data shares'!$C:$FB,66)</f>
        <v>12071700</v>
      </c>
      <c r="E125" s="49">
        <f>VLOOKUP($A125,'Data shares'!$C:$FB,67)</f>
        <v>8443800</v>
      </c>
      <c r="F125" s="50">
        <f>VLOOKUP($A125,'Data shares'!$C:$FB,69)*100</f>
        <v>42.970000000000006</v>
      </c>
      <c r="G125" s="49">
        <f>VLOOKUP($A125,'Data shares'!$C:$FB,42)</f>
        <v>6952950</v>
      </c>
      <c r="H125" s="49">
        <f>VLOOKUP($A125,'Data shares'!$C:$FB,43)</f>
        <v>1377000</v>
      </c>
      <c r="I125" s="50">
        <f>VLOOKUP($A125,'Data shares'!$C:$FB,45)*100</f>
        <v>404.92999999999995</v>
      </c>
      <c r="J125" s="49">
        <f>VLOOKUP($A125,'Data shares'!$C:$FB,58)</f>
        <v>3775050</v>
      </c>
      <c r="K125" s="49">
        <f>VLOOKUP($A125,'Data shares'!$C:$FB,59)</f>
        <v>5135400</v>
      </c>
      <c r="L125" s="50">
        <f>VLOOKUP($A125,'Data shares'!$C:$FB,61)*100</f>
        <v>-26.490000000000002</v>
      </c>
      <c r="M125" s="49">
        <f>VLOOKUP($A125,'Data shares'!$C:$FB,62)</f>
        <v>1343700</v>
      </c>
      <c r="N125" s="49">
        <f>VLOOKUP($A125,'Data shares'!$C:$FB,63)</f>
        <v>1931400</v>
      </c>
      <c r="O125" s="140">
        <f>VLOOKUP($A125,'Data shares'!$C:$FB,65)*100</f>
        <v>-30.43</v>
      </c>
    </row>
    <row r="126" spans="1:15" x14ac:dyDescent="0.25">
      <c r="A126" s="101" t="str">
        <f>'Data shares'!C121</f>
        <v>LT</v>
      </c>
      <c r="B126" s="50">
        <f>VLOOKUP($A126,'Data shares'!$C:$FB,7)</f>
        <v>4037.4</v>
      </c>
      <c r="C126" s="50">
        <f>VLOOKUP($A126,'Data shares'!$C:$FB,10)*100</f>
        <v>0.44</v>
      </c>
      <c r="D126" s="49">
        <f>VLOOKUP($A126,'Data shares'!$C:$FB,66)</f>
        <v>24975825</v>
      </c>
      <c r="E126" s="49">
        <f>VLOOKUP($A126,'Data shares'!$C:$FB,67)</f>
        <v>13284775</v>
      </c>
      <c r="F126" s="50">
        <f>VLOOKUP($A126,'Data shares'!$C:$FB,69)*100</f>
        <v>88</v>
      </c>
      <c r="G126" s="49">
        <f>VLOOKUP($A126,'Data shares'!$C:$FB,42)</f>
        <v>8261050</v>
      </c>
      <c r="H126" s="49">
        <f>VLOOKUP($A126,'Data shares'!$C:$FB,43)</f>
        <v>1619625</v>
      </c>
      <c r="I126" s="50">
        <f>VLOOKUP($A126,'Data shares'!$C:$FB,45)*100</f>
        <v>410.06</v>
      </c>
      <c r="J126" s="49">
        <f>VLOOKUP($A126,'Data shares'!$C:$FB,58)</f>
        <v>11469850</v>
      </c>
      <c r="K126" s="49">
        <f>VLOOKUP($A126,'Data shares'!$C:$FB,59)</f>
        <v>7796425</v>
      </c>
      <c r="L126" s="50">
        <f>VLOOKUP($A126,'Data shares'!$C:$FB,61)*100</f>
        <v>47.12</v>
      </c>
      <c r="M126" s="49">
        <f>VLOOKUP($A126,'Data shares'!$C:$FB,62)</f>
        <v>5244925</v>
      </c>
      <c r="N126" s="49">
        <f>VLOOKUP($A126,'Data shares'!$C:$FB,63)</f>
        <v>3868725</v>
      </c>
      <c r="O126" s="140">
        <f>VLOOKUP($A126,'Data shares'!$C:$FB,65)*100</f>
        <v>35.57</v>
      </c>
    </row>
    <row r="127" spans="1:15" x14ac:dyDescent="0.25">
      <c r="A127" s="101" t="str">
        <f>'Data shares'!C122</f>
        <v>LTF</v>
      </c>
      <c r="B127" s="50">
        <f>VLOOKUP($A127,'Data shares'!$C:$FB,7)</f>
        <v>292.3</v>
      </c>
      <c r="C127" s="50">
        <f>VLOOKUP($A127,'Data shares'!$C:$FB,10)*100</f>
        <v>-1.7999999999999998</v>
      </c>
      <c r="D127" s="49">
        <f>VLOOKUP($A127,'Data shares'!$C:$FB,66)</f>
        <v>107734990</v>
      </c>
      <c r="E127" s="49">
        <f>VLOOKUP($A127,'Data shares'!$C:$FB,67)</f>
        <v>94888892</v>
      </c>
      <c r="F127" s="50">
        <f>VLOOKUP($A127,'Data shares'!$C:$FB,69)*100</f>
        <v>13.54</v>
      </c>
      <c r="G127" s="49">
        <f>VLOOKUP($A127,'Data shares'!$C:$FB,42)</f>
        <v>31135836</v>
      </c>
      <c r="H127" s="49">
        <f>VLOOKUP($A127,'Data shares'!$C:$FB,43)</f>
        <v>10391998</v>
      </c>
      <c r="I127" s="50">
        <f>VLOOKUP($A127,'Data shares'!$C:$FB,45)*100</f>
        <v>199.60999999999999</v>
      </c>
      <c r="J127" s="49">
        <f>VLOOKUP($A127,'Data shares'!$C:$FB,58)</f>
        <v>52990712</v>
      </c>
      <c r="K127" s="49">
        <f>VLOOKUP($A127,'Data shares'!$C:$FB,59)</f>
        <v>55043232</v>
      </c>
      <c r="L127" s="50">
        <f>VLOOKUP($A127,'Data shares'!$C:$FB,61)*100</f>
        <v>-3.73</v>
      </c>
      <c r="M127" s="49">
        <f>VLOOKUP($A127,'Data shares'!$C:$FB,62)</f>
        <v>23608442</v>
      </c>
      <c r="N127" s="49">
        <f>VLOOKUP($A127,'Data shares'!$C:$FB,63)</f>
        <v>29453662</v>
      </c>
      <c r="O127" s="140">
        <f>VLOOKUP($A127,'Data shares'!$C:$FB,65)*100</f>
        <v>-19.850000000000001</v>
      </c>
    </row>
    <row r="128" spans="1:15" x14ac:dyDescent="0.25">
      <c r="A128" s="101" t="str">
        <f>'Data shares'!C123</f>
        <v>LTIM</v>
      </c>
      <c r="B128" s="50">
        <f>VLOOKUP($A128,'Data shares'!$C:$FB,7)</f>
        <v>6027</v>
      </c>
      <c r="C128" s="50">
        <f>VLOOKUP($A128,'Data shares'!$C:$FB,10)*100</f>
        <v>0.91999999999999993</v>
      </c>
      <c r="D128" s="49">
        <f>VLOOKUP($A128,'Data shares'!$C:$FB,66)</f>
        <v>9946800</v>
      </c>
      <c r="E128" s="49">
        <f>VLOOKUP($A128,'Data shares'!$C:$FB,67)</f>
        <v>18387150</v>
      </c>
      <c r="F128" s="50">
        <f>VLOOKUP($A128,'Data shares'!$C:$FB,69)*100</f>
        <v>-45.9</v>
      </c>
      <c r="G128" s="49">
        <f>VLOOKUP($A128,'Data shares'!$C:$FB,42)</f>
        <v>2734800</v>
      </c>
      <c r="H128" s="49">
        <f>VLOOKUP($A128,'Data shares'!$C:$FB,43)</f>
        <v>1483200</v>
      </c>
      <c r="I128" s="50">
        <f>VLOOKUP($A128,'Data shares'!$C:$FB,45)*100</f>
        <v>84.39</v>
      </c>
      <c r="J128" s="49">
        <f>VLOOKUP($A128,'Data shares'!$C:$FB,58)</f>
        <v>4954500</v>
      </c>
      <c r="K128" s="49">
        <f>VLOOKUP($A128,'Data shares'!$C:$FB,59)</f>
        <v>13252200</v>
      </c>
      <c r="L128" s="50">
        <f>VLOOKUP($A128,'Data shares'!$C:$FB,61)*100</f>
        <v>-62.61</v>
      </c>
      <c r="M128" s="49">
        <f>VLOOKUP($A128,'Data shares'!$C:$FB,62)</f>
        <v>2257500</v>
      </c>
      <c r="N128" s="49">
        <f>VLOOKUP($A128,'Data shares'!$C:$FB,63)</f>
        <v>3651750</v>
      </c>
      <c r="O128" s="140">
        <f>VLOOKUP($A128,'Data shares'!$C:$FB,65)*100</f>
        <v>-38.18</v>
      </c>
    </row>
    <row r="129" spans="1:15" x14ac:dyDescent="0.25">
      <c r="A129" s="101" t="str">
        <f>'Data shares'!C124</f>
        <v>LUPIN</v>
      </c>
      <c r="B129" s="50">
        <f>VLOOKUP($A129,'Data shares'!$C:$FB,7)</f>
        <v>2030.8</v>
      </c>
      <c r="C129" s="50">
        <f>VLOOKUP($A129,'Data shares'!$C:$FB,10)*100</f>
        <v>0.27</v>
      </c>
      <c r="D129" s="49">
        <f>VLOOKUP($A129,'Data shares'!$C:$FB,66)</f>
        <v>11593575</v>
      </c>
      <c r="E129" s="49">
        <f>VLOOKUP($A129,'Data shares'!$C:$FB,67)</f>
        <v>8546325</v>
      </c>
      <c r="F129" s="50">
        <f>VLOOKUP($A129,'Data shares'!$C:$FB,69)*100</f>
        <v>35.659999999999997</v>
      </c>
      <c r="G129" s="49">
        <f>VLOOKUP($A129,'Data shares'!$C:$FB,42)</f>
        <v>4540275</v>
      </c>
      <c r="H129" s="49">
        <f>VLOOKUP($A129,'Data shares'!$C:$FB,43)</f>
        <v>1551675</v>
      </c>
      <c r="I129" s="50">
        <f>VLOOKUP($A129,'Data shares'!$C:$FB,45)*100</f>
        <v>192.6</v>
      </c>
      <c r="J129" s="49">
        <f>VLOOKUP($A129,'Data shares'!$C:$FB,58)</f>
        <v>5131875</v>
      </c>
      <c r="K129" s="49">
        <f>VLOOKUP($A129,'Data shares'!$C:$FB,59)</f>
        <v>5195200</v>
      </c>
      <c r="L129" s="50">
        <f>VLOOKUP($A129,'Data shares'!$C:$FB,61)*100</f>
        <v>-1.22</v>
      </c>
      <c r="M129" s="49">
        <f>VLOOKUP($A129,'Data shares'!$C:$FB,62)</f>
        <v>1921425</v>
      </c>
      <c r="N129" s="49">
        <f>VLOOKUP($A129,'Data shares'!$C:$FB,63)</f>
        <v>1799450</v>
      </c>
      <c r="O129" s="140">
        <f>VLOOKUP($A129,'Data shares'!$C:$FB,65)*100</f>
        <v>6.78</v>
      </c>
    </row>
    <row r="130" spans="1:15" x14ac:dyDescent="0.25">
      <c r="A130" s="101" t="str">
        <f>'Data shares'!C125</f>
        <v>M&amp;M</v>
      </c>
      <c r="B130" s="50">
        <f>VLOOKUP($A130,'Data shares'!$C:$FB,7)</f>
        <v>3716.7</v>
      </c>
      <c r="C130" s="50">
        <f>VLOOKUP($A130,'Data shares'!$C:$FB,10)*100</f>
        <v>-0.16</v>
      </c>
      <c r="D130" s="49">
        <f>VLOOKUP($A130,'Data shares'!$C:$FB,66)</f>
        <v>23578000</v>
      </c>
      <c r="E130" s="49">
        <f>VLOOKUP($A130,'Data shares'!$C:$FB,67)</f>
        <v>14622000</v>
      </c>
      <c r="F130" s="50">
        <f>VLOOKUP($A130,'Data shares'!$C:$FB,69)*100</f>
        <v>61.250000000000007</v>
      </c>
      <c r="G130" s="49">
        <f>VLOOKUP($A130,'Data shares'!$C:$FB,42)</f>
        <v>12290000</v>
      </c>
      <c r="H130" s="49">
        <f>VLOOKUP($A130,'Data shares'!$C:$FB,43)</f>
        <v>2316600</v>
      </c>
      <c r="I130" s="50">
        <f>VLOOKUP($A130,'Data shares'!$C:$FB,45)*100</f>
        <v>430.52000000000004</v>
      </c>
      <c r="J130" s="49">
        <f>VLOOKUP($A130,'Data shares'!$C:$FB,58)</f>
        <v>7379400</v>
      </c>
      <c r="K130" s="49">
        <f>VLOOKUP($A130,'Data shares'!$C:$FB,59)</f>
        <v>7519600</v>
      </c>
      <c r="L130" s="50">
        <f>VLOOKUP($A130,'Data shares'!$C:$FB,61)*100</f>
        <v>-1.8599999999999999</v>
      </c>
      <c r="M130" s="49">
        <f>VLOOKUP($A130,'Data shares'!$C:$FB,62)</f>
        <v>3908600</v>
      </c>
      <c r="N130" s="49">
        <f>VLOOKUP($A130,'Data shares'!$C:$FB,63)</f>
        <v>4785800</v>
      </c>
      <c r="O130" s="140">
        <f>VLOOKUP($A130,'Data shares'!$C:$FB,65)*100</f>
        <v>-18.329999999999998</v>
      </c>
    </row>
    <row r="131" spans="1:15" x14ac:dyDescent="0.25">
      <c r="A131" s="101" t="str">
        <f>'Data shares'!C126</f>
        <v>MANAPPURAM</v>
      </c>
      <c r="B131" s="50">
        <f>VLOOKUP($A131,'Data shares'!$C:$FB,7)</f>
        <v>282.05</v>
      </c>
      <c r="C131" s="50">
        <f>VLOOKUP($A131,'Data shares'!$C:$FB,10)*100</f>
        <v>0.61</v>
      </c>
      <c r="D131" s="49">
        <f>VLOOKUP($A131,'Data shares'!$C:$FB,66)</f>
        <v>60192000</v>
      </c>
      <c r="E131" s="49">
        <f>VLOOKUP($A131,'Data shares'!$C:$FB,67)</f>
        <v>58809000</v>
      </c>
      <c r="F131" s="50">
        <f>VLOOKUP($A131,'Data shares'!$C:$FB,69)*100</f>
        <v>2.35</v>
      </c>
      <c r="G131" s="49">
        <f>VLOOKUP($A131,'Data shares'!$C:$FB,42)</f>
        <v>18999000</v>
      </c>
      <c r="H131" s="49">
        <f>VLOOKUP($A131,'Data shares'!$C:$FB,43)</f>
        <v>17772000</v>
      </c>
      <c r="I131" s="50">
        <f>VLOOKUP($A131,'Data shares'!$C:$FB,45)*100</f>
        <v>6.9</v>
      </c>
      <c r="J131" s="49">
        <f>VLOOKUP($A131,'Data shares'!$C:$FB,58)</f>
        <v>29484000</v>
      </c>
      <c r="K131" s="49">
        <f>VLOOKUP($A131,'Data shares'!$C:$FB,59)</f>
        <v>29793000</v>
      </c>
      <c r="L131" s="50">
        <f>VLOOKUP($A131,'Data shares'!$C:$FB,61)*100</f>
        <v>-1.04</v>
      </c>
      <c r="M131" s="49">
        <f>VLOOKUP($A131,'Data shares'!$C:$FB,62)</f>
        <v>11709000</v>
      </c>
      <c r="N131" s="49">
        <f>VLOOKUP($A131,'Data shares'!$C:$FB,63)</f>
        <v>11244000</v>
      </c>
      <c r="O131" s="140">
        <f>VLOOKUP($A131,'Data shares'!$C:$FB,65)*100</f>
        <v>4.1399999999999997</v>
      </c>
    </row>
    <row r="132" spans="1:15" x14ac:dyDescent="0.25">
      <c r="A132" s="101" t="str">
        <f>'Data shares'!C127</f>
        <v>MANKIND</v>
      </c>
      <c r="B132" s="50">
        <f>VLOOKUP($A132,'Data shares'!$C:$FB,7)</f>
        <v>2239.5</v>
      </c>
      <c r="C132" s="50">
        <f>VLOOKUP($A132,'Data shares'!$C:$FB,10)*100</f>
        <v>0.74</v>
      </c>
      <c r="D132" s="49">
        <f>VLOOKUP($A132,'Data shares'!$C:$FB,66)</f>
        <v>3037275</v>
      </c>
      <c r="E132" s="49">
        <f>VLOOKUP($A132,'Data shares'!$C:$FB,67)</f>
        <v>1403775</v>
      </c>
      <c r="F132" s="50">
        <f>VLOOKUP($A132,'Data shares'!$C:$FB,69)*100</f>
        <v>116.36</v>
      </c>
      <c r="G132" s="49">
        <f>VLOOKUP($A132,'Data shares'!$C:$FB,42)</f>
        <v>1210725</v>
      </c>
      <c r="H132" s="49">
        <f>VLOOKUP($A132,'Data shares'!$C:$FB,43)</f>
        <v>397125</v>
      </c>
      <c r="I132" s="50">
        <f>VLOOKUP($A132,'Data shares'!$C:$FB,45)*100</f>
        <v>204.87</v>
      </c>
      <c r="J132" s="49">
        <f>VLOOKUP($A132,'Data shares'!$C:$FB,58)</f>
        <v>1493325</v>
      </c>
      <c r="K132" s="49">
        <f>VLOOKUP($A132,'Data shares'!$C:$FB,59)</f>
        <v>750375</v>
      </c>
      <c r="L132" s="50">
        <f>VLOOKUP($A132,'Data shares'!$C:$FB,61)*100</f>
        <v>99.009999999999991</v>
      </c>
      <c r="M132" s="49">
        <f>VLOOKUP($A132,'Data shares'!$C:$FB,62)</f>
        <v>333225</v>
      </c>
      <c r="N132" s="49">
        <f>VLOOKUP($A132,'Data shares'!$C:$FB,63)</f>
        <v>256275</v>
      </c>
      <c r="O132" s="140">
        <f>VLOOKUP($A132,'Data shares'!$C:$FB,65)*100</f>
        <v>30.03</v>
      </c>
    </row>
    <row r="133" spans="1:15" x14ac:dyDescent="0.25">
      <c r="A133" s="101" t="str">
        <f>'Data shares'!C128</f>
        <v>MARICO</v>
      </c>
      <c r="B133" s="50">
        <f>VLOOKUP($A133,'Data shares'!$C:$FB,7)</f>
        <v>736.15</v>
      </c>
      <c r="C133" s="50">
        <f>VLOOKUP($A133,'Data shares'!$C:$FB,10)*100</f>
        <v>-1.6</v>
      </c>
      <c r="D133" s="49">
        <f>VLOOKUP($A133,'Data shares'!$C:$FB,66)</f>
        <v>40597200</v>
      </c>
      <c r="E133" s="49">
        <f>VLOOKUP($A133,'Data shares'!$C:$FB,67)</f>
        <v>26086800</v>
      </c>
      <c r="F133" s="50">
        <f>VLOOKUP($A133,'Data shares'!$C:$FB,69)*100</f>
        <v>55.620000000000005</v>
      </c>
      <c r="G133" s="49">
        <f>VLOOKUP($A133,'Data shares'!$C:$FB,42)</f>
        <v>20115600</v>
      </c>
      <c r="H133" s="49">
        <f>VLOOKUP($A133,'Data shares'!$C:$FB,43)</f>
        <v>2104800</v>
      </c>
      <c r="I133" s="50">
        <f>VLOOKUP($A133,'Data shares'!$C:$FB,45)*100</f>
        <v>855.7</v>
      </c>
      <c r="J133" s="49">
        <f>VLOOKUP($A133,'Data shares'!$C:$FB,58)</f>
        <v>12699600</v>
      </c>
      <c r="K133" s="49">
        <f>VLOOKUP($A133,'Data shares'!$C:$FB,59)</f>
        <v>14706000</v>
      </c>
      <c r="L133" s="50">
        <f>VLOOKUP($A133,'Data shares'!$C:$FB,61)*100</f>
        <v>-13.639999999999999</v>
      </c>
      <c r="M133" s="49">
        <f>VLOOKUP($A133,'Data shares'!$C:$FB,62)</f>
        <v>7782000</v>
      </c>
      <c r="N133" s="49">
        <f>VLOOKUP($A133,'Data shares'!$C:$FB,63)</f>
        <v>9276000</v>
      </c>
      <c r="O133" s="140">
        <f>VLOOKUP($A133,'Data shares'!$C:$FB,65)*100</f>
        <v>-16.11</v>
      </c>
    </row>
    <row r="134" spans="1:15" x14ac:dyDescent="0.25">
      <c r="A134" s="101" t="str">
        <f>'Data shares'!C129</f>
        <v>MARUTI</v>
      </c>
      <c r="B134" s="50">
        <f>VLOOKUP($A134,'Data shares'!$C:$FB,7)</f>
        <v>15801</v>
      </c>
      <c r="C134" s="50">
        <f>VLOOKUP($A134,'Data shares'!$C:$FB,10)*100</f>
        <v>0.21</v>
      </c>
      <c r="D134" s="49">
        <f>VLOOKUP($A134,'Data shares'!$C:$FB,66)</f>
        <v>11980000</v>
      </c>
      <c r="E134" s="49">
        <f>VLOOKUP($A134,'Data shares'!$C:$FB,67)</f>
        <v>8983500</v>
      </c>
      <c r="F134" s="50">
        <f>VLOOKUP($A134,'Data shares'!$C:$FB,69)*100</f>
        <v>33.36</v>
      </c>
      <c r="G134" s="49">
        <f>VLOOKUP($A134,'Data shares'!$C:$FB,42)</f>
        <v>1380650</v>
      </c>
      <c r="H134" s="49">
        <f>VLOOKUP($A134,'Data shares'!$C:$FB,43)</f>
        <v>481800</v>
      </c>
      <c r="I134" s="50">
        <f>VLOOKUP($A134,'Data shares'!$C:$FB,45)*100</f>
        <v>186.56</v>
      </c>
      <c r="J134" s="49">
        <f>VLOOKUP($A134,'Data shares'!$C:$FB,58)</f>
        <v>7404400</v>
      </c>
      <c r="K134" s="49">
        <f>VLOOKUP($A134,'Data shares'!$C:$FB,59)</f>
        <v>5578450</v>
      </c>
      <c r="L134" s="50">
        <f>VLOOKUP($A134,'Data shares'!$C:$FB,61)*100</f>
        <v>32.729999999999997</v>
      </c>
      <c r="M134" s="49">
        <f>VLOOKUP($A134,'Data shares'!$C:$FB,62)</f>
        <v>3194950</v>
      </c>
      <c r="N134" s="49">
        <f>VLOOKUP($A134,'Data shares'!$C:$FB,63)</f>
        <v>2923250</v>
      </c>
      <c r="O134" s="140">
        <f>VLOOKUP($A134,'Data shares'!$C:$FB,65)*100</f>
        <v>9.2899999999999991</v>
      </c>
    </row>
    <row r="135" spans="1:15" x14ac:dyDescent="0.25">
      <c r="A135" s="101" t="str">
        <f>'Data shares'!C130</f>
        <v>MAXHEALTH</v>
      </c>
      <c r="B135" s="50">
        <f>VLOOKUP($A135,'Data shares'!$C:$FB,7)</f>
        <v>1168.9000000000001</v>
      </c>
      <c r="C135" s="50">
        <f>VLOOKUP($A135,'Data shares'!$C:$FB,10)*100</f>
        <v>0.38999999999999996</v>
      </c>
      <c r="D135" s="49">
        <f>VLOOKUP($A135,'Data shares'!$C:$FB,66)</f>
        <v>32359425</v>
      </c>
      <c r="E135" s="49">
        <f>VLOOKUP($A135,'Data shares'!$C:$FB,67)</f>
        <v>76393800</v>
      </c>
      <c r="F135" s="50">
        <f>VLOOKUP($A135,'Data shares'!$C:$FB,69)*100</f>
        <v>-57.64</v>
      </c>
      <c r="G135" s="49">
        <f>VLOOKUP($A135,'Data shares'!$C:$FB,42)</f>
        <v>10219125</v>
      </c>
      <c r="H135" s="49">
        <f>VLOOKUP($A135,'Data shares'!$C:$FB,43)</f>
        <v>5730900</v>
      </c>
      <c r="I135" s="50">
        <f>VLOOKUP($A135,'Data shares'!$C:$FB,45)*100</f>
        <v>78.320000000000007</v>
      </c>
      <c r="J135" s="49">
        <f>VLOOKUP($A135,'Data shares'!$C:$FB,58)</f>
        <v>14739900</v>
      </c>
      <c r="K135" s="49">
        <f>VLOOKUP($A135,'Data shares'!$C:$FB,59)</f>
        <v>49324275</v>
      </c>
      <c r="L135" s="50">
        <f>VLOOKUP($A135,'Data shares'!$C:$FB,61)*100</f>
        <v>-70.12</v>
      </c>
      <c r="M135" s="49">
        <f>VLOOKUP($A135,'Data shares'!$C:$FB,62)</f>
        <v>7400400</v>
      </c>
      <c r="N135" s="49">
        <f>VLOOKUP($A135,'Data shares'!$C:$FB,63)</f>
        <v>21338625</v>
      </c>
      <c r="O135" s="140">
        <f>VLOOKUP($A135,'Data shares'!$C:$FB,65)*100</f>
        <v>-65.319999999999993</v>
      </c>
    </row>
    <row r="136" spans="1:15" x14ac:dyDescent="0.25">
      <c r="A136" s="101" t="str">
        <f>'Data shares'!C131</f>
        <v>MAZDOCK</v>
      </c>
      <c r="B136" s="50">
        <f>VLOOKUP($A136,'Data shares'!$C:$FB,7)</f>
        <v>2829.5</v>
      </c>
      <c r="C136" s="50">
        <f>VLOOKUP($A136,'Data shares'!$C:$FB,10)*100</f>
        <v>1.66</v>
      </c>
      <c r="D136" s="49">
        <f>VLOOKUP($A136,'Data shares'!$C:$FB,66)</f>
        <v>16474150</v>
      </c>
      <c r="E136" s="49">
        <f>VLOOKUP($A136,'Data shares'!$C:$FB,67)</f>
        <v>5248425</v>
      </c>
      <c r="F136" s="50">
        <f>VLOOKUP($A136,'Data shares'!$C:$FB,69)*100</f>
        <v>213.89000000000001</v>
      </c>
      <c r="G136" s="49">
        <f>VLOOKUP($A136,'Data shares'!$C:$FB,42)</f>
        <v>3195500</v>
      </c>
      <c r="H136" s="49">
        <f>VLOOKUP($A136,'Data shares'!$C:$FB,43)</f>
        <v>546000</v>
      </c>
      <c r="I136" s="50">
        <f>VLOOKUP($A136,'Data shares'!$C:$FB,45)*100</f>
        <v>485.26</v>
      </c>
      <c r="J136" s="49">
        <f>VLOOKUP($A136,'Data shares'!$C:$FB,58)</f>
        <v>10196200</v>
      </c>
      <c r="K136" s="49">
        <f>VLOOKUP($A136,'Data shares'!$C:$FB,59)</f>
        <v>3809050</v>
      </c>
      <c r="L136" s="50">
        <f>VLOOKUP($A136,'Data shares'!$C:$FB,61)*100</f>
        <v>167.68</v>
      </c>
      <c r="M136" s="49">
        <f>VLOOKUP($A136,'Data shares'!$C:$FB,62)</f>
        <v>3082450</v>
      </c>
      <c r="N136" s="49">
        <f>VLOOKUP($A136,'Data shares'!$C:$FB,63)</f>
        <v>893375</v>
      </c>
      <c r="O136" s="140">
        <f>VLOOKUP($A136,'Data shares'!$C:$FB,65)*100</f>
        <v>245.03</v>
      </c>
    </row>
    <row r="137" spans="1:15" x14ac:dyDescent="0.25">
      <c r="A137" s="101" t="str">
        <f>'Data shares'!C132</f>
        <v>MCX</v>
      </c>
      <c r="B137" s="50">
        <f>VLOOKUP($A137,'Data shares'!$C:$FB,7)</f>
        <v>9858.5</v>
      </c>
      <c r="C137" s="50">
        <f>VLOOKUP($A137,'Data shares'!$C:$FB,10)*100</f>
        <v>0.61</v>
      </c>
      <c r="D137" s="49">
        <f>VLOOKUP($A137,'Data shares'!$C:$FB,66)</f>
        <v>19197625</v>
      </c>
      <c r="E137" s="49">
        <f>VLOOKUP($A137,'Data shares'!$C:$FB,67)</f>
        <v>13919000</v>
      </c>
      <c r="F137" s="50">
        <f>VLOOKUP($A137,'Data shares'!$C:$FB,69)*100</f>
        <v>37.92</v>
      </c>
      <c r="G137" s="49">
        <f>VLOOKUP($A137,'Data shares'!$C:$FB,42)</f>
        <v>1722125</v>
      </c>
      <c r="H137" s="49">
        <f>VLOOKUP($A137,'Data shares'!$C:$FB,43)</f>
        <v>1012250</v>
      </c>
      <c r="I137" s="50">
        <f>VLOOKUP($A137,'Data shares'!$C:$FB,45)*100</f>
        <v>70.13000000000001</v>
      </c>
      <c r="J137" s="49">
        <f>VLOOKUP($A137,'Data shares'!$C:$FB,58)</f>
        <v>11330750</v>
      </c>
      <c r="K137" s="49">
        <f>VLOOKUP($A137,'Data shares'!$C:$FB,59)</f>
        <v>8045125</v>
      </c>
      <c r="L137" s="50">
        <f>VLOOKUP($A137,'Data shares'!$C:$FB,61)*100</f>
        <v>40.839999999999996</v>
      </c>
      <c r="M137" s="49">
        <f>VLOOKUP($A137,'Data shares'!$C:$FB,62)</f>
        <v>6144750</v>
      </c>
      <c r="N137" s="49">
        <f>VLOOKUP($A137,'Data shares'!$C:$FB,63)</f>
        <v>4861625</v>
      </c>
      <c r="O137" s="140">
        <f>VLOOKUP($A137,'Data shares'!$C:$FB,65)*100</f>
        <v>26.39</v>
      </c>
    </row>
    <row r="138" spans="1:15" x14ac:dyDescent="0.25">
      <c r="A138" s="101" t="str">
        <f>'Data shares'!C133</f>
        <v>MFSL</v>
      </c>
      <c r="B138" s="50">
        <f>VLOOKUP($A138,'Data shares'!$C:$FB,7)</f>
        <v>1692.6</v>
      </c>
      <c r="C138" s="50">
        <f>VLOOKUP($A138,'Data shares'!$C:$FB,10)*100</f>
        <v>1.47</v>
      </c>
      <c r="D138" s="49">
        <f>VLOOKUP($A138,'Data shares'!$C:$FB,66)</f>
        <v>17105200</v>
      </c>
      <c r="E138" s="49">
        <f>VLOOKUP($A138,'Data shares'!$C:$FB,67)</f>
        <v>4626800</v>
      </c>
      <c r="F138" s="50">
        <f>VLOOKUP($A138,'Data shares'!$C:$FB,69)*100</f>
        <v>269.7</v>
      </c>
      <c r="G138" s="49">
        <f>VLOOKUP($A138,'Data shares'!$C:$FB,42)</f>
        <v>5864800</v>
      </c>
      <c r="H138" s="49">
        <f>VLOOKUP($A138,'Data shares'!$C:$FB,43)</f>
        <v>602400</v>
      </c>
      <c r="I138" s="50">
        <f>VLOOKUP($A138,'Data shares'!$C:$FB,45)*100</f>
        <v>873.56999999999994</v>
      </c>
      <c r="J138" s="49">
        <f>VLOOKUP($A138,'Data shares'!$C:$FB,58)</f>
        <v>8144000</v>
      </c>
      <c r="K138" s="49">
        <f>VLOOKUP($A138,'Data shares'!$C:$FB,59)</f>
        <v>2646000</v>
      </c>
      <c r="L138" s="50">
        <f>VLOOKUP($A138,'Data shares'!$C:$FB,61)*100</f>
        <v>207.79000000000002</v>
      </c>
      <c r="M138" s="49">
        <f>VLOOKUP($A138,'Data shares'!$C:$FB,62)</f>
        <v>3096400</v>
      </c>
      <c r="N138" s="49">
        <f>VLOOKUP($A138,'Data shares'!$C:$FB,63)</f>
        <v>1378400</v>
      </c>
      <c r="O138" s="140">
        <f>VLOOKUP($A138,'Data shares'!$C:$FB,65)*100</f>
        <v>124.64</v>
      </c>
    </row>
    <row r="139" spans="1:15" x14ac:dyDescent="0.25">
      <c r="A139" s="101" t="str">
        <f>'Data shares'!C134</f>
        <v>MIDCPNIFTY</v>
      </c>
      <c r="B139" s="50">
        <f>VLOOKUP($A139,'Data shares'!$C:$FB,7)</f>
        <v>13992.2</v>
      </c>
      <c r="C139" s="50">
        <f>VLOOKUP($A139,'Data shares'!$C:$FB,10)*100</f>
        <v>-0.06</v>
      </c>
      <c r="D139" s="49">
        <f>VLOOKUP($A139,'Data shares'!$C:$FB,66)</f>
        <v>82018720</v>
      </c>
      <c r="E139" s="49">
        <f>VLOOKUP($A139,'Data shares'!$C:$FB,67)</f>
        <v>73102540</v>
      </c>
      <c r="F139" s="50">
        <f>VLOOKUP($A139,'Data shares'!$C:$FB,69)*100</f>
        <v>12.2</v>
      </c>
      <c r="G139" s="49">
        <f>VLOOKUP($A139,'Data shares'!$C:$FB,42)</f>
        <v>2002280</v>
      </c>
      <c r="H139" s="49">
        <f>VLOOKUP($A139,'Data shares'!$C:$FB,43)</f>
        <v>640080</v>
      </c>
      <c r="I139" s="50">
        <f>VLOOKUP($A139,'Data shares'!$C:$FB,45)*100</f>
        <v>212.82000000000002</v>
      </c>
      <c r="J139" s="49">
        <f>VLOOKUP($A139,'Data shares'!$C:$FB,58)</f>
        <v>39010300</v>
      </c>
      <c r="K139" s="49">
        <f>VLOOKUP($A139,'Data shares'!$C:$FB,59)</f>
        <v>33437040</v>
      </c>
      <c r="L139" s="50">
        <f>VLOOKUP($A139,'Data shares'!$C:$FB,61)*100</f>
        <v>16.669999999999998</v>
      </c>
      <c r="M139" s="49">
        <f>VLOOKUP($A139,'Data shares'!$C:$FB,62)</f>
        <v>41006140</v>
      </c>
      <c r="N139" s="49">
        <f>VLOOKUP($A139,'Data shares'!$C:$FB,63)</f>
        <v>39025420</v>
      </c>
      <c r="O139" s="140">
        <f>VLOOKUP($A139,'Data shares'!$C:$FB,65)*100</f>
        <v>5.08</v>
      </c>
    </row>
    <row r="140" spans="1:15" x14ac:dyDescent="0.25">
      <c r="A140" s="101" t="str">
        <f>'Data shares'!C135</f>
        <v>MOTHERSON</v>
      </c>
      <c r="B140" s="50">
        <f>VLOOKUP($A140,'Data shares'!$C:$FB,7)</f>
        <v>112</v>
      </c>
      <c r="C140" s="50">
        <f>VLOOKUP($A140,'Data shares'!$C:$FB,10)*100</f>
        <v>-0.13999999999999999</v>
      </c>
      <c r="D140" s="49">
        <f>VLOOKUP($A140,'Data shares'!$C:$FB,66)</f>
        <v>219007650</v>
      </c>
      <c r="E140" s="49">
        <f>VLOOKUP($A140,'Data shares'!$C:$FB,67)</f>
        <v>502344300</v>
      </c>
      <c r="F140" s="50">
        <f>VLOOKUP($A140,'Data shares'!$C:$FB,69)*100</f>
        <v>-56.399999999999991</v>
      </c>
      <c r="G140" s="49">
        <f>VLOOKUP($A140,'Data shares'!$C:$FB,42)</f>
        <v>90441900</v>
      </c>
      <c r="H140" s="49">
        <f>VLOOKUP($A140,'Data shares'!$C:$FB,43)</f>
        <v>66598350</v>
      </c>
      <c r="I140" s="50">
        <f>VLOOKUP($A140,'Data shares'!$C:$FB,45)*100</f>
        <v>35.799999999999997</v>
      </c>
      <c r="J140" s="49">
        <f>VLOOKUP($A140,'Data shares'!$C:$FB,58)</f>
        <v>91813350</v>
      </c>
      <c r="K140" s="49">
        <f>VLOOKUP($A140,'Data shares'!$C:$FB,59)</f>
        <v>324553950</v>
      </c>
      <c r="L140" s="50">
        <f>VLOOKUP($A140,'Data shares'!$C:$FB,61)*100</f>
        <v>-71.709999999999994</v>
      </c>
      <c r="M140" s="49">
        <f>VLOOKUP($A140,'Data shares'!$C:$FB,62)</f>
        <v>36752400</v>
      </c>
      <c r="N140" s="49">
        <f>VLOOKUP($A140,'Data shares'!$C:$FB,63)</f>
        <v>111192000</v>
      </c>
      <c r="O140" s="140">
        <f>VLOOKUP($A140,'Data shares'!$C:$FB,65)*100</f>
        <v>-66.95</v>
      </c>
    </row>
    <row r="141" spans="1:15" x14ac:dyDescent="0.25">
      <c r="A141" s="101" t="str">
        <f>'Data shares'!C136</f>
        <v>MPHASIS</v>
      </c>
      <c r="B141" s="50">
        <f>VLOOKUP($A141,'Data shares'!$C:$FB,7)</f>
        <v>2740.4</v>
      </c>
      <c r="C141" s="50">
        <f>VLOOKUP($A141,'Data shares'!$C:$FB,10)*100</f>
        <v>0.98</v>
      </c>
      <c r="D141" s="49">
        <f>VLOOKUP($A141,'Data shares'!$C:$FB,66)</f>
        <v>16005000</v>
      </c>
      <c r="E141" s="49">
        <f>VLOOKUP($A141,'Data shares'!$C:$FB,67)</f>
        <v>20245775</v>
      </c>
      <c r="F141" s="50">
        <f>VLOOKUP($A141,'Data shares'!$C:$FB,69)*100</f>
        <v>-20.95</v>
      </c>
      <c r="G141" s="49">
        <f>VLOOKUP($A141,'Data shares'!$C:$FB,42)</f>
        <v>3824700</v>
      </c>
      <c r="H141" s="49">
        <f>VLOOKUP($A141,'Data shares'!$C:$FB,43)</f>
        <v>2220075</v>
      </c>
      <c r="I141" s="50">
        <f>VLOOKUP($A141,'Data shares'!$C:$FB,45)*100</f>
        <v>72.28</v>
      </c>
      <c r="J141" s="49">
        <f>VLOOKUP($A141,'Data shares'!$C:$FB,58)</f>
        <v>8441125</v>
      </c>
      <c r="K141" s="49">
        <f>VLOOKUP($A141,'Data shares'!$C:$FB,59)</f>
        <v>12893650</v>
      </c>
      <c r="L141" s="50">
        <f>VLOOKUP($A141,'Data shares'!$C:$FB,61)*100</f>
        <v>-34.53</v>
      </c>
      <c r="M141" s="49">
        <f>VLOOKUP($A141,'Data shares'!$C:$FB,62)</f>
        <v>3739175</v>
      </c>
      <c r="N141" s="49">
        <f>VLOOKUP($A141,'Data shares'!$C:$FB,63)</f>
        <v>5132050</v>
      </c>
      <c r="O141" s="140">
        <f>VLOOKUP($A141,'Data shares'!$C:$FB,65)*100</f>
        <v>-27.139999999999997</v>
      </c>
    </row>
    <row r="142" spans="1:15" x14ac:dyDescent="0.25">
      <c r="A142" s="101" t="str">
        <f>'Data shares'!C137</f>
        <v>MUTHOOTFIN</v>
      </c>
      <c r="B142" s="50">
        <f>VLOOKUP($A142,'Data shares'!$C:$FB,7)</f>
        <v>3697.5</v>
      </c>
      <c r="C142" s="50">
        <f>VLOOKUP($A142,'Data shares'!$C:$FB,10)*100</f>
        <v>-0.11</v>
      </c>
      <c r="D142" s="49">
        <f>VLOOKUP($A142,'Data shares'!$C:$FB,66)</f>
        <v>10101575</v>
      </c>
      <c r="E142" s="49">
        <f>VLOOKUP($A142,'Data shares'!$C:$FB,67)</f>
        <v>11095975</v>
      </c>
      <c r="F142" s="50">
        <f>VLOOKUP($A142,'Data shares'!$C:$FB,69)*100</f>
        <v>-8.9599999999999991</v>
      </c>
      <c r="G142" s="49">
        <f>VLOOKUP($A142,'Data shares'!$C:$FB,42)</f>
        <v>2216225</v>
      </c>
      <c r="H142" s="49">
        <f>VLOOKUP($A142,'Data shares'!$C:$FB,43)</f>
        <v>913550</v>
      </c>
      <c r="I142" s="50">
        <f>VLOOKUP($A142,'Data shares'!$C:$FB,45)*100</f>
        <v>142.59</v>
      </c>
      <c r="J142" s="49">
        <f>VLOOKUP($A142,'Data shares'!$C:$FB,58)</f>
        <v>4358475</v>
      </c>
      <c r="K142" s="49">
        <f>VLOOKUP($A142,'Data shares'!$C:$FB,59)</f>
        <v>5377075</v>
      </c>
      <c r="L142" s="50">
        <f>VLOOKUP($A142,'Data shares'!$C:$FB,61)*100</f>
        <v>-18.940000000000001</v>
      </c>
      <c r="M142" s="49">
        <f>VLOOKUP($A142,'Data shares'!$C:$FB,62)</f>
        <v>3526875</v>
      </c>
      <c r="N142" s="49">
        <f>VLOOKUP($A142,'Data shares'!$C:$FB,63)</f>
        <v>4805350</v>
      </c>
      <c r="O142" s="140">
        <f>VLOOKUP($A142,'Data shares'!$C:$FB,65)*100</f>
        <v>-26.61</v>
      </c>
    </row>
    <row r="143" spans="1:15" x14ac:dyDescent="0.25">
      <c r="A143" s="101" t="str">
        <f>'Data shares'!C138</f>
        <v>NATIONALUM</v>
      </c>
      <c r="B143" s="50">
        <f>VLOOKUP($A143,'Data shares'!$C:$FB,7)</f>
        <v>257.62</v>
      </c>
      <c r="C143" s="50">
        <f>VLOOKUP($A143,'Data shares'!$C:$FB,10)*100</f>
        <v>0.4</v>
      </c>
      <c r="D143" s="49">
        <f>VLOOKUP($A143,'Data shares'!$C:$FB,66)</f>
        <v>150993750</v>
      </c>
      <c r="E143" s="49">
        <f>VLOOKUP($A143,'Data shares'!$C:$FB,67)</f>
        <v>81686250</v>
      </c>
      <c r="F143" s="50">
        <f>VLOOKUP($A143,'Data shares'!$C:$FB,69)*100</f>
        <v>84.850000000000009</v>
      </c>
      <c r="G143" s="49">
        <f>VLOOKUP($A143,'Data shares'!$C:$FB,42)</f>
        <v>41531250</v>
      </c>
      <c r="H143" s="49">
        <f>VLOOKUP($A143,'Data shares'!$C:$FB,43)</f>
        <v>13623750</v>
      </c>
      <c r="I143" s="50">
        <f>VLOOKUP($A143,'Data shares'!$C:$FB,45)*100</f>
        <v>204.84</v>
      </c>
      <c r="J143" s="49">
        <f>VLOOKUP($A143,'Data shares'!$C:$FB,58)</f>
        <v>77197500</v>
      </c>
      <c r="K143" s="49">
        <f>VLOOKUP($A143,'Data shares'!$C:$FB,59)</f>
        <v>43796250</v>
      </c>
      <c r="L143" s="50">
        <f>VLOOKUP($A143,'Data shares'!$C:$FB,61)*100</f>
        <v>76.27000000000001</v>
      </c>
      <c r="M143" s="49">
        <f>VLOOKUP($A143,'Data shares'!$C:$FB,62)</f>
        <v>32265000</v>
      </c>
      <c r="N143" s="49">
        <f>VLOOKUP($A143,'Data shares'!$C:$FB,63)</f>
        <v>24266250</v>
      </c>
      <c r="O143" s="140">
        <f>VLOOKUP($A143,'Data shares'!$C:$FB,65)*100</f>
        <v>32.96</v>
      </c>
    </row>
    <row r="144" spans="1:15" x14ac:dyDescent="0.25">
      <c r="A144" s="101" t="str">
        <f>'Data shares'!C139</f>
        <v>NAUKRI</v>
      </c>
      <c r="B144" s="50">
        <f>VLOOKUP($A144,'Data shares'!$C:$FB,7)</f>
        <v>1365.4</v>
      </c>
      <c r="C144" s="50">
        <f>VLOOKUP($A144,'Data shares'!$C:$FB,10)*100</f>
        <v>0.22999999999999998</v>
      </c>
      <c r="D144" s="49">
        <f>VLOOKUP($A144,'Data shares'!$C:$FB,66)</f>
        <v>13198500</v>
      </c>
      <c r="E144" s="49">
        <f>VLOOKUP($A144,'Data shares'!$C:$FB,67)</f>
        <v>15120750</v>
      </c>
      <c r="F144" s="50">
        <f>VLOOKUP($A144,'Data shares'!$C:$FB,69)*100</f>
        <v>-12.709999999999999</v>
      </c>
      <c r="G144" s="49">
        <f>VLOOKUP($A144,'Data shares'!$C:$FB,42)</f>
        <v>6717000</v>
      </c>
      <c r="H144" s="49">
        <f>VLOOKUP($A144,'Data shares'!$C:$FB,43)</f>
        <v>1677375</v>
      </c>
      <c r="I144" s="50">
        <f>VLOOKUP($A144,'Data shares'!$C:$FB,45)*100</f>
        <v>300.45000000000005</v>
      </c>
      <c r="J144" s="49">
        <f>VLOOKUP($A144,'Data shares'!$C:$FB,58)</f>
        <v>4763250</v>
      </c>
      <c r="K144" s="49">
        <f>VLOOKUP($A144,'Data shares'!$C:$FB,59)</f>
        <v>10345875</v>
      </c>
      <c r="L144" s="50">
        <f>VLOOKUP($A144,'Data shares'!$C:$FB,61)*100</f>
        <v>-53.959999999999994</v>
      </c>
      <c r="M144" s="49">
        <f>VLOOKUP($A144,'Data shares'!$C:$FB,62)</f>
        <v>1718250</v>
      </c>
      <c r="N144" s="49">
        <f>VLOOKUP($A144,'Data shares'!$C:$FB,63)</f>
        <v>3097500</v>
      </c>
      <c r="O144" s="140">
        <f>VLOOKUP($A144,'Data shares'!$C:$FB,65)*100</f>
        <v>-44.529999999999994</v>
      </c>
    </row>
    <row r="145" spans="1:15" x14ac:dyDescent="0.25">
      <c r="A145" s="101" t="str">
        <f>'Data shares'!C140</f>
        <v>NBCC</v>
      </c>
      <c r="B145" s="50">
        <f>VLOOKUP($A145,'Data shares'!$C:$FB,7)</f>
        <v>115.99</v>
      </c>
      <c r="C145" s="50">
        <f>VLOOKUP($A145,'Data shares'!$C:$FB,10)*100</f>
        <v>2.6100000000000003</v>
      </c>
      <c r="D145" s="49">
        <f>VLOOKUP($A145,'Data shares'!$C:$FB,66)</f>
        <v>412951500</v>
      </c>
      <c r="E145" s="49">
        <f>VLOOKUP($A145,'Data shares'!$C:$FB,67)</f>
        <v>67788500</v>
      </c>
      <c r="F145" s="50">
        <f>VLOOKUP($A145,'Data shares'!$C:$FB,69)*100</f>
        <v>509.18</v>
      </c>
      <c r="G145" s="49">
        <f>VLOOKUP($A145,'Data shares'!$C:$FB,42)</f>
        <v>79891500</v>
      </c>
      <c r="H145" s="49">
        <f>VLOOKUP($A145,'Data shares'!$C:$FB,43)</f>
        <v>15944500</v>
      </c>
      <c r="I145" s="50">
        <f>VLOOKUP($A145,'Data shares'!$C:$FB,45)*100</f>
        <v>401.06</v>
      </c>
      <c r="J145" s="49">
        <f>VLOOKUP($A145,'Data shares'!$C:$FB,58)</f>
        <v>248898000</v>
      </c>
      <c r="K145" s="49">
        <f>VLOOKUP($A145,'Data shares'!$C:$FB,59)</f>
        <v>35535500</v>
      </c>
      <c r="L145" s="50">
        <f>VLOOKUP($A145,'Data shares'!$C:$FB,61)*100</f>
        <v>600.41999999999996</v>
      </c>
      <c r="M145" s="49">
        <f>VLOOKUP($A145,'Data shares'!$C:$FB,62)</f>
        <v>84162000</v>
      </c>
      <c r="N145" s="49">
        <f>VLOOKUP($A145,'Data shares'!$C:$FB,63)</f>
        <v>16308500</v>
      </c>
      <c r="O145" s="140">
        <f>VLOOKUP($A145,'Data shares'!$C:$FB,65)*100</f>
        <v>416.05999999999995</v>
      </c>
    </row>
    <row r="146" spans="1:15" x14ac:dyDescent="0.25">
      <c r="A146" s="101" t="str">
        <f>'Data shares'!C141</f>
        <v>NCC</v>
      </c>
      <c r="B146" s="50">
        <f>VLOOKUP($A146,'Data shares'!$C:$FB,7)</f>
        <v>179.03</v>
      </c>
      <c r="C146" s="50">
        <f>VLOOKUP($A146,'Data shares'!$C:$FB,10)*100</f>
        <v>-1</v>
      </c>
      <c r="D146" s="49">
        <f>VLOOKUP($A146,'Data shares'!$C:$FB,66)</f>
        <v>23922000</v>
      </c>
      <c r="E146" s="49">
        <f>VLOOKUP($A146,'Data shares'!$C:$FB,67)</f>
        <v>25504200</v>
      </c>
      <c r="F146" s="50">
        <f>VLOOKUP($A146,'Data shares'!$C:$FB,69)*100</f>
        <v>-6.2</v>
      </c>
      <c r="G146" s="49">
        <f>VLOOKUP($A146,'Data shares'!$C:$FB,42)</f>
        <v>9439200</v>
      </c>
      <c r="H146" s="49">
        <f>VLOOKUP($A146,'Data shares'!$C:$FB,43)</f>
        <v>3636900</v>
      </c>
      <c r="I146" s="50">
        <f>VLOOKUP($A146,'Data shares'!$C:$FB,45)*100</f>
        <v>159.54</v>
      </c>
      <c r="J146" s="49">
        <f>VLOOKUP($A146,'Data shares'!$C:$FB,58)</f>
        <v>10862100</v>
      </c>
      <c r="K146" s="49">
        <f>VLOOKUP($A146,'Data shares'!$C:$FB,59)</f>
        <v>16896600</v>
      </c>
      <c r="L146" s="50">
        <f>VLOOKUP($A146,'Data shares'!$C:$FB,61)*100</f>
        <v>-35.709999999999994</v>
      </c>
      <c r="M146" s="49">
        <f>VLOOKUP($A146,'Data shares'!$C:$FB,62)</f>
        <v>3620700</v>
      </c>
      <c r="N146" s="49">
        <f>VLOOKUP($A146,'Data shares'!$C:$FB,63)</f>
        <v>4970700</v>
      </c>
      <c r="O146" s="140">
        <f>VLOOKUP($A146,'Data shares'!$C:$FB,65)*100</f>
        <v>-27.16</v>
      </c>
    </row>
    <row r="147" spans="1:15" x14ac:dyDescent="0.25">
      <c r="A147" s="101" t="str">
        <f>'Data shares'!C142</f>
        <v>NESTLEIND</v>
      </c>
      <c r="B147" s="50">
        <f>VLOOKUP($A147,'Data shares'!$C:$FB,7)</f>
        <v>1279.2</v>
      </c>
      <c r="C147" s="50">
        <f>VLOOKUP($A147,'Data shares'!$C:$FB,10)*100</f>
        <v>0.02</v>
      </c>
      <c r="D147" s="49">
        <f>VLOOKUP($A147,'Data shares'!$C:$FB,66)</f>
        <v>15581500</v>
      </c>
      <c r="E147" s="49">
        <f>VLOOKUP($A147,'Data shares'!$C:$FB,67)</f>
        <v>12396000</v>
      </c>
      <c r="F147" s="50">
        <f>VLOOKUP($A147,'Data shares'!$C:$FB,69)*100</f>
        <v>25.7</v>
      </c>
      <c r="G147" s="49">
        <f>VLOOKUP($A147,'Data shares'!$C:$FB,42)</f>
        <v>9423500</v>
      </c>
      <c r="H147" s="49">
        <f>VLOOKUP($A147,'Data shares'!$C:$FB,43)</f>
        <v>2011500</v>
      </c>
      <c r="I147" s="50">
        <f>VLOOKUP($A147,'Data shares'!$C:$FB,45)*100</f>
        <v>368.48</v>
      </c>
      <c r="J147" s="49">
        <f>VLOOKUP($A147,'Data shares'!$C:$FB,58)</f>
        <v>4754000</v>
      </c>
      <c r="K147" s="49">
        <f>VLOOKUP($A147,'Data shares'!$C:$FB,59)</f>
        <v>7764500</v>
      </c>
      <c r="L147" s="50">
        <f>VLOOKUP($A147,'Data shares'!$C:$FB,61)*100</f>
        <v>-38.769999999999996</v>
      </c>
      <c r="M147" s="49">
        <f>VLOOKUP($A147,'Data shares'!$C:$FB,62)</f>
        <v>1404000</v>
      </c>
      <c r="N147" s="49">
        <f>VLOOKUP($A147,'Data shares'!$C:$FB,63)</f>
        <v>2620000</v>
      </c>
      <c r="O147" s="140">
        <f>VLOOKUP($A147,'Data shares'!$C:$FB,65)*100</f>
        <v>-46.410000000000004</v>
      </c>
    </row>
    <row r="148" spans="1:15" x14ac:dyDescent="0.25">
      <c r="A148" s="101" t="str">
        <f>'Data shares'!C143</f>
        <v>NHPC</v>
      </c>
      <c r="B148" s="50">
        <f>VLOOKUP($A148,'Data shares'!$C:$FB,7)</f>
        <v>80.12</v>
      </c>
      <c r="C148" s="50">
        <f>VLOOKUP($A148,'Data shares'!$C:$FB,10)*100</f>
        <v>0.09</v>
      </c>
      <c r="D148" s="49">
        <f>VLOOKUP($A148,'Data shares'!$C:$FB,66)</f>
        <v>59046400</v>
      </c>
      <c r="E148" s="49">
        <f>VLOOKUP($A148,'Data shares'!$C:$FB,67)</f>
        <v>42912000</v>
      </c>
      <c r="F148" s="50">
        <f>VLOOKUP($A148,'Data shares'!$C:$FB,69)*100</f>
        <v>37.6</v>
      </c>
      <c r="G148" s="49">
        <f>VLOOKUP($A148,'Data shares'!$C:$FB,42)</f>
        <v>32115200</v>
      </c>
      <c r="H148" s="49">
        <f>VLOOKUP($A148,'Data shares'!$C:$FB,43)</f>
        <v>12480000</v>
      </c>
      <c r="I148" s="50">
        <f>VLOOKUP($A148,'Data shares'!$C:$FB,45)*100</f>
        <v>157.32999999999998</v>
      </c>
      <c r="J148" s="49">
        <f>VLOOKUP($A148,'Data shares'!$C:$FB,58)</f>
        <v>20128000</v>
      </c>
      <c r="K148" s="49">
        <f>VLOOKUP($A148,'Data shares'!$C:$FB,59)</f>
        <v>22950400</v>
      </c>
      <c r="L148" s="50">
        <f>VLOOKUP($A148,'Data shares'!$C:$FB,61)*100</f>
        <v>-12.3</v>
      </c>
      <c r="M148" s="49">
        <f>VLOOKUP($A148,'Data shares'!$C:$FB,62)</f>
        <v>6803200</v>
      </c>
      <c r="N148" s="49">
        <f>VLOOKUP($A148,'Data shares'!$C:$FB,63)</f>
        <v>7481600</v>
      </c>
      <c r="O148" s="140">
        <f>VLOOKUP($A148,'Data shares'!$C:$FB,65)*100</f>
        <v>-9.07</v>
      </c>
    </row>
    <row r="149" spans="1:15" x14ac:dyDescent="0.25">
      <c r="A149" s="101" t="str">
        <f>'Data shares'!C144</f>
        <v>NIFTY</v>
      </c>
      <c r="B149" s="50">
        <f>VLOOKUP($A149,'Data shares'!$C:$FB,7)</f>
        <v>26192.15</v>
      </c>
      <c r="C149" s="50">
        <f>VLOOKUP($A149,'Data shares'!$C:$FB,10)*100</f>
        <v>0.54</v>
      </c>
      <c r="D149" s="49">
        <f>VLOOKUP($A149,'Data shares'!$C:$FB,66)</f>
        <v>3728155725</v>
      </c>
      <c r="E149" s="49">
        <f>VLOOKUP($A149,'Data shares'!$C:$FB,67)</f>
        <v>3673479075</v>
      </c>
      <c r="F149" s="50">
        <f>VLOOKUP($A149,'Data shares'!$C:$FB,69)*100</f>
        <v>1.49</v>
      </c>
      <c r="G149" s="49">
        <f>VLOOKUP($A149,'Data shares'!$C:$FB,42)</f>
        <v>10876125</v>
      </c>
      <c r="H149" s="49">
        <f>VLOOKUP($A149,'Data shares'!$C:$FB,43)</f>
        <v>6377700</v>
      </c>
      <c r="I149" s="50">
        <f>VLOOKUP($A149,'Data shares'!$C:$FB,45)*100</f>
        <v>70.53</v>
      </c>
      <c r="J149" s="49">
        <f>VLOOKUP($A149,'Data shares'!$C:$FB,58)</f>
        <v>1903948575</v>
      </c>
      <c r="K149" s="49">
        <f>VLOOKUP($A149,'Data shares'!$C:$FB,59)</f>
        <v>1940732025</v>
      </c>
      <c r="L149" s="50">
        <f>VLOOKUP($A149,'Data shares'!$C:$FB,61)*100</f>
        <v>-1.9</v>
      </c>
      <c r="M149" s="49">
        <f>VLOOKUP($A149,'Data shares'!$C:$FB,62)</f>
        <v>1813331025</v>
      </c>
      <c r="N149" s="49">
        <f>VLOOKUP($A149,'Data shares'!$C:$FB,63)</f>
        <v>1726369350</v>
      </c>
      <c r="O149" s="140">
        <f>VLOOKUP($A149,'Data shares'!$C:$FB,65)*100</f>
        <v>5.04</v>
      </c>
    </row>
    <row r="150" spans="1:15" x14ac:dyDescent="0.25">
      <c r="A150" s="101" t="str">
        <f>'Data shares'!C145</f>
        <v>NIFTYNXT50</v>
      </c>
      <c r="B150" s="50">
        <f>VLOOKUP($A150,'Data shares'!$C:$FB,7)</f>
        <v>69567.75</v>
      </c>
      <c r="C150" s="50">
        <f>VLOOKUP($A150,'Data shares'!$C:$FB,10)*100</f>
        <v>-0.1</v>
      </c>
      <c r="D150" s="49">
        <f>VLOOKUP($A150,'Data shares'!$C:$FB,66)</f>
        <v>40550</v>
      </c>
      <c r="E150" s="49">
        <f>VLOOKUP($A150,'Data shares'!$C:$FB,67)</f>
        <v>49275</v>
      </c>
      <c r="F150" s="50">
        <f>VLOOKUP($A150,'Data shares'!$C:$FB,69)*100</f>
        <v>-17.71</v>
      </c>
      <c r="G150" s="49">
        <f>VLOOKUP($A150,'Data shares'!$C:$FB,42)</f>
        <v>5575</v>
      </c>
      <c r="H150" s="49">
        <f>VLOOKUP($A150,'Data shares'!$C:$FB,43)</f>
        <v>12825</v>
      </c>
      <c r="I150" s="50">
        <f>VLOOKUP($A150,'Data shares'!$C:$FB,45)*100</f>
        <v>-56.53</v>
      </c>
      <c r="J150" s="49">
        <f>VLOOKUP($A150,'Data shares'!$C:$FB,58)</f>
        <v>23300</v>
      </c>
      <c r="K150" s="49">
        <f>VLOOKUP($A150,'Data shares'!$C:$FB,59)</f>
        <v>21750</v>
      </c>
      <c r="L150" s="50">
        <f>VLOOKUP($A150,'Data shares'!$C:$FB,61)*100</f>
        <v>7.13</v>
      </c>
      <c r="M150" s="49">
        <f>VLOOKUP($A150,'Data shares'!$C:$FB,62)</f>
        <v>11675</v>
      </c>
      <c r="N150" s="49">
        <f>VLOOKUP($A150,'Data shares'!$C:$FB,63)</f>
        <v>14700</v>
      </c>
      <c r="O150" s="140">
        <f>VLOOKUP($A150,'Data shares'!$C:$FB,65)*100</f>
        <v>-20.580000000000002</v>
      </c>
    </row>
    <row r="151" spans="1:15" x14ac:dyDescent="0.25">
      <c r="A151" s="101" t="str">
        <f>'Data shares'!C146</f>
        <v>NMDC</v>
      </c>
      <c r="B151" s="50">
        <f>VLOOKUP($A151,'Data shares'!$C:$FB,7)</f>
        <v>74.459999999999994</v>
      </c>
      <c r="C151" s="50">
        <f>VLOOKUP($A151,'Data shares'!$C:$FB,10)*100</f>
        <v>-1.06</v>
      </c>
      <c r="D151" s="49">
        <f>VLOOKUP($A151,'Data shares'!$C:$FB,66)</f>
        <v>532939500</v>
      </c>
      <c r="E151" s="49">
        <f>VLOOKUP($A151,'Data shares'!$C:$FB,67)</f>
        <v>174757500</v>
      </c>
      <c r="F151" s="50">
        <f>VLOOKUP($A151,'Data shares'!$C:$FB,69)*100</f>
        <v>204.95999999999998</v>
      </c>
      <c r="G151" s="49">
        <f>VLOOKUP($A151,'Data shares'!$C:$FB,42)</f>
        <v>305106750</v>
      </c>
      <c r="H151" s="49">
        <f>VLOOKUP($A151,'Data shares'!$C:$FB,43)</f>
        <v>51057000</v>
      </c>
      <c r="I151" s="50">
        <f>VLOOKUP($A151,'Data shares'!$C:$FB,45)*100</f>
        <v>497.57999999999993</v>
      </c>
      <c r="J151" s="49">
        <f>VLOOKUP($A151,'Data shares'!$C:$FB,58)</f>
        <v>142236000</v>
      </c>
      <c r="K151" s="49">
        <f>VLOOKUP($A151,'Data shares'!$C:$FB,59)</f>
        <v>82768500</v>
      </c>
      <c r="L151" s="50">
        <f>VLOOKUP($A151,'Data shares'!$C:$FB,61)*100</f>
        <v>71.850000000000009</v>
      </c>
      <c r="M151" s="49">
        <f>VLOOKUP($A151,'Data shares'!$C:$FB,62)</f>
        <v>85596750</v>
      </c>
      <c r="N151" s="49">
        <f>VLOOKUP($A151,'Data shares'!$C:$FB,63)</f>
        <v>40932000</v>
      </c>
      <c r="O151" s="140">
        <f>VLOOKUP($A151,'Data shares'!$C:$FB,65)*100</f>
        <v>109.11999999999999</v>
      </c>
    </row>
    <row r="152" spans="1:15" x14ac:dyDescent="0.25">
      <c r="A152" s="101" t="str">
        <f>'Data shares'!C147</f>
        <v>NTPC</v>
      </c>
      <c r="B152" s="50">
        <f>VLOOKUP($A152,'Data shares'!$C:$FB,7)</f>
        <v>326.60000000000002</v>
      </c>
      <c r="C152" s="50">
        <f>VLOOKUP($A152,'Data shares'!$C:$FB,10)*100</f>
        <v>0</v>
      </c>
      <c r="D152" s="49">
        <f>VLOOKUP($A152,'Data shares'!$C:$FB,66)</f>
        <v>81538500</v>
      </c>
      <c r="E152" s="49">
        <f>VLOOKUP($A152,'Data shares'!$C:$FB,67)</f>
        <v>82306500</v>
      </c>
      <c r="F152" s="50">
        <f>VLOOKUP($A152,'Data shares'!$C:$FB,69)*100</f>
        <v>-0.92999999999999994</v>
      </c>
      <c r="G152" s="49">
        <f>VLOOKUP($A152,'Data shares'!$C:$FB,42)</f>
        <v>37392000</v>
      </c>
      <c r="H152" s="49">
        <f>VLOOKUP($A152,'Data shares'!$C:$FB,43)</f>
        <v>11881500</v>
      </c>
      <c r="I152" s="50">
        <f>VLOOKUP($A152,'Data shares'!$C:$FB,45)*100</f>
        <v>214.71</v>
      </c>
      <c r="J152" s="49">
        <f>VLOOKUP($A152,'Data shares'!$C:$FB,58)</f>
        <v>30594000</v>
      </c>
      <c r="K152" s="49">
        <f>VLOOKUP($A152,'Data shares'!$C:$FB,59)</f>
        <v>53388000</v>
      </c>
      <c r="L152" s="50">
        <f>VLOOKUP($A152,'Data shares'!$C:$FB,61)*100</f>
        <v>-42.69</v>
      </c>
      <c r="M152" s="49">
        <f>VLOOKUP($A152,'Data shares'!$C:$FB,62)</f>
        <v>13552500</v>
      </c>
      <c r="N152" s="49">
        <f>VLOOKUP($A152,'Data shares'!$C:$FB,63)</f>
        <v>17037000</v>
      </c>
      <c r="O152" s="140">
        <f>VLOOKUP($A152,'Data shares'!$C:$FB,65)*100</f>
        <v>-20.45</v>
      </c>
    </row>
    <row r="153" spans="1:15" x14ac:dyDescent="0.25">
      <c r="A153" s="101" t="str">
        <f>'Data shares'!C148</f>
        <v>NUVAMA</v>
      </c>
      <c r="B153" s="50">
        <f>VLOOKUP($A153,'Data shares'!$C:$FB,7)</f>
        <v>7336</v>
      </c>
      <c r="C153" s="50">
        <f>VLOOKUP($A153,'Data shares'!$C:$FB,10)*100</f>
        <v>-0.11</v>
      </c>
      <c r="D153" s="49">
        <f>VLOOKUP($A153,'Data shares'!$C:$FB,66)</f>
        <v>918600</v>
      </c>
      <c r="E153" s="49">
        <f>VLOOKUP($A153,'Data shares'!$C:$FB,67)</f>
        <v>539025</v>
      </c>
      <c r="F153" s="50">
        <f>VLOOKUP($A153,'Data shares'!$C:$FB,69)*100</f>
        <v>70.42</v>
      </c>
      <c r="G153" s="49">
        <f>VLOOKUP($A153,'Data shares'!$C:$FB,42)</f>
        <v>211350</v>
      </c>
      <c r="H153" s="49">
        <f>VLOOKUP($A153,'Data shares'!$C:$FB,43)</f>
        <v>83400</v>
      </c>
      <c r="I153" s="50">
        <f>VLOOKUP($A153,'Data shares'!$C:$FB,45)*100</f>
        <v>153.41999999999999</v>
      </c>
      <c r="J153" s="49">
        <f>VLOOKUP($A153,'Data shares'!$C:$FB,58)</f>
        <v>563025</v>
      </c>
      <c r="K153" s="49">
        <f>VLOOKUP($A153,'Data shares'!$C:$FB,59)</f>
        <v>375525</v>
      </c>
      <c r="L153" s="50">
        <f>VLOOKUP($A153,'Data shares'!$C:$FB,61)*100</f>
        <v>49.93</v>
      </c>
      <c r="M153" s="49">
        <f>VLOOKUP($A153,'Data shares'!$C:$FB,62)</f>
        <v>144225</v>
      </c>
      <c r="N153" s="49">
        <f>VLOOKUP($A153,'Data shares'!$C:$FB,63)</f>
        <v>80100</v>
      </c>
      <c r="O153" s="140">
        <f>VLOOKUP($A153,'Data shares'!$C:$FB,65)*100</f>
        <v>80.06</v>
      </c>
    </row>
    <row r="154" spans="1:15" x14ac:dyDescent="0.25">
      <c r="A154" s="101" t="str">
        <f>'Data shares'!C149</f>
        <v>NYKAA</v>
      </c>
      <c r="B154" s="50">
        <f>VLOOKUP($A154,'Data shares'!$C:$FB,7)</f>
        <v>268.74</v>
      </c>
      <c r="C154" s="50">
        <f>VLOOKUP($A154,'Data shares'!$C:$FB,10)*100</f>
        <v>-0.15</v>
      </c>
      <c r="D154" s="49">
        <f>VLOOKUP($A154,'Data shares'!$C:$FB,66)</f>
        <v>79975000</v>
      </c>
      <c r="E154" s="49">
        <f>VLOOKUP($A154,'Data shares'!$C:$FB,67)</f>
        <v>62409375</v>
      </c>
      <c r="F154" s="50">
        <f>VLOOKUP($A154,'Data shares'!$C:$FB,69)*100</f>
        <v>28.15</v>
      </c>
      <c r="G154" s="49">
        <f>VLOOKUP($A154,'Data shares'!$C:$FB,42)</f>
        <v>45218750</v>
      </c>
      <c r="H154" s="49">
        <f>VLOOKUP($A154,'Data shares'!$C:$FB,43)</f>
        <v>12118750</v>
      </c>
      <c r="I154" s="50">
        <f>VLOOKUP($A154,'Data shares'!$C:$FB,45)*100</f>
        <v>273.13</v>
      </c>
      <c r="J154" s="49">
        <f>VLOOKUP($A154,'Data shares'!$C:$FB,58)</f>
        <v>24768750</v>
      </c>
      <c r="K154" s="49">
        <f>VLOOKUP($A154,'Data shares'!$C:$FB,59)</f>
        <v>34540625</v>
      </c>
      <c r="L154" s="50">
        <f>VLOOKUP($A154,'Data shares'!$C:$FB,61)*100</f>
        <v>-28.29</v>
      </c>
      <c r="M154" s="49">
        <f>VLOOKUP($A154,'Data shares'!$C:$FB,62)</f>
        <v>9987500</v>
      </c>
      <c r="N154" s="49">
        <f>VLOOKUP($A154,'Data shares'!$C:$FB,63)</f>
        <v>15750000</v>
      </c>
      <c r="O154" s="140">
        <f>VLOOKUP($A154,'Data shares'!$C:$FB,65)*100</f>
        <v>-36.590000000000003</v>
      </c>
    </row>
    <row r="155" spans="1:15" x14ac:dyDescent="0.25">
      <c r="A155" s="101" t="str">
        <f>'Data shares'!C150</f>
        <v>OBEROIRLTY</v>
      </c>
      <c r="B155" s="50">
        <f>VLOOKUP($A155,'Data shares'!$C:$FB,7)</f>
        <v>1708.5</v>
      </c>
      <c r="C155" s="50">
        <f>VLOOKUP($A155,'Data shares'!$C:$FB,10)*100</f>
        <v>-0.01</v>
      </c>
      <c r="D155" s="49">
        <f>VLOOKUP($A155,'Data shares'!$C:$FB,66)</f>
        <v>5306350</v>
      </c>
      <c r="E155" s="49">
        <f>VLOOKUP($A155,'Data shares'!$C:$FB,67)</f>
        <v>4246550</v>
      </c>
      <c r="F155" s="50">
        <f>VLOOKUP($A155,'Data shares'!$C:$FB,69)*100</f>
        <v>24.959999999999997</v>
      </c>
      <c r="G155" s="49">
        <f>VLOOKUP($A155,'Data shares'!$C:$FB,42)</f>
        <v>3833200</v>
      </c>
      <c r="H155" s="49">
        <f>VLOOKUP($A155,'Data shares'!$C:$FB,43)</f>
        <v>1277850</v>
      </c>
      <c r="I155" s="50">
        <f>VLOOKUP($A155,'Data shares'!$C:$FB,45)*100</f>
        <v>199.97</v>
      </c>
      <c r="J155" s="49">
        <f>VLOOKUP($A155,'Data shares'!$C:$FB,58)</f>
        <v>1031100</v>
      </c>
      <c r="K155" s="49">
        <f>VLOOKUP($A155,'Data shares'!$C:$FB,59)</f>
        <v>2039450</v>
      </c>
      <c r="L155" s="50">
        <f>VLOOKUP($A155,'Data shares'!$C:$FB,61)*100</f>
        <v>-49.44</v>
      </c>
      <c r="M155" s="49">
        <f>VLOOKUP($A155,'Data shares'!$C:$FB,62)</f>
        <v>442050</v>
      </c>
      <c r="N155" s="49">
        <f>VLOOKUP($A155,'Data shares'!$C:$FB,63)</f>
        <v>929250</v>
      </c>
      <c r="O155" s="140">
        <f>VLOOKUP($A155,'Data shares'!$C:$FB,65)*100</f>
        <v>-52.43</v>
      </c>
    </row>
    <row r="156" spans="1:15" x14ac:dyDescent="0.25">
      <c r="A156" s="101" t="str">
        <f>'Data shares'!C151</f>
        <v>OFSS</v>
      </c>
      <c r="B156" s="50">
        <f>VLOOKUP($A156,'Data shares'!$C:$FB,7)</f>
        <v>8372.5</v>
      </c>
      <c r="C156" s="50">
        <f>VLOOKUP($A156,'Data shares'!$C:$FB,10)*100</f>
        <v>0.47000000000000003</v>
      </c>
      <c r="D156" s="49">
        <f>VLOOKUP($A156,'Data shares'!$C:$FB,66)</f>
        <v>5345625</v>
      </c>
      <c r="E156" s="49">
        <f>VLOOKUP($A156,'Data shares'!$C:$FB,67)</f>
        <v>2987175</v>
      </c>
      <c r="F156" s="50">
        <f>VLOOKUP($A156,'Data shares'!$C:$FB,69)*100</f>
        <v>78.95</v>
      </c>
      <c r="G156" s="49">
        <f>VLOOKUP($A156,'Data shares'!$C:$FB,42)</f>
        <v>1188675</v>
      </c>
      <c r="H156" s="49">
        <f>VLOOKUP($A156,'Data shares'!$C:$FB,43)</f>
        <v>416625</v>
      </c>
      <c r="I156" s="50">
        <f>VLOOKUP($A156,'Data shares'!$C:$FB,45)*100</f>
        <v>185.31</v>
      </c>
      <c r="J156" s="49">
        <f>VLOOKUP($A156,'Data shares'!$C:$FB,58)</f>
        <v>3274800</v>
      </c>
      <c r="K156" s="49">
        <f>VLOOKUP($A156,'Data shares'!$C:$FB,59)</f>
        <v>1978650</v>
      </c>
      <c r="L156" s="50">
        <f>VLOOKUP($A156,'Data shares'!$C:$FB,61)*100</f>
        <v>65.510000000000005</v>
      </c>
      <c r="M156" s="49">
        <f>VLOOKUP($A156,'Data shares'!$C:$FB,62)</f>
        <v>882150</v>
      </c>
      <c r="N156" s="49">
        <f>VLOOKUP($A156,'Data shares'!$C:$FB,63)</f>
        <v>591900</v>
      </c>
      <c r="O156" s="140">
        <f>VLOOKUP($A156,'Data shares'!$C:$FB,65)*100</f>
        <v>49.04</v>
      </c>
    </row>
    <row r="157" spans="1:15" x14ac:dyDescent="0.25">
      <c r="A157" s="101" t="str">
        <f>'Data shares'!C152</f>
        <v>OIL</v>
      </c>
      <c r="B157" s="50">
        <f>VLOOKUP($A157,'Data shares'!$C:$FB,7)</f>
        <v>436.2</v>
      </c>
      <c r="C157" s="50">
        <f>VLOOKUP($A157,'Data shares'!$C:$FB,10)*100</f>
        <v>-0.15</v>
      </c>
      <c r="D157" s="49">
        <f>VLOOKUP($A157,'Data shares'!$C:$FB,66)</f>
        <v>16972200</v>
      </c>
      <c r="E157" s="49">
        <f>VLOOKUP($A157,'Data shares'!$C:$FB,67)</f>
        <v>6708800</v>
      </c>
      <c r="F157" s="50">
        <f>VLOOKUP($A157,'Data shares'!$C:$FB,69)*100</f>
        <v>152.98000000000002</v>
      </c>
      <c r="G157" s="49">
        <f>VLOOKUP($A157,'Data shares'!$C:$FB,42)</f>
        <v>8797600</v>
      </c>
      <c r="H157" s="49">
        <f>VLOOKUP($A157,'Data shares'!$C:$FB,43)</f>
        <v>1176000</v>
      </c>
      <c r="I157" s="50">
        <f>VLOOKUP($A157,'Data shares'!$C:$FB,45)*100</f>
        <v>648.1</v>
      </c>
      <c r="J157" s="49">
        <f>VLOOKUP($A157,'Data shares'!$C:$FB,58)</f>
        <v>5955600</v>
      </c>
      <c r="K157" s="49">
        <f>VLOOKUP($A157,'Data shares'!$C:$FB,59)</f>
        <v>4365200</v>
      </c>
      <c r="L157" s="50">
        <f>VLOOKUP($A157,'Data shares'!$C:$FB,61)*100</f>
        <v>36.43</v>
      </c>
      <c r="M157" s="49">
        <f>VLOOKUP($A157,'Data shares'!$C:$FB,62)</f>
        <v>2219000</v>
      </c>
      <c r="N157" s="49">
        <f>VLOOKUP($A157,'Data shares'!$C:$FB,63)</f>
        <v>1167600</v>
      </c>
      <c r="O157" s="140">
        <f>VLOOKUP($A157,'Data shares'!$C:$FB,65)*100</f>
        <v>90.05</v>
      </c>
    </row>
    <row r="158" spans="1:15" x14ac:dyDescent="0.25">
      <c r="A158" s="101" t="str">
        <f>'Data shares'!C153</f>
        <v>ONGC</v>
      </c>
      <c r="B158" s="50">
        <f>VLOOKUP($A158,'Data shares'!$C:$FB,7)</f>
        <v>248.05</v>
      </c>
      <c r="C158" s="50">
        <f>VLOOKUP($A158,'Data shares'!$C:$FB,10)*100</f>
        <v>-0.38</v>
      </c>
      <c r="D158" s="49">
        <f>VLOOKUP($A158,'Data shares'!$C:$FB,66)</f>
        <v>105583500</v>
      </c>
      <c r="E158" s="49">
        <f>VLOOKUP($A158,'Data shares'!$C:$FB,67)</f>
        <v>81832500</v>
      </c>
      <c r="F158" s="50">
        <f>VLOOKUP($A158,'Data shares'!$C:$FB,69)*100</f>
        <v>29.020000000000003</v>
      </c>
      <c r="G158" s="49">
        <f>VLOOKUP($A158,'Data shares'!$C:$FB,42)</f>
        <v>49353750</v>
      </c>
      <c r="H158" s="49">
        <f>VLOOKUP($A158,'Data shares'!$C:$FB,43)</f>
        <v>16148250</v>
      </c>
      <c r="I158" s="50">
        <f>VLOOKUP($A158,'Data shares'!$C:$FB,45)*100</f>
        <v>205.62999999999997</v>
      </c>
      <c r="J158" s="49">
        <f>VLOOKUP($A158,'Data shares'!$C:$FB,58)</f>
        <v>37964250</v>
      </c>
      <c r="K158" s="49">
        <f>VLOOKUP($A158,'Data shares'!$C:$FB,59)</f>
        <v>44631000</v>
      </c>
      <c r="L158" s="50">
        <f>VLOOKUP($A158,'Data shares'!$C:$FB,61)*100</f>
        <v>-14.940000000000001</v>
      </c>
      <c r="M158" s="49">
        <f>VLOOKUP($A158,'Data shares'!$C:$FB,62)</f>
        <v>18265500</v>
      </c>
      <c r="N158" s="49">
        <f>VLOOKUP($A158,'Data shares'!$C:$FB,63)</f>
        <v>21053250</v>
      </c>
      <c r="O158" s="140">
        <f>VLOOKUP($A158,'Data shares'!$C:$FB,65)*100</f>
        <v>-13.239999999999998</v>
      </c>
    </row>
    <row r="159" spans="1:15" x14ac:dyDescent="0.25">
      <c r="A159" s="101" t="str">
        <f>'Data shares'!C154</f>
        <v>PAGEIND</v>
      </c>
      <c r="B159" s="50">
        <f>VLOOKUP($A159,'Data shares'!$C:$FB,7)</f>
        <v>38565</v>
      </c>
      <c r="C159" s="50">
        <f>VLOOKUP($A159,'Data shares'!$C:$FB,10)*100</f>
        <v>-0.63</v>
      </c>
      <c r="D159" s="49">
        <f>VLOOKUP($A159,'Data shares'!$C:$FB,66)</f>
        <v>600750</v>
      </c>
      <c r="E159" s="49">
        <f>VLOOKUP($A159,'Data shares'!$C:$FB,67)</f>
        <v>433320</v>
      </c>
      <c r="F159" s="50">
        <f>VLOOKUP($A159,'Data shares'!$C:$FB,69)*100</f>
        <v>38.64</v>
      </c>
      <c r="G159" s="49">
        <f>VLOOKUP($A159,'Data shares'!$C:$FB,42)</f>
        <v>186435</v>
      </c>
      <c r="H159" s="49">
        <f>VLOOKUP($A159,'Data shares'!$C:$FB,43)</f>
        <v>50355</v>
      </c>
      <c r="I159" s="50">
        <f>VLOOKUP($A159,'Data shares'!$C:$FB,45)*100</f>
        <v>270.24</v>
      </c>
      <c r="J159" s="49">
        <f>VLOOKUP($A159,'Data shares'!$C:$FB,58)</f>
        <v>344130</v>
      </c>
      <c r="K159" s="49">
        <f>VLOOKUP($A159,'Data shares'!$C:$FB,59)</f>
        <v>303465</v>
      </c>
      <c r="L159" s="50">
        <f>VLOOKUP($A159,'Data shares'!$C:$FB,61)*100</f>
        <v>13.4</v>
      </c>
      <c r="M159" s="49">
        <f>VLOOKUP($A159,'Data shares'!$C:$FB,62)</f>
        <v>70185</v>
      </c>
      <c r="N159" s="49">
        <f>VLOOKUP($A159,'Data shares'!$C:$FB,63)</f>
        <v>79500</v>
      </c>
      <c r="O159" s="140">
        <f>VLOOKUP($A159,'Data shares'!$C:$FB,65)*100</f>
        <v>-11.72</v>
      </c>
    </row>
    <row r="160" spans="1:15" x14ac:dyDescent="0.25">
      <c r="A160" s="101" t="str">
        <f>'Data shares'!C155</f>
        <v>PATANJALI</v>
      </c>
      <c r="B160" s="50">
        <f>VLOOKUP($A160,'Data shares'!$C:$FB,7)</f>
        <v>584.25</v>
      </c>
      <c r="C160" s="50">
        <f>VLOOKUP($A160,'Data shares'!$C:$FB,10)*100</f>
        <v>0.22999999999999998</v>
      </c>
      <c r="D160" s="49">
        <f>VLOOKUP($A160,'Data shares'!$C:$FB,66)</f>
        <v>18448200</v>
      </c>
      <c r="E160" s="49">
        <f>VLOOKUP($A160,'Data shares'!$C:$FB,67)</f>
        <v>11641500</v>
      </c>
      <c r="F160" s="50">
        <f>VLOOKUP($A160,'Data shares'!$C:$FB,69)*100</f>
        <v>58.47</v>
      </c>
      <c r="G160" s="49">
        <f>VLOOKUP($A160,'Data shares'!$C:$FB,42)</f>
        <v>11350800</v>
      </c>
      <c r="H160" s="49">
        <f>VLOOKUP($A160,'Data shares'!$C:$FB,43)</f>
        <v>3610800</v>
      </c>
      <c r="I160" s="50">
        <f>VLOOKUP($A160,'Data shares'!$C:$FB,45)*100</f>
        <v>214.36</v>
      </c>
      <c r="J160" s="49">
        <f>VLOOKUP($A160,'Data shares'!$C:$FB,58)</f>
        <v>5426100</v>
      </c>
      <c r="K160" s="49">
        <f>VLOOKUP($A160,'Data shares'!$C:$FB,59)</f>
        <v>6237000</v>
      </c>
      <c r="L160" s="50">
        <f>VLOOKUP($A160,'Data shares'!$C:$FB,61)*100</f>
        <v>-13</v>
      </c>
      <c r="M160" s="49">
        <f>VLOOKUP($A160,'Data shares'!$C:$FB,62)</f>
        <v>1671300</v>
      </c>
      <c r="N160" s="49">
        <f>VLOOKUP($A160,'Data shares'!$C:$FB,63)</f>
        <v>1793700</v>
      </c>
      <c r="O160" s="140">
        <f>VLOOKUP($A160,'Data shares'!$C:$FB,65)*100</f>
        <v>-6.8199999999999994</v>
      </c>
    </row>
    <row r="161" spans="1:15" x14ac:dyDescent="0.25">
      <c r="A161" s="101" t="str">
        <f>'Data shares'!C156</f>
        <v>PAYTM</v>
      </c>
      <c r="B161" s="50">
        <f>VLOOKUP($A161,'Data shares'!$C:$FB,7)</f>
        <v>1283.9000000000001</v>
      </c>
      <c r="C161" s="50">
        <f>VLOOKUP($A161,'Data shares'!$C:$FB,10)*100</f>
        <v>0.1</v>
      </c>
      <c r="D161" s="49">
        <f>VLOOKUP($A161,'Data shares'!$C:$FB,66)</f>
        <v>36887275</v>
      </c>
      <c r="E161" s="49">
        <f>VLOOKUP($A161,'Data shares'!$C:$FB,67)</f>
        <v>38746900</v>
      </c>
      <c r="F161" s="50">
        <f>VLOOKUP($A161,'Data shares'!$C:$FB,69)*100</f>
        <v>-4.8</v>
      </c>
      <c r="G161" s="49">
        <f>VLOOKUP($A161,'Data shares'!$C:$FB,42)</f>
        <v>10640825</v>
      </c>
      <c r="H161" s="49">
        <f>VLOOKUP($A161,'Data shares'!$C:$FB,43)</f>
        <v>5773175</v>
      </c>
      <c r="I161" s="50">
        <f>VLOOKUP($A161,'Data shares'!$C:$FB,45)*100</f>
        <v>84.31</v>
      </c>
      <c r="J161" s="49">
        <f>VLOOKUP($A161,'Data shares'!$C:$FB,58)</f>
        <v>19483650</v>
      </c>
      <c r="K161" s="49">
        <f>VLOOKUP($A161,'Data shares'!$C:$FB,59)</f>
        <v>20909725</v>
      </c>
      <c r="L161" s="50">
        <f>VLOOKUP($A161,'Data shares'!$C:$FB,61)*100</f>
        <v>-6.8199999999999994</v>
      </c>
      <c r="M161" s="49">
        <f>VLOOKUP($A161,'Data shares'!$C:$FB,62)</f>
        <v>6762800</v>
      </c>
      <c r="N161" s="49">
        <f>VLOOKUP($A161,'Data shares'!$C:$FB,63)</f>
        <v>12064000</v>
      </c>
      <c r="O161" s="140">
        <f>VLOOKUP($A161,'Data shares'!$C:$FB,65)*100</f>
        <v>-43.94</v>
      </c>
    </row>
    <row r="162" spans="1:15" x14ac:dyDescent="0.25">
      <c r="A162" s="101" t="str">
        <f>'Data shares'!C157</f>
        <v>PERSISTENT</v>
      </c>
      <c r="B162" s="50">
        <f>VLOOKUP($A162,'Data shares'!$C:$FB,7)</f>
        <v>6350.5</v>
      </c>
      <c r="C162" s="50">
        <f>VLOOKUP($A162,'Data shares'!$C:$FB,10)*100</f>
        <v>0.54999999999999993</v>
      </c>
      <c r="D162" s="49">
        <f>VLOOKUP($A162,'Data shares'!$C:$FB,66)</f>
        <v>11293200</v>
      </c>
      <c r="E162" s="49">
        <f>VLOOKUP($A162,'Data shares'!$C:$FB,67)</f>
        <v>23402600</v>
      </c>
      <c r="F162" s="50">
        <f>VLOOKUP($A162,'Data shares'!$C:$FB,69)*100</f>
        <v>-51.739999999999995</v>
      </c>
      <c r="G162" s="49">
        <f>VLOOKUP($A162,'Data shares'!$C:$FB,42)</f>
        <v>1473400</v>
      </c>
      <c r="H162" s="49">
        <f>VLOOKUP($A162,'Data shares'!$C:$FB,43)</f>
        <v>1254500</v>
      </c>
      <c r="I162" s="50">
        <f>VLOOKUP($A162,'Data shares'!$C:$FB,45)*100</f>
        <v>17.45</v>
      </c>
      <c r="J162" s="49">
        <f>VLOOKUP($A162,'Data shares'!$C:$FB,58)</f>
        <v>6425500</v>
      </c>
      <c r="K162" s="49">
        <f>VLOOKUP($A162,'Data shares'!$C:$FB,59)</f>
        <v>16116700</v>
      </c>
      <c r="L162" s="50">
        <f>VLOOKUP($A162,'Data shares'!$C:$FB,61)*100</f>
        <v>-60.129999999999995</v>
      </c>
      <c r="M162" s="49">
        <f>VLOOKUP($A162,'Data shares'!$C:$FB,62)</f>
        <v>3394300</v>
      </c>
      <c r="N162" s="49">
        <f>VLOOKUP($A162,'Data shares'!$C:$FB,63)</f>
        <v>6031400</v>
      </c>
      <c r="O162" s="140">
        <f>VLOOKUP($A162,'Data shares'!$C:$FB,65)*100</f>
        <v>-43.72</v>
      </c>
    </row>
    <row r="163" spans="1:15" x14ac:dyDescent="0.25">
      <c r="A163" s="101" t="str">
        <f>'Data shares'!C158</f>
        <v>PETRONET</v>
      </c>
      <c r="B163" s="50">
        <f>VLOOKUP($A163,'Data shares'!$C:$FB,7)</f>
        <v>274.35000000000002</v>
      </c>
      <c r="C163" s="50">
        <f>VLOOKUP($A163,'Data shares'!$C:$FB,10)*100</f>
        <v>0.04</v>
      </c>
      <c r="D163" s="49">
        <f>VLOOKUP($A163,'Data shares'!$C:$FB,66)</f>
        <v>40852800</v>
      </c>
      <c r="E163" s="49">
        <f>VLOOKUP($A163,'Data shares'!$C:$FB,67)</f>
        <v>10135800</v>
      </c>
      <c r="F163" s="50">
        <f>VLOOKUP($A163,'Data shares'!$C:$FB,69)*100</f>
        <v>303.05</v>
      </c>
      <c r="G163" s="49">
        <f>VLOOKUP($A163,'Data shares'!$C:$FB,42)</f>
        <v>26593200</v>
      </c>
      <c r="H163" s="49">
        <f>VLOOKUP($A163,'Data shares'!$C:$FB,43)</f>
        <v>3232800</v>
      </c>
      <c r="I163" s="50">
        <f>VLOOKUP($A163,'Data shares'!$C:$FB,45)*100</f>
        <v>722.61</v>
      </c>
      <c r="J163" s="49">
        <f>VLOOKUP($A163,'Data shares'!$C:$FB,58)</f>
        <v>7018200</v>
      </c>
      <c r="K163" s="49">
        <f>VLOOKUP($A163,'Data shares'!$C:$FB,59)</f>
        <v>3605400</v>
      </c>
      <c r="L163" s="50">
        <f>VLOOKUP($A163,'Data shares'!$C:$FB,61)*100</f>
        <v>94.66</v>
      </c>
      <c r="M163" s="49">
        <f>VLOOKUP($A163,'Data shares'!$C:$FB,62)</f>
        <v>7241400</v>
      </c>
      <c r="N163" s="49">
        <f>VLOOKUP($A163,'Data shares'!$C:$FB,63)</f>
        <v>3297600</v>
      </c>
      <c r="O163" s="140">
        <f>VLOOKUP($A163,'Data shares'!$C:$FB,65)*100</f>
        <v>119.6</v>
      </c>
    </row>
    <row r="164" spans="1:15" x14ac:dyDescent="0.25">
      <c r="A164" s="101" t="str">
        <f>'Data shares'!C159</f>
        <v>PFC</v>
      </c>
      <c r="B164" s="50">
        <f>VLOOKUP($A164,'Data shares'!$C:$FB,7)</f>
        <v>372.75</v>
      </c>
      <c r="C164" s="50">
        <f>VLOOKUP($A164,'Data shares'!$C:$FB,10)*100</f>
        <v>-0.24</v>
      </c>
      <c r="D164" s="49">
        <f>VLOOKUP($A164,'Data shares'!$C:$FB,66)</f>
        <v>70869500</v>
      </c>
      <c r="E164" s="49">
        <f>VLOOKUP($A164,'Data shares'!$C:$FB,67)</f>
        <v>56382300</v>
      </c>
      <c r="F164" s="50">
        <f>VLOOKUP($A164,'Data shares'!$C:$FB,69)*100</f>
        <v>25.69</v>
      </c>
      <c r="G164" s="49">
        <f>VLOOKUP($A164,'Data shares'!$C:$FB,42)</f>
        <v>24137100</v>
      </c>
      <c r="H164" s="49">
        <f>VLOOKUP($A164,'Data shares'!$C:$FB,43)</f>
        <v>11403600</v>
      </c>
      <c r="I164" s="50">
        <f>VLOOKUP($A164,'Data shares'!$C:$FB,45)*100</f>
        <v>111.66</v>
      </c>
      <c r="J164" s="49">
        <f>VLOOKUP($A164,'Data shares'!$C:$FB,58)</f>
        <v>30683900</v>
      </c>
      <c r="K164" s="49">
        <f>VLOOKUP($A164,'Data shares'!$C:$FB,59)</f>
        <v>30729400</v>
      </c>
      <c r="L164" s="50">
        <f>VLOOKUP($A164,'Data shares'!$C:$FB,61)*100</f>
        <v>-0.15</v>
      </c>
      <c r="M164" s="49">
        <f>VLOOKUP($A164,'Data shares'!$C:$FB,62)</f>
        <v>16048500</v>
      </c>
      <c r="N164" s="49">
        <f>VLOOKUP($A164,'Data shares'!$C:$FB,63)</f>
        <v>14249300</v>
      </c>
      <c r="O164" s="140">
        <f>VLOOKUP($A164,'Data shares'!$C:$FB,65)*100</f>
        <v>12.629999999999999</v>
      </c>
    </row>
    <row r="165" spans="1:15" x14ac:dyDescent="0.25">
      <c r="A165" s="101" t="str">
        <f>'Data shares'!C160</f>
        <v>PGEL</v>
      </c>
      <c r="B165" s="50">
        <f>VLOOKUP($A165,'Data shares'!$C:$FB,7)</f>
        <v>590.54999999999995</v>
      </c>
      <c r="C165" s="50">
        <f>VLOOKUP($A165,'Data shares'!$C:$FB,10)*100</f>
        <v>1.8499999999999999</v>
      </c>
      <c r="D165" s="49">
        <f>VLOOKUP($A165,'Data shares'!$C:$FB,66)</f>
        <v>45258500</v>
      </c>
      <c r="E165" s="49">
        <f>VLOOKUP($A165,'Data shares'!$C:$FB,67)</f>
        <v>26208000</v>
      </c>
      <c r="F165" s="50">
        <f>VLOOKUP($A165,'Data shares'!$C:$FB,69)*100</f>
        <v>72.69</v>
      </c>
      <c r="G165" s="49">
        <f>VLOOKUP($A165,'Data shares'!$C:$FB,42)</f>
        <v>9261700</v>
      </c>
      <c r="H165" s="49">
        <f>VLOOKUP($A165,'Data shares'!$C:$FB,43)</f>
        <v>5119800</v>
      </c>
      <c r="I165" s="50">
        <f>VLOOKUP($A165,'Data shares'!$C:$FB,45)*100</f>
        <v>80.900000000000006</v>
      </c>
      <c r="J165" s="49">
        <f>VLOOKUP($A165,'Data shares'!$C:$FB,58)</f>
        <v>27265700</v>
      </c>
      <c r="K165" s="49">
        <f>VLOOKUP($A165,'Data shares'!$C:$FB,59)</f>
        <v>13048000</v>
      </c>
      <c r="L165" s="50">
        <f>VLOOKUP($A165,'Data shares'!$C:$FB,61)*100</f>
        <v>108.96</v>
      </c>
      <c r="M165" s="49">
        <f>VLOOKUP($A165,'Data shares'!$C:$FB,62)</f>
        <v>8731100</v>
      </c>
      <c r="N165" s="49">
        <f>VLOOKUP($A165,'Data shares'!$C:$FB,63)</f>
        <v>8040200</v>
      </c>
      <c r="O165" s="140">
        <f>VLOOKUP($A165,'Data shares'!$C:$FB,65)*100</f>
        <v>8.59</v>
      </c>
    </row>
    <row r="166" spans="1:15" x14ac:dyDescent="0.25">
      <c r="A166" s="101" t="str">
        <f>'Data shares'!C161</f>
        <v>PHOENIXLTD</v>
      </c>
      <c r="B166" s="50">
        <f>VLOOKUP($A166,'Data shares'!$C:$FB,7)</f>
        <v>1715.7</v>
      </c>
      <c r="C166" s="50">
        <f>VLOOKUP($A166,'Data shares'!$C:$FB,10)*100</f>
        <v>0.03</v>
      </c>
      <c r="D166" s="49">
        <f>VLOOKUP($A166,'Data shares'!$C:$FB,66)</f>
        <v>2670500</v>
      </c>
      <c r="E166" s="49">
        <f>VLOOKUP($A166,'Data shares'!$C:$FB,67)</f>
        <v>2166500</v>
      </c>
      <c r="F166" s="50">
        <f>VLOOKUP($A166,'Data shares'!$C:$FB,69)*100</f>
        <v>23.26</v>
      </c>
      <c r="G166" s="49">
        <f>VLOOKUP($A166,'Data shares'!$C:$FB,42)</f>
        <v>1648850</v>
      </c>
      <c r="H166" s="49">
        <f>VLOOKUP($A166,'Data shares'!$C:$FB,43)</f>
        <v>427700</v>
      </c>
      <c r="I166" s="50">
        <f>VLOOKUP($A166,'Data shares'!$C:$FB,45)*100</f>
        <v>285.52</v>
      </c>
      <c r="J166" s="49">
        <f>VLOOKUP($A166,'Data shares'!$C:$FB,58)</f>
        <v>782950</v>
      </c>
      <c r="K166" s="49">
        <f>VLOOKUP($A166,'Data shares'!$C:$FB,59)</f>
        <v>1445500</v>
      </c>
      <c r="L166" s="50">
        <f>VLOOKUP($A166,'Data shares'!$C:$FB,61)*100</f>
        <v>-45.839999999999996</v>
      </c>
      <c r="M166" s="49">
        <f>VLOOKUP($A166,'Data shares'!$C:$FB,62)</f>
        <v>238700</v>
      </c>
      <c r="N166" s="49">
        <f>VLOOKUP($A166,'Data shares'!$C:$FB,63)</f>
        <v>293300</v>
      </c>
      <c r="O166" s="140">
        <f>VLOOKUP($A166,'Data shares'!$C:$FB,65)*100</f>
        <v>-18.62</v>
      </c>
    </row>
    <row r="167" spans="1:15" x14ac:dyDescent="0.25">
      <c r="A167" s="101" t="str">
        <f>'Data shares'!C162</f>
        <v>PIDILITIND</v>
      </c>
      <c r="B167" s="50">
        <f>VLOOKUP($A167,'Data shares'!$C:$FB,7)</f>
        <v>1489</v>
      </c>
      <c r="C167" s="50">
        <f>VLOOKUP($A167,'Data shares'!$C:$FB,10)*100</f>
        <v>0.83</v>
      </c>
      <c r="D167" s="49">
        <f>VLOOKUP($A167,'Data shares'!$C:$FB,66)</f>
        <v>8042500</v>
      </c>
      <c r="E167" s="49">
        <f>VLOOKUP($A167,'Data shares'!$C:$FB,67)</f>
        <v>5192500</v>
      </c>
      <c r="F167" s="50">
        <f>VLOOKUP($A167,'Data shares'!$C:$FB,69)*100</f>
        <v>54.890000000000008</v>
      </c>
      <c r="G167" s="49">
        <f>VLOOKUP($A167,'Data shares'!$C:$FB,42)</f>
        <v>4570500</v>
      </c>
      <c r="H167" s="49">
        <f>VLOOKUP($A167,'Data shares'!$C:$FB,43)</f>
        <v>845500</v>
      </c>
      <c r="I167" s="50">
        <f>VLOOKUP($A167,'Data shares'!$C:$FB,45)*100</f>
        <v>440.57000000000005</v>
      </c>
      <c r="J167" s="49">
        <f>VLOOKUP($A167,'Data shares'!$C:$FB,58)</f>
        <v>2604500</v>
      </c>
      <c r="K167" s="49">
        <f>VLOOKUP($A167,'Data shares'!$C:$FB,59)</f>
        <v>3339500</v>
      </c>
      <c r="L167" s="50">
        <f>VLOOKUP($A167,'Data shares'!$C:$FB,61)*100</f>
        <v>-22.009999999999998</v>
      </c>
      <c r="M167" s="49">
        <f>VLOOKUP($A167,'Data shares'!$C:$FB,62)</f>
        <v>867500</v>
      </c>
      <c r="N167" s="49">
        <f>VLOOKUP($A167,'Data shares'!$C:$FB,63)</f>
        <v>1007500</v>
      </c>
      <c r="O167" s="140">
        <f>VLOOKUP($A167,'Data shares'!$C:$FB,65)*100</f>
        <v>-13.900000000000002</v>
      </c>
    </row>
    <row r="168" spans="1:15" x14ac:dyDescent="0.25">
      <c r="A168" s="101" t="str">
        <f>'Data shares'!C163</f>
        <v>PIIND</v>
      </c>
      <c r="B168" s="50">
        <f>VLOOKUP($A168,'Data shares'!$C:$FB,7)</f>
        <v>3441.1</v>
      </c>
      <c r="C168" s="50">
        <f>VLOOKUP($A168,'Data shares'!$C:$FB,10)*100</f>
        <v>0.03</v>
      </c>
      <c r="D168" s="49">
        <f>VLOOKUP($A168,'Data shares'!$C:$FB,66)</f>
        <v>4703475</v>
      </c>
      <c r="E168" s="49">
        <f>VLOOKUP($A168,'Data shares'!$C:$FB,67)</f>
        <v>4403175</v>
      </c>
      <c r="F168" s="50">
        <f>VLOOKUP($A168,'Data shares'!$C:$FB,69)*100</f>
        <v>6.8199999999999994</v>
      </c>
      <c r="G168" s="49">
        <f>VLOOKUP($A168,'Data shares'!$C:$FB,42)</f>
        <v>1694000</v>
      </c>
      <c r="H168" s="49">
        <f>VLOOKUP($A168,'Data shares'!$C:$FB,43)</f>
        <v>344225</v>
      </c>
      <c r="I168" s="50">
        <f>VLOOKUP($A168,'Data shares'!$C:$FB,45)*100</f>
        <v>392.12</v>
      </c>
      <c r="J168" s="49">
        <f>VLOOKUP($A168,'Data shares'!$C:$FB,58)</f>
        <v>2237375</v>
      </c>
      <c r="K168" s="49">
        <f>VLOOKUP($A168,'Data shares'!$C:$FB,59)</f>
        <v>2835700</v>
      </c>
      <c r="L168" s="50">
        <f>VLOOKUP($A168,'Data shares'!$C:$FB,61)*100</f>
        <v>-21.099999999999998</v>
      </c>
      <c r="M168" s="49">
        <f>VLOOKUP($A168,'Data shares'!$C:$FB,62)</f>
        <v>772100</v>
      </c>
      <c r="N168" s="49">
        <f>VLOOKUP($A168,'Data shares'!$C:$FB,63)</f>
        <v>1223250</v>
      </c>
      <c r="O168" s="140">
        <f>VLOOKUP($A168,'Data shares'!$C:$FB,65)*100</f>
        <v>-36.880000000000003</v>
      </c>
    </row>
    <row r="169" spans="1:15" x14ac:dyDescent="0.25">
      <c r="A169" s="101" t="str">
        <f>'Data shares'!C164</f>
        <v>PNB</v>
      </c>
      <c r="B169" s="50">
        <f>VLOOKUP($A169,'Data shares'!$C:$FB,7)</f>
        <v>123.86</v>
      </c>
      <c r="C169" s="50">
        <f>VLOOKUP($A169,'Data shares'!$C:$FB,10)*100</f>
        <v>-0.96</v>
      </c>
      <c r="D169" s="49">
        <f>VLOOKUP($A169,'Data shares'!$C:$FB,66)</f>
        <v>485840000</v>
      </c>
      <c r="E169" s="49">
        <f>VLOOKUP($A169,'Data shares'!$C:$FB,67)</f>
        <v>528048000</v>
      </c>
      <c r="F169" s="50">
        <f>VLOOKUP($A169,'Data shares'!$C:$FB,69)*100</f>
        <v>-7.99</v>
      </c>
      <c r="G169" s="49">
        <f>VLOOKUP($A169,'Data shares'!$C:$FB,42)</f>
        <v>125288000</v>
      </c>
      <c r="H169" s="49">
        <f>VLOOKUP($A169,'Data shares'!$C:$FB,43)</f>
        <v>86496000</v>
      </c>
      <c r="I169" s="50">
        <f>VLOOKUP($A169,'Data shares'!$C:$FB,45)*100</f>
        <v>44.85</v>
      </c>
      <c r="J169" s="49">
        <f>VLOOKUP($A169,'Data shares'!$C:$FB,58)</f>
        <v>215856000</v>
      </c>
      <c r="K169" s="49">
        <f>VLOOKUP($A169,'Data shares'!$C:$FB,59)</f>
        <v>310344000</v>
      </c>
      <c r="L169" s="50">
        <f>VLOOKUP($A169,'Data shares'!$C:$FB,61)*100</f>
        <v>-30.45</v>
      </c>
      <c r="M169" s="49">
        <f>VLOOKUP($A169,'Data shares'!$C:$FB,62)</f>
        <v>144696000</v>
      </c>
      <c r="N169" s="49">
        <f>VLOOKUP($A169,'Data shares'!$C:$FB,63)</f>
        <v>131208000</v>
      </c>
      <c r="O169" s="140">
        <f>VLOOKUP($A169,'Data shares'!$C:$FB,65)*100</f>
        <v>10.280000000000001</v>
      </c>
    </row>
    <row r="170" spans="1:15" x14ac:dyDescent="0.25">
      <c r="A170" s="101" t="str">
        <f>'Data shares'!C165</f>
        <v>PNBHOUSING</v>
      </c>
      <c r="B170" s="50">
        <f>VLOOKUP($A170,'Data shares'!$C:$FB,7)</f>
        <v>905.25</v>
      </c>
      <c r="C170" s="50">
        <f>VLOOKUP($A170,'Data shares'!$C:$FB,10)*100</f>
        <v>-0.4</v>
      </c>
      <c r="D170" s="49">
        <f>VLOOKUP($A170,'Data shares'!$C:$FB,66)</f>
        <v>10136750</v>
      </c>
      <c r="E170" s="49">
        <f>VLOOKUP($A170,'Data shares'!$C:$FB,67)</f>
        <v>14675050</v>
      </c>
      <c r="F170" s="50">
        <f>VLOOKUP($A170,'Data shares'!$C:$FB,69)*100</f>
        <v>-30.930000000000003</v>
      </c>
      <c r="G170" s="49">
        <f>VLOOKUP($A170,'Data shares'!$C:$FB,42)</f>
        <v>5413200</v>
      </c>
      <c r="H170" s="49">
        <f>VLOOKUP($A170,'Data shares'!$C:$FB,43)</f>
        <v>2785900</v>
      </c>
      <c r="I170" s="50">
        <f>VLOOKUP($A170,'Data shares'!$C:$FB,45)*100</f>
        <v>94.31</v>
      </c>
      <c r="J170" s="49">
        <f>VLOOKUP($A170,'Data shares'!$C:$FB,58)</f>
        <v>3433300</v>
      </c>
      <c r="K170" s="49">
        <f>VLOOKUP($A170,'Data shares'!$C:$FB,59)</f>
        <v>7686250</v>
      </c>
      <c r="L170" s="50">
        <f>VLOOKUP($A170,'Data shares'!$C:$FB,61)*100</f>
        <v>-55.33</v>
      </c>
      <c r="M170" s="49">
        <f>VLOOKUP($A170,'Data shares'!$C:$FB,62)</f>
        <v>1290250</v>
      </c>
      <c r="N170" s="49">
        <f>VLOOKUP($A170,'Data shares'!$C:$FB,63)</f>
        <v>4202900</v>
      </c>
      <c r="O170" s="140">
        <f>VLOOKUP($A170,'Data shares'!$C:$FB,65)*100</f>
        <v>-69.3</v>
      </c>
    </row>
    <row r="171" spans="1:15" x14ac:dyDescent="0.25">
      <c r="A171" s="101" t="str">
        <f>'Data shares'!C166</f>
        <v>POLICYBZR</v>
      </c>
      <c r="B171" s="50">
        <f>VLOOKUP($A171,'Data shares'!$C:$FB,7)</f>
        <v>1843.9</v>
      </c>
      <c r="C171" s="50">
        <f>VLOOKUP($A171,'Data shares'!$C:$FB,10)*100</f>
        <v>-0.37</v>
      </c>
      <c r="D171" s="49">
        <f>VLOOKUP($A171,'Data shares'!$C:$FB,66)</f>
        <v>9789850</v>
      </c>
      <c r="E171" s="49">
        <f>VLOOKUP($A171,'Data shares'!$C:$FB,67)</f>
        <v>17985450</v>
      </c>
      <c r="F171" s="50">
        <f>VLOOKUP($A171,'Data shares'!$C:$FB,69)*100</f>
        <v>-45.57</v>
      </c>
      <c r="G171" s="49">
        <f>VLOOKUP($A171,'Data shares'!$C:$FB,42)</f>
        <v>4518150</v>
      </c>
      <c r="H171" s="49">
        <f>VLOOKUP($A171,'Data shares'!$C:$FB,43)</f>
        <v>2341850</v>
      </c>
      <c r="I171" s="50">
        <f>VLOOKUP($A171,'Data shares'!$C:$FB,45)*100</f>
        <v>92.93</v>
      </c>
      <c r="J171" s="49">
        <f>VLOOKUP($A171,'Data shares'!$C:$FB,58)</f>
        <v>3333400</v>
      </c>
      <c r="K171" s="49">
        <f>VLOOKUP($A171,'Data shares'!$C:$FB,59)</f>
        <v>10927350</v>
      </c>
      <c r="L171" s="50">
        <f>VLOOKUP($A171,'Data shares'!$C:$FB,61)*100</f>
        <v>-69.489999999999995</v>
      </c>
      <c r="M171" s="49">
        <f>VLOOKUP($A171,'Data shares'!$C:$FB,62)</f>
        <v>1938300</v>
      </c>
      <c r="N171" s="49">
        <f>VLOOKUP($A171,'Data shares'!$C:$FB,63)</f>
        <v>4716250</v>
      </c>
      <c r="O171" s="140">
        <f>VLOOKUP($A171,'Data shares'!$C:$FB,65)*100</f>
        <v>-58.9</v>
      </c>
    </row>
    <row r="172" spans="1:15" x14ac:dyDescent="0.25">
      <c r="A172" s="101" t="str">
        <f>'Data shares'!C167</f>
        <v>POLYCAB</v>
      </c>
      <c r="B172" s="50">
        <f>VLOOKUP($A172,'Data shares'!$C:$FB,7)</f>
        <v>7648.5</v>
      </c>
      <c r="C172" s="50">
        <f>VLOOKUP($A172,'Data shares'!$C:$FB,10)*100</f>
        <v>-0.51</v>
      </c>
      <c r="D172" s="49">
        <f>VLOOKUP($A172,'Data shares'!$C:$FB,66)</f>
        <v>2435875</v>
      </c>
      <c r="E172" s="49">
        <f>VLOOKUP($A172,'Data shares'!$C:$FB,67)</f>
        <v>1331125</v>
      </c>
      <c r="F172" s="50">
        <f>VLOOKUP($A172,'Data shares'!$C:$FB,69)*100</f>
        <v>82.99</v>
      </c>
      <c r="G172" s="49">
        <f>VLOOKUP($A172,'Data shares'!$C:$FB,42)</f>
        <v>1070125</v>
      </c>
      <c r="H172" s="49">
        <f>VLOOKUP($A172,'Data shares'!$C:$FB,43)</f>
        <v>194375</v>
      </c>
      <c r="I172" s="50">
        <f>VLOOKUP($A172,'Data shares'!$C:$FB,45)*100</f>
        <v>450.54999999999995</v>
      </c>
      <c r="J172" s="49">
        <f>VLOOKUP($A172,'Data shares'!$C:$FB,58)</f>
        <v>960500</v>
      </c>
      <c r="K172" s="49">
        <f>VLOOKUP($A172,'Data shares'!$C:$FB,59)</f>
        <v>850750</v>
      </c>
      <c r="L172" s="50">
        <f>VLOOKUP($A172,'Data shares'!$C:$FB,61)*100</f>
        <v>12.9</v>
      </c>
      <c r="M172" s="49">
        <f>VLOOKUP($A172,'Data shares'!$C:$FB,62)</f>
        <v>405250</v>
      </c>
      <c r="N172" s="49">
        <f>VLOOKUP($A172,'Data shares'!$C:$FB,63)</f>
        <v>286000</v>
      </c>
      <c r="O172" s="140">
        <f>VLOOKUP($A172,'Data shares'!$C:$FB,65)*100</f>
        <v>41.699999999999996</v>
      </c>
    </row>
    <row r="173" spans="1:15" x14ac:dyDescent="0.25">
      <c r="A173" s="101" t="str">
        <f>'Data shares'!C168</f>
        <v>POWERGRID</v>
      </c>
      <c r="B173" s="50">
        <f>VLOOKUP($A173,'Data shares'!$C:$FB,7)</f>
        <v>277.2</v>
      </c>
      <c r="C173" s="50">
        <f>VLOOKUP($A173,'Data shares'!$C:$FB,10)*100</f>
        <v>0.75</v>
      </c>
      <c r="D173" s="49">
        <f>VLOOKUP($A173,'Data shares'!$C:$FB,66)</f>
        <v>103382800</v>
      </c>
      <c r="E173" s="49">
        <f>VLOOKUP($A173,'Data shares'!$C:$FB,67)</f>
        <v>56851800</v>
      </c>
      <c r="F173" s="50">
        <f>VLOOKUP($A173,'Data shares'!$C:$FB,69)*100</f>
        <v>81.849999999999994</v>
      </c>
      <c r="G173" s="49">
        <f>VLOOKUP($A173,'Data shares'!$C:$FB,42)</f>
        <v>49122600</v>
      </c>
      <c r="H173" s="49">
        <f>VLOOKUP($A173,'Data shares'!$C:$FB,43)</f>
        <v>11945300</v>
      </c>
      <c r="I173" s="50">
        <f>VLOOKUP($A173,'Data shares'!$C:$FB,45)*100</f>
        <v>311.22999999999996</v>
      </c>
      <c r="J173" s="49">
        <f>VLOOKUP($A173,'Data shares'!$C:$FB,58)</f>
        <v>38410400</v>
      </c>
      <c r="K173" s="49">
        <f>VLOOKUP($A173,'Data shares'!$C:$FB,59)</f>
        <v>34555300</v>
      </c>
      <c r="L173" s="50">
        <f>VLOOKUP($A173,'Data shares'!$C:$FB,61)*100</f>
        <v>11.16</v>
      </c>
      <c r="M173" s="49">
        <f>VLOOKUP($A173,'Data shares'!$C:$FB,62)</f>
        <v>15849800</v>
      </c>
      <c r="N173" s="49">
        <f>VLOOKUP($A173,'Data shares'!$C:$FB,63)</f>
        <v>10351200</v>
      </c>
      <c r="O173" s="140">
        <f>VLOOKUP($A173,'Data shares'!$C:$FB,65)*100</f>
        <v>53.12</v>
      </c>
    </row>
    <row r="174" spans="1:15" x14ac:dyDescent="0.25">
      <c r="A174" s="101" t="str">
        <f>'Data shares'!C169</f>
        <v>POWERINDIA</v>
      </c>
      <c r="B174" s="50">
        <f>VLOOKUP($A174,'Data shares'!$C:$FB,7)</f>
        <v>22397</v>
      </c>
      <c r="C174" s="50">
        <f>VLOOKUP($A174,'Data shares'!$C:$FB,10)*100</f>
        <v>3.5700000000000003</v>
      </c>
      <c r="D174" s="49">
        <f>VLOOKUP($A174,'Data shares'!$C:$FB,66)</f>
        <v>4259300</v>
      </c>
      <c r="E174" s="49">
        <f>VLOOKUP($A174,'Data shares'!$C:$FB,67)</f>
        <v>708150</v>
      </c>
      <c r="F174" s="50">
        <f>VLOOKUP($A174,'Data shares'!$C:$FB,69)*100</f>
        <v>501.47</v>
      </c>
      <c r="G174" s="49">
        <f>VLOOKUP($A174,'Data shares'!$C:$FB,42)</f>
        <v>228950</v>
      </c>
      <c r="H174" s="49">
        <f>VLOOKUP($A174,'Data shares'!$C:$FB,43)</f>
        <v>56700</v>
      </c>
      <c r="I174" s="50">
        <f>VLOOKUP($A174,'Data shares'!$C:$FB,45)*100</f>
        <v>303.79000000000002</v>
      </c>
      <c r="J174" s="49">
        <f>VLOOKUP($A174,'Data shares'!$C:$FB,58)</f>
        <v>3036650</v>
      </c>
      <c r="K174" s="49">
        <f>VLOOKUP($A174,'Data shares'!$C:$FB,59)</f>
        <v>376950</v>
      </c>
      <c r="L174" s="50">
        <f>VLOOKUP($A174,'Data shares'!$C:$FB,61)*100</f>
        <v>705.57999999999993</v>
      </c>
      <c r="M174" s="49">
        <f>VLOOKUP($A174,'Data shares'!$C:$FB,62)</f>
        <v>993700</v>
      </c>
      <c r="N174" s="49">
        <f>VLOOKUP($A174,'Data shares'!$C:$FB,63)</f>
        <v>274500</v>
      </c>
      <c r="O174" s="140">
        <f>VLOOKUP($A174,'Data shares'!$C:$FB,65)*100</f>
        <v>262</v>
      </c>
    </row>
    <row r="175" spans="1:15" x14ac:dyDescent="0.25">
      <c r="A175" s="101" t="str">
        <f>'Data shares'!C170</f>
        <v>PPLPHARMA</v>
      </c>
      <c r="B175" s="50">
        <f>VLOOKUP($A175,'Data shares'!$C:$FB,7)</f>
        <v>189.64</v>
      </c>
      <c r="C175" s="50">
        <f>VLOOKUP($A175,'Data shares'!$C:$FB,10)*100</f>
        <v>0.44</v>
      </c>
      <c r="D175" s="49">
        <f>VLOOKUP($A175,'Data shares'!$C:$FB,66)</f>
        <v>27075000</v>
      </c>
      <c r="E175" s="49">
        <f>VLOOKUP($A175,'Data shares'!$C:$FB,67)</f>
        <v>22957500</v>
      </c>
      <c r="F175" s="50">
        <f>VLOOKUP($A175,'Data shares'!$C:$FB,69)*100</f>
        <v>17.940000000000001</v>
      </c>
      <c r="G175" s="49">
        <f>VLOOKUP($A175,'Data shares'!$C:$FB,42)</f>
        <v>15485000</v>
      </c>
      <c r="H175" s="49">
        <f>VLOOKUP($A175,'Data shares'!$C:$FB,43)</f>
        <v>4832500</v>
      </c>
      <c r="I175" s="50">
        <f>VLOOKUP($A175,'Data shares'!$C:$FB,45)*100</f>
        <v>220.43</v>
      </c>
      <c r="J175" s="49">
        <f>VLOOKUP($A175,'Data shares'!$C:$FB,58)</f>
        <v>9280000</v>
      </c>
      <c r="K175" s="49">
        <f>VLOOKUP($A175,'Data shares'!$C:$FB,59)</f>
        <v>13187500</v>
      </c>
      <c r="L175" s="50">
        <f>VLOOKUP($A175,'Data shares'!$C:$FB,61)*100</f>
        <v>-29.630000000000003</v>
      </c>
      <c r="M175" s="49">
        <f>VLOOKUP($A175,'Data shares'!$C:$FB,62)</f>
        <v>2310000</v>
      </c>
      <c r="N175" s="49">
        <f>VLOOKUP($A175,'Data shares'!$C:$FB,63)</f>
        <v>4937500</v>
      </c>
      <c r="O175" s="140">
        <f>VLOOKUP($A175,'Data shares'!$C:$FB,65)*100</f>
        <v>-53.22</v>
      </c>
    </row>
    <row r="176" spans="1:15" x14ac:dyDescent="0.25">
      <c r="A176" s="101" t="str">
        <f>'Data shares'!C171</f>
        <v>PRESTIGE</v>
      </c>
      <c r="B176" s="50">
        <f>VLOOKUP($A176,'Data shares'!$C:$FB,7)</f>
        <v>1717.2</v>
      </c>
      <c r="C176" s="50">
        <f>VLOOKUP($A176,'Data shares'!$C:$FB,10)*100</f>
        <v>-0.01</v>
      </c>
      <c r="D176" s="49">
        <f>VLOOKUP($A176,'Data shares'!$C:$FB,66)</f>
        <v>7007400</v>
      </c>
      <c r="E176" s="49">
        <f>VLOOKUP($A176,'Data shares'!$C:$FB,67)</f>
        <v>6929550</v>
      </c>
      <c r="F176" s="50">
        <f>VLOOKUP($A176,'Data shares'!$C:$FB,69)*100</f>
        <v>1.1199999999999999</v>
      </c>
      <c r="G176" s="49">
        <f>VLOOKUP($A176,'Data shares'!$C:$FB,42)</f>
        <v>2151900</v>
      </c>
      <c r="H176" s="49">
        <f>VLOOKUP($A176,'Data shares'!$C:$FB,43)</f>
        <v>1103850</v>
      </c>
      <c r="I176" s="50">
        <f>VLOOKUP($A176,'Data shares'!$C:$FB,45)*100</f>
        <v>94.94</v>
      </c>
      <c r="J176" s="49">
        <f>VLOOKUP($A176,'Data shares'!$C:$FB,58)</f>
        <v>3933000</v>
      </c>
      <c r="K176" s="49">
        <f>VLOOKUP($A176,'Data shares'!$C:$FB,59)</f>
        <v>4907700</v>
      </c>
      <c r="L176" s="50">
        <f>VLOOKUP($A176,'Data shares'!$C:$FB,61)*100</f>
        <v>-19.86</v>
      </c>
      <c r="M176" s="49">
        <f>VLOOKUP($A176,'Data shares'!$C:$FB,62)</f>
        <v>922500</v>
      </c>
      <c r="N176" s="49">
        <f>VLOOKUP($A176,'Data shares'!$C:$FB,63)</f>
        <v>918000</v>
      </c>
      <c r="O176" s="140">
        <f>VLOOKUP($A176,'Data shares'!$C:$FB,65)*100</f>
        <v>0.49</v>
      </c>
    </row>
    <row r="177" spans="1:15" x14ac:dyDescent="0.25">
      <c r="A177" s="101" t="str">
        <f>'Data shares'!C172</f>
        <v>RBLBANK</v>
      </c>
      <c r="B177" s="50">
        <f>VLOOKUP($A177,'Data shares'!$C:$FB,7)</f>
        <v>313.64999999999998</v>
      </c>
      <c r="C177" s="50">
        <f>VLOOKUP($A177,'Data shares'!$C:$FB,10)*100</f>
        <v>1.31</v>
      </c>
      <c r="D177" s="49">
        <f>VLOOKUP($A177,'Data shares'!$C:$FB,66)</f>
        <v>51657250</v>
      </c>
      <c r="E177" s="49">
        <f>VLOOKUP($A177,'Data shares'!$C:$FB,67)</f>
        <v>42322750</v>
      </c>
      <c r="F177" s="50">
        <f>VLOOKUP($A177,'Data shares'!$C:$FB,69)*100</f>
        <v>22.06</v>
      </c>
      <c r="G177" s="49">
        <f>VLOOKUP($A177,'Data shares'!$C:$FB,42)</f>
        <v>31670625</v>
      </c>
      <c r="H177" s="49">
        <f>VLOOKUP($A177,'Data shares'!$C:$FB,43)</f>
        <v>14912975</v>
      </c>
      <c r="I177" s="50">
        <f>VLOOKUP($A177,'Data shares'!$C:$FB,45)*100</f>
        <v>112.36999999999999</v>
      </c>
      <c r="J177" s="49">
        <f>VLOOKUP($A177,'Data shares'!$C:$FB,58)</f>
        <v>14122400</v>
      </c>
      <c r="K177" s="49">
        <f>VLOOKUP($A177,'Data shares'!$C:$FB,59)</f>
        <v>19103975</v>
      </c>
      <c r="L177" s="50">
        <f>VLOOKUP($A177,'Data shares'!$C:$FB,61)*100</f>
        <v>-26.08</v>
      </c>
      <c r="M177" s="49">
        <f>VLOOKUP($A177,'Data shares'!$C:$FB,62)</f>
        <v>5864225</v>
      </c>
      <c r="N177" s="49">
        <f>VLOOKUP($A177,'Data shares'!$C:$FB,63)</f>
        <v>8305800</v>
      </c>
      <c r="O177" s="140">
        <f>VLOOKUP($A177,'Data shares'!$C:$FB,65)*100</f>
        <v>-29.4</v>
      </c>
    </row>
    <row r="178" spans="1:15" x14ac:dyDescent="0.25">
      <c r="A178" s="101" t="str">
        <f>'Data shares'!C173</f>
        <v>RECLTD</v>
      </c>
      <c r="B178" s="50">
        <f>VLOOKUP($A178,'Data shares'!$C:$FB,7)</f>
        <v>361.4</v>
      </c>
      <c r="C178" s="50">
        <f>VLOOKUP($A178,'Data shares'!$C:$FB,10)*100</f>
        <v>0.54</v>
      </c>
      <c r="D178" s="49">
        <f>VLOOKUP($A178,'Data shares'!$C:$FB,66)</f>
        <v>90420450</v>
      </c>
      <c r="E178" s="49">
        <f>VLOOKUP($A178,'Data shares'!$C:$FB,67)</f>
        <v>64327575</v>
      </c>
      <c r="F178" s="50">
        <f>VLOOKUP($A178,'Data shares'!$C:$FB,69)*100</f>
        <v>40.56</v>
      </c>
      <c r="G178" s="49">
        <f>VLOOKUP($A178,'Data shares'!$C:$FB,42)</f>
        <v>38901525</v>
      </c>
      <c r="H178" s="49">
        <f>VLOOKUP($A178,'Data shares'!$C:$FB,43)</f>
        <v>18437775</v>
      </c>
      <c r="I178" s="50">
        <f>VLOOKUP($A178,'Data shares'!$C:$FB,45)*100</f>
        <v>110.99000000000001</v>
      </c>
      <c r="J178" s="49">
        <f>VLOOKUP($A178,'Data shares'!$C:$FB,58)</f>
        <v>33267300</v>
      </c>
      <c r="K178" s="49">
        <f>VLOOKUP($A178,'Data shares'!$C:$FB,59)</f>
        <v>31373925</v>
      </c>
      <c r="L178" s="50">
        <f>VLOOKUP($A178,'Data shares'!$C:$FB,61)*100</f>
        <v>6.03</v>
      </c>
      <c r="M178" s="49">
        <f>VLOOKUP($A178,'Data shares'!$C:$FB,62)</f>
        <v>18251625</v>
      </c>
      <c r="N178" s="49">
        <f>VLOOKUP($A178,'Data shares'!$C:$FB,63)</f>
        <v>14515875</v>
      </c>
      <c r="O178" s="140">
        <f>VLOOKUP($A178,'Data shares'!$C:$FB,65)*100</f>
        <v>25.740000000000002</v>
      </c>
    </row>
    <row r="179" spans="1:15" x14ac:dyDescent="0.25">
      <c r="A179" s="101" t="str">
        <f>'Data shares'!C174</f>
        <v>RELIANCE</v>
      </c>
      <c r="B179" s="50">
        <f>VLOOKUP($A179,'Data shares'!$C:$FB,7)</f>
        <v>1549.1</v>
      </c>
      <c r="C179" s="50">
        <f>VLOOKUP($A179,'Data shares'!$C:$FB,10)*100</f>
        <v>1.9900000000000002</v>
      </c>
      <c r="D179" s="49">
        <f>VLOOKUP($A179,'Data shares'!$C:$FB,66)</f>
        <v>357956500</v>
      </c>
      <c r="E179" s="49">
        <f>VLOOKUP($A179,'Data shares'!$C:$FB,67)</f>
        <v>120375500</v>
      </c>
      <c r="F179" s="50">
        <f>VLOOKUP($A179,'Data shares'!$C:$FB,69)*100</f>
        <v>197.37</v>
      </c>
      <c r="G179" s="49">
        <f>VLOOKUP($A179,'Data shares'!$C:$FB,42)</f>
        <v>59613000</v>
      </c>
      <c r="H179" s="49">
        <f>VLOOKUP($A179,'Data shares'!$C:$FB,43)</f>
        <v>16993000</v>
      </c>
      <c r="I179" s="50">
        <f>VLOOKUP($A179,'Data shares'!$C:$FB,45)*100</f>
        <v>250.81000000000003</v>
      </c>
      <c r="J179" s="49">
        <f>VLOOKUP($A179,'Data shares'!$C:$FB,58)</f>
        <v>204455500</v>
      </c>
      <c r="K179" s="49">
        <f>VLOOKUP($A179,'Data shares'!$C:$FB,59)</f>
        <v>64689000</v>
      </c>
      <c r="L179" s="50">
        <f>VLOOKUP($A179,'Data shares'!$C:$FB,61)*100</f>
        <v>216.06</v>
      </c>
      <c r="M179" s="49">
        <f>VLOOKUP($A179,'Data shares'!$C:$FB,62)</f>
        <v>93888000</v>
      </c>
      <c r="N179" s="49">
        <f>VLOOKUP($A179,'Data shares'!$C:$FB,63)</f>
        <v>38693500</v>
      </c>
      <c r="O179" s="140">
        <f>VLOOKUP($A179,'Data shares'!$C:$FB,65)*100</f>
        <v>142.65</v>
      </c>
    </row>
    <row r="180" spans="1:15" x14ac:dyDescent="0.25">
      <c r="A180" s="101" t="str">
        <f>'Data shares'!C175</f>
        <v>RVNL</v>
      </c>
      <c r="B180" s="50">
        <f>VLOOKUP($A180,'Data shares'!$C:$FB,7)</f>
        <v>319.10000000000002</v>
      </c>
      <c r="C180" s="50">
        <f>VLOOKUP($A180,'Data shares'!$C:$FB,10)*100</f>
        <v>-0.33</v>
      </c>
      <c r="D180" s="49">
        <f>VLOOKUP($A180,'Data shares'!$C:$FB,66)</f>
        <v>54786875</v>
      </c>
      <c r="E180" s="49">
        <f>VLOOKUP($A180,'Data shares'!$C:$FB,67)</f>
        <v>31777625</v>
      </c>
      <c r="F180" s="50">
        <f>VLOOKUP($A180,'Data shares'!$C:$FB,69)*100</f>
        <v>72.41</v>
      </c>
      <c r="G180" s="49">
        <f>VLOOKUP($A180,'Data shares'!$C:$FB,42)</f>
        <v>34358500</v>
      </c>
      <c r="H180" s="49">
        <f>VLOOKUP($A180,'Data shares'!$C:$FB,43)</f>
        <v>7940625</v>
      </c>
      <c r="I180" s="50">
        <f>VLOOKUP($A180,'Data shares'!$C:$FB,45)*100</f>
        <v>332.69</v>
      </c>
      <c r="J180" s="49">
        <f>VLOOKUP($A180,'Data shares'!$C:$FB,58)</f>
        <v>14712500</v>
      </c>
      <c r="K180" s="49">
        <f>VLOOKUP($A180,'Data shares'!$C:$FB,59)</f>
        <v>17536750</v>
      </c>
      <c r="L180" s="50">
        <f>VLOOKUP($A180,'Data shares'!$C:$FB,61)*100</f>
        <v>-16.100000000000001</v>
      </c>
      <c r="M180" s="49">
        <f>VLOOKUP($A180,'Data shares'!$C:$FB,62)</f>
        <v>5715875</v>
      </c>
      <c r="N180" s="49">
        <f>VLOOKUP($A180,'Data shares'!$C:$FB,63)</f>
        <v>6300250</v>
      </c>
      <c r="O180" s="140">
        <f>VLOOKUP($A180,'Data shares'!$C:$FB,65)*100</f>
        <v>-9.2799999999999994</v>
      </c>
    </row>
    <row r="181" spans="1:15" x14ac:dyDescent="0.25">
      <c r="A181" s="101" t="str">
        <f>'Data shares'!C176</f>
        <v>SAIL</v>
      </c>
      <c r="B181" s="50">
        <f>VLOOKUP($A181,'Data shares'!$C:$FB,7)</f>
        <v>138.19</v>
      </c>
      <c r="C181" s="50">
        <f>VLOOKUP($A181,'Data shares'!$C:$FB,10)*100</f>
        <v>-1.29</v>
      </c>
      <c r="D181" s="49">
        <f>VLOOKUP($A181,'Data shares'!$C:$FB,66)</f>
        <v>16017600</v>
      </c>
      <c r="E181" s="49">
        <f>VLOOKUP($A181,'Data shares'!$C:$FB,67)</f>
        <v>4117200</v>
      </c>
      <c r="F181" s="50">
        <f>VLOOKUP($A181,'Data shares'!$C:$FB,69)*100</f>
        <v>289.04000000000002</v>
      </c>
      <c r="G181" s="49">
        <f>VLOOKUP($A181,'Data shares'!$C:$FB,42)</f>
        <v>12041400</v>
      </c>
      <c r="H181" s="49">
        <f>VLOOKUP($A181,'Data shares'!$C:$FB,43)</f>
        <v>1184400</v>
      </c>
      <c r="I181" s="50">
        <f>VLOOKUP($A181,'Data shares'!$C:$FB,45)*100</f>
        <v>916.67000000000007</v>
      </c>
      <c r="J181" s="49">
        <f>VLOOKUP($A181,'Data shares'!$C:$FB,58)</f>
        <v>3083200</v>
      </c>
      <c r="K181" s="49">
        <f>VLOOKUP($A181,'Data shares'!$C:$FB,59)</f>
        <v>2039800</v>
      </c>
      <c r="L181" s="50">
        <f>VLOOKUP($A181,'Data shares'!$C:$FB,61)*100</f>
        <v>51.15</v>
      </c>
      <c r="M181" s="49">
        <f>VLOOKUP($A181,'Data shares'!$C:$FB,62)</f>
        <v>893000</v>
      </c>
      <c r="N181" s="49">
        <f>VLOOKUP($A181,'Data shares'!$C:$FB,63)</f>
        <v>893000</v>
      </c>
      <c r="O181" s="140">
        <f>VLOOKUP($A181,'Data shares'!$C:$FB,65)*100</f>
        <v>0</v>
      </c>
    </row>
    <row r="182" spans="1:15" x14ac:dyDescent="0.25">
      <c r="A182" s="101" t="str">
        <f>'Data shares'!C177</f>
        <v>SAMMAANCAP</v>
      </c>
      <c r="B182" s="50">
        <f>VLOOKUP($A182,'Data shares'!$C:$FB,7)</f>
        <v>157.02000000000001</v>
      </c>
      <c r="C182" s="50">
        <f>VLOOKUP($A182,'Data shares'!$C:$FB,10)*100</f>
        <v>-1.59</v>
      </c>
      <c r="D182" s="49">
        <f>VLOOKUP($A182,'Data shares'!$C:$FB,66)</f>
        <v>71048900</v>
      </c>
      <c r="E182" s="49">
        <f>VLOOKUP($A182,'Data shares'!$C:$FB,67)</f>
        <v>736112700</v>
      </c>
      <c r="F182" s="50">
        <f>VLOOKUP($A182,'Data shares'!$C:$FB,69)*100</f>
        <v>-90.35</v>
      </c>
      <c r="G182" s="49">
        <f>VLOOKUP($A182,'Data shares'!$C:$FB,42)</f>
        <v>30671900</v>
      </c>
      <c r="H182" s="49">
        <f>VLOOKUP($A182,'Data shares'!$C:$FB,43)</f>
        <v>150882700</v>
      </c>
      <c r="I182" s="50">
        <f>VLOOKUP($A182,'Data shares'!$C:$FB,45)*100</f>
        <v>-79.67</v>
      </c>
      <c r="J182" s="49">
        <f>VLOOKUP($A182,'Data shares'!$C:$FB,58)</f>
        <v>21401100</v>
      </c>
      <c r="K182" s="49">
        <f>VLOOKUP($A182,'Data shares'!$C:$FB,59)</f>
        <v>298699500</v>
      </c>
      <c r="L182" s="50">
        <f>VLOOKUP($A182,'Data shares'!$C:$FB,61)*100</f>
        <v>-92.84</v>
      </c>
      <c r="M182" s="49">
        <f>VLOOKUP($A182,'Data shares'!$C:$FB,62)</f>
        <v>18975900</v>
      </c>
      <c r="N182" s="49">
        <f>VLOOKUP($A182,'Data shares'!$C:$FB,63)</f>
        <v>286530500</v>
      </c>
      <c r="O182" s="140">
        <f>VLOOKUP($A182,'Data shares'!$C:$FB,65)*100</f>
        <v>-93.38</v>
      </c>
    </row>
    <row r="183" spans="1:15" x14ac:dyDescent="0.25">
      <c r="A183" s="101" t="str">
        <f>'Data shares'!C178</f>
        <v>SBICARD</v>
      </c>
      <c r="B183" s="50">
        <f>VLOOKUP($A183,'Data shares'!$C:$FB,7)</f>
        <v>874.1</v>
      </c>
      <c r="C183" s="50">
        <f>VLOOKUP($A183,'Data shares'!$C:$FB,10)*100</f>
        <v>1.2</v>
      </c>
      <c r="D183" s="49">
        <f>VLOOKUP($A183,'Data shares'!$C:$FB,66)</f>
        <v>22556000</v>
      </c>
      <c r="E183" s="49">
        <f>VLOOKUP($A183,'Data shares'!$C:$FB,67)</f>
        <v>20738400</v>
      </c>
      <c r="F183" s="50">
        <f>VLOOKUP($A183,'Data shares'!$C:$FB,69)*100</f>
        <v>8.76</v>
      </c>
      <c r="G183" s="49">
        <f>VLOOKUP($A183,'Data shares'!$C:$FB,42)</f>
        <v>12435200</v>
      </c>
      <c r="H183" s="49">
        <f>VLOOKUP($A183,'Data shares'!$C:$FB,43)</f>
        <v>3909600</v>
      </c>
      <c r="I183" s="50">
        <f>VLOOKUP($A183,'Data shares'!$C:$FB,45)*100</f>
        <v>218.07</v>
      </c>
      <c r="J183" s="49">
        <f>VLOOKUP($A183,'Data shares'!$C:$FB,58)</f>
        <v>7314400</v>
      </c>
      <c r="K183" s="49">
        <f>VLOOKUP($A183,'Data shares'!$C:$FB,59)</f>
        <v>12779200</v>
      </c>
      <c r="L183" s="50">
        <f>VLOOKUP($A183,'Data shares'!$C:$FB,61)*100</f>
        <v>-42.76</v>
      </c>
      <c r="M183" s="49">
        <f>VLOOKUP($A183,'Data shares'!$C:$FB,62)</f>
        <v>2806400</v>
      </c>
      <c r="N183" s="49">
        <f>VLOOKUP($A183,'Data shares'!$C:$FB,63)</f>
        <v>4049600</v>
      </c>
      <c r="O183" s="140">
        <f>VLOOKUP($A183,'Data shares'!$C:$FB,65)*100</f>
        <v>-30.7</v>
      </c>
    </row>
    <row r="184" spans="1:15" x14ac:dyDescent="0.25">
      <c r="A184" s="101" t="str">
        <f>'Data shares'!C179</f>
        <v>SBILIFE</v>
      </c>
      <c r="B184" s="50">
        <f>VLOOKUP($A184,'Data shares'!$C:$FB,7)</f>
        <v>2027.1</v>
      </c>
      <c r="C184" s="50">
        <f>VLOOKUP($A184,'Data shares'!$C:$FB,10)*100</f>
        <v>1.1100000000000001</v>
      </c>
      <c r="D184" s="49">
        <f>VLOOKUP($A184,'Data shares'!$C:$FB,66)</f>
        <v>16935750</v>
      </c>
      <c r="E184" s="49">
        <f>VLOOKUP($A184,'Data shares'!$C:$FB,67)</f>
        <v>6960750</v>
      </c>
      <c r="F184" s="50">
        <f>VLOOKUP($A184,'Data shares'!$C:$FB,69)*100</f>
        <v>143.30000000000001</v>
      </c>
      <c r="G184" s="49">
        <f>VLOOKUP($A184,'Data shares'!$C:$FB,42)</f>
        <v>5208000</v>
      </c>
      <c r="H184" s="49">
        <f>VLOOKUP($A184,'Data shares'!$C:$FB,43)</f>
        <v>1062000</v>
      </c>
      <c r="I184" s="50">
        <f>VLOOKUP($A184,'Data shares'!$C:$FB,45)*100</f>
        <v>390.4</v>
      </c>
      <c r="J184" s="49">
        <f>VLOOKUP($A184,'Data shares'!$C:$FB,58)</f>
        <v>8334375</v>
      </c>
      <c r="K184" s="49">
        <f>VLOOKUP($A184,'Data shares'!$C:$FB,59)</f>
        <v>3388875</v>
      </c>
      <c r="L184" s="50">
        <f>VLOOKUP($A184,'Data shares'!$C:$FB,61)*100</f>
        <v>145.93</v>
      </c>
      <c r="M184" s="49">
        <f>VLOOKUP($A184,'Data shares'!$C:$FB,62)</f>
        <v>3393375</v>
      </c>
      <c r="N184" s="49">
        <f>VLOOKUP($A184,'Data shares'!$C:$FB,63)</f>
        <v>2509875</v>
      </c>
      <c r="O184" s="140">
        <f>VLOOKUP($A184,'Data shares'!$C:$FB,65)*100</f>
        <v>35.199999999999996</v>
      </c>
    </row>
    <row r="185" spans="1:15" x14ac:dyDescent="0.25">
      <c r="A185" s="101" t="str">
        <f>'Data shares'!C180</f>
        <v>SBIN</v>
      </c>
      <c r="B185" s="50">
        <f>VLOOKUP($A185,'Data shares'!$C:$FB,7)</f>
        <v>981.55</v>
      </c>
      <c r="C185" s="50">
        <f>VLOOKUP($A185,'Data shares'!$C:$FB,10)*100</f>
        <v>-0.12</v>
      </c>
      <c r="D185" s="49">
        <f>VLOOKUP($A185,'Data shares'!$C:$FB,66)</f>
        <v>163778250</v>
      </c>
      <c r="E185" s="49">
        <f>VLOOKUP($A185,'Data shares'!$C:$FB,67)</f>
        <v>201616500</v>
      </c>
      <c r="F185" s="50">
        <f>VLOOKUP($A185,'Data shares'!$C:$FB,69)*100</f>
        <v>-18.77</v>
      </c>
      <c r="G185" s="49">
        <f>VLOOKUP($A185,'Data shares'!$C:$FB,42)</f>
        <v>42530250</v>
      </c>
      <c r="H185" s="49">
        <f>VLOOKUP($A185,'Data shares'!$C:$FB,43)</f>
        <v>20482500</v>
      </c>
      <c r="I185" s="50">
        <f>VLOOKUP($A185,'Data shares'!$C:$FB,45)*100</f>
        <v>107.64</v>
      </c>
      <c r="J185" s="49">
        <f>VLOOKUP($A185,'Data shares'!$C:$FB,58)</f>
        <v>71884500</v>
      </c>
      <c r="K185" s="49">
        <f>VLOOKUP($A185,'Data shares'!$C:$FB,59)</f>
        <v>105961500</v>
      </c>
      <c r="L185" s="50">
        <f>VLOOKUP($A185,'Data shares'!$C:$FB,61)*100</f>
        <v>-32.159999999999997</v>
      </c>
      <c r="M185" s="49">
        <f>VLOOKUP($A185,'Data shares'!$C:$FB,62)</f>
        <v>49363500</v>
      </c>
      <c r="N185" s="49">
        <f>VLOOKUP($A185,'Data shares'!$C:$FB,63)</f>
        <v>75172500</v>
      </c>
      <c r="O185" s="140">
        <f>VLOOKUP($A185,'Data shares'!$C:$FB,65)*100</f>
        <v>-34.33</v>
      </c>
    </row>
    <row r="186" spans="1:15" x14ac:dyDescent="0.25">
      <c r="A186" s="101" t="str">
        <f>'Data shares'!C181</f>
        <v>SHREECEM</v>
      </c>
      <c r="B186" s="50">
        <f>VLOOKUP($A186,'Data shares'!$C:$FB,7)</f>
        <v>26480</v>
      </c>
      <c r="C186" s="50">
        <f>VLOOKUP($A186,'Data shares'!$C:$FB,10)*100</f>
        <v>-0.11</v>
      </c>
      <c r="D186" s="49">
        <f>VLOOKUP($A186,'Data shares'!$C:$FB,66)</f>
        <v>334800</v>
      </c>
      <c r="E186" s="49">
        <f>VLOOKUP($A186,'Data shares'!$C:$FB,67)</f>
        <v>219575</v>
      </c>
      <c r="F186" s="50">
        <f>VLOOKUP($A186,'Data shares'!$C:$FB,69)*100</f>
        <v>52.480000000000004</v>
      </c>
      <c r="G186" s="49">
        <f>VLOOKUP($A186,'Data shares'!$C:$FB,42)</f>
        <v>190325</v>
      </c>
      <c r="H186" s="49">
        <f>VLOOKUP($A186,'Data shares'!$C:$FB,43)</f>
        <v>28075</v>
      </c>
      <c r="I186" s="50">
        <f>VLOOKUP($A186,'Data shares'!$C:$FB,45)*100</f>
        <v>577.92000000000007</v>
      </c>
      <c r="J186" s="49">
        <f>VLOOKUP($A186,'Data shares'!$C:$FB,58)</f>
        <v>130300</v>
      </c>
      <c r="K186" s="49">
        <f>VLOOKUP($A186,'Data shares'!$C:$FB,59)</f>
        <v>169675</v>
      </c>
      <c r="L186" s="50">
        <f>VLOOKUP($A186,'Data shares'!$C:$FB,61)*100</f>
        <v>-23.21</v>
      </c>
      <c r="M186" s="49">
        <f>VLOOKUP($A186,'Data shares'!$C:$FB,62)</f>
        <v>14175</v>
      </c>
      <c r="N186" s="49">
        <f>VLOOKUP($A186,'Data shares'!$C:$FB,63)</f>
        <v>21825</v>
      </c>
      <c r="O186" s="140">
        <f>VLOOKUP($A186,'Data shares'!$C:$FB,65)*100</f>
        <v>-35.049999999999997</v>
      </c>
    </row>
    <row r="187" spans="1:15" x14ac:dyDescent="0.25">
      <c r="A187" s="101" t="str">
        <f>'Data shares'!C182</f>
        <v>SHRIRAMFIN</v>
      </c>
      <c r="B187" s="50">
        <f>VLOOKUP($A187,'Data shares'!$C:$FB,7)</f>
        <v>826.6</v>
      </c>
      <c r="C187" s="50">
        <f>VLOOKUP($A187,'Data shares'!$C:$FB,10)*100</f>
        <v>1.05</v>
      </c>
      <c r="D187" s="49">
        <f>VLOOKUP($A187,'Data shares'!$C:$FB,66)</f>
        <v>54783300</v>
      </c>
      <c r="E187" s="49">
        <f>VLOOKUP($A187,'Data shares'!$C:$FB,67)</f>
        <v>34676400</v>
      </c>
      <c r="F187" s="50">
        <f>VLOOKUP($A187,'Data shares'!$C:$FB,69)*100</f>
        <v>57.98</v>
      </c>
      <c r="G187" s="49">
        <f>VLOOKUP($A187,'Data shares'!$C:$FB,42)</f>
        <v>28611000</v>
      </c>
      <c r="H187" s="49">
        <f>VLOOKUP($A187,'Data shares'!$C:$FB,43)</f>
        <v>7990125</v>
      </c>
      <c r="I187" s="50">
        <f>VLOOKUP($A187,'Data shares'!$C:$FB,45)*100</f>
        <v>258.08</v>
      </c>
      <c r="J187" s="49">
        <f>VLOOKUP($A187,'Data shares'!$C:$FB,58)</f>
        <v>16704600</v>
      </c>
      <c r="K187" s="49">
        <f>VLOOKUP($A187,'Data shares'!$C:$FB,59)</f>
        <v>16069350</v>
      </c>
      <c r="L187" s="50">
        <f>VLOOKUP($A187,'Data shares'!$C:$FB,61)*100</f>
        <v>3.95</v>
      </c>
      <c r="M187" s="49">
        <f>VLOOKUP($A187,'Data shares'!$C:$FB,62)</f>
        <v>9467700</v>
      </c>
      <c r="N187" s="49">
        <f>VLOOKUP($A187,'Data shares'!$C:$FB,63)</f>
        <v>10616925</v>
      </c>
      <c r="O187" s="140">
        <f>VLOOKUP($A187,'Data shares'!$C:$FB,65)*100</f>
        <v>-10.82</v>
      </c>
    </row>
    <row r="188" spans="1:15" x14ac:dyDescent="0.25">
      <c r="A188" s="101" t="str">
        <f>'Data shares'!C183</f>
        <v>SIEMENS</v>
      </c>
      <c r="B188" s="50">
        <f>VLOOKUP($A188,'Data shares'!$C:$FB,7)</f>
        <v>3216.3</v>
      </c>
      <c r="C188" s="50">
        <f>VLOOKUP($A188,'Data shares'!$C:$FB,10)*100</f>
        <v>0.15</v>
      </c>
      <c r="D188" s="49">
        <f>VLOOKUP($A188,'Data shares'!$C:$FB,66)</f>
        <v>8665750</v>
      </c>
      <c r="E188" s="49">
        <f>VLOOKUP($A188,'Data shares'!$C:$FB,67)</f>
        <v>8404000</v>
      </c>
      <c r="F188" s="50">
        <f>VLOOKUP($A188,'Data shares'!$C:$FB,69)*100</f>
        <v>3.11</v>
      </c>
      <c r="G188" s="49">
        <f>VLOOKUP($A188,'Data shares'!$C:$FB,42)</f>
        <v>1933375</v>
      </c>
      <c r="H188" s="49">
        <f>VLOOKUP($A188,'Data shares'!$C:$FB,43)</f>
        <v>596375</v>
      </c>
      <c r="I188" s="50">
        <f>VLOOKUP($A188,'Data shares'!$C:$FB,45)*100</f>
        <v>224.18999999999997</v>
      </c>
      <c r="J188" s="49">
        <f>VLOOKUP($A188,'Data shares'!$C:$FB,58)</f>
        <v>4672875</v>
      </c>
      <c r="K188" s="49">
        <f>VLOOKUP($A188,'Data shares'!$C:$FB,59)</f>
        <v>4560250</v>
      </c>
      <c r="L188" s="50">
        <f>VLOOKUP($A188,'Data shares'!$C:$FB,61)*100</f>
        <v>2.4699999999999998</v>
      </c>
      <c r="M188" s="49">
        <f>VLOOKUP($A188,'Data shares'!$C:$FB,62)</f>
        <v>2059500</v>
      </c>
      <c r="N188" s="49">
        <f>VLOOKUP($A188,'Data shares'!$C:$FB,63)</f>
        <v>3247375</v>
      </c>
      <c r="O188" s="140">
        <f>VLOOKUP($A188,'Data shares'!$C:$FB,65)*100</f>
        <v>-36.58</v>
      </c>
    </row>
    <row r="189" spans="1:15" x14ac:dyDescent="0.25">
      <c r="A189" s="101" t="str">
        <f>'Data shares'!C216</f>
        <v>ZYDUSLIFE</v>
      </c>
      <c r="B189" s="50">
        <f>VLOOKUP($A189,'Data shares'!$C:$FB,7)</f>
        <v>928</v>
      </c>
      <c r="C189" s="50">
        <f>VLOOKUP($A189,'Data shares'!$C:$FB,10)*100</f>
        <v>-0.24</v>
      </c>
      <c r="D189" s="49">
        <f>VLOOKUP($A189,'Data shares'!$C:$FB,66)</f>
        <v>17039700</v>
      </c>
      <c r="E189" s="49">
        <f>VLOOKUP($A189,'Data shares'!$C:$FB,67)</f>
        <v>7930800</v>
      </c>
      <c r="F189" s="50">
        <f>VLOOKUP($A189,'Data shares'!$C:$FB,69)*100</f>
        <v>114.85000000000001</v>
      </c>
      <c r="G189" s="49">
        <f>VLOOKUP($A189,'Data shares'!$C:$FB,42)</f>
        <v>9523800</v>
      </c>
      <c r="H189" s="49">
        <f>VLOOKUP($A189,'Data shares'!$C:$FB,43)</f>
        <v>2210400</v>
      </c>
      <c r="I189" s="50">
        <f>VLOOKUP($A189,'Data shares'!$C:$FB,45)*100</f>
        <v>330.86</v>
      </c>
      <c r="J189" s="49">
        <f>VLOOKUP($A189,'Data shares'!$C:$FB,58)</f>
        <v>4936500</v>
      </c>
      <c r="K189" s="49">
        <f>VLOOKUP($A189,'Data shares'!$C:$FB,59)</f>
        <v>4254300</v>
      </c>
      <c r="L189" s="50">
        <f>VLOOKUP($A189,'Data shares'!$C:$FB,61)*100</f>
        <v>16.04</v>
      </c>
      <c r="M189" s="49">
        <f>VLOOKUP($A189,'Data shares'!$C:$FB,62)</f>
        <v>2579400</v>
      </c>
      <c r="N189" s="49">
        <f>VLOOKUP($A189,'Data shares'!$C:$FB,63)</f>
        <v>1466100</v>
      </c>
      <c r="O189" s="140">
        <f>VLOOKUP($A189,'Data shares'!$C:$FB,65)*100</f>
        <v>75.94</v>
      </c>
    </row>
    <row r="190" spans="1:15" x14ac:dyDescent="0.25">
      <c r="A190" s="101"/>
      <c r="B190" s="50"/>
      <c r="C190" s="50"/>
      <c r="D190" s="49"/>
      <c r="E190" s="49"/>
      <c r="F190" s="50"/>
      <c r="G190" s="49"/>
      <c r="H190" s="49"/>
      <c r="I190" s="50"/>
      <c r="J190" s="49"/>
      <c r="K190" s="49"/>
      <c r="L190" s="50"/>
      <c r="M190" s="49"/>
      <c r="N190" s="49"/>
      <c r="O190" s="140"/>
    </row>
    <row r="191" spans="1:15" x14ac:dyDescent="0.25">
      <c r="A191" s="101"/>
      <c r="B191" s="50"/>
      <c r="C191" s="50"/>
      <c r="D191" s="49"/>
      <c r="E191" s="49"/>
      <c r="F191" s="50"/>
      <c r="G191" s="49"/>
      <c r="H191" s="49"/>
      <c r="I191" s="50"/>
      <c r="J191" s="49"/>
      <c r="K191" s="49"/>
      <c r="L191" s="50"/>
      <c r="M191" s="49"/>
      <c r="N191" s="49"/>
      <c r="O191" s="140"/>
    </row>
    <row r="192" spans="1:15" x14ac:dyDescent="0.25">
      <c r="A192" s="101"/>
      <c r="B192" s="50"/>
      <c r="C192" s="50"/>
      <c r="D192" s="49"/>
      <c r="E192" s="49"/>
      <c r="F192" s="50"/>
      <c r="G192" s="49"/>
      <c r="H192" s="49"/>
      <c r="I192" s="50"/>
      <c r="J192" s="49"/>
      <c r="K192" s="49"/>
      <c r="L192" s="50"/>
      <c r="M192" s="49"/>
      <c r="N192" s="49"/>
      <c r="O192" s="140"/>
    </row>
    <row r="193" spans="1:15" x14ac:dyDescent="0.25">
      <c r="A193" s="101"/>
      <c r="B193" s="50"/>
      <c r="C193" s="50"/>
      <c r="D193" s="49"/>
      <c r="E193" s="49"/>
      <c r="F193" s="50"/>
      <c r="G193" s="49"/>
      <c r="H193" s="49"/>
      <c r="I193" s="50"/>
      <c r="J193" s="49"/>
      <c r="K193" s="49"/>
      <c r="L193" s="50"/>
      <c r="M193" s="49"/>
      <c r="N193" s="49"/>
      <c r="O193" s="140"/>
    </row>
    <row r="194" spans="1:15" x14ac:dyDescent="0.25">
      <c r="A194" s="101"/>
      <c r="B194" s="50"/>
      <c r="C194" s="50"/>
      <c r="D194" s="49"/>
      <c r="E194" s="49"/>
      <c r="F194" s="50"/>
      <c r="G194" s="49"/>
      <c r="H194" s="49"/>
      <c r="I194" s="50"/>
      <c r="J194" s="49"/>
      <c r="K194" s="49"/>
      <c r="L194" s="50"/>
      <c r="M194" s="49"/>
      <c r="N194" s="49"/>
      <c r="O194" s="140"/>
    </row>
    <row r="195" spans="1:15" x14ac:dyDescent="0.25">
      <c r="A195" s="101"/>
      <c r="B195" s="50"/>
      <c r="C195" s="50"/>
      <c r="D195" s="49"/>
      <c r="E195" s="49"/>
      <c r="F195" s="50"/>
      <c r="G195" s="49"/>
      <c r="H195" s="49"/>
      <c r="I195" s="50"/>
      <c r="J195" s="49"/>
      <c r="K195" s="49"/>
      <c r="L195" s="50"/>
      <c r="M195" s="49"/>
      <c r="N195" s="49"/>
      <c r="O195" s="140"/>
    </row>
    <row r="196" spans="1:15" x14ac:dyDescent="0.25">
      <c r="A196" s="101"/>
      <c r="B196" s="50"/>
      <c r="C196" s="50"/>
      <c r="D196" s="49"/>
      <c r="E196" s="49"/>
      <c r="F196" s="50"/>
      <c r="G196" s="49"/>
      <c r="H196" s="49"/>
      <c r="I196" s="50"/>
      <c r="J196" s="49"/>
      <c r="K196" s="49"/>
      <c r="L196" s="50"/>
      <c r="M196" s="49"/>
      <c r="N196" s="49"/>
      <c r="O196" s="140"/>
    </row>
    <row r="197" spans="1:15" x14ac:dyDescent="0.25">
      <c r="A197" s="101"/>
      <c r="B197" s="50"/>
      <c r="C197" s="50"/>
      <c r="D197" s="49"/>
      <c r="E197" s="49"/>
      <c r="F197" s="50"/>
      <c r="G197" s="49"/>
      <c r="H197" s="49"/>
      <c r="I197" s="50"/>
      <c r="J197" s="49"/>
      <c r="K197" s="49"/>
      <c r="L197" s="50"/>
      <c r="M197" s="49"/>
      <c r="N197" s="49"/>
      <c r="O197" s="140"/>
    </row>
    <row r="198" spans="1:15" x14ac:dyDescent="0.25">
      <c r="A198" s="101"/>
      <c r="B198" s="50"/>
      <c r="C198" s="50"/>
      <c r="D198" s="49"/>
      <c r="E198" s="49"/>
      <c r="F198" s="50"/>
      <c r="G198" s="49"/>
      <c r="H198" s="49"/>
      <c r="I198" s="50"/>
      <c r="J198" s="49"/>
      <c r="K198" s="49"/>
      <c r="L198" s="50"/>
      <c r="M198" s="49"/>
      <c r="N198" s="49"/>
      <c r="O198" s="140"/>
    </row>
    <row r="199" spans="1:15" x14ac:dyDescent="0.25">
      <c r="A199" s="101"/>
      <c r="B199" s="50"/>
      <c r="C199" s="50"/>
      <c r="D199" s="49"/>
      <c r="E199" s="49"/>
      <c r="F199" s="50"/>
      <c r="G199" s="49"/>
      <c r="H199" s="49"/>
      <c r="I199" s="50"/>
      <c r="J199" s="49"/>
      <c r="K199" s="49"/>
      <c r="L199" s="50"/>
      <c r="M199" s="49"/>
      <c r="N199" s="49"/>
      <c r="O199" s="140"/>
    </row>
    <row r="200" spans="1:15" x14ac:dyDescent="0.25">
      <c r="A200" s="101"/>
      <c r="B200" s="50"/>
      <c r="C200" s="50"/>
      <c r="D200" s="49"/>
      <c r="E200" s="49"/>
      <c r="F200" s="50"/>
      <c r="G200" s="49"/>
      <c r="H200" s="49"/>
      <c r="I200" s="50"/>
      <c r="J200" s="49"/>
      <c r="K200" s="49"/>
      <c r="L200" s="50"/>
      <c r="M200" s="49"/>
      <c r="N200" s="49"/>
      <c r="O200" s="140"/>
    </row>
    <row r="201" spans="1:15" x14ac:dyDescent="0.25">
      <c r="A201" s="101"/>
      <c r="B201" s="50"/>
      <c r="C201" s="50"/>
      <c r="D201" s="49"/>
      <c r="E201" s="49"/>
      <c r="F201" s="50"/>
      <c r="G201" s="49"/>
      <c r="H201" s="49"/>
      <c r="I201" s="50"/>
      <c r="J201" s="49"/>
      <c r="K201" s="49"/>
      <c r="L201" s="50"/>
      <c r="M201" s="49"/>
      <c r="N201" s="49"/>
      <c r="O201" s="140"/>
    </row>
    <row r="202" spans="1:15" x14ac:dyDescent="0.25">
      <c r="A202" s="101"/>
      <c r="B202" s="50"/>
      <c r="C202" s="50"/>
      <c r="D202" s="49"/>
      <c r="E202" s="49"/>
      <c r="F202" s="50"/>
      <c r="G202" s="49"/>
      <c r="H202" s="49"/>
      <c r="I202" s="50"/>
      <c r="J202" s="49"/>
      <c r="K202" s="49"/>
      <c r="L202" s="50"/>
      <c r="M202" s="49"/>
      <c r="N202" s="49"/>
      <c r="O202" s="140"/>
    </row>
    <row r="203" spans="1:15" x14ac:dyDescent="0.25">
      <c r="A203" s="101"/>
      <c r="B203" s="50"/>
      <c r="C203" s="50"/>
      <c r="D203" s="49"/>
      <c r="E203" s="49"/>
      <c r="F203" s="50"/>
      <c r="G203" s="49"/>
      <c r="H203" s="49"/>
      <c r="I203" s="50"/>
      <c r="J203" s="49"/>
      <c r="K203" s="49"/>
      <c r="L203" s="50"/>
      <c r="M203" s="49"/>
      <c r="N203" s="49"/>
      <c r="O203" s="140"/>
    </row>
    <row r="204" spans="1:15" x14ac:dyDescent="0.25">
      <c r="A204" s="101"/>
      <c r="B204" s="50"/>
      <c r="C204" s="50"/>
      <c r="D204" s="49"/>
      <c r="E204" s="49"/>
      <c r="F204" s="50"/>
      <c r="G204" s="49"/>
      <c r="H204" s="49"/>
      <c r="I204" s="50"/>
      <c r="J204" s="49"/>
      <c r="K204" s="49"/>
      <c r="L204" s="50"/>
      <c r="M204" s="49"/>
      <c r="N204" s="49"/>
      <c r="O204" s="140"/>
    </row>
    <row r="205" spans="1:15" x14ac:dyDescent="0.25">
      <c r="A205" s="101"/>
      <c r="B205" s="50"/>
      <c r="C205" s="50"/>
      <c r="D205" s="49"/>
      <c r="E205" s="49"/>
      <c r="F205" s="50"/>
      <c r="G205" s="49"/>
      <c r="H205" s="49"/>
      <c r="I205" s="50"/>
      <c r="J205" s="49"/>
      <c r="K205" s="49"/>
      <c r="L205" s="50"/>
      <c r="M205" s="49"/>
      <c r="N205" s="49"/>
      <c r="O205" s="140"/>
    </row>
    <row r="206" spans="1:15" x14ac:dyDescent="0.25">
      <c r="A206" s="101"/>
      <c r="B206" s="50"/>
      <c r="C206" s="50"/>
      <c r="D206" s="49"/>
      <c r="E206" s="49"/>
      <c r="F206" s="50"/>
      <c r="G206" s="49"/>
      <c r="H206" s="49"/>
      <c r="I206" s="50"/>
      <c r="J206" s="49"/>
      <c r="K206" s="49"/>
      <c r="L206" s="50"/>
      <c r="M206" s="49"/>
      <c r="N206" s="49"/>
      <c r="O206" s="140"/>
    </row>
    <row r="207" spans="1:15" x14ac:dyDescent="0.25">
      <c r="A207" s="101"/>
      <c r="B207" s="17"/>
      <c r="C207" s="17"/>
      <c r="D207" s="17"/>
      <c r="E207" s="17"/>
      <c r="F207" s="17"/>
      <c r="G207" s="17"/>
      <c r="H207" s="17"/>
      <c r="I207" s="17"/>
      <c r="J207" s="17"/>
      <c r="K207" s="17"/>
      <c r="L207" s="17"/>
      <c r="M207" s="17"/>
      <c r="N207" s="17"/>
      <c r="O207" s="17"/>
    </row>
    <row r="208" spans="1:15" x14ac:dyDescent="0.25">
      <c r="A208" s="102"/>
      <c r="B208" s="17"/>
      <c r="C208" s="17"/>
      <c r="D208" s="17"/>
      <c r="E208" s="17"/>
      <c r="F208" s="17"/>
      <c r="G208" s="17"/>
      <c r="H208" s="17"/>
      <c r="I208" s="17"/>
      <c r="J208" s="17"/>
      <c r="K208" s="17"/>
      <c r="L208" s="17"/>
      <c r="M208" s="17"/>
      <c r="N208" s="17"/>
      <c r="O208" s="17"/>
    </row>
    <row r="209" spans="1:15" x14ac:dyDescent="0.25">
      <c r="A209" s="133" t="s">
        <v>391</v>
      </c>
      <c r="B209" s="133"/>
      <c r="C209" s="133"/>
      <c r="D209" s="133">
        <f>SUM(D7:D172)</f>
        <v>21409594146</v>
      </c>
      <c r="E209" s="133">
        <f>SUM(E7:E172)</f>
        <v>17053370749</v>
      </c>
      <c r="F209" s="134">
        <f>(D209-E209)/E209</f>
        <v>0.25544647220288963</v>
      </c>
      <c r="G209" s="133">
        <f>SUM(G7:G172)</f>
        <v>7318248313</v>
      </c>
      <c r="H209" s="133">
        <f>SUM(H7:H172)</f>
        <v>2836039655</v>
      </c>
      <c r="I209" s="134">
        <f>(G209-H209)/H209</f>
        <v>1.5804463982362758</v>
      </c>
      <c r="J209" s="133">
        <f>SUM(J7:J172)</f>
        <v>8851631390</v>
      </c>
      <c r="K209" s="133">
        <f>SUM(K7:K172)</f>
        <v>9344483257</v>
      </c>
      <c r="L209" s="134">
        <f>(J209-K209)/K209</f>
        <v>-5.2742549100379857E-2</v>
      </c>
      <c r="M209" s="133">
        <f>SUM(M7:M172)</f>
        <v>5239714443</v>
      </c>
      <c r="N209" s="133">
        <f>SUM(N7:N172)</f>
        <v>4872847837</v>
      </c>
      <c r="O209" s="134">
        <f>(M209-N209)/N209</f>
        <v>7.5287925720632351E-2</v>
      </c>
    </row>
    <row r="210" spans="1:15" x14ac:dyDescent="0.25">
      <c r="A210" s="133" t="s">
        <v>398</v>
      </c>
      <c r="B210" s="133"/>
      <c r="C210" s="133"/>
      <c r="D210" s="133">
        <f>D209/10000000</f>
        <v>2140.9594145999999</v>
      </c>
      <c r="E210" s="133">
        <f>E209/10000000</f>
        <v>1705.3370749000001</v>
      </c>
      <c r="F210" s="134">
        <f>(D210-E210)/E210</f>
        <v>0.25544647220288957</v>
      </c>
      <c r="G210" s="133">
        <f>G209/10000000</f>
        <v>731.82483130000003</v>
      </c>
      <c r="H210" s="133">
        <f>H209/10000000</f>
        <v>283.60396550000002</v>
      </c>
      <c r="I210" s="134">
        <f>(G210-H210)/H210</f>
        <v>1.5804463982362758</v>
      </c>
      <c r="J210" s="133">
        <f>J209/10000000</f>
        <v>885.163139</v>
      </c>
      <c r="K210" s="133">
        <f>K209/10000000</f>
        <v>934.44832570000005</v>
      </c>
      <c r="L210" s="134">
        <f>(J210-K210)/K210</f>
        <v>-5.2742549100379912E-2</v>
      </c>
      <c r="M210" s="133">
        <f>M209/10000000</f>
        <v>523.97144430000003</v>
      </c>
      <c r="N210" s="133">
        <f>N209/10000000</f>
        <v>487.28478369999999</v>
      </c>
      <c r="O210" s="134">
        <f>(M210-N210)/N210</f>
        <v>7.5287925720632434E-2</v>
      </c>
    </row>
    <row r="211" spans="1:15" x14ac:dyDescent="0.25">
      <c r="A211" s="17"/>
      <c r="B211" s="17"/>
      <c r="C211" s="17"/>
      <c r="D211" s="17"/>
      <c r="E211" s="17"/>
      <c r="F211" s="17"/>
      <c r="G211" s="17"/>
      <c r="H211" s="17"/>
      <c r="I211" s="17"/>
      <c r="J211" s="17"/>
      <c r="K211" s="17"/>
      <c r="L211" s="17"/>
      <c r="M211" s="17"/>
      <c r="N211" s="17"/>
      <c r="O211" s="17"/>
    </row>
  </sheetData>
  <mergeCells count="9">
    <mergeCell ref="A3:O3"/>
    <mergeCell ref="A4:A5"/>
    <mergeCell ref="B4:C4"/>
    <mergeCell ref="D4:O4"/>
    <mergeCell ref="B5:C5"/>
    <mergeCell ref="D5:F5"/>
    <mergeCell ref="G5:I5"/>
    <mergeCell ref="J5:L5"/>
    <mergeCell ref="M5:O5"/>
  </mergeCells>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3"/>
  <sheetViews>
    <sheetView workbookViewId="0">
      <pane ySplit="6" topLeftCell="A128" activePane="bottomLeft" state="frozen"/>
      <selection pane="bottomLeft" activeCell="A149" sqref="A149"/>
    </sheetView>
  </sheetViews>
  <sheetFormatPr defaultRowHeight="15" x14ac:dyDescent="0.25"/>
  <cols>
    <col min="1" max="1" width="14.5703125" bestFit="1" customWidth="1"/>
    <col min="2" max="7" width="9.28515625" bestFit="1" customWidth="1"/>
    <col min="8" max="8" width="10.140625" bestFit="1" customWidth="1"/>
    <col min="9" max="9" width="9.28515625" bestFit="1" customWidth="1"/>
    <col min="10" max="10" width="10.140625" bestFit="1" customWidth="1"/>
    <col min="11" max="15" width="9.28515625" bestFit="1" customWidth="1"/>
  </cols>
  <sheetData>
    <row r="1" spans="1:19" ht="23.25" customHeight="1" x14ac:dyDescent="0.25"/>
    <row r="2" spans="1:19" ht="15.75" thickBot="1" x14ac:dyDescent="0.3"/>
    <row r="3" spans="1:19" ht="18.75" customHeight="1" thickBot="1" x14ac:dyDescent="0.3">
      <c r="A3" s="306" t="s">
        <v>311</v>
      </c>
      <c r="B3" s="307"/>
      <c r="C3" s="307"/>
      <c r="D3" s="307"/>
      <c r="E3" s="307"/>
      <c r="F3" s="307"/>
      <c r="G3" s="307"/>
      <c r="H3" s="307"/>
      <c r="I3" s="307"/>
      <c r="J3" s="307"/>
      <c r="K3" s="307"/>
      <c r="L3" s="266"/>
      <c r="M3" s="266"/>
      <c r="N3" s="266"/>
      <c r="O3" s="308"/>
    </row>
    <row r="4" spans="1:19" s="104" customFormat="1" x14ac:dyDescent="0.25">
      <c r="A4" s="285" t="s">
        <v>330</v>
      </c>
      <c r="B4" s="285" t="s">
        <v>311</v>
      </c>
      <c r="C4" s="285"/>
      <c r="D4" s="285"/>
      <c r="E4" s="285"/>
      <c r="F4" s="285"/>
      <c r="G4" s="285"/>
      <c r="H4" s="285" t="s">
        <v>365</v>
      </c>
      <c r="I4" s="285"/>
      <c r="J4" s="285"/>
      <c r="K4" s="285"/>
      <c r="L4" s="285" t="s">
        <v>309</v>
      </c>
      <c r="M4" s="285"/>
      <c r="N4" s="285"/>
      <c r="O4" s="285"/>
    </row>
    <row r="5" spans="1:19" s="104" customFormat="1" x14ac:dyDescent="0.25">
      <c r="A5" s="304"/>
      <c r="B5" s="304" t="s">
        <v>316</v>
      </c>
      <c r="C5" s="304"/>
      <c r="D5" s="304"/>
      <c r="E5" s="304" t="s">
        <v>317</v>
      </c>
      <c r="F5" s="304"/>
      <c r="G5" s="304"/>
      <c r="H5" s="304" t="s">
        <v>336</v>
      </c>
      <c r="I5" s="304"/>
      <c r="J5" s="304" t="s">
        <v>342</v>
      </c>
      <c r="K5" s="304"/>
      <c r="L5" s="304" t="s">
        <v>336</v>
      </c>
      <c r="M5" s="304"/>
      <c r="N5" s="304" t="s">
        <v>342</v>
      </c>
      <c r="O5" s="305"/>
    </row>
    <row r="6" spans="1:19" s="104" customFormat="1" x14ac:dyDescent="0.25">
      <c r="A6" s="76" t="s">
        <v>318</v>
      </c>
      <c r="B6" s="3">
        <f>'Total Valume'!B6</f>
        <v>45981</v>
      </c>
      <c r="C6" s="76" t="s">
        <v>322</v>
      </c>
      <c r="D6" s="76" t="s">
        <v>328</v>
      </c>
      <c r="E6" s="3">
        <f>B6</f>
        <v>45981</v>
      </c>
      <c r="F6" s="76" t="s">
        <v>322</v>
      </c>
      <c r="G6" s="76" t="s">
        <v>328</v>
      </c>
      <c r="H6" s="3">
        <f>E6</f>
        <v>45981</v>
      </c>
      <c r="I6" s="76" t="s">
        <v>333</v>
      </c>
      <c r="J6" s="3">
        <f>E6</f>
        <v>45981</v>
      </c>
      <c r="K6" s="76" t="s">
        <v>333</v>
      </c>
      <c r="L6" s="3">
        <f>E6</f>
        <v>45981</v>
      </c>
      <c r="M6" s="76" t="s">
        <v>333</v>
      </c>
      <c r="N6" s="3">
        <f>E6</f>
        <v>45981</v>
      </c>
      <c r="O6" s="76" t="s">
        <v>333</v>
      </c>
    </row>
    <row r="7" spans="1:19" x14ac:dyDescent="0.25">
      <c r="A7" s="105" t="str">
        <f>'Data shares'!C2</f>
        <v>360ONE</v>
      </c>
      <c r="B7" s="143">
        <f>VLOOKUP($A7,'Data shares'!$C:$FA,118)</f>
        <v>0.66</v>
      </c>
      <c r="C7" s="143">
        <f>VLOOKUP($A7,'Data shares'!$C:$FA,119)</f>
        <v>0.46</v>
      </c>
      <c r="D7" s="143">
        <f>VLOOKUP($A7,'Data shares'!$C:$FA,121)*100</f>
        <v>43.480000000000004</v>
      </c>
      <c r="E7" s="143">
        <f>VLOOKUP($A7,'Data shares'!$C:$FA,124)</f>
        <v>0.31</v>
      </c>
      <c r="F7" s="143">
        <f>VLOOKUP($A7,'Data shares'!$C:$FA,125)</f>
        <v>0.31</v>
      </c>
      <c r="G7" s="143">
        <f>VLOOKUP($A7,'Data shares'!$C:$FA,127)*100</f>
        <v>0</v>
      </c>
      <c r="H7" s="103">
        <f>VLOOKUP($A7,'OI(Volume)'!$A$7:$O$427,8)</f>
        <v>1720000</v>
      </c>
      <c r="I7" s="103">
        <f>VLOOKUP($A7,'OI(Volume)'!$A$7:$O$427,9)</f>
        <v>-201500</v>
      </c>
      <c r="J7" s="103">
        <f>VLOOKUP($A7,'OI(Volume)'!$A$7:$O$427,11)</f>
        <v>1142500</v>
      </c>
      <c r="K7" s="103">
        <f>VLOOKUP($A7,'OI(Volume)'!$A$7:$O$427,12)</f>
        <v>265500</v>
      </c>
      <c r="L7" s="103">
        <f>VLOOKUP($A7,'OI(Value)'!$A$7:$O$306,8,0)</f>
        <v>196</v>
      </c>
      <c r="M7" s="103">
        <f>VLOOKUP($A7,'OI(Value)'!$A$7:$O$306,9,0)</f>
        <v>-23</v>
      </c>
      <c r="N7" s="103">
        <f>VLOOKUP($A7,'OI(Value)'!$A$7:$O$306,11,0)</f>
        <v>130</v>
      </c>
      <c r="O7" s="103">
        <f>VLOOKUP($A7,'OI(Value)'!$A$7:$O$306,12,0)</f>
        <v>30</v>
      </c>
      <c r="P7" s="179">
        <f>VLOOKUP(A7,'OI(Value)'!A7:O182,8,0)</f>
        <v>196</v>
      </c>
      <c r="Q7" s="179">
        <f>VLOOKUP(A7,'OI(Value)'!A7:O182,9,0)</f>
        <v>-23</v>
      </c>
      <c r="R7" s="179">
        <f>VLOOKUP(A7,'OI(Value)'!A7:O182,11,0)</f>
        <v>130</v>
      </c>
      <c r="S7" s="179">
        <f>VLOOKUP(A7,'OI(Value)'!A7:O182,12,0)</f>
        <v>30</v>
      </c>
    </row>
    <row r="8" spans="1:19" x14ac:dyDescent="0.25">
      <c r="A8" s="105" t="str">
        <f>'Data shares'!C3</f>
        <v>ABB</v>
      </c>
      <c r="B8" s="143">
        <f>VLOOKUP($A8,'Data shares'!$C:$FA,118)</f>
        <v>0.68</v>
      </c>
      <c r="C8" s="143">
        <f>VLOOKUP($A8,'Data shares'!$C:$FA,119)</f>
        <v>0.61</v>
      </c>
      <c r="D8" s="143">
        <f>VLOOKUP($A8,'Data shares'!$C:$FA,121)*100</f>
        <v>11.48</v>
      </c>
      <c r="E8" s="143">
        <f>VLOOKUP($A8,'Data shares'!$C:$FA,124)</f>
        <v>0.4</v>
      </c>
      <c r="F8" s="143">
        <f>VLOOKUP($A8,'Data shares'!$C:$FA,125)</f>
        <v>0.41</v>
      </c>
      <c r="G8" s="143">
        <f>VLOOKUP($A8,'Data shares'!$C:$FA,127)*100</f>
        <v>-2.44</v>
      </c>
      <c r="H8" s="103">
        <f>VLOOKUP($A8,'OI(Volume)'!$A$7:$O$427,8)</f>
        <v>1480250</v>
      </c>
      <c r="I8" s="103">
        <f>VLOOKUP($A8,'OI(Volume)'!$A$7:$O$427,9)</f>
        <v>-247375</v>
      </c>
      <c r="J8" s="103">
        <f>VLOOKUP($A8,'OI(Volume)'!$A$7:$O$427,11)</f>
        <v>1011000</v>
      </c>
      <c r="K8" s="103">
        <f>VLOOKUP($A8,'OI(Volume)'!$A$7:$O$427,12)</f>
        <v>-45875</v>
      </c>
      <c r="L8" s="103">
        <f>VLOOKUP($A8,'OI(Value)'!$A$7:$O$306,8,0)</f>
        <v>759</v>
      </c>
      <c r="M8" s="103">
        <f>VLOOKUP($A8,'OI(Value)'!$A$7:$O$306,9,0)</f>
        <v>-127</v>
      </c>
      <c r="N8" s="103">
        <f>VLOOKUP($A8,'OI(Value)'!$A$7:$O$306,11,0)</f>
        <v>519</v>
      </c>
      <c r="O8" s="103">
        <f>VLOOKUP($A8,'OI(Value)'!$A$7:$O$306,12,0)</f>
        <v>-24</v>
      </c>
      <c r="P8" s="179">
        <f>VLOOKUP(A8,'OI(Value)'!A8:O209,8,0)</f>
        <v>759</v>
      </c>
      <c r="Q8" s="179">
        <f>VLOOKUP(A8,'OI(Value)'!A8:O209,9,0)</f>
        <v>-127</v>
      </c>
      <c r="R8" s="179">
        <f>VLOOKUP(A8,'OI(Value)'!A8:O209,11,0)</f>
        <v>519</v>
      </c>
      <c r="S8" s="179">
        <f>VLOOKUP(A8,'OI(Value)'!A8:O209,11,0)</f>
        <v>519</v>
      </c>
    </row>
    <row r="9" spans="1:19" x14ac:dyDescent="0.25">
      <c r="A9" s="105" t="str">
        <f>'Data shares'!C4</f>
        <v>ABCAPITAL</v>
      </c>
      <c r="B9" s="143">
        <f>VLOOKUP($A9,'Data shares'!$C:$FA,118)</f>
        <v>0.77</v>
      </c>
      <c r="C9" s="143">
        <f>VLOOKUP($A9,'Data shares'!$C:$FA,119)</f>
        <v>0.74</v>
      </c>
      <c r="D9" s="143">
        <f>VLOOKUP($A9,'Data shares'!$C:$FA,121)*100</f>
        <v>4.05</v>
      </c>
      <c r="E9" s="143">
        <f>VLOOKUP($A9,'Data shares'!$C:$FA,124)</f>
        <v>0.48</v>
      </c>
      <c r="F9" s="143">
        <f>VLOOKUP($A9,'Data shares'!$C:$FA,125)</f>
        <v>0.32</v>
      </c>
      <c r="G9" s="143">
        <f>VLOOKUP($A9,'Data shares'!$C:$FA,127)*100</f>
        <v>50</v>
      </c>
      <c r="H9" s="103">
        <f>VLOOKUP($A9,'OI(Volume)'!$A$7:$O$427,8)</f>
        <v>18572100</v>
      </c>
      <c r="I9" s="103">
        <f>VLOOKUP($A9,'OI(Volume)'!$A$7:$O$427,9)</f>
        <v>-2011900</v>
      </c>
      <c r="J9" s="103">
        <f>VLOOKUP($A9,'OI(Volume)'!$A$7:$O$427,11)</f>
        <v>14365400</v>
      </c>
      <c r="K9" s="103">
        <f>VLOOKUP($A9,'OI(Volume)'!$A$7:$O$427,12)</f>
        <v>-945500</v>
      </c>
      <c r="L9" s="103">
        <f>VLOOKUP($A9,'OI(Value)'!$A$7:$O$306,8,0)</f>
        <v>609</v>
      </c>
      <c r="M9" s="103">
        <f>VLOOKUP($A9,'OI(Value)'!$A$7:$O$306,9,0)</f>
        <v>-66</v>
      </c>
      <c r="N9" s="103">
        <f>VLOOKUP($A9,'OI(Value)'!$A$7:$O$306,11,0)</f>
        <v>471</v>
      </c>
      <c r="O9" s="103">
        <f>VLOOKUP($A9,'OI(Value)'!$A$7:$O$306,12,0)</f>
        <v>-31</v>
      </c>
      <c r="P9" s="179">
        <f>VLOOKUP(A9,'OI(Value)'!A9:O210,8,0)</f>
        <v>609</v>
      </c>
      <c r="Q9" s="179">
        <f>VLOOKUP(A9,'OI(Value)'!A9:O210,9,0)</f>
        <v>-66</v>
      </c>
      <c r="R9" s="179">
        <f>VLOOKUP(A9,'OI(Value)'!A9:O210,11,0)</f>
        <v>471</v>
      </c>
      <c r="S9" s="179">
        <f>VLOOKUP(A9,'OI(Value)'!A9:O210,11,0)</f>
        <v>471</v>
      </c>
    </row>
    <row r="10" spans="1:19" x14ac:dyDescent="0.25">
      <c r="A10" s="105" t="str">
        <f>'Data shares'!C5</f>
        <v>ADANIENSOL</v>
      </c>
      <c r="B10" s="143">
        <f>VLOOKUP($A10,'Data shares'!$C:$FA,118)</f>
        <v>0.57999999999999996</v>
      </c>
      <c r="C10" s="143">
        <f>VLOOKUP($A10,'Data shares'!$C:$FA,119)</f>
        <v>0.63</v>
      </c>
      <c r="D10" s="143">
        <f>VLOOKUP($A10,'Data shares'!$C:$FA,121)*100</f>
        <v>-7.9399999999999995</v>
      </c>
      <c r="E10" s="143">
        <f>VLOOKUP($A10,'Data shares'!$C:$FA,124)</f>
        <v>0.23</v>
      </c>
      <c r="F10" s="143">
        <f>VLOOKUP($A10,'Data shares'!$C:$FA,125)</f>
        <v>0.28999999999999998</v>
      </c>
      <c r="G10" s="143">
        <f>VLOOKUP($A10,'Data shares'!$C:$FA,127)*100</f>
        <v>-20.69</v>
      </c>
      <c r="H10" s="103">
        <f>VLOOKUP($A10,'OI(Volume)'!$A$7:$O$427,8)</f>
        <v>7155675</v>
      </c>
      <c r="I10" s="103">
        <f>VLOOKUP($A10,'OI(Volume)'!$A$7:$O$427,9)</f>
        <v>242325</v>
      </c>
      <c r="J10" s="103">
        <f>VLOOKUP($A10,'OI(Volume)'!$A$7:$O$427,11)</f>
        <v>4139100</v>
      </c>
      <c r="K10" s="103">
        <f>VLOOKUP($A10,'OI(Volume)'!$A$7:$O$427,12)</f>
        <v>-224775</v>
      </c>
      <c r="L10" s="103">
        <f>VLOOKUP($A10,'OI(Value)'!$A$7:$O$306,8,0)</f>
        <v>710</v>
      </c>
      <c r="M10" s="103">
        <f>VLOOKUP($A10,'OI(Value)'!$A$7:$O$306,9,0)</f>
        <v>24</v>
      </c>
      <c r="N10" s="103">
        <f>VLOOKUP($A10,'OI(Value)'!$A$7:$O$306,11,0)</f>
        <v>411</v>
      </c>
      <c r="O10" s="103">
        <f>VLOOKUP($A10,'OI(Value)'!$A$7:$O$306,12,0)</f>
        <v>-22</v>
      </c>
      <c r="P10" s="179">
        <f>VLOOKUP(A10,'OI(Value)'!A10:O211,8,0)</f>
        <v>710</v>
      </c>
      <c r="Q10" s="179">
        <f>VLOOKUP(A10,'OI(Value)'!A10:O211,9,0)</f>
        <v>24</v>
      </c>
      <c r="R10" s="179">
        <f>VLOOKUP(A10,'OI(Value)'!A10:O211,11,0)</f>
        <v>411</v>
      </c>
      <c r="S10" s="179">
        <f>VLOOKUP(A10,'OI(Value)'!A10:O211,11,0)</f>
        <v>411</v>
      </c>
    </row>
    <row r="11" spans="1:19" x14ac:dyDescent="0.25">
      <c r="A11" s="105" t="str">
        <f>'Data shares'!C6</f>
        <v>ADANIENT</v>
      </c>
      <c r="B11" s="143">
        <f>VLOOKUP($A11,'Data shares'!$C:$FA,118)</f>
        <v>0.67</v>
      </c>
      <c r="C11" s="143">
        <f>VLOOKUP($A11,'Data shares'!$C:$FA,119)</f>
        <v>0.71</v>
      </c>
      <c r="D11" s="143">
        <f>VLOOKUP($A11,'Data shares'!$C:$FA,121)*100</f>
        <v>-5.63</v>
      </c>
      <c r="E11" s="143">
        <f>VLOOKUP($A11,'Data shares'!$C:$FA,124)</f>
        <v>0.37</v>
      </c>
      <c r="F11" s="143">
        <f>VLOOKUP($A11,'Data shares'!$C:$FA,125)</f>
        <v>0.51</v>
      </c>
      <c r="G11" s="143">
        <f>VLOOKUP($A11,'Data shares'!$C:$FA,127)*100</f>
        <v>-27.450000000000003</v>
      </c>
      <c r="H11" s="103">
        <f>VLOOKUP($A11,'OI(Volume)'!$A$7:$O$427,8)</f>
        <v>11216700</v>
      </c>
      <c r="I11" s="103">
        <f>VLOOKUP($A11,'OI(Volume)'!$A$7:$O$427,9)</f>
        <v>567633</v>
      </c>
      <c r="J11" s="103">
        <f>VLOOKUP($A11,'OI(Volume)'!$A$7:$O$427,11)</f>
        <v>7497267</v>
      </c>
      <c r="K11" s="103">
        <f>VLOOKUP($A11,'OI(Volume)'!$A$7:$O$427,12)</f>
        <v>-50367</v>
      </c>
      <c r="L11" s="103">
        <f>VLOOKUP($A11,'OI(Value)'!$A$7:$O$306,8,0)</f>
        <v>2749</v>
      </c>
      <c r="M11" s="103">
        <f>VLOOKUP($A11,'OI(Value)'!$A$7:$O$306,9,0)</f>
        <v>139</v>
      </c>
      <c r="N11" s="103">
        <f>VLOOKUP($A11,'OI(Value)'!$A$7:$O$306,11,0)</f>
        <v>1838</v>
      </c>
      <c r="O11" s="103">
        <f>VLOOKUP($A11,'OI(Value)'!$A$7:$O$306,12,0)</f>
        <v>-12</v>
      </c>
      <c r="P11" s="179">
        <f>VLOOKUP(A11,'OI(Value)'!A11:O212,8,0)</f>
        <v>2749</v>
      </c>
      <c r="Q11" s="179">
        <f>VLOOKUP(A11,'OI(Value)'!A11:O212,9,0)</f>
        <v>139</v>
      </c>
      <c r="R11" s="179">
        <f>VLOOKUP(A11,'OI(Value)'!A11:O212,11,0)</f>
        <v>1838</v>
      </c>
      <c r="S11" s="179">
        <f>VLOOKUP(A11,'OI(Value)'!A11:O212,11,0)</f>
        <v>1838</v>
      </c>
    </row>
    <row r="12" spans="1:19" x14ac:dyDescent="0.25">
      <c r="A12" s="105" t="str">
        <f>'Data shares'!C7</f>
        <v>ADANIGREEN</v>
      </c>
      <c r="B12" s="143">
        <f>VLOOKUP($A12,'Data shares'!$C:$FA,118)</f>
        <v>0.45</v>
      </c>
      <c r="C12" s="143">
        <f>VLOOKUP($A12,'Data shares'!$C:$FA,119)</f>
        <v>0.46</v>
      </c>
      <c r="D12" s="143">
        <f>VLOOKUP($A12,'Data shares'!$C:$FA,121)*100</f>
        <v>-2.17</v>
      </c>
      <c r="E12" s="143">
        <f>VLOOKUP($A12,'Data shares'!$C:$FA,124)</f>
        <v>0.32</v>
      </c>
      <c r="F12" s="143">
        <f>VLOOKUP($A12,'Data shares'!$C:$FA,125)</f>
        <v>0.36</v>
      </c>
      <c r="G12" s="143">
        <f>VLOOKUP($A12,'Data shares'!$C:$FA,127)*100</f>
        <v>-11.110000000000001</v>
      </c>
      <c r="H12" s="103">
        <f>VLOOKUP($A12,'OI(Volume)'!$A$7:$O$427,8)</f>
        <v>19497600</v>
      </c>
      <c r="I12" s="103">
        <f>VLOOKUP($A12,'OI(Volume)'!$A$7:$O$427,9)</f>
        <v>386400</v>
      </c>
      <c r="J12" s="103">
        <f>VLOOKUP($A12,'OI(Volume)'!$A$7:$O$427,11)</f>
        <v>8823600</v>
      </c>
      <c r="K12" s="103">
        <f>VLOOKUP($A12,'OI(Volume)'!$A$7:$O$427,12)</f>
        <v>91200</v>
      </c>
      <c r="L12" s="103">
        <f>VLOOKUP($A12,'OI(Value)'!$A$7:$O$306,8,0)</f>
        <v>2064</v>
      </c>
      <c r="M12" s="103">
        <f>VLOOKUP($A12,'OI(Value)'!$A$7:$O$306,9,0)</f>
        <v>41</v>
      </c>
      <c r="N12" s="103">
        <f>VLOOKUP($A12,'OI(Value)'!$A$7:$O$306,11,0)</f>
        <v>934</v>
      </c>
      <c r="O12" s="103">
        <f>VLOOKUP($A12,'OI(Value)'!$A$7:$O$306,12,0)</f>
        <v>10</v>
      </c>
      <c r="P12" s="179">
        <f>VLOOKUP(A12,'OI(Value)'!A12:O213,8,0)</f>
        <v>2064</v>
      </c>
      <c r="Q12" s="179">
        <f>VLOOKUP(A12,'OI(Value)'!A12:O213,9,0)</f>
        <v>41</v>
      </c>
      <c r="R12" s="179">
        <f>VLOOKUP(A12,'OI(Value)'!A12:O213,11,0)</f>
        <v>934</v>
      </c>
      <c r="S12" s="179">
        <f>VLOOKUP(A12,'OI(Value)'!A12:O213,11,0)</f>
        <v>934</v>
      </c>
    </row>
    <row r="13" spans="1:19" x14ac:dyDescent="0.25">
      <c r="A13" s="105" t="str">
        <f>'Data shares'!C8</f>
        <v>ADANIPORTS</v>
      </c>
      <c r="B13" s="143">
        <f>VLOOKUP($A13,'Data shares'!$C:$FA,118)</f>
        <v>0.57999999999999996</v>
      </c>
      <c r="C13" s="143">
        <f>VLOOKUP($A13,'Data shares'!$C:$FA,119)</f>
        <v>0.56000000000000005</v>
      </c>
      <c r="D13" s="143">
        <f>VLOOKUP($A13,'Data shares'!$C:$FA,121)*100</f>
        <v>3.5700000000000003</v>
      </c>
      <c r="E13" s="143">
        <f>VLOOKUP($A13,'Data shares'!$C:$FA,124)</f>
        <v>0.36</v>
      </c>
      <c r="F13" s="143">
        <f>VLOOKUP($A13,'Data shares'!$C:$FA,125)</f>
        <v>0.47</v>
      </c>
      <c r="G13" s="143">
        <f>VLOOKUP($A13,'Data shares'!$C:$FA,127)*100</f>
        <v>-23.400000000000002</v>
      </c>
      <c r="H13" s="103">
        <f>VLOOKUP($A13,'OI(Volume)'!$A$7:$O$427,8)</f>
        <v>11028075</v>
      </c>
      <c r="I13" s="103">
        <f>VLOOKUP($A13,'OI(Volume)'!$A$7:$O$427,9)</f>
        <v>-539125</v>
      </c>
      <c r="J13" s="103">
        <f>VLOOKUP($A13,'OI(Volume)'!$A$7:$O$427,11)</f>
        <v>6352650</v>
      </c>
      <c r="K13" s="103">
        <f>VLOOKUP($A13,'OI(Volume)'!$A$7:$O$427,12)</f>
        <v>-181450</v>
      </c>
      <c r="L13" s="103">
        <f>VLOOKUP($A13,'OI(Value)'!$A$7:$O$306,8,0)</f>
        <v>1646</v>
      </c>
      <c r="M13" s="103">
        <f>VLOOKUP($A13,'OI(Value)'!$A$7:$O$306,9,0)</f>
        <v>-80</v>
      </c>
      <c r="N13" s="103">
        <f>VLOOKUP($A13,'OI(Value)'!$A$7:$O$306,11,0)</f>
        <v>948</v>
      </c>
      <c r="O13" s="103">
        <f>VLOOKUP($A13,'OI(Value)'!$A$7:$O$306,12,0)</f>
        <v>-27</v>
      </c>
      <c r="P13" s="179">
        <f>VLOOKUP(A13,'OI(Value)'!A13:O214,8,0)</f>
        <v>1646</v>
      </c>
      <c r="Q13" s="179">
        <f>VLOOKUP(A13,'OI(Value)'!A13:O214,9,0)</f>
        <v>-80</v>
      </c>
      <c r="R13" s="179">
        <f>VLOOKUP(A13,'OI(Value)'!A13:O214,11,0)</f>
        <v>948</v>
      </c>
      <c r="S13" s="179">
        <f>VLOOKUP(A13,'OI(Value)'!A13:O214,11,0)</f>
        <v>948</v>
      </c>
    </row>
    <row r="14" spans="1:19" x14ac:dyDescent="0.25">
      <c r="A14" s="105" t="str">
        <f>'Data shares'!C9</f>
        <v>ALKEM</v>
      </c>
      <c r="B14" s="143">
        <f>VLOOKUP($A14,'Data shares'!$C:$FA,118)</f>
        <v>0.56000000000000005</v>
      </c>
      <c r="C14" s="143">
        <f>VLOOKUP($A14,'Data shares'!$C:$FA,119)</f>
        <v>0.61</v>
      </c>
      <c r="D14" s="143">
        <f>VLOOKUP($A14,'Data shares'!$C:$FA,121)*100</f>
        <v>-8.2000000000000011</v>
      </c>
      <c r="E14" s="143">
        <f>VLOOKUP($A14,'Data shares'!$C:$FA,124)</f>
        <v>0.36</v>
      </c>
      <c r="F14" s="143">
        <f>VLOOKUP($A14,'Data shares'!$C:$FA,125)</f>
        <v>0.2</v>
      </c>
      <c r="G14" s="143">
        <f>VLOOKUP($A14,'Data shares'!$C:$FA,127)*100</f>
        <v>80</v>
      </c>
      <c r="H14" s="103">
        <f>VLOOKUP($A14,'OI(Volume)'!$A$7:$O$427,8)</f>
        <v>634875</v>
      </c>
      <c r="I14" s="103">
        <f>VLOOKUP($A14,'OI(Volume)'!$A$7:$O$427,9)</f>
        <v>13500</v>
      </c>
      <c r="J14" s="103">
        <f>VLOOKUP($A14,'OI(Volume)'!$A$7:$O$427,11)</f>
        <v>353875</v>
      </c>
      <c r="K14" s="103">
        <f>VLOOKUP($A14,'OI(Volume)'!$A$7:$O$427,12)</f>
        <v>-28125</v>
      </c>
      <c r="L14" s="103">
        <f>VLOOKUP($A14,'OI(Value)'!$A$7:$O$306,8,0)</f>
        <v>361</v>
      </c>
      <c r="M14" s="103">
        <f>VLOOKUP($A14,'OI(Value)'!$A$7:$O$306,9,0)</f>
        <v>8</v>
      </c>
      <c r="N14" s="103">
        <f>VLOOKUP($A14,'OI(Value)'!$A$7:$O$306,11,0)</f>
        <v>201</v>
      </c>
      <c r="O14" s="103">
        <f>VLOOKUP($A14,'OI(Value)'!$A$7:$O$306,12,0)</f>
        <v>-16</v>
      </c>
      <c r="P14" s="179">
        <f>VLOOKUP(A14,'OI(Value)'!A14:O215,8,0)</f>
        <v>361</v>
      </c>
      <c r="Q14" s="179">
        <f>VLOOKUP(A14,'OI(Value)'!A14:O215,9,0)</f>
        <v>8</v>
      </c>
      <c r="R14" s="179">
        <f>VLOOKUP(A14,'OI(Value)'!A14:O215,11,0)</f>
        <v>201</v>
      </c>
      <c r="S14" s="179">
        <f>VLOOKUP(A14,'OI(Value)'!A14:O215,11,0)</f>
        <v>201</v>
      </c>
    </row>
    <row r="15" spans="1:19" x14ac:dyDescent="0.25">
      <c r="A15" s="105" t="str">
        <f>'Data shares'!C10</f>
        <v>AMBER</v>
      </c>
      <c r="B15" s="143">
        <f>VLOOKUP($A15,'Data shares'!$C:$FA,118)</f>
        <v>0.59</v>
      </c>
      <c r="C15" s="143">
        <f>VLOOKUP($A15,'Data shares'!$C:$FA,119)</f>
        <v>0.63</v>
      </c>
      <c r="D15" s="143">
        <f>VLOOKUP($A15,'Data shares'!$C:$FA,121)*100</f>
        <v>-6.35</v>
      </c>
      <c r="E15" s="143">
        <f>VLOOKUP($A15,'Data shares'!$C:$FA,124)</f>
        <v>0.53</v>
      </c>
      <c r="F15" s="143">
        <f>VLOOKUP($A15,'Data shares'!$C:$FA,125)</f>
        <v>0.34</v>
      </c>
      <c r="G15" s="143">
        <f>VLOOKUP($A15,'Data shares'!$C:$FA,127)*100</f>
        <v>55.879999999999995</v>
      </c>
      <c r="H15" s="103">
        <f>VLOOKUP($A15,'OI(Volume)'!$A$7:$O$427,8)</f>
        <v>1613200</v>
      </c>
      <c r="I15" s="103">
        <f>VLOOKUP($A15,'OI(Volume)'!$A$7:$O$427,9)</f>
        <v>-67800</v>
      </c>
      <c r="J15" s="103">
        <f>VLOOKUP($A15,'OI(Volume)'!$A$7:$O$427,11)</f>
        <v>949100</v>
      </c>
      <c r="K15" s="103">
        <f>VLOOKUP($A15,'OI(Volume)'!$A$7:$O$427,12)</f>
        <v>-107800</v>
      </c>
      <c r="L15" s="103">
        <f>VLOOKUP($A15,'OI(Value)'!$A$7:$O$306,8,0)</f>
        <v>1173</v>
      </c>
      <c r="M15" s="103">
        <f>VLOOKUP($A15,'OI(Value)'!$A$7:$O$306,9,0)</f>
        <v>-49</v>
      </c>
      <c r="N15" s="103">
        <f>VLOOKUP($A15,'OI(Value)'!$A$7:$O$306,11,0)</f>
        <v>690</v>
      </c>
      <c r="O15" s="103">
        <f>VLOOKUP($A15,'OI(Value)'!$A$7:$O$306,12,0)</f>
        <v>-78</v>
      </c>
      <c r="P15" s="179">
        <f>VLOOKUP(A15,'OI(Value)'!A15:O216,8,0)</f>
        <v>1173</v>
      </c>
      <c r="Q15" s="179">
        <f>VLOOKUP(A15,'OI(Value)'!A15:O216,9,0)</f>
        <v>-49</v>
      </c>
      <c r="R15" s="179">
        <f>VLOOKUP(A15,'OI(Value)'!A15:O216,11,0)</f>
        <v>690</v>
      </c>
      <c r="S15" s="179">
        <f>VLOOKUP(A15,'OI(Value)'!A15:O216,11,0)</f>
        <v>690</v>
      </c>
    </row>
    <row r="16" spans="1:19" x14ac:dyDescent="0.25">
      <c r="A16" s="105" t="str">
        <f>'Data shares'!C11</f>
        <v>AMBUJACEM</v>
      </c>
      <c r="B16" s="143">
        <f>VLOOKUP($A16,'Data shares'!$C:$FA,118)</f>
        <v>0.66</v>
      </c>
      <c r="C16" s="143">
        <f>VLOOKUP($A16,'Data shares'!$C:$FA,119)</f>
        <v>0.65</v>
      </c>
      <c r="D16" s="143">
        <f>VLOOKUP($A16,'Data shares'!$C:$FA,121)*100</f>
        <v>1.54</v>
      </c>
      <c r="E16" s="143">
        <f>VLOOKUP($A16,'Data shares'!$C:$FA,124)</f>
        <v>0.33</v>
      </c>
      <c r="F16" s="143">
        <f>VLOOKUP($A16,'Data shares'!$C:$FA,125)</f>
        <v>0.32</v>
      </c>
      <c r="G16" s="143">
        <f>VLOOKUP($A16,'Data shares'!$C:$FA,127)*100</f>
        <v>3.1300000000000003</v>
      </c>
      <c r="H16" s="103">
        <f>VLOOKUP($A16,'OI(Volume)'!$A$7:$O$427,8)</f>
        <v>16754850</v>
      </c>
      <c r="I16" s="103">
        <f>VLOOKUP($A16,'OI(Volume)'!$A$7:$O$427,9)</f>
        <v>-342300</v>
      </c>
      <c r="J16" s="103">
        <f>VLOOKUP($A16,'OI(Volume)'!$A$7:$O$427,11)</f>
        <v>11120550</v>
      </c>
      <c r="K16" s="103">
        <f>VLOOKUP($A16,'OI(Volume)'!$A$7:$O$427,12)</f>
        <v>54600</v>
      </c>
      <c r="L16" s="103">
        <f>VLOOKUP($A16,'OI(Value)'!$A$7:$O$306,8,0)</f>
        <v>931</v>
      </c>
      <c r="M16" s="103">
        <f>VLOOKUP($A16,'OI(Value)'!$A$7:$O$306,9,0)</f>
        <v>-19</v>
      </c>
      <c r="N16" s="103">
        <f>VLOOKUP($A16,'OI(Value)'!$A$7:$O$306,11,0)</f>
        <v>618</v>
      </c>
      <c r="O16" s="103">
        <f>VLOOKUP($A16,'OI(Value)'!$A$7:$O$306,12,0)</f>
        <v>3</v>
      </c>
      <c r="P16" s="179">
        <f>VLOOKUP(A16,'OI(Value)'!A16:O217,8,0)</f>
        <v>931</v>
      </c>
      <c r="Q16" s="179">
        <f>VLOOKUP(A16,'OI(Value)'!A16:O217,9,0)</f>
        <v>-19</v>
      </c>
      <c r="R16" s="179">
        <f>VLOOKUP(A16,'OI(Value)'!A16:O217,11,0)</f>
        <v>618</v>
      </c>
      <c r="S16" s="179">
        <f>VLOOKUP(A16,'OI(Value)'!A16:O217,11,0)</f>
        <v>618</v>
      </c>
    </row>
    <row r="17" spans="1:19" x14ac:dyDescent="0.25">
      <c r="A17" s="105" t="str">
        <f>'Data shares'!C12</f>
        <v>ANGELONE</v>
      </c>
      <c r="B17" s="143">
        <f>VLOOKUP($A17,'Data shares'!$C:$FA,118)</f>
        <v>1.1100000000000001</v>
      </c>
      <c r="C17" s="143">
        <f>VLOOKUP($A17,'Data shares'!$C:$FA,119)</f>
        <v>1.07</v>
      </c>
      <c r="D17" s="143">
        <f>VLOOKUP($A17,'Data shares'!$C:$FA,121)*100</f>
        <v>3.74</v>
      </c>
      <c r="E17" s="143">
        <f>VLOOKUP($A17,'Data shares'!$C:$FA,124)</f>
        <v>0.61</v>
      </c>
      <c r="F17" s="143">
        <f>VLOOKUP($A17,'Data shares'!$C:$FA,125)</f>
        <v>0.66</v>
      </c>
      <c r="G17" s="143">
        <f>VLOOKUP($A17,'Data shares'!$C:$FA,127)*100</f>
        <v>-7.580000000000001</v>
      </c>
      <c r="H17" s="103">
        <f>VLOOKUP($A17,'OI(Volume)'!$A$7:$O$427,8)</f>
        <v>2665750</v>
      </c>
      <c r="I17" s="103">
        <f>VLOOKUP($A17,'OI(Volume)'!$A$7:$O$427,9)</f>
        <v>100250</v>
      </c>
      <c r="J17" s="103">
        <f>VLOOKUP($A17,'OI(Volume)'!$A$7:$O$427,11)</f>
        <v>2950000</v>
      </c>
      <c r="K17" s="103">
        <f>VLOOKUP($A17,'OI(Volume)'!$A$7:$O$427,12)</f>
        <v>201500</v>
      </c>
      <c r="L17" s="103">
        <f>VLOOKUP($A17,'OI(Value)'!$A$7:$O$306,8,0)</f>
        <v>749</v>
      </c>
      <c r="M17" s="103">
        <f>VLOOKUP($A17,'OI(Value)'!$A$7:$O$306,9,0)</f>
        <v>28</v>
      </c>
      <c r="N17" s="103">
        <f>VLOOKUP($A17,'OI(Value)'!$A$7:$O$306,11,0)</f>
        <v>829</v>
      </c>
      <c r="O17" s="103">
        <f>VLOOKUP($A17,'OI(Value)'!$A$7:$O$306,12,0)</f>
        <v>57</v>
      </c>
      <c r="P17" s="179">
        <f>VLOOKUP(A17,'OI(Value)'!A17:O218,8,0)</f>
        <v>749</v>
      </c>
      <c r="Q17" s="179">
        <f>VLOOKUP(A17,'OI(Value)'!A17:O218,9,0)</f>
        <v>28</v>
      </c>
      <c r="R17" s="179">
        <f>VLOOKUP(A17,'OI(Value)'!A17:O218,11,0)</f>
        <v>829</v>
      </c>
      <c r="S17" s="179">
        <f>VLOOKUP(A17,'OI(Value)'!A17:O218,11,0)</f>
        <v>829</v>
      </c>
    </row>
    <row r="18" spans="1:19" x14ac:dyDescent="0.25">
      <c r="A18" s="105" t="str">
        <f>'Data shares'!C13</f>
        <v>APLAPOLLO</v>
      </c>
      <c r="B18" s="143">
        <f>VLOOKUP($A18,'Data shares'!$C:$FA,118)</f>
        <v>0.66</v>
      </c>
      <c r="C18" s="143">
        <f>VLOOKUP($A18,'Data shares'!$C:$FA,119)</f>
        <v>0.69</v>
      </c>
      <c r="D18" s="143">
        <f>VLOOKUP($A18,'Data shares'!$C:$FA,121)*100</f>
        <v>-4.3499999999999996</v>
      </c>
      <c r="E18" s="143">
        <f>VLOOKUP($A18,'Data shares'!$C:$FA,124)</f>
        <v>0.38</v>
      </c>
      <c r="F18" s="143">
        <f>VLOOKUP($A18,'Data shares'!$C:$FA,125)</f>
        <v>0.37</v>
      </c>
      <c r="G18" s="143">
        <f>VLOOKUP($A18,'Data shares'!$C:$FA,127)*100</f>
        <v>2.7</v>
      </c>
      <c r="H18" s="103">
        <f>VLOOKUP($A18,'OI(Volume)'!$A$7:$O$427,8)</f>
        <v>2302300</v>
      </c>
      <c r="I18" s="103">
        <f>VLOOKUP($A18,'OI(Volume)'!$A$7:$O$427,9)</f>
        <v>132650</v>
      </c>
      <c r="J18" s="103">
        <f>VLOOKUP($A18,'OI(Volume)'!$A$7:$O$427,11)</f>
        <v>1521100</v>
      </c>
      <c r="K18" s="103">
        <f>VLOOKUP($A18,'OI(Volume)'!$A$7:$O$427,12)</f>
        <v>18200</v>
      </c>
      <c r="L18" s="103">
        <f>VLOOKUP($A18,'OI(Value)'!$A$7:$O$306,8,0)</f>
        <v>397</v>
      </c>
      <c r="M18" s="103">
        <f>VLOOKUP($A18,'OI(Value)'!$A$7:$O$306,9,0)</f>
        <v>23</v>
      </c>
      <c r="N18" s="103">
        <f>VLOOKUP($A18,'OI(Value)'!$A$7:$O$306,11,0)</f>
        <v>262</v>
      </c>
      <c r="O18" s="103">
        <f>VLOOKUP($A18,'OI(Value)'!$A$7:$O$306,12,0)</f>
        <v>3</v>
      </c>
      <c r="P18" s="179">
        <f>VLOOKUP(A18,'OI(Value)'!A18:O219,8,0)</f>
        <v>397</v>
      </c>
      <c r="Q18" s="179">
        <f>VLOOKUP(A18,'OI(Value)'!A18:O219,9,0)</f>
        <v>23</v>
      </c>
      <c r="R18" s="179">
        <f>VLOOKUP(A18,'OI(Value)'!A18:O219,11,0)</f>
        <v>262</v>
      </c>
      <c r="S18" s="179">
        <f>VLOOKUP(A18,'OI(Value)'!A18:O219,11,0)</f>
        <v>262</v>
      </c>
    </row>
    <row r="19" spans="1:19" x14ac:dyDescent="0.25">
      <c r="A19" s="105" t="str">
        <f>'Data shares'!C14</f>
        <v>APOLLOHOSP</v>
      </c>
      <c r="B19" s="143">
        <f>VLOOKUP($A19,'Data shares'!$C:$FA,118)</f>
        <v>0.41</v>
      </c>
      <c r="C19" s="143">
        <f>VLOOKUP($A19,'Data shares'!$C:$FA,119)</f>
        <v>0.41</v>
      </c>
      <c r="D19" s="143">
        <f>VLOOKUP($A19,'Data shares'!$C:$FA,121)*100</f>
        <v>0</v>
      </c>
      <c r="E19" s="143">
        <f>VLOOKUP($A19,'Data shares'!$C:$FA,124)</f>
        <v>0.32</v>
      </c>
      <c r="F19" s="143">
        <f>VLOOKUP($A19,'Data shares'!$C:$FA,125)</f>
        <v>0.3</v>
      </c>
      <c r="G19" s="143">
        <f>VLOOKUP($A19,'Data shares'!$C:$FA,127)*100</f>
        <v>6.67</v>
      </c>
      <c r="H19" s="103">
        <f>VLOOKUP($A19,'OI(Volume)'!$A$7:$O$427,8)</f>
        <v>2228625</v>
      </c>
      <c r="I19" s="103">
        <f>VLOOKUP($A19,'OI(Volume)'!$A$7:$O$427,9)</f>
        <v>-96750</v>
      </c>
      <c r="J19" s="103">
        <f>VLOOKUP($A19,'OI(Volume)'!$A$7:$O$427,11)</f>
        <v>916500</v>
      </c>
      <c r="K19" s="103">
        <f>VLOOKUP($A19,'OI(Volume)'!$A$7:$O$427,12)</f>
        <v>-43375</v>
      </c>
      <c r="L19" s="103">
        <f>VLOOKUP($A19,'OI(Value)'!$A$7:$O$306,8,0)</f>
        <v>1657</v>
      </c>
      <c r="M19" s="103">
        <f>VLOOKUP($A19,'OI(Value)'!$A$7:$O$306,9,0)</f>
        <v>-72</v>
      </c>
      <c r="N19" s="103">
        <f>VLOOKUP($A19,'OI(Value)'!$A$7:$O$306,11,0)</f>
        <v>681</v>
      </c>
      <c r="O19" s="103">
        <f>VLOOKUP($A19,'OI(Value)'!$A$7:$O$306,12,0)</f>
        <v>-32</v>
      </c>
      <c r="P19" s="179">
        <f>VLOOKUP(A19,'OI(Value)'!A19:O220,8,0)</f>
        <v>1657</v>
      </c>
      <c r="Q19" s="179">
        <f>VLOOKUP(A19,'OI(Value)'!A19:O220,9,0)</f>
        <v>-72</v>
      </c>
      <c r="R19" s="179">
        <f>VLOOKUP(A19,'OI(Value)'!A19:O220,11,0)</f>
        <v>681</v>
      </c>
      <c r="S19" s="179">
        <f>VLOOKUP(A19,'OI(Value)'!A19:O220,11,0)</f>
        <v>681</v>
      </c>
    </row>
    <row r="20" spans="1:19" x14ac:dyDescent="0.25">
      <c r="A20" s="105" t="str">
        <f>'Data shares'!C15</f>
        <v>ASHOKLEY</v>
      </c>
      <c r="B20" s="143">
        <f>VLOOKUP($A20,'Data shares'!$C:$FA,118)</f>
        <v>0.71</v>
      </c>
      <c r="C20" s="143">
        <f>VLOOKUP($A20,'Data shares'!$C:$FA,119)</f>
        <v>0.71</v>
      </c>
      <c r="D20" s="143">
        <f>VLOOKUP($A20,'Data shares'!$C:$FA,121)*100</f>
        <v>0</v>
      </c>
      <c r="E20" s="143">
        <f>VLOOKUP($A20,'Data shares'!$C:$FA,124)</f>
        <v>0.44</v>
      </c>
      <c r="F20" s="143">
        <f>VLOOKUP($A20,'Data shares'!$C:$FA,125)</f>
        <v>0.51</v>
      </c>
      <c r="G20" s="143">
        <f>VLOOKUP($A20,'Data shares'!$C:$FA,127)*100</f>
        <v>-13.73</v>
      </c>
      <c r="H20" s="103">
        <f>VLOOKUP($A20,'OI(Volume)'!$A$7:$O$427,8)</f>
        <v>69110000</v>
      </c>
      <c r="I20" s="103">
        <f>VLOOKUP($A20,'OI(Volume)'!$A$7:$O$427,9)</f>
        <v>-520000</v>
      </c>
      <c r="J20" s="103">
        <f>VLOOKUP($A20,'OI(Volume)'!$A$7:$O$427,11)</f>
        <v>48855000</v>
      </c>
      <c r="K20" s="103">
        <f>VLOOKUP($A20,'OI(Volume)'!$A$7:$O$427,12)</f>
        <v>-565000</v>
      </c>
      <c r="L20" s="103">
        <f>VLOOKUP($A20,'OI(Value)'!$A$7:$O$306,8,0)</f>
        <v>1014</v>
      </c>
      <c r="M20" s="103">
        <f>VLOOKUP($A20,'OI(Value)'!$A$7:$O$306,9,0)</f>
        <v>-8</v>
      </c>
      <c r="N20" s="103">
        <f>VLOOKUP($A20,'OI(Value)'!$A$7:$O$306,11,0)</f>
        <v>717</v>
      </c>
      <c r="O20" s="103">
        <f>VLOOKUP($A20,'OI(Value)'!$A$7:$O$306,12,0)</f>
        <v>-8</v>
      </c>
      <c r="P20" s="179">
        <f>VLOOKUP(A20,'OI(Value)'!A20:O221,8,0)</f>
        <v>1014</v>
      </c>
      <c r="Q20" s="179">
        <f>VLOOKUP(A20,'OI(Value)'!A20:O221,9,0)</f>
        <v>-8</v>
      </c>
      <c r="R20" s="179">
        <f>VLOOKUP(A20,'OI(Value)'!A20:O221,11,0)</f>
        <v>717</v>
      </c>
      <c r="S20" s="179">
        <f>VLOOKUP(A20,'OI(Value)'!A20:O221,11,0)</f>
        <v>717</v>
      </c>
    </row>
    <row r="21" spans="1:19" x14ac:dyDescent="0.25">
      <c r="A21" s="105" t="str">
        <f>'Data shares'!C16</f>
        <v>ASIANPAINT</v>
      </c>
      <c r="B21" s="143">
        <f>VLOOKUP($A21,'Data shares'!$C:$FA,118)</f>
        <v>0.79</v>
      </c>
      <c r="C21" s="143">
        <f>VLOOKUP($A21,'Data shares'!$C:$FA,119)</f>
        <v>0.88</v>
      </c>
      <c r="D21" s="143">
        <f>VLOOKUP($A21,'Data shares'!$C:$FA,121)*100</f>
        <v>-10.23</v>
      </c>
      <c r="E21" s="143">
        <f>VLOOKUP($A21,'Data shares'!$C:$FA,124)</f>
        <v>0.68</v>
      </c>
      <c r="F21" s="143">
        <f>VLOOKUP($A21,'Data shares'!$C:$FA,125)</f>
        <v>0.86</v>
      </c>
      <c r="G21" s="143">
        <f>VLOOKUP($A21,'Data shares'!$C:$FA,127)*100</f>
        <v>-20.93</v>
      </c>
      <c r="H21" s="103">
        <f>VLOOKUP($A21,'OI(Volume)'!$A$7:$O$427,8)</f>
        <v>11116000</v>
      </c>
      <c r="I21" s="103">
        <f>VLOOKUP($A21,'OI(Volume)'!$A$7:$O$427,9)</f>
        <v>-1018500</v>
      </c>
      <c r="J21" s="103">
        <f>VLOOKUP($A21,'OI(Volume)'!$A$7:$O$427,11)</f>
        <v>8785250</v>
      </c>
      <c r="K21" s="103">
        <f>VLOOKUP($A21,'OI(Volume)'!$A$7:$O$427,12)</f>
        <v>-1909500</v>
      </c>
      <c r="L21" s="103">
        <f>VLOOKUP($A21,'OI(Value)'!$A$7:$O$306,8,0)</f>
        <v>3179</v>
      </c>
      <c r="M21" s="103">
        <f>VLOOKUP($A21,'OI(Value)'!$A$7:$O$306,9,0)</f>
        <v>-291</v>
      </c>
      <c r="N21" s="103">
        <f>VLOOKUP($A21,'OI(Value)'!$A$7:$O$306,11,0)</f>
        <v>2513</v>
      </c>
      <c r="O21" s="103">
        <f>VLOOKUP($A21,'OI(Value)'!$A$7:$O$306,12,0)</f>
        <v>-546</v>
      </c>
      <c r="P21" s="179">
        <f>VLOOKUP(A21,'OI(Value)'!A21:O222,8,0)</f>
        <v>3179</v>
      </c>
      <c r="Q21" s="179">
        <f>VLOOKUP(A21,'OI(Value)'!A21:O222,9,0)</f>
        <v>-291</v>
      </c>
      <c r="R21" s="179">
        <f>VLOOKUP(A21,'OI(Value)'!A21:O222,11,0)</f>
        <v>2513</v>
      </c>
      <c r="S21" s="179">
        <f>VLOOKUP(A21,'OI(Value)'!A21:O222,11,0)</f>
        <v>2513</v>
      </c>
    </row>
    <row r="22" spans="1:19" x14ac:dyDescent="0.25">
      <c r="A22" s="105" t="str">
        <f>'Data shares'!C17</f>
        <v>ASTRAL</v>
      </c>
      <c r="B22" s="143">
        <f>VLOOKUP($A22,'Data shares'!$C:$FA,118)</f>
        <v>0.56999999999999995</v>
      </c>
      <c r="C22" s="143">
        <f>VLOOKUP($A22,'Data shares'!$C:$FA,119)</f>
        <v>0.54</v>
      </c>
      <c r="D22" s="143">
        <f>VLOOKUP($A22,'Data shares'!$C:$FA,121)*100</f>
        <v>5.56</v>
      </c>
      <c r="E22" s="143">
        <f>VLOOKUP($A22,'Data shares'!$C:$FA,124)</f>
        <v>0.36</v>
      </c>
      <c r="F22" s="143">
        <f>VLOOKUP($A22,'Data shares'!$C:$FA,125)</f>
        <v>0.36</v>
      </c>
      <c r="G22" s="143">
        <f>VLOOKUP($A22,'Data shares'!$C:$FA,127)*100</f>
        <v>0</v>
      </c>
      <c r="H22" s="103">
        <f>VLOOKUP($A22,'OI(Volume)'!$A$7:$O$427,8)</f>
        <v>4674575</v>
      </c>
      <c r="I22" s="103">
        <f>VLOOKUP($A22,'OI(Volume)'!$A$7:$O$427,9)</f>
        <v>-456450</v>
      </c>
      <c r="J22" s="103">
        <f>VLOOKUP($A22,'OI(Volume)'!$A$7:$O$427,11)</f>
        <v>2644775</v>
      </c>
      <c r="K22" s="103">
        <f>VLOOKUP($A22,'OI(Volume)'!$A$7:$O$427,12)</f>
        <v>-138975</v>
      </c>
      <c r="L22" s="103">
        <f>VLOOKUP($A22,'OI(Value)'!$A$7:$O$306,8,0)</f>
        <v>685</v>
      </c>
      <c r="M22" s="103">
        <f>VLOOKUP($A22,'OI(Value)'!$A$7:$O$306,9,0)</f>
        <v>-67</v>
      </c>
      <c r="N22" s="103">
        <f>VLOOKUP($A22,'OI(Value)'!$A$7:$O$306,11,0)</f>
        <v>388</v>
      </c>
      <c r="O22" s="103">
        <f>VLOOKUP($A22,'OI(Value)'!$A$7:$O$306,12,0)</f>
        <v>-20</v>
      </c>
      <c r="P22" s="179">
        <f>VLOOKUP(A22,'OI(Value)'!A22:O223,8,0)</f>
        <v>685</v>
      </c>
      <c r="Q22" s="179">
        <f>VLOOKUP(A22,'OI(Value)'!A22:O223,9,0)</f>
        <v>-67</v>
      </c>
      <c r="R22" s="179">
        <f>VLOOKUP(A22,'OI(Value)'!A22:O223,11,0)</f>
        <v>388</v>
      </c>
      <c r="S22" s="179">
        <f>VLOOKUP(A22,'OI(Value)'!A22:O223,11,0)</f>
        <v>388</v>
      </c>
    </row>
    <row r="23" spans="1:19" x14ac:dyDescent="0.25">
      <c r="A23" s="105" t="str">
        <f>'Data shares'!C18</f>
        <v>AUBANK</v>
      </c>
      <c r="B23" s="143">
        <f>VLOOKUP($A23,'Data shares'!$C:$FA,118)</f>
        <v>0.97</v>
      </c>
      <c r="C23" s="143">
        <f>VLOOKUP($A23,'Data shares'!$C:$FA,119)</f>
        <v>1.05</v>
      </c>
      <c r="D23" s="143">
        <f>VLOOKUP($A23,'Data shares'!$C:$FA,121)*100</f>
        <v>-7.62</v>
      </c>
      <c r="E23" s="143">
        <f>VLOOKUP($A23,'Data shares'!$C:$FA,124)</f>
        <v>0.77</v>
      </c>
      <c r="F23" s="143">
        <f>VLOOKUP($A23,'Data shares'!$C:$FA,125)</f>
        <v>0.57999999999999996</v>
      </c>
      <c r="G23" s="143">
        <f>VLOOKUP($A23,'Data shares'!$C:$FA,127)*100</f>
        <v>32.76</v>
      </c>
      <c r="H23" s="103">
        <f>VLOOKUP($A23,'OI(Volume)'!$A$7:$O$427,8)</f>
        <v>6648000</v>
      </c>
      <c r="I23" s="103">
        <f>VLOOKUP($A23,'OI(Volume)'!$A$7:$O$427,9)</f>
        <v>-59000</v>
      </c>
      <c r="J23" s="103">
        <f>VLOOKUP($A23,'OI(Volume)'!$A$7:$O$427,11)</f>
        <v>6427000</v>
      </c>
      <c r="K23" s="103">
        <f>VLOOKUP($A23,'OI(Volume)'!$A$7:$O$427,12)</f>
        <v>-623000</v>
      </c>
      <c r="L23" s="103">
        <f>VLOOKUP($A23,'OI(Value)'!$A$7:$O$306,8,0)</f>
        <v>612</v>
      </c>
      <c r="M23" s="103">
        <f>VLOOKUP($A23,'OI(Value)'!$A$7:$O$306,9,0)</f>
        <v>-5</v>
      </c>
      <c r="N23" s="103">
        <f>VLOOKUP($A23,'OI(Value)'!$A$7:$O$306,11,0)</f>
        <v>592</v>
      </c>
      <c r="O23" s="103">
        <f>VLOOKUP($A23,'OI(Value)'!$A$7:$O$306,12,0)</f>
        <v>-57</v>
      </c>
      <c r="P23" s="179">
        <f>VLOOKUP(A23,'OI(Value)'!A23:O224,8,0)</f>
        <v>612</v>
      </c>
      <c r="Q23" s="179">
        <f>VLOOKUP(A23,'OI(Value)'!A23:O224,9,0)</f>
        <v>-5</v>
      </c>
      <c r="R23" s="179">
        <f>VLOOKUP(A23,'OI(Value)'!A23:O224,11,0)</f>
        <v>592</v>
      </c>
      <c r="S23" s="179">
        <f>VLOOKUP(A23,'OI(Value)'!A23:O224,11,0)</f>
        <v>592</v>
      </c>
    </row>
    <row r="24" spans="1:19" x14ac:dyDescent="0.25">
      <c r="A24" s="105" t="str">
        <f>'Data shares'!C19</f>
        <v>AUROPHARMA</v>
      </c>
      <c r="B24" s="143">
        <f>VLOOKUP($A24,'Data shares'!$C:$FA,118)</f>
        <v>0.94</v>
      </c>
      <c r="C24" s="143">
        <f>VLOOKUP($A24,'Data shares'!$C:$FA,119)</f>
        <v>1.07</v>
      </c>
      <c r="D24" s="143">
        <f>VLOOKUP($A24,'Data shares'!$C:$FA,121)*100</f>
        <v>-12.15</v>
      </c>
      <c r="E24" s="143">
        <f>VLOOKUP($A24,'Data shares'!$C:$FA,124)</f>
        <v>0.9</v>
      </c>
      <c r="F24" s="143">
        <f>VLOOKUP($A24,'Data shares'!$C:$FA,125)</f>
        <v>0.74</v>
      </c>
      <c r="G24" s="143">
        <f>VLOOKUP($A24,'Data shares'!$C:$FA,127)*100</f>
        <v>21.62</v>
      </c>
      <c r="H24" s="103">
        <f>VLOOKUP($A24,'OI(Volume)'!$A$7:$O$427,8)</f>
        <v>4659600</v>
      </c>
      <c r="I24" s="103">
        <f>VLOOKUP($A24,'OI(Volume)'!$A$7:$O$427,9)</f>
        <v>218350</v>
      </c>
      <c r="J24" s="103">
        <f>VLOOKUP($A24,'OI(Volume)'!$A$7:$O$427,11)</f>
        <v>4389550</v>
      </c>
      <c r="K24" s="103">
        <f>VLOOKUP($A24,'OI(Volume)'!$A$7:$O$427,12)</f>
        <v>-381150</v>
      </c>
      <c r="L24" s="103">
        <f>VLOOKUP($A24,'OI(Value)'!$A$7:$O$306,8,0)</f>
        <v>563</v>
      </c>
      <c r="M24" s="103">
        <f>VLOOKUP($A24,'OI(Value)'!$A$7:$O$306,9,0)</f>
        <v>26</v>
      </c>
      <c r="N24" s="103">
        <f>VLOOKUP($A24,'OI(Value)'!$A$7:$O$306,11,0)</f>
        <v>531</v>
      </c>
      <c r="O24" s="103">
        <f>VLOOKUP($A24,'OI(Value)'!$A$7:$O$306,12,0)</f>
        <v>-46</v>
      </c>
      <c r="P24" s="179">
        <f>VLOOKUP(A24,'OI(Value)'!A24:O225,8,0)</f>
        <v>563</v>
      </c>
      <c r="Q24" s="179">
        <f>VLOOKUP(A24,'OI(Value)'!A24:O225,9,0)</f>
        <v>26</v>
      </c>
      <c r="R24" s="179">
        <f>VLOOKUP(A24,'OI(Value)'!A24:O225,11,0)</f>
        <v>531</v>
      </c>
      <c r="S24" s="179">
        <f>VLOOKUP(A24,'OI(Value)'!A24:O225,11,0)</f>
        <v>531</v>
      </c>
    </row>
    <row r="25" spans="1:19" x14ac:dyDescent="0.25">
      <c r="A25" s="105" t="str">
        <f>'Data shares'!C20</f>
        <v>AXISBANK</v>
      </c>
      <c r="B25" s="143">
        <f>VLOOKUP($A25,'Data shares'!$C:$FA,118)</f>
        <v>0.76</v>
      </c>
      <c r="C25" s="143">
        <f>VLOOKUP($A25,'Data shares'!$C:$FA,119)</f>
        <v>0.68</v>
      </c>
      <c r="D25" s="143">
        <f>VLOOKUP($A25,'Data shares'!$C:$FA,121)*100</f>
        <v>11.76</v>
      </c>
      <c r="E25" s="143">
        <f>VLOOKUP($A25,'Data shares'!$C:$FA,124)</f>
        <v>0.5</v>
      </c>
      <c r="F25" s="143">
        <f>VLOOKUP($A25,'Data shares'!$C:$FA,125)</f>
        <v>0.53</v>
      </c>
      <c r="G25" s="143">
        <f>VLOOKUP($A25,'Data shares'!$C:$FA,127)*100</f>
        <v>-5.66</v>
      </c>
      <c r="H25" s="103">
        <f>VLOOKUP($A25,'OI(Volume)'!$A$7:$O$427,8)</f>
        <v>18295000</v>
      </c>
      <c r="I25" s="103">
        <f>VLOOKUP($A25,'OI(Volume)'!$A$7:$O$427,9)</f>
        <v>-1455625</v>
      </c>
      <c r="J25" s="103">
        <f>VLOOKUP($A25,'OI(Volume)'!$A$7:$O$427,11)</f>
        <v>13889375</v>
      </c>
      <c r="K25" s="103">
        <f>VLOOKUP($A25,'OI(Volume)'!$A$7:$O$427,12)</f>
        <v>478750</v>
      </c>
      <c r="L25" s="103">
        <f>VLOOKUP($A25,'OI(Value)'!$A$7:$O$306,8,0)</f>
        <v>2349</v>
      </c>
      <c r="M25" s="103">
        <f>VLOOKUP($A25,'OI(Value)'!$A$7:$O$306,9,0)</f>
        <v>-187</v>
      </c>
      <c r="N25" s="103">
        <f>VLOOKUP($A25,'OI(Value)'!$A$7:$O$306,11,0)</f>
        <v>1783</v>
      </c>
      <c r="O25" s="103">
        <f>VLOOKUP($A25,'OI(Value)'!$A$7:$O$306,12,0)</f>
        <v>61</v>
      </c>
      <c r="P25" s="179">
        <f>VLOOKUP(A25,'OI(Value)'!A25:O226,8,0)</f>
        <v>2349</v>
      </c>
      <c r="Q25" s="179">
        <f>VLOOKUP(A25,'OI(Value)'!A25:O226,9,0)</f>
        <v>-187</v>
      </c>
      <c r="R25" s="179">
        <f>VLOOKUP(A25,'OI(Value)'!A25:O226,11,0)</f>
        <v>1783</v>
      </c>
      <c r="S25" s="179">
        <f>VLOOKUP(A25,'OI(Value)'!A25:O226,11,0)</f>
        <v>1783</v>
      </c>
    </row>
    <row r="26" spans="1:19" x14ac:dyDescent="0.25">
      <c r="A26" s="105" t="str">
        <f>'Data shares'!C21</f>
        <v>BAJAJ-AUTO</v>
      </c>
      <c r="B26" s="143">
        <f>VLOOKUP($A26,'Data shares'!$C:$FA,118)</f>
        <v>0.6</v>
      </c>
      <c r="C26" s="143">
        <f>VLOOKUP($A26,'Data shares'!$C:$FA,119)</f>
        <v>0.59</v>
      </c>
      <c r="D26" s="143">
        <f>VLOOKUP($A26,'Data shares'!$C:$FA,121)*100</f>
        <v>1.69</v>
      </c>
      <c r="E26" s="143">
        <f>VLOOKUP($A26,'Data shares'!$C:$FA,124)</f>
        <v>0.44</v>
      </c>
      <c r="F26" s="143">
        <f>VLOOKUP($A26,'Data shares'!$C:$FA,125)</f>
        <v>0.38</v>
      </c>
      <c r="G26" s="143">
        <f>VLOOKUP($A26,'Data shares'!$C:$FA,127)*100</f>
        <v>15.790000000000001</v>
      </c>
      <c r="H26" s="103">
        <f>VLOOKUP($A26,'OI(Volume)'!$A$7:$O$427,8)</f>
        <v>2031450</v>
      </c>
      <c r="I26" s="103">
        <f>VLOOKUP($A26,'OI(Volume)'!$A$7:$O$427,9)</f>
        <v>-146550</v>
      </c>
      <c r="J26" s="103">
        <f>VLOOKUP($A26,'OI(Volume)'!$A$7:$O$427,11)</f>
        <v>1223475</v>
      </c>
      <c r="K26" s="103">
        <f>VLOOKUP($A26,'OI(Volume)'!$A$7:$O$427,12)</f>
        <v>-68100</v>
      </c>
      <c r="L26" s="103">
        <f>VLOOKUP($A26,'OI(Value)'!$A$7:$O$306,8,0)</f>
        <v>1825</v>
      </c>
      <c r="M26" s="103">
        <f>VLOOKUP($A26,'OI(Value)'!$A$7:$O$306,9,0)</f>
        <v>-132</v>
      </c>
      <c r="N26" s="103">
        <f>VLOOKUP($A26,'OI(Value)'!$A$7:$O$306,11,0)</f>
        <v>1099</v>
      </c>
      <c r="O26" s="103">
        <f>VLOOKUP($A26,'OI(Value)'!$A$7:$O$306,12,0)</f>
        <v>-61</v>
      </c>
      <c r="P26" s="179">
        <f>VLOOKUP(A26,'OI(Value)'!A26:O227,8,0)</f>
        <v>1825</v>
      </c>
      <c r="Q26" s="179">
        <f>VLOOKUP(A26,'OI(Value)'!A26:O227,9,0)</f>
        <v>-132</v>
      </c>
      <c r="R26" s="179">
        <f>VLOOKUP(A26,'OI(Value)'!A26:O227,11,0)</f>
        <v>1099</v>
      </c>
      <c r="S26" s="179">
        <f>VLOOKUP(A26,'OI(Value)'!A26:O227,11,0)</f>
        <v>1099</v>
      </c>
    </row>
    <row r="27" spans="1:19" x14ac:dyDescent="0.25">
      <c r="A27" s="105" t="str">
        <f>'Data shares'!C22</f>
        <v>BAJAJFINSV</v>
      </c>
      <c r="B27" s="143">
        <f>VLOOKUP($A27,'Data shares'!$C:$FA,118)</f>
        <v>0.72</v>
      </c>
      <c r="C27" s="143">
        <f>VLOOKUP($A27,'Data shares'!$C:$FA,119)</f>
        <v>0.61</v>
      </c>
      <c r="D27" s="143">
        <f>VLOOKUP($A27,'Data shares'!$C:$FA,121)*100</f>
        <v>18.029999999999998</v>
      </c>
      <c r="E27" s="143">
        <f>VLOOKUP($A27,'Data shares'!$C:$FA,124)</f>
        <v>0.38</v>
      </c>
      <c r="F27" s="143">
        <f>VLOOKUP($A27,'Data shares'!$C:$FA,125)</f>
        <v>0.43</v>
      </c>
      <c r="G27" s="143">
        <f>VLOOKUP($A27,'Data shares'!$C:$FA,127)*100</f>
        <v>-11.63</v>
      </c>
      <c r="H27" s="103">
        <f>VLOOKUP($A27,'OI(Volume)'!$A$7:$O$427,8)</f>
        <v>6710000</v>
      </c>
      <c r="I27" s="103">
        <f>VLOOKUP($A27,'OI(Volume)'!$A$7:$O$427,9)</f>
        <v>-540250</v>
      </c>
      <c r="J27" s="103">
        <f>VLOOKUP($A27,'OI(Volume)'!$A$7:$O$427,11)</f>
        <v>4833500</v>
      </c>
      <c r="K27" s="103">
        <f>VLOOKUP($A27,'OI(Volume)'!$A$7:$O$427,12)</f>
        <v>415750</v>
      </c>
      <c r="L27" s="103">
        <f>VLOOKUP($A27,'OI(Value)'!$A$7:$O$306,8,0)</f>
        <v>1409</v>
      </c>
      <c r="M27" s="103">
        <f>VLOOKUP($A27,'OI(Value)'!$A$7:$O$306,9,0)</f>
        <v>-113</v>
      </c>
      <c r="N27" s="103">
        <f>VLOOKUP($A27,'OI(Value)'!$A$7:$O$306,11,0)</f>
        <v>1015</v>
      </c>
      <c r="O27" s="103">
        <f>VLOOKUP($A27,'OI(Value)'!$A$7:$O$306,12,0)</f>
        <v>87</v>
      </c>
      <c r="P27" s="179">
        <f>VLOOKUP(A27,'OI(Value)'!A27:O228,8,0)</f>
        <v>1409</v>
      </c>
      <c r="Q27" s="179">
        <f>VLOOKUP(A27,'OI(Value)'!A27:O228,9,0)</f>
        <v>-113</v>
      </c>
      <c r="R27" s="179">
        <f>VLOOKUP(A27,'OI(Value)'!A27:O228,11,0)</f>
        <v>1015</v>
      </c>
      <c r="S27" s="179">
        <f>VLOOKUP(A27,'OI(Value)'!A27:O228,11,0)</f>
        <v>1015</v>
      </c>
    </row>
    <row r="28" spans="1:19" x14ac:dyDescent="0.25">
      <c r="A28" s="105" t="str">
        <f>'Data shares'!C23</f>
        <v>BAJFINANCE</v>
      </c>
      <c r="B28" s="143">
        <f>VLOOKUP($A28,'Data shares'!$C:$FA,118)</f>
        <v>0.63</v>
      </c>
      <c r="C28" s="143">
        <f>VLOOKUP($A28,'Data shares'!$C:$FA,119)</f>
        <v>0.56000000000000005</v>
      </c>
      <c r="D28" s="143">
        <f>VLOOKUP($A28,'Data shares'!$C:$FA,121)*100</f>
        <v>12.5</v>
      </c>
      <c r="E28" s="143">
        <f>VLOOKUP($A28,'Data shares'!$C:$FA,124)</f>
        <v>0.44</v>
      </c>
      <c r="F28" s="143">
        <f>VLOOKUP($A28,'Data shares'!$C:$FA,125)</f>
        <v>0.43</v>
      </c>
      <c r="G28" s="143">
        <f>VLOOKUP($A28,'Data shares'!$C:$FA,127)*100</f>
        <v>2.33</v>
      </c>
      <c r="H28" s="103">
        <f>VLOOKUP($A28,'OI(Volume)'!$A$7:$O$427,8)</f>
        <v>27608250</v>
      </c>
      <c r="I28" s="103">
        <f>VLOOKUP($A28,'OI(Volume)'!$A$7:$O$427,9)</f>
        <v>-5792250</v>
      </c>
      <c r="J28" s="103">
        <f>VLOOKUP($A28,'OI(Volume)'!$A$7:$O$427,11)</f>
        <v>17313000</v>
      </c>
      <c r="K28" s="103">
        <f>VLOOKUP($A28,'OI(Volume)'!$A$7:$O$427,12)</f>
        <v>-1362000</v>
      </c>
      <c r="L28" s="103">
        <f>VLOOKUP($A28,'OI(Value)'!$A$7:$O$306,8,0)</f>
        <v>2844</v>
      </c>
      <c r="M28" s="103">
        <f>VLOOKUP($A28,'OI(Value)'!$A$7:$O$306,9,0)</f>
        <v>-597</v>
      </c>
      <c r="N28" s="103">
        <f>VLOOKUP($A28,'OI(Value)'!$A$7:$O$306,11,0)</f>
        <v>1783</v>
      </c>
      <c r="O28" s="103">
        <f>VLOOKUP($A28,'OI(Value)'!$A$7:$O$306,12,0)</f>
        <v>-140</v>
      </c>
      <c r="P28" s="179">
        <f>VLOOKUP(A28,'OI(Value)'!A28:O229,8,0)</f>
        <v>2844</v>
      </c>
      <c r="Q28" s="179">
        <f>VLOOKUP(A28,'OI(Value)'!A28:O229,9,0)</f>
        <v>-597</v>
      </c>
      <c r="R28" s="179">
        <f>VLOOKUP(A28,'OI(Value)'!A28:O229,11,0)</f>
        <v>1783</v>
      </c>
      <c r="S28" s="179">
        <f>VLOOKUP(A28,'OI(Value)'!A28:O229,11,0)</f>
        <v>1783</v>
      </c>
    </row>
    <row r="29" spans="1:19" x14ac:dyDescent="0.25">
      <c r="A29" s="105" t="str">
        <f>'Data shares'!C24</f>
        <v>BANDHANBNK</v>
      </c>
      <c r="B29" s="143">
        <f>VLOOKUP($A29,'Data shares'!$C:$FA,118)</f>
        <v>0.54</v>
      </c>
      <c r="C29" s="143">
        <f>VLOOKUP($A29,'Data shares'!$C:$FA,119)</f>
        <v>0.52</v>
      </c>
      <c r="D29" s="143">
        <f>VLOOKUP($A29,'Data shares'!$C:$FA,121)*100</f>
        <v>3.85</v>
      </c>
      <c r="E29" s="143">
        <f>VLOOKUP($A29,'Data shares'!$C:$FA,124)</f>
        <v>0.34</v>
      </c>
      <c r="F29" s="143">
        <f>VLOOKUP($A29,'Data shares'!$C:$FA,125)</f>
        <v>0.37</v>
      </c>
      <c r="G29" s="143">
        <f>VLOOKUP($A29,'Data shares'!$C:$FA,127)*100</f>
        <v>-8.1100000000000012</v>
      </c>
      <c r="H29" s="103">
        <f>VLOOKUP($A29,'OI(Volume)'!$A$7:$O$427,8)</f>
        <v>82558800</v>
      </c>
      <c r="I29" s="103">
        <f>VLOOKUP($A29,'OI(Volume)'!$A$7:$O$427,9)</f>
        <v>-4320000</v>
      </c>
      <c r="J29" s="103">
        <f>VLOOKUP($A29,'OI(Volume)'!$A$7:$O$427,11)</f>
        <v>44784000</v>
      </c>
      <c r="K29" s="103">
        <f>VLOOKUP($A29,'OI(Volume)'!$A$7:$O$427,12)</f>
        <v>-108000</v>
      </c>
      <c r="L29" s="103">
        <f>VLOOKUP($A29,'OI(Value)'!$A$7:$O$306,8,0)</f>
        <v>1250</v>
      </c>
      <c r="M29" s="103">
        <f>VLOOKUP($A29,'OI(Value)'!$A$7:$O$306,9,0)</f>
        <v>-65</v>
      </c>
      <c r="N29" s="103">
        <f>VLOOKUP($A29,'OI(Value)'!$A$7:$O$306,11,0)</f>
        <v>678</v>
      </c>
      <c r="O29" s="103">
        <f>VLOOKUP($A29,'OI(Value)'!$A$7:$O$306,12,0)</f>
        <v>-2</v>
      </c>
      <c r="P29" s="179">
        <f>VLOOKUP(A29,'OI(Value)'!A29:O230,8,0)</f>
        <v>1250</v>
      </c>
      <c r="Q29" s="179">
        <f>VLOOKUP(A29,'OI(Value)'!A29:O230,9,0)</f>
        <v>-65</v>
      </c>
      <c r="R29" s="179">
        <f>VLOOKUP(A29,'OI(Value)'!A29:O230,11,0)</f>
        <v>678</v>
      </c>
      <c r="S29" s="179">
        <f>VLOOKUP(A29,'OI(Value)'!A29:O230,11,0)</f>
        <v>678</v>
      </c>
    </row>
    <row r="30" spans="1:19" x14ac:dyDescent="0.25">
      <c r="A30" s="105" t="str">
        <f>'Data shares'!C25</f>
        <v>BANKBARODA</v>
      </c>
      <c r="B30" s="143">
        <f>VLOOKUP($A30,'Data shares'!$C:$FA,118)</f>
        <v>0.73</v>
      </c>
      <c r="C30" s="143">
        <f>VLOOKUP($A30,'Data shares'!$C:$FA,119)</f>
        <v>0.78</v>
      </c>
      <c r="D30" s="143">
        <f>VLOOKUP($A30,'Data shares'!$C:$FA,121)*100</f>
        <v>-6.41</v>
      </c>
      <c r="E30" s="143">
        <f>VLOOKUP($A30,'Data shares'!$C:$FA,124)</f>
        <v>0.51</v>
      </c>
      <c r="F30" s="143">
        <f>VLOOKUP($A30,'Data shares'!$C:$FA,125)</f>
        <v>0.46</v>
      </c>
      <c r="G30" s="143">
        <f>VLOOKUP($A30,'Data shares'!$C:$FA,127)*100</f>
        <v>10.870000000000001</v>
      </c>
      <c r="H30" s="103">
        <f>VLOOKUP($A30,'OI(Volume)'!$A$7:$O$427,8)</f>
        <v>52345800</v>
      </c>
      <c r="I30" s="103">
        <f>VLOOKUP($A30,'OI(Volume)'!$A$7:$O$427,9)</f>
        <v>1196325</v>
      </c>
      <c r="J30" s="103">
        <f>VLOOKUP($A30,'OI(Volume)'!$A$7:$O$427,11)</f>
        <v>38299950</v>
      </c>
      <c r="K30" s="103">
        <f>VLOOKUP($A30,'OI(Volume)'!$A$7:$O$427,12)</f>
        <v>-1594125</v>
      </c>
      <c r="L30" s="103">
        <f>VLOOKUP($A30,'OI(Value)'!$A$7:$O$306,8,0)</f>
        <v>1511</v>
      </c>
      <c r="M30" s="103">
        <f>VLOOKUP($A30,'OI(Value)'!$A$7:$O$306,9,0)</f>
        <v>35</v>
      </c>
      <c r="N30" s="103">
        <f>VLOOKUP($A30,'OI(Value)'!$A$7:$O$306,11,0)</f>
        <v>1105</v>
      </c>
      <c r="O30" s="103">
        <f>VLOOKUP($A30,'OI(Value)'!$A$7:$O$306,12,0)</f>
        <v>-46</v>
      </c>
      <c r="P30" s="179">
        <f>VLOOKUP(A30,'OI(Value)'!A30:O231,8,0)</f>
        <v>1511</v>
      </c>
      <c r="Q30" s="179">
        <f>VLOOKUP(A30,'OI(Value)'!A30:O231,9,0)</f>
        <v>35</v>
      </c>
      <c r="R30" s="179">
        <f>VLOOKUP(A30,'OI(Value)'!A30:O231,11,0)</f>
        <v>1105</v>
      </c>
      <c r="S30" s="179">
        <f>VLOOKUP(A30,'OI(Value)'!A30:O231,11,0)</f>
        <v>1105</v>
      </c>
    </row>
    <row r="31" spans="1:19" x14ac:dyDescent="0.25">
      <c r="A31" s="105" t="str">
        <f>'Data shares'!C26</f>
        <v>BANKINDIA</v>
      </c>
      <c r="B31" s="143">
        <f>VLOOKUP($A31,'Data shares'!$C:$FA,118)</f>
        <v>0.89</v>
      </c>
      <c r="C31" s="143">
        <f>VLOOKUP($A31,'Data shares'!$C:$FA,119)</f>
        <v>0.8</v>
      </c>
      <c r="D31" s="143">
        <f>VLOOKUP($A31,'Data shares'!$C:$FA,121)*100</f>
        <v>11.25</v>
      </c>
      <c r="E31" s="143">
        <f>VLOOKUP($A31,'Data shares'!$C:$FA,124)</f>
        <v>0.57999999999999996</v>
      </c>
      <c r="F31" s="143">
        <f>VLOOKUP($A31,'Data shares'!$C:$FA,125)</f>
        <v>0.54</v>
      </c>
      <c r="G31" s="143">
        <f>VLOOKUP($A31,'Data shares'!$C:$FA,127)*100</f>
        <v>7.41</v>
      </c>
      <c r="H31" s="103">
        <f>VLOOKUP($A31,'OI(Volume)'!$A$7:$O$427,8)</f>
        <v>29322800</v>
      </c>
      <c r="I31" s="103">
        <f>VLOOKUP($A31,'OI(Volume)'!$A$7:$O$427,9)</f>
        <v>-1029600</v>
      </c>
      <c r="J31" s="103">
        <f>VLOOKUP($A31,'OI(Volume)'!$A$7:$O$427,11)</f>
        <v>26036400</v>
      </c>
      <c r="K31" s="103">
        <f>VLOOKUP($A31,'OI(Volume)'!$A$7:$O$427,12)</f>
        <v>1788800</v>
      </c>
      <c r="L31" s="103">
        <f>VLOOKUP($A31,'OI(Value)'!$A$7:$O$306,8,0)</f>
        <v>433</v>
      </c>
      <c r="M31" s="103">
        <f>VLOOKUP($A31,'OI(Value)'!$A$7:$O$306,9,0)</f>
        <v>-15</v>
      </c>
      <c r="N31" s="103">
        <f>VLOOKUP($A31,'OI(Value)'!$A$7:$O$306,11,0)</f>
        <v>384</v>
      </c>
      <c r="O31" s="103">
        <f>VLOOKUP($A31,'OI(Value)'!$A$7:$O$306,12,0)</f>
        <v>26</v>
      </c>
      <c r="P31" s="179">
        <f>VLOOKUP(A31,'OI(Value)'!A31:O232,8,0)</f>
        <v>433</v>
      </c>
      <c r="Q31" s="179">
        <f>VLOOKUP(A31,'OI(Value)'!A31:O232,9,0)</f>
        <v>-15</v>
      </c>
      <c r="R31" s="179">
        <f>VLOOKUP(A31,'OI(Value)'!A31:O232,11,0)</f>
        <v>384</v>
      </c>
      <c r="S31" s="179">
        <f>VLOOKUP(A31,'OI(Value)'!A31:O232,11,0)</f>
        <v>384</v>
      </c>
    </row>
    <row r="32" spans="1:19" x14ac:dyDescent="0.25">
      <c r="A32" s="105" t="str">
        <f>'Data shares'!C27</f>
        <v>BANKNIFTY</v>
      </c>
      <c r="B32" s="143">
        <f>VLOOKUP($A32,'Data shares'!$C:$FA,118)</f>
        <v>1.25</v>
      </c>
      <c r="C32" s="143">
        <f>VLOOKUP($A32,'Data shares'!$C:$FA,119)</f>
        <v>1.23</v>
      </c>
      <c r="D32" s="143">
        <f>VLOOKUP($A32,'Data shares'!$C:$FA,121)*100</f>
        <v>1.63</v>
      </c>
      <c r="E32" s="143">
        <f>VLOOKUP($A32,'Data shares'!$C:$FA,124)</f>
        <v>1</v>
      </c>
      <c r="F32" s="143">
        <f>VLOOKUP($A32,'Data shares'!$C:$FA,125)</f>
        <v>0.97</v>
      </c>
      <c r="G32" s="143">
        <f>VLOOKUP($A32,'Data shares'!$C:$FA,127)*100</f>
        <v>3.09</v>
      </c>
      <c r="H32" s="103">
        <f>VLOOKUP($A32,'OI(Volume)'!$A$7:$O$427,8)</f>
        <v>19682650</v>
      </c>
      <c r="I32" s="103">
        <f>VLOOKUP($A32,'OI(Volume)'!$A$7:$O$427,9)</f>
        <v>412405</v>
      </c>
      <c r="J32" s="103">
        <f>VLOOKUP($A32,'OI(Volume)'!$A$7:$O$427,11)</f>
        <v>24641690</v>
      </c>
      <c r="K32" s="103">
        <f>VLOOKUP($A32,'OI(Volume)'!$A$7:$O$427,12)</f>
        <v>993390</v>
      </c>
      <c r="L32" s="103">
        <f>VLOOKUP($A32,'OI(Value)'!$A$7:$O$306,8,0)</f>
        <v>116913</v>
      </c>
      <c r="M32" s="103">
        <f>VLOOKUP($A32,'OI(Value)'!$A$7:$O$306,9,0)</f>
        <v>2450</v>
      </c>
      <c r="N32" s="103">
        <f>VLOOKUP($A32,'OI(Value)'!$A$7:$O$306,11,0)</f>
        <v>146369</v>
      </c>
      <c r="O32" s="103">
        <f>VLOOKUP($A32,'OI(Value)'!$A$7:$O$306,12,0)</f>
        <v>5901</v>
      </c>
      <c r="P32" s="179">
        <f>VLOOKUP(A32,'OI(Value)'!A32:O233,8,0)</f>
        <v>116913</v>
      </c>
      <c r="Q32" s="179">
        <f>VLOOKUP(A32,'OI(Value)'!A32:O233,9,0)</f>
        <v>2450</v>
      </c>
      <c r="R32" s="179">
        <f>VLOOKUP(A32,'OI(Value)'!A32:O233,11,0)</f>
        <v>146369</v>
      </c>
      <c r="S32" s="179">
        <f>VLOOKUP(A32,'OI(Value)'!A32:O233,11,0)</f>
        <v>146369</v>
      </c>
    </row>
    <row r="33" spans="1:19" x14ac:dyDescent="0.25">
      <c r="A33" s="105" t="str">
        <f>'Data shares'!C28</f>
        <v>BDL</v>
      </c>
      <c r="B33" s="143">
        <f>VLOOKUP($A33,'Data shares'!$C:$FA,118)</f>
        <v>0.6</v>
      </c>
      <c r="C33" s="143">
        <f>VLOOKUP($A33,'Data shares'!$C:$FA,119)</f>
        <v>0.59</v>
      </c>
      <c r="D33" s="143">
        <f>VLOOKUP($A33,'Data shares'!$C:$FA,121)*100</f>
        <v>1.69</v>
      </c>
      <c r="E33" s="143">
        <f>VLOOKUP($A33,'Data shares'!$C:$FA,124)</f>
        <v>0.27</v>
      </c>
      <c r="F33" s="143">
        <f>VLOOKUP($A33,'Data shares'!$C:$FA,125)</f>
        <v>0.53</v>
      </c>
      <c r="G33" s="143">
        <f>VLOOKUP($A33,'Data shares'!$C:$FA,127)*100</f>
        <v>-49.059999999999995</v>
      </c>
      <c r="H33" s="103">
        <f>VLOOKUP($A33,'OI(Volume)'!$A$7:$O$427,8)</f>
        <v>5040875</v>
      </c>
      <c r="I33" s="103">
        <f>VLOOKUP($A33,'OI(Volume)'!$A$7:$O$427,9)</f>
        <v>-276550</v>
      </c>
      <c r="J33" s="103">
        <f>VLOOKUP($A33,'OI(Volume)'!$A$7:$O$427,11)</f>
        <v>3013650</v>
      </c>
      <c r="K33" s="103">
        <f>VLOOKUP($A33,'OI(Volume)'!$A$7:$O$427,12)</f>
        <v>-118950</v>
      </c>
      <c r="L33" s="103">
        <f>VLOOKUP($A33,'OI(Value)'!$A$7:$O$306,8,0)</f>
        <v>785</v>
      </c>
      <c r="M33" s="103">
        <f>VLOOKUP($A33,'OI(Value)'!$A$7:$O$306,9,0)</f>
        <v>-43</v>
      </c>
      <c r="N33" s="103">
        <f>VLOOKUP($A33,'OI(Value)'!$A$7:$O$306,11,0)</f>
        <v>469</v>
      </c>
      <c r="O33" s="103">
        <f>VLOOKUP($A33,'OI(Value)'!$A$7:$O$306,12,0)</f>
        <v>-19</v>
      </c>
      <c r="P33" s="179">
        <f>VLOOKUP(A33,'OI(Value)'!A33:O234,8,0)</f>
        <v>785</v>
      </c>
      <c r="Q33" s="179">
        <f>VLOOKUP(A33,'OI(Value)'!A33:O234,9,0)</f>
        <v>-43</v>
      </c>
      <c r="R33" s="179">
        <f>VLOOKUP(A33,'OI(Value)'!A33:O234,11,0)</f>
        <v>469</v>
      </c>
      <c r="S33" s="179">
        <f>VLOOKUP(A33,'OI(Value)'!A33:O234,11,0)</f>
        <v>469</v>
      </c>
    </row>
    <row r="34" spans="1:19" x14ac:dyDescent="0.25">
      <c r="A34" s="105" t="str">
        <f>'Data shares'!C29</f>
        <v>BEL</v>
      </c>
      <c r="B34" s="143">
        <f>VLOOKUP($A34,'Data shares'!$C:$FA,118)</f>
        <v>0.56000000000000005</v>
      </c>
      <c r="C34" s="143">
        <f>VLOOKUP($A34,'Data shares'!$C:$FA,119)</f>
        <v>0.53</v>
      </c>
      <c r="D34" s="143">
        <f>VLOOKUP($A34,'Data shares'!$C:$FA,121)*100</f>
        <v>5.66</v>
      </c>
      <c r="E34" s="143">
        <f>VLOOKUP($A34,'Data shares'!$C:$FA,124)</f>
        <v>0.44</v>
      </c>
      <c r="F34" s="143">
        <f>VLOOKUP($A34,'Data shares'!$C:$FA,125)</f>
        <v>0.52</v>
      </c>
      <c r="G34" s="143">
        <f>VLOOKUP($A34,'Data shares'!$C:$FA,127)*100</f>
        <v>-15.379999999999999</v>
      </c>
      <c r="H34" s="103">
        <f>VLOOKUP($A34,'OI(Volume)'!$A$7:$O$427,8)</f>
        <v>66883800</v>
      </c>
      <c r="I34" s="103">
        <f>VLOOKUP($A34,'OI(Volume)'!$A$7:$O$427,9)</f>
        <v>-10587750</v>
      </c>
      <c r="J34" s="103">
        <f>VLOOKUP($A34,'OI(Volume)'!$A$7:$O$427,11)</f>
        <v>37498875</v>
      </c>
      <c r="K34" s="103">
        <f>VLOOKUP($A34,'OI(Volume)'!$A$7:$O$427,12)</f>
        <v>-3851775</v>
      </c>
      <c r="L34" s="103">
        <f>VLOOKUP($A34,'OI(Value)'!$A$7:$O$306,8,0)</f>
        <v>2833</v>
      </c>
      <c r="M34" s="103">
        <f>VLOOKUP($A34,'OI(Value)'!$A$7:$O$306,9,0)</f>
        <v>-448</v>
      </c>
      <c r="N34" s="103">
        <f>VLOOKUP($A34,'OI(Value)'!$A$7:$O$306,11,0)</f>
        <v>1588</v>
      </c>
      <c r="O34" s="103">
        <f>VLOOKUP($A34,'OI(Value)'!$A$7:$O$306,12,0)</f>
        <v>-163</v>
      </c>
      <c r="P34" s="179">
        <f>VLOOKUP(A34,'OI(Value)'!A34:O235,8,0)</f>
        <v>2833</v>
      </c>
      <c r="Q34" s="179">
        <f>VLOOKUP(A34,'OI(Value)'!A34:O235,9,0)</f>
        <v>-448</v>
      </c>
      <c r="R34" s="179">
        <f>VLOOKUP(A34,'OI(Value)'!A34:O235,11,0)</f>
        <v>1588</v>
      </c>
      <c r="S34" s="179">
        <f>VLOOKUP(A34,'OI(Value)'!A34:O235,11,0)</f>
        <v>1588</v>
      </c>
    </row>
    <row r="35" spans="1:19" x14ac:dyDescent="0.25">
      <c r="A35" s="105" t="str">
        <f>'Data shares'!C30</f>
        <v>BHARATFORG</v>
      </c>
      <c r="B35" s="143">
        <f>VLOOKUP($A35,'Data shares'!$C:$FA,118)</f>
        <v>0.8</v>
      </c>
      <c r="C35" s="143">
        <f>VLOOKUP($A35,'Data shares'!$C:$FA,119)</f>
        <v>0.87</v>
      </c>
      <c r="D35" s="143">
        <f>VLOOKUP($A35,'Data shares'!$C:$FA,121)*100</f>
        <v>-8.0500000000000007</v>
      </c>
      <c r="E35" s="143">
        <f>VLOOKUP($A35,'Data shares'!$C:$FA,124)</f>
        <v>0.42</v>
      </c>
      <c r="F35" s="143">
        <f>VLOOKUP($A35,'Data shares'!$C:$FA,125)</f>
        <v>0.33</v>
      </c>
      <c r="G35" s="143">
        <f>VLOOKUP($A35,'Data shares'!$C:$FA,127)*100</f>
        <v>27.27</v>
      </c>
      <c r="H35" s="103">
        <f>VLOOKUP($A35,'OI(Volume)'!$A$7:$O$427,8)</f>
        <v>4375000</v>
      </c>
      <c r="I35" s="103">
        <f>VLOOKUP($A35,'OI(Volume)'!$A$7:$O$427,9)</f>
        <v>-43500</v>
      </c>
      <c r="J35" s="103">
        <f>VLOOKUP($A35,'OI(Volume)'!$A$7:$O$427,11)</f>
        <v>3479000</v>
      </c>
      <c r="K35" s="103">
        <f>VLOOKUP($A35,'OI(Volume)'!$A$7:$O$427,12)</f>
        <v>-376000</v>
      </c>
      <c r="L35" s="103">
        <f>VLOOKUP($A35,'OI(Value)'!$A$7:$O$306,8,0)</f>
        <v>628</v>
      </c>
      <c r="M35" s="103">
        <f>VLOOKUP($A35,'OI(Value)'!$A$7:$O$306,9,0)</f>
        <v>-6</v>
      </c>
      <c r="N35" s="103">
        <f>VLOOKUP($A35,'OI(Value)'!$A$7:$O$306,11,0)</f>
        <v>500</v>
      </c>
      <c r="O35" s="103">
        <f>VLOOKUP($A35,'OI(Value)'!$A$7:$O$306,12,0)</f>
        <v>-54</v>
      </c>
      <c r="P35" s="179">
        <f>VLOOKUP(A35,'OI(Value)'!A35:O236,8,0)</f>
        <v>628</v>
      </c>
      <c r="Q35" s="179">
        <f>VLOOKUP(A35,'OI(Value)'!A35:O236,9,0)</f>
        <v>-6</v>
      </c>
      <c r="R35" s="179">
        <f>VLOOKUP(A35,'OI(Value)'!A35:O236,11,0)</f>
        <v>500</v>
      </c>
      <c r="S35" s="179">
        <f>VLOOKUP(A35,'OI(Value)'!A35:O236,11,0)</f>
        <v>500</v>
      </c>
    </row>
    <row r="36" spans="1:19" x14ac:dyDescent="0.25">
      <c r="A36" s="105" t="str">
        <f>'Data shares'!C31</f>
        <v>BHARTIARTL</v>
      </c>
      <c r="B36" s="143">
        <f>VLOOKUP($A36,'Data shares'!$C:$FA,118)</f>
        <v>0.67</v>
      </c>
      <c r="C36" s="143">
        <f>VLOOKUP($A36,'Data shares'!$C:$FA,119)</f>
        <v>0.67</v>
      </c>
      <c r="D36" s="143">
        <f>VLOOKUP($A36,'Data shares'!$C:$FA,121)*100</f>
        <v>0</v>
      </c>
      <c r="E36" s="143">
        <f>VLOOKUP($A36,'Data shares'!$C:$FA,124)</f>
        <v>0.77</v>
      </c>
      <c r="F36" s="143">
        <f>VLOOKUP($A36,'Data shares'!$C:$FA,125)</f>
        <v>0.78</v>
      </c>
      <c r="G36" s="143">
        <f>VLOOKUP($A36,'Data shares'!$C:$FA,127)*100</f>
        <v>-1.28</v>
      </c>
      <c r="H36" s="103">
        <f>VLOOKUP($A36,'OI(Volume)'!$A$7:$O$427,8)</f>
        <v>20081575</v>
      </c>
      <c r="I36" s="103">
        <f>VLOOKUP($A36,'OI(Volume)'!$A$7:$O$427,9)</f>
        <v>-1246400</v>
      </c>
      <c r="J36" s="103">
        <f>VLOOKUP($A36,'OI(Volume)'!$A$7:$O$427,11)</f>
        <v>13438225</v>
      </c>
      <c r="K36" s="103">
        <f>VLOOKUP($A36,'OI(Volume)'!$A$7:$O$427,12)</f>
        <v>-917225</v>
      </c>
      <c r="L36" s="103">
        <f>VLOOKUP($A36,'OI(Value)'!$A$7:$O$306,8,0)</f>
        <v>4335</v>
      </c>
      <c r="M36" s="103">
        <f>VLOOKUP($A36,'OI(Value)'!$A$7:$O$306,9,0)</f>
        <v>-269</v>
      </c>
      <c r="N36" s="103">
        <f>VLOOKUP($A36,'OI(Value)'!$A$7:$O$306,11,0)</f>
        <v>2901</v>
      </c>
      <c r="O36" s="103">
        <f>VLOOKUP($A36,'OI(Value)'!$A$7:$O$306,12,0)</f>
        <v>-198</v>
      </c>
      <c r="P36" s="179">
        <f>VLOOKUP(A36,'OI(Value)'!A36:O237,8,0)</f>
        <v>4335</v>
      </c>
      <c r="Q36" s="179">
        <f>VLOOKUP(A36,'OI(Value)'!A36:O237,9,0)</f>
        <v>-269</v>
      </c>
      <c r="R36" s="179">
        <f>VLOOKUP(A36,'OI(Value)'!A36:O237,11,0)</f>
        <v>2901</v>
      </c>
      <c r="S36" s="179">
        <f>VLOOKUP(A36,'OI(Value)'!A36:O237,11,0)</f>
        <v>2901</v>
      </c>
    </row>
    <row r="37" spans="1:19" x14ac:dyDescent="0.25">
      <c r="A37" s="105" t="str">
        <f>'Data shares'!C32</f>
        <v>BHEL</v>
      </c>
      <c r="B37" s="143">
        <f>VLOOKUP($A37,'Data shares'!$C:$FA,118)</f>
        <v>0.8</v>
      </c>
      <c r="C37" s="143">
        <f>VLOOKUP($A37,'Data shares'!$C:$FA,119)</f>
        <v>0.85</v>
      </c>
      <c r="D37" s="143">
        <f>VLOOKUP($A37,'Data shares'!$C:$FA,121)*100</f>
        <v>-5.88</v>
      </c>
      <c r="E37" s="143">
        <f>VLOOKUP($A37,'Data shares'!$C:$FA,124)</f>
        <v>0.53</v>
      </c>
      <c r="F37" s="143">
        <f>VLOOKUP($A37,'Data shares'!$C:$FA,125)</f>
        <v>0.51</v>
      </c>
      <c r="G37" s="143">
        <f>VLOOKUP($A37,'Data shares'!$C:$FA,127)*100</f>
        <v>3.92</v>
      </c>
      <c r="H37" s="103">
        <f>VLOOKUP($A37,'OI(Volume)'!$A$7:$O$427,8)</f>
        <v>52237500</v>
      </c>
      <c r="I37" s="103">
        <f>VLOOKUP($A37,'OI(Volume)'!$A$7:$O$427,9)</f>
        <v>-1346625</v>
      </c>
      <c r="J37" s="103">
        <f>VLOOKUP($A37,'OI(Volume)'!$A$7:$O$427,11)</f>
        <v>41832000</v>
      </c>
      <c r="K37" s="103">
        <f>VLOOKUP($A37,'OI(Volume)'!$A$7:$O$427,12)</f>
        <v>-3982125</v>
      </c>
      <c r="L37" s="103">
        <f>VLOOKUP($A37,'OI(Value)'!$A$7:$O$306,8,0)</f>
        <v>1493</v>
      </c>
      <c r="M37" s="103">
        <f>VLOOKUP($A37,'OI(Value)'!$A$7:$O$306,9,0)</f>
        <v>-38</v>
      </c>
      <c r="N37" s="103">
        <f>VLOOKUP($A37,'OI(Value)'!$A$7:$O$306,11,0)</f>
        <v>1195</v>
      </c>
      <c r="O37" s="103">
        <f>VLOOKUP($A37,'OI(Value)'!$A$7:$O$306,12,0)</f>
        <v>-114</v>
      </c>
      <c r="P37" s="179">
        <f>VLOOKUP(A37,'OI(Value)'!A37:O238,8,0)</f>
        <v>1493</v>
      </c>
      <c r="Q37" s="179">
        <f>VLOOKUP(A37,'OI(Value)'!A37:O238,9,0)</f>
        <v>-38</v>
      </c>
      <c r="R37" s="179">
        <f>VLOOKUP(A37,'OI(Value)'!A37:O238,11,0)</f>
        <v>1195</v>
      </c>
      <c r="S37" s="179">
        <f>VLOOKUP(A37,'OI(Value)'!A37:O238,11,0)</f>
        <v>1195</v>
      </c>
    </row>
    <row r="38" spans="1:19" x14ac:dyDescent="0.25">
      <c r="A38" s="105" t="str">
        <f>'Data shares'!C33</f>
        <v>BIOCON</v>
      </c>
      <c r="B38" s="143">
        <f>VLOOKUP($A38,'Data shares'!$C:$FA,118)</f>
        <v>0.7</v>
      </c>
      <c r="C38" s="143">
        <f>VLOOKUP($A38,'Data shares'!$C:$FA,119)</f>
        <v>0.81</v>
      </c>
      <c r="D38" s="143">
        <f>VLOOKUP($A38,'Data shares'!$C:$FA,121)*100</f>
        <v>-13.58</v>
      </c>
      <c r="E38" s="143">
        <f>VLOOKUP($A38,'Data shares'!$C:$FA,124)</f>
        <v>0.65</v>
      </c>
      <c r="F38" s="143">
        <f>VLOOKUP($A38,'Data shares'!$C:$FA,125)</f>
        <v>0.66</v>
      </c>
      <c r="G38" s="143">
        <f>VLOOKUP($A38,'Data shares'!$C:$FA,127)*100</f>
        <v>-1.52</v>
      </c>
      <c r="H38" s="103">
        <f>VLOOKUP($A38,'OI(Volume)'!$A$7:$O$427,8)</f>
        <v>35525000</v>
      </c>
      <c r="I38" s="103">
        <f>VLOOKUP($A38,'OI(Volume)'!$A$7:$O$427,9)</f>
        <v>6507500</v>
      </c>
      <c r="J38" s="103">
        <f>VLOOKUP($A38,'OI(Volume)'!$A$7:$O$427,11)</f>
        <v>24980000</v>
      </c>
      <c r="K38" s="103">
        <f>VLOOKUP($A38,'OI(Volume)'!$A$7:$O$427,12)</f>
        <v>1610000</v>
      </c>
      <c r="L38" s="103">
        <f>VLOOKUP($A38,'OI(Value)'!$A$7:$O$306,8,0)</f>
        <v>1404</v>
      </c>
      <c r="M38" s="103">
        <f>VLOOKUP($A38,'OI(Value)'!$A$7:$O$306,9,0)</f>
        <v>257</v>
      </c>
      <c r="N38" s="103">
        <f>VLOOKUP($A38,'OI(Value)'!$A$7:$O$306,11,0)</f>
        <v>987</v>
      </c>
      <c r="O38" s="103">
        <f>VLOOKUP($A38,'OI(Value)'!$A$7:$O$306,12,0)</f>
        <v>64</v>
      </c>
      <c r="P38" s="179">
        <f>VLOOKUP(A38,'OI(Value)'!A38:O239,8,0)</f>
        <v>1404</v>
      </c>
      <c r="Q38" s="179">
        <f>VLOOKUP(A38,'OI(Value)'!A38:O239,9,0)</f>
        <v>257</v>
      </c>
      <c r="R38" s="179">
        <f>VLOOKUP(A38,'OI(Value)'!A38:O239,11,0)</f>
        <v>987</v>
      </c>
      <c r="S38" s="179">
        <f>VLOOKUP(A38,'OI(Value)'!A38:O239,11,0)</f>
        <v>987</v>
      </c>
    </row>
    <row r="39" spans="1:19" x14ac:dyDescent="0.25">
      <c r="A39" s="105" t="str">
        <f>'Data shares'!C34</f>
        <v>BLUESTARCO</v>
      </c>
      <c r="B39" s="143">
        <f>VLOOKUP($A39,'Data shares'!$C:$FA,118)</f>
        <v>0.35</v>
      </c>
      <c r="C39" s="143">
        <f>VLOOKUP($A39,'Data shares'!$C:$FA,119)</f>
        <v>0.39</v>
      </c>
      <c r="D39" s="143">
        <f>VLOOKUP($A39,'Data shares'!$C:$FA,121)*100</f>
        <v>-10.26</v>
      </c>
      <c r="E39" s="143">
        <f>VLOOKUP($A39,'Data shares'!$C:$FA,124)</f>
        <v>0.66</v>
      </c>
      <c r="F39" s="143">
        <f>VLOOKUP($A39,'Data shares'!$C:$FA,125)</f>
        <v>0.76</v>
      </c>
      <c r="G39" s="143">
        <f>VLOOKUP($A39,'Data shares'!$C:$FA,127)*100</f>
        <v>-13.16</v>
      </c>
      <c r="H39" s="103">
        <f>VLOOKUP($A39,'OI(Volume)'!$A$7:$O$427,8)</f>
        <v>2208700</v>
      </c>
      <c r="I39" s="103">
        <f>VLOOKUP($A39,'OI(Volume)'!$A$7:$O$427,9)</f>
        <v>-294450</v>
      </c>
      <c r="J39" s="103">
        <f>VLOOKUP($A39,'OI(Volume)'!$A$7:$O$427,11)</f>
        <v>780000</v>
      </c>
      <c r="K39" s="103">
        <f>VLOOKUP($A39,'OI(Volume)'!$A$7:$O$427,12)</f>
        <v>-202475</v>
      </c>
      <c r="L39" s="103">
        <f>VLOOKUP($A39,'OI(Value)'!$A$7:$O$306,8,0)</f>
        <v>397</v>
      </c>
      <c r="M39" s="103">
        <f>VLOOKUP($A39,'OI(Value)'!$A$7:$O$306,9,0)</f>
        <v>-53</v>
      </c>
      <c r="N39" s="103">
        <f>VLOOKUP($A39,'OI(Value)'!$A$7:$O$306,11,0)</f>
        <v>140</v>
      </c>
      <c r="O39" s="103">
        <f>VLOOKUP($A39,'OI(Value)'!$A$7:$O$306,12,0)</f>
        <v>-36</v>
      </c>
      <c r="P39" s="179">
        <f>VLOOKUP(A39,'OI(Value)'!A39:O240,8,0)</f>
        <v>397</v>
      </c>
      <c r="Q39" s="179">
        <f>VLOOKUP(A39,'OI(Value)'!A39:O240,9,0)</f>
        <v>-53</v>
      </c>
      <c r="R39" s="179">
        <f>VLOOKUP(A39,'OI(Value)'!A39:O240,11,0)</f>
        <v>140</v>
      </c>
      <c r="S39" s="179">
        <f>VLOOKUP(A39,'OI(Value)'!A39:O240,11,0)</f>
        <v>140</v>
      </c>
    </row>
    <row r="40" spans="1:19" x14ac:dyDescent="0.25">
      <c r="A40" s="105" t="str">
        <f>'Data shares'!C35</f>
        <v>BOSCHLTD</v>
      </c>
      <c r="B40" s="143">
        <f>VLOOKUP($A40,'Data shares'!$C:$FA,118)</f>
        <v>0.41</v>
      </c>
      <c r="C40" s="143">
        <f>VLOOKUP($A40,'Data shares'!$C:$FA,119)</f>
        <v>0.37</v>
      </c>
      <c r="D40" s="143">
        <f>VLOOKUP($A40,'Data shares'!$C:$FA,121)*100</f>
        <v>10.81</v>
      </c>
      <c r="E40" s="143">
        <f>VLOOKUP($A40,'Data shares'!$C:$FA,124)</f>
        <v>0.24</v>
      </c>
      <c r="F40" s="143">
        <f>VLOOKUP($A40,'Data shares'!$C:$FA,125)</f>
        <v>0.22</v>
      </c>
      <c r="G40" s="143">
        <f>VLOOKUP($A40,'Data shares'!$C:$FA,127)*100</f>
        <v>9.09</v>
      </c>
      <c r="H40" s="103">
        <f>VLOOKUP($A40,'OI(Volume)'!$A$7:$O$427,8)</f>
        <v>179375</v>
      </c>
      <c r="I40" s="103">
        <f>VLOOKUP($A40,'OI(Volume)'!$A$7:$O$427,9)</f>
        <v>-27500</v>
      </c>
      <c r="J40" s="103">
        <f>VLOOKUP($A40,'OI(Volume)'!$A$7:$O$427,11)</f>
        <v>72650</v>
      </c>
      <c r="K40" s="103">
        <f>VLOOKUP($A40,'OI(Volume)'!$A$7:$O$427,12)</f>
        <v>-4800</v>
      </c>
      <c r="L40" s="103">
        <f>VLOOKUP($A40,'OI(Value)'!$A$7:$O$306,8,0)</f>
        <v>664</v>
      </c>
      <c r="M40" s="103">
        <f>VLOOKUP($A40,'OI(Value)'!$A$7:$O$306,9,0)</f>
        <v>-102</v>
      </c>
      <c r="N40" s="103">
        <f>VLOOKUP($A40,'OI(Value)'!$A$7:$O$306,11,0)</f>
        <v>269</v>
      </c>
      <c r="O40" s="103">
        <f>VLOOKUP($A40,'OI(Value)'!$A$7:$O$306,12,0)</f>
        <v>-18</v>
      </c>
      <c r="P40" s="179">
        <f>VLOOKUP(A40,'OI(Value)'!A40:O241,8,0)</f>
        <v>664</v>
      </c>
      <c r="Q40" s="179">
        <f>VLOOKUP(A40,'OI(Value)'!A40:O241,9,0)</f>
        <v>-102</v>
      </c>
      <c r="R40" s="179">
        <f>VLOOKUP(A40,'OI(Value)'!A40:O241,11,0)</f>
        <v>269</v>
      </c>
      <c r="S40" s="179">
        <f>VLOOKUP(A40,'OI(Value)'!A40:O241,11,0)</f>
        <v>269</v>
      </c>
    </row>
    <row r="41" spans="1:19" x14ac:dyDescent="0.25">
      <c r="A41" s="105" t="str">
        <f>'Data shares'!C36</f>
        <v>BPCL</v>
      </c>
      <c r="B41" s="143">
        <f>VLOOKUP($A41,'Data shares'!$C:$FA,118)</f>
        <v>0.83</v>
      </c>
      <c r="C41" s="143">
        <f>VLOOKUP($A41,'Data shares'!$C:$FA,119)</f>
        <v>0.91</v>
      </c>
      <c r="D41" s="143">
        <f>VLOOKUP($A41,'Data shares'!$C:$FA,121)*100</f>
        <v>-8.7900000000000009</v>
      </c>
      <c r="E41" s="143">
        <f>VLOOKUP($A41,'Data shares'!$C:$FA,124)</f>
        <v>0.53</v>
      </c>
      <c r="F41" s="143">
        <f>VLOOKUP($A41,'Data shares'!$C:$FA,125)</f>
        <v>0.69</v>
      </c>
      <c r="G41" s="143">
        <f>VLOOKUP($A41,'Data shares'!$C:$FA,127)*100</f>
        <v>-23.189999999999998</v>
      </c>
      <c r="H41" s="103">
        <f>VLOOKUP($A41,'OI(Volume)'!$A$7:$O$427,8)</f>
        <v>20202275</v>
      </c>
      <c r="I41" s="103">
        <f>VLOOKUP($A41,'OI(Volume)'!$A$7:$O$427,9)</f>
        <v>1433850</v>
      </c>
      <c r="J41" s="103">
        <f>VLOOKUP($A41,'OI(Volume)'!$A$7:$O$427,11)</f>
        <v>16773675</v>
      </c>
      <c r="K41" s="103">
        <f>VLOOKUP($A41,'OI(Volume)'!$A$7:$O$427,12)</f>
        <v>-316000</v>
      </c>
      <c r="L41" s="103">
        <f>VLOOKUP($A41,'OI(Value)'!$A$7:$O$306,8,0)</f>
        <v>739</v>
      </c>
      <c r="M41" s="103">
        <f>VLOOKUP($A41,'OI(Value)'!$A$7:$O$306,9,0)</f>
        <v>52</v>
      </c>
      <c r="N41" s="103">
        <f>VLOOKUP($A41,'OI(Value)'!$A$7:$O$306,11,0)</f>
        <v>614</v>
      </c>
      <c r="O41" s="103">
        <f>VLOOKUP($A41,'OI(Value)'!$A$7:$O$306,12,0)</f>
        <v>-12</v>
      </c>
      <c r="P41" s="179">
        <f>VLOOKUP(A41,'OI(Value)'!A41:O242,8,0)</f>
        <v>739</v>
      </c>
      <c r="Q41" s="179">
        <f>VLOOKUP(A41,'OI(Value)'!A41:O242,9,0)</f>
        <v>52</v>
      </c>
      <c r="R41" s="179">
        <f>VLOOKUP(A41,'OI(Value)'!A41:O242,11,0)</f>
        <v>614</v>
      </c>
      <c r="S41" s="179">
        <f>VLOOKUP(A41,'OI(Value)'!A41:O242,11,0)</f>
        <v>614</v>
      </c>
    </row>
    <row r="42" spans="1:19" x14ac:dyDescent="0.25">
      <c r="A42" s="105" t="str">
        <f>'Data shares'!C37</f>
        <v>BRITANNIA</v>
      </c>
      <c r="B42" s="143">
        <f>VLOOKUP($A42,'Data shares'!$C:$FA,118)</f>
        <v>0.55000000000000004</v>
      </c>
      <c r="C42" s="143">
        <f>VLOOKUP($A42,'Data shares'!$C:$FA,119)</f>
        <v>0.53</v>
      </c>
      <c r="D42" s="143">
        <f>VLOOKUP($A42,'Data shares'!$C:$FA,121)*100</f>
        <v>3.7699999999999996</v>
      </c>
      <c r="E42" s="143">
        <f>VLOOKUP($A42,'Data shares'!$C:$FA,124)</f>
        <v>0.55000000000000004</v>
      </c>
      <c r="F42" s="143">
        <f>VLOOKUP($A42,'Data shares'!$C:$FA,125)</f>
        <v>0.3</v>
      </c>
      <c r="G42" s="143">
        <f>VLOOKUP($A42,'Data shares'!$C:$FA,127)*100</f>
        <v>83.33</v>
      </c>
      <c r="H42" s="103">
        <f>VLOOKUP($A42,'OI(Volume)'!$A$7:$O$427,8)</f>
        <v>2012625</v>
      </c>
      <c r="I42" s="103">
        <f>VLOOKUP($A42,'OI(Volume)'!$A$7:$O$427,9)</f>
        <v>-64750</v>
      </c>
      <c r="J42" s="103">
        <f>VLOOKUP($A42,'OI(Volume)'!$A$7:$O$427,11)</f>
        <v>1106500</v>
      </c>
      <c r="K42" s="103">
        <f>VLOOKUP($A42,'OI(Volume)'!$A$7:$O$427,12)</f>
        <v>-2750</v>
      </c>
      <c r="L42" s="103">
        <f>VLOOKUP($A42,'OI(Value)'!$A$7:$O$306,8,0)</f>
        <v>1171</v>
      </c>
      <c r="M42" s="103">
        <f>VLOOKUP($A42,'OI(Value)'!$A$7:$O$306,9,0)</f>
        <v>-38</v>
      </c>
      <c r="N42" s="103">
        <f>VLOOKUP($A42,'OI(Value)'!$A$7:$O$306,11,0)</f>
        <v>644</v>
      </c>
      <c r="O42" s="103">
        <f>VLOOKUP($A42,'OI(Value)'!$A$7:$O$306,12,0)</f>
        <v>-2</v>
      </c>
      <c r="P42" s="179">
        <f>VLOOKUP(A42,'OI(Value)'!A42:O243,8,0)</f>
        <v>1171</v>
      </c>
      <c r="Q42" s="179">
        <f>VLOOKUP(A42,'OI(Value)'!A42:O243,9,0)</f>
        <v>-38</v>
      </c>
      <c r="R42" s="179">
        <f>VLOOKUP(A42,'OI(Value)'!A42:O243,11,0)</f>
        <v>644</v>
      </c>
      <c r="S42" s="179">
        <f>VLOOKUP(A42,'OI(Value)'!A42:O243,11,0)</f>
        <v>644</v>
      </c>
    </row>
    <row r="43" spans="1:19" x14ac:dyDescent="0.25">
      <c r="A43" s="105" t="str">
        <f>'Data shares'!C38</f>
        <v>BSE</v>
      </c>
      <c r="B43" s="143">
        <f>VLOOKUP($A43,'Data shares'!$C:$FA,118)</f>
        <v>0.91</v>
      </c>
      <c r="C43" s="143">
        <f>VLOOKUP($A43,'Data shares'!$C:$FA,119)</f>
        <v>1.04</v>
      </c>
      <c r="D43" s="143">
        <f>VLOOKUP($A43,'Data shares'!$C:$FA,121)*100</f>
        <v>-12.5</v>
      </c>
      <c r="E43" s="143">
        <f>VLOOKUP($A43,'Data shares'!$C:$FA,124)</f>
        <v>0.71</v>
      </c>
      <c r="F43" s="143">
        <f>VLOOKUP($A43,'Data shares'!$C:$FA,125)</f>
        <v>0.6</v>
      </c>
      <c r="G43" s="143">
        <f>VLOOKUP($A43,'Data shares'!$C:$FA,127)*100</f>
        <v>18.329999999999998</v>
      </c>
      <c r="H43" s="103">
        <f>VLOOKUP($A43,'OI(Volume)'!$A$7:$O$427,8)</f>
        <v>10644375</v>
      </c>
      <c r="I43" s="103">
        <f>VLOOKUP($A43,'OI(Volume)'!$A$7:$O$427,9)</f>
        <v>771375</v>
      </c>
      <c r="J43" s="103">
        <f>VLOOKUP($A43,'OI(Volume)'!$A$7:$O$427,11)</f>
        <v>9697125</v>
      </c>
      <c r="K43" s="103">
        <f>VLOOKUP($A43,'OI(Volume)'!$A$7:$O$427,12)</f>
        <v>-525000</v>
      </c>
      <c r="L43" s="103">
        <f>VLOOKUP($A43,'OI(Value)'!$A$7:$O$306,8,0)</f>
        <v>3081</v>
      </c>
      <c r="M43" s="103">
        <f>VLOOKUP($A43,'OI(Value)'!$A$7:$O$306,9,0)</f>
        <v>223</v>
      </c>
      <c r="N43" s="103">
        <f>VLOOKUP($A43,'OI(Value)'!$A$7:$O$306,11,0)</f>
        <v>2806</v>
      </c>
      <c r="O43" s="103">
        <f>VLOOKUP($A43,'OI(Value)'!$A$7:$O$306,12,0)</f>
        <v>-152</v>
      </c>
      <c r="P43" s="179">
        <f>VLOOKUP(A43,'OI(Value)'!A43:O244,8,0)</f>
        <v>3081</v>
      </c>
      <c r="Q43" s="179">
        <f>VLOOKUP(A43,'OI(Value)'!A43:O244,9,0)</f>
        <v>223</v>
      </c>
      <c r="R43" s="179">
        <f>VLOOKUP(A43,'OI(Value)'!A43:O244,11,0)</f>
        <v>2806</v>
      </c>
      <c r="S43" s="179">
        <f>VLOOKUP(A43,'OI(Value)'!A43:O244,11,0)</f>
        <v>2806</v>
      </c>
    </row>
    <row r="44" spans="1:19" x14ac:dyDescent="0.25">
      <c r="A44" s="105" t="str">
        <f>'Data shares'!C39</f>
        <v>CAMS</v>
      </c>
      <c r="B44" s="143">
        <f>VLOOKUP($A44,'Data shares'!$C:$FA,118)</f>
        <v>0.68</v>
      </c>
      <c r="C44" s="143">
        <f>VLOOKUP($A44,'Data shares'!$C:$FA,119)</f>
        <v>0.56000000000000005</v>
      </c>
      <c r="D44" s="143">
        <f>VLOOKUP($A44,'Data shares'!$C:$FA,121)*100</f>
        <v>21.43</v>
      </c>
      <c r="E44" s="143">
        <f>VLOOKUP($A44,'Data shares'!$C:$FA,124)</f>
        <v>0.32</v>
      </c>
      <c r="F44" s="143">
        <f>VLOOKUP($A44,'Data shares'!$C:$FA,125)</f>
        <v>0.25</v>
      </c>
      <c r="G44" s="143">
        <f>VLOOKUP($A44,'Data shares'!$C:$FA,127)*100</f>
        <v>28.000000000000004</v>
      </c>
      <c r="H44" s="103">
        <f>VLOOKUP($A44,'OI(Volume)'!$A$7:$O$427,8)</f>
        <v>1719600</v>
      </c>
      <c r="I44" s="103">
        <f>VLOOKUP($A44,'OI(Volume)'!$A$7:$O$427,9)</f>
        <v>-204750</v>
      </c>
      <c r="J44" s="103">
        <f>VLOOKUP($A44,'OI(Volume)'!$A$7:$O$427,11)</f>
        <v>1171350</v>
      </c>
      <c r="K44" s="103">
        <f>VLOOKUP($A44,'OI(Volume)'!$A$7:$O$427,12)</f>
        <v>91950</v>
      </c>
      <c r="L44" s="103">
        <f>VLOOKUP($A44,'OI(Value)'!$A$7:$O$306,8,0)</f>
        <v>690</v>
      </c>
      <c r="M44" s="103">
        <f>VLOOKUP($A44,'OI(Value)'!$A$7:$O$306,9,0)</f>
        <v>-82</v>
      </c>
      <c r="N44" s="103">
        <f>VLOOKUP($A44,'OI(Value)'!$A$7:$O$306,11,0)</f>
        <v>470</v>
      </c>
      <c r="O44" s="103">
        <f>VLOOKUP($A44,'OI(Value)'!$A$7:$O$306,12,0)</f>
        <v>37</v>
      </c>
      <c r="P44" s="179">
        <f>VLOOKUP(A44,'OI(Value)'!A44:O245,8,0)</f>
        <v>690</v>
      </c>
      <c r="Q44" s="179">
        <f>VLOOKUP(A44,'OI(Value)'!A44:O245,9,0)</f>
        <v>-82</v>
      </c>
      <c r="R44" s="179">
        <f>VLOOKUP(A44,'OI(Value)'!A44:O245,11,0)</f>
        <v>470</v>
      </c>
      <c r="S44" s="179">
        <f>VLOOKUP(A44,'OI(Value)'!A44:O245,11,0)</f>
        <v>470</v>
      </c>
    </row>
    <row r="45" spans="1:19" x14ac:dyDescent="0.25">
      <c r="A45" s="105" t="str">
        <f>'Data shares'!C40</f>
        <v>CANBK</v>
      </c>
      <c r="B45" s="143">
        <f>VLOOKUP($A45,'Data shares'!$C:$FA,118)</f>
        <v>1.1399999999999999</v>
      </c>
      <c r="C45" s="143">
        <f>VLOOKUP($A45,'Data shares'!$C:$FA,119)</f>
        <v>1.17</v>
      </c>
      <c r="D45" s="143">
        <f>VLOOKUP($A45,'Data shares'!$C:$FA,121)*100</f>
        <v>-2.56</v>
      </c>
      <c r="E45" s="143">
        <f>VLOOKUP($A45,'Data shares'!$C:$FA,124)</f>
        <v>0.62</v>
      </c>
      <c r="F45" s="143">
        <f>VLOOKUP($A45,'Data shares'!$C:$FA,125)</f>
        <v>0.66</v>
      </c>
      <c r="G45" s="143">
        <f>VLOOKUP($A45,'Data shares'!$C:$FA,127)*100</f>
        <v>-6.0600000000000005</v>
      </c>
      <c r="H45" s="103">
        <f>VLOOKUP($A45,'OI(Volume)'!$A$7:$O$427,8)</f>
        <v>123113250</v>
      </c>
      <c r="I45" s="103">
        <f>VLOOKUP($A45,'OI(Volume)'!$A$7:$O$427,9)</f>
        <v>-3989250</v>
      </c>
      <c r="J45" s="103">
        <f>VLOOKUP($A45,'OI(Volume)'!$A$7:$O$427,11)</f>
        <v>140913000</v>
      </c>
      <c r="K45" s="103">
        <f>VLOOKUP($A45,'OI(Volume)'!$A$7:$O$427,12)</f>
        <v>-7971750</v>
      </c>
      <c r="L45" s="103">
        <f>VLOOKUP($A45,'OI(Value)'!$A$7:$O$306,8,0)</f>
        <v>1822</v>
      </c>
      <c r="M45" s="103">
        <f>VLOOKUP($A45,'OI(Value)'!$A$7:$O$306,9,0)</f>
        <v>-59</v>
      </c>
      <c r="N45" s="103">
        <f>VLOOKUP($A45,'OI(Value)'!$A$7:$O$306,11,0)</f>
        <v>2085</v>
      </c>
      <c r="O45" s="103">
        <f>VLOOKUP($A45,'OI(Value)'!$A$7:$O$306,12,0)</f>
        <v>-118</v>
      </c>
      <c r="P45" s="179">
        <f>VLOOKUP(A45,'OI(Value)'!A45:O246,8,0)</f>
        <v>1822</v>
      </c>
      <c r="Q45" s="179">
        <f>VLOOKUP(A45,'OI(Value)'!A45:O246,9,0)</f>
        <v>-59</v>
      </c>
      <c r="R45" s="179">
        <f>VLOOKUP(A45,'OI(Value)'!A45:O246,11,0)</f>
        <v>2085</v>
      </c>
      <c r="S45" s="179">
        <f>VLOOKUP(A45,'OI(Value)'!A45:O246,11,0)</f>
        <v>2085</v>
      </c>
    </row>
    <row r="46" spans="1:19" x14ac:dyDescent="0.25">
      <c r="A46" s="105" t="str">
        <f>'Data shares'!C41</f>
        <v>CDSL</v>
      </c>
      <c r="B46" s="143">
        <f>VLOOKUP($A46,'Data shares'!$C:$FA,118)</f>
        <v>0.59</v>
      </c>
      <c r="C46" s="143">
        <f>VLOOKUP($A46,'Data shares'!$C:$FA,119)</f>
        <v>0.61</v>
      </c>
      <c r="D46" s="143">
        <f>VLOOKUP($A46,'Data shares'!$C:$FA,121)*100</f>
        <v>-3.2800000000000002</v>
      </c>
      <c r="E46" s="143">
        <f>VLOOKUP($A46,'Data shares'!$C:$FA,124)</f>
        <v>0.31</v>
      </c>
      <c r="F46" s="143">
        <f>VLOOKUP($A46,'Data shares'!$C:$FA,125)</f>
        <v>0.45</v>
      </c>
      <c r="G46" s="143">
        <f>VLOOKUP($A46,'Data shares'!$C:$FA,127)*100</f>
        <v>-31.11</v>
      </c>
      <c r="H46" s="103">
        <f>VLOOKUP($A46,'OI(Volume)'!$A$7:$O$427,8)</f>
        <v>8856375</v>
      </c>
      <c r="I46" s="103">
        <f>VLOOKUP($A46,'OI(Volume)'!$A$7:$O$427,9)</f>
        <v>306850</v>
      </c>
      <c r="J46" s="103">
        <f>VLOOKUP($A46,'OI(Volume)'!$A$7:$O$427,11)</f>
        <v>5263950</v>
      </c>
      <c r="K46" s="103">
        <f>VLOOKUP($A46,'OI(Volume)'!$A$7:$O$427,12)</f>
        <v>17575</v>
      </c>
      <c r="L46" s="103">
        <f>VLOOKUP($A46,'OI(Value)'!$A$7:$O$306,8,0)</f>
        <v>1455</v>
      </c>
      <c r="M46" s="103">
        <f>VLOOKUP($A46,'OI(Value)'!$A$7:$O$306,9,0)</f>
        <v>50</v>
      </c>
      <c r="N46" s="103">
        <f>VLOOKUP($A46,'OI(Value)'!$A$7:$O$306,11,0)</f>
        <v>865</v>
      </c>
      <c r="O46" s="103">
        <f>VLOOKUP($A46,'OI(Value)'!$A$7:$O$306,12,0)</f>
        <v>3</v>
      </c>
      <c r="P46" s="179">
        <f>VLOOKUP(A46,'OI(Value)'!A46:O247,8,0)</f>
        <v>1455</v>
      </c>
      <c r="Q46" s="179">
        <f>VLOOKUP(A46,'OI(Value)'!A46:O247,9,0)</f>
        <v>50</v>
      </c>
      <c r="R46" s="179">
        <f>VLOOKUP(A46,'OI(Value)'!A46:O247,11,0)</f>
        <v>865</v>
      </c>
      <c r="S46" s="179">
        <f>VLOOKUP(A46,'OI(Value)'!A46:O247,11,0)</f>
        <v>865</v>
      </c>
    </row>
    <row r="47" spans="1:19" x14ac:dyDescent="0.25">
      <c r="A47" s="105" t="str">
        <f>'Data shares'!C42</f>
        <v>CGPOWER</v>
      </c>
      <c r="B47" s="143">
        <f>VLOOKUP($A47,'Data shares'!$C:$FA,118)</f>
        <v>0.56000000000000005</v>
      </c>
      <c r="C47" s="143">
        <f>VLOOKUP($A47,'Data shares'!$C:$FA,119)</f>
        <v>0.56000000000000005</v>
      </c>
      <c r="D47" s="143">
        <f>VLOOKUP($A47,'Data shares'!$C:$FA,121)*100</f>
        <v>0</v>
      </c>
      <c r="E47" s="143">
        <f>VLOOKUP($A47,'Data shares'!$C:$FA,124)</f>
        <v>0.44</v>
      </c>
      <c r="F47" s="143">
        <f>VLOOKUP($A47,'Data shares'!$C:$FA,125)</f>
        <v>0.36</v>
      </c>
      <c r="G47" s="143">
        <f>VLOOKUP($A47,'Data shares'!$C:$FA,127)*100</f>
        <v>22.220000000000002</v>
      </c>
      <c r="H47" s="103">
        <f>VLOOKUP($A47,'OI(Volume)'!$A$7:$O$427,8)</f>
        <v>7426450</v>
      </c>
      <c r="I47" s="103">
        <f>VLOOKUP($A47,'OI(Volume)'!$A$7:$O$427,9)</f>
        <v>-234600</v>
      </c>
      <c r="J47" s="103">
        <f>VLOOKUP($A47,'OI(Volume)'!$A$7:$O$427,11)</f>
        <v>4140350</v>
      </c>
      <c r="K47" s="103">
        <f>VLOOKUP($A47,'OI(Volume)'!$A$7:$O$427,12)</f>
        <v>-157250</v>
      </c>
      <c r="L47" s="103">
        <f>VLOOKUP($A47,'OI(Value)'!$A$7:$O$306,8,0)</f>
        <v>537</v>
      </c>
      <c r="M47" s="103">
        <f>VLOOKUP($A47,'OI(Value)'!$A$7:$O$306,9,0)</f>
        <v>-17</v>
      </c>
      <c r="N47" s="103">
        <f>VLOOKUP($A47,'OI(Value)'!$A$7:$O$306,11,0)</f>
        <v>299</v>
      </c>
      <c r="O47" s="103">
        <f>VLOOKUP($A47,'OI(Value)'!$A$7:$O$306,12,0)</f>
        <v>-11</v>
      </c>
      <c r="P47" s="179">
        <f>VLOOKUP(A47,'OI(Value)'!A47:O248,8,0)</f>
        <v>537</v>
      </c>
      <c r="Q47" s="179">
        <f>VLOOKUP(A47,'OI(Value)'!A47:O248,9,0)</f>
        <v>-17</v>
      </c>
      <c r="R47" s="179">
        <f>VLOOKUP(A47,'OI(Value)'!A47:O248,11,0)</f>
        <v>299</v>
      </c>
      <c r="S47" s="179">
        <f>VLOOKUP(A47,'OI(Value)'!A47:O248,11,0)</f>
        <v>299</v>
      </c>
    </row>
    <row r="48" spans="1:19" x14ac:dyDescent="0.25">
      <c r="A48" s="105" t="str">
        <f>'Data shares'!C43</f>
        <v>CHOLAFIN</v>
      </c>
      <c r="B48" s="143">
        <f>VLOOKUP($A48,'Data shares'!$C:$FA,118)</f>
        <v>0.96</v>
      </c>
      <c r="C48" s="143">
        <f>VLOOKUP($A48,'Data shares'!$C:$FA,119)</f>
        <v>0.9</v>
      </c>
      <c r="D48" s="143">
        <f>VLOOKUP($A48,'Data shares'!$C:$FA,121)*100</f>
        <v>6.67</v>
      </c>
      <c r="E48" s="143">
        <f>VLOOKUP($A48,'Data shares'!$C:$FA,124)</f>
        <v>0.51</v>
      </c>
      <c r="F48" s="143">
        <f>VLOOKUP($A48,'Data shares'!$C:$FA,125)</f>
        <v>0.64</v>
      </c>
      <c r="G48" s="143">
        <f>VLOOKUP($A48,'Data shares'!$C:$FA,127)*100</f>
        <v>-20.309999999999999</v>
      </c>
      <c r="H48" s="103">
        <f>VLOOKUP($A48,'OI(Volume)'!$A$7:$O$427,8)</f>
        <v>3355000</v>
      </c>
      <c r="I48" s="103">
        <f>VLOOKUP($A48,'OI(Volume)'!$A$7:$O$427,9)</f>
        <v>-330625</v>
      </c>
      <c r="J48" s="103">
        <f>VLOOKUP($A48,'OI(Volume)'!$A$7:$O$427,11)</f>
        <v>3223750</v>
      </c>
      <c r="K48" s="103">
        <f>VLOOKUP($A48,'OI(Volume)'!$A$7:$O$427,12)</f>
        <v>-101250</v>
      </c>
      <c r="L48" s="103">
        <f>VLOOKUP($A48,'OI(Value)'!$A$7:$O$306,8,0)</f>
        <v>573</v>
      </c>
      <c r="M48" s="103">
        <f>VLOOKUP($A48,'OI(Value)'!$A$7:$O$306,9,0)</f>
        <v>-56</v>
      </c>
      <c r="N48" s="103">
        <f>VLOOKUP($A48,'OI(Value)'!$A$7:$O$306,11,0)</f>
        <v>550</v>
      </c>
      <c r="O48" s="103">
        <f>VLOOKUP($A48,'OI(Value)'!$A$7:$O$306,12,0)</f>
        <v>-17</v>
      </c>
      <c r="P48" s="179">
        <f>VLOOKUP(A48,'OI(Value)'!A48:O249,8,0)</f>
        <v>573</v>
      </c>
      <c r="Q48" s="179">
        <f>VLOOKUP(A48,'OI(Value)'!A48:O249,9,0)</f>
        <v>-56</v>
      </c>
      <c r="R48" s="179">
        <f>VLOOKUP(A48,'OI(Value)'!A48:O249,11,0)</f>
        <v>550</v>
      </c>
      <c r="S48" s="179">
        <f>VLOOKUP(A48,'OI(Value)'!A48:O249,11,0)</f>
        <v>550</v>
      </c>
    </row>
    <row r="49" spans="1:19" x14ac:dyDescent="0.25">
      <c r="A49" s="105" t="str">
        <f>'Data shares'!C44</f>
        <v>CIPLA</v>
      </c>
      <c r="B49" s="143">
        <f>VLOOKUP($A49,'Data shares'!$C:$FA,118)</f>
        <v>0.51</v>
      </c>
      <c r="C49" s="143">
        <f>VLOOKUP($A49,'Data shares'!$C:$FA,119)</f>
        <v>0.5</v>
      </c>
      <c r="D49" s="143">
        <f>VLOOKUP($A49,'Data shares'!$C:$FA,121)*100</f>
        <v>2</v>
      </c>
      <c r="E49" s="143">
        <f>VLOOKUP($A49,'Data shares'!$C:$FA,124)</f>
        <v>0.4</v>
      </c>
      <c r="F49" s="143">
        <f>VLOOKUP($A49,'Data shares'!$C:$FA,125)</f>
        <v>0.39</v>
      </c>
      <c r="G49" s="143">
        <f>VLOOKUP($A49,'Data shares'!$C:$FA,127)*100</f>
        <v>2.56</v>
      </c>
      <c r="H49" s="103">
        <f>VLOOKUP($A49,'OI(Volume)'!$A$7:$O$427,8)</f>
        <v>9038625</v>
      </c>
      <c r="I49" s="103">
        <f>VLOOKUP($A49,'OI(Volume)'!$A$7:$O$427,9)</f>
        <v>-706125</v>
      </c>
      <c r="J49" s="103">
        <f>VLOOKUP($A49,'OI(Volume)'!$A$7:$O$427,11)</f>
        <v>4566375</v>
      </c>
      <c r="K49" s="103">
        <f>VLOOKUP($A49,'OI(Volume)'!$A$7:$O$427,12)</f>
        <v>-260250</v>
      </c>
      <c r="L49" s="103">
        <f>VLOOKUP($A49,'OI(Value)'!$A$7:$O$306,8,0)</f>
        <v>1383</v>
      </c>
      <c r="M49" s="103">
        <f>VLOOKUP($A49,'OI(Value)'!$A$7:$O$306,9,0)</f>
        <v>-108</v>
      </c>
      <c r="N49" s="103">
        <f>VLOOKUP($A49,'OI(Value)'!$A$7:$O$306,11,0)</f>
        <v>699</v>
      </c>
      <c r="O49" s="103">
        <f>VLOOKUP($A49,'OI(Value)'!$A$7:$O$306,12,0)</f>
        <v>-40</v>
      </c>
      <c r="P49" s="179">
        <f>VLOOKUP(A49,'OI(Value)'!A49:O250,8,0)</f>
        <v>1383</v>
      </c>
      <c r="Q49" s="179">
        <f>VLOOKUP(A49,'OI(Value)'!A49:O250,9,0)</f>
        <v>-108</v>
      </c>
      <c r="R49" s="179">
        <f>VLOOKUP(A49,'OI(Value)'!A49:O250,11,0)</f>
        <v>699</v>
      </c>
      <c r="S49" s="179">
        <f>VLOOKUP(A49,'OI(Value)'!A49:O250,11,0)</f>
        <v>699</v>
      </c>
    </row>
    <row r="50" spans="1:19" x14ac:dyDescent="0.25">
      <c r="A50" s="105" t="str">
        <f>'Data shares'!C45</f>
        <v>COALINDIA</v>
      </c>
      <c r="B50" s="143">
        <f>VLOOKUP($A50,'Data shares'!$C:$FA,118)</f>
        <v>0.8</v>
      </c>
      <c r="C50" s="143">
        <f>VLOOKUP($A50,'Data shares'!$C:$FA,119)</f>
        <v>0.78</v>
      </c>
      <c r="D50" s="143">
        <f>VLOOKUP($A50,'Data shares'!$C:$FA,121)*100</f>
        <v>2.56</v>
      </c>
      <c r="E50" s="143">
        <f>VLOOKUP($A50,'Data shares'!$C:$FA,124)</f>
        <v>0.57999999999999996</v>
      </c>
      <c r="F50" s="143">
        <f>VLOOKUP($A50,'Data shares'!$C:$FA,125)</f>
        <v>0.53</v>
      </c>
      <c r="G50" s="143">
        <f>VLOOKUP($A50,'Data shares'!$C:$FA,127)*100</f>
        <v>9.43</v>
      </c>
      <c r="H50" s="103">
        <f>VLOOKUP($A50,'OI(Volume)'!$A$7:$O$427,8)</f>
        <v>27718200</v>
      </c>
      <c r="I50" s="103">
        <f>VLOOKUP($A50,'OI(Volume)'!$A$7:$O$427,9)</f>
        <v>-812700</v>
      </c>
      <c r="J50" s="103">
        <f>VLOOKUP($A50,'OI(Volume)'!$A$7:$O$427,11)</f>
        <v>22119750</v>
      </c>
      <c r="K50" s="103">
        <f>VLOOKUP($A50,'OI(Volume)'!$A$7:$O$427,12)</f>
        <v>-28350</v>
      </c>
      <c r="L50" s="103">
        <f>VLOOKUP($A50,'OI(Value)'!$A$7:$O$306,8,0)</f>
        <v>1055</v>
      </c>
      <c r="M50" s="103">
        <f>VLOOKUP($A50,'OI(Value)'!$A$7:$O$306,9,0)</f>
        <v>-31</v>
      </c>
      <c r="N50" s="103">
        <f>VLOOKUP($A50,'OI(Value)'!$A$7:$O$306,11,0)</f>
        <v>842</v>
      </c>
      <c r="O50" s="103">
        <f>VLOOKUP($A50,'OI(Value)'!$A$7:$O$306,12,0)</f>
        <v>-1</v>
      </c>
      <c r="P50" s="179">
        <f>VLOOKUP(A50,'OI(Value)'!A50:O251,8,0)</f>
        <v>1055</v>
      </c>
      <c r="Q50" s="179">
        <f>VLOOKUP(A50,'OI(Value)'!A50:O251,9,0)</f>
        <v>-31</v>
      </c>
      <c r="R50" s="179">
        <f>VLOOKUP(A50,'OI(Value)'!A50:O251,11,0)</f>
        <v>842</v>
      </c>
      <c r="S50" s="179">
        <f>VLOOKUP(A50,'OI(Value)'!A50:O251,11,0)</f>
        <v>842</v>
      </c>
    </row>
    <row r="51" spans="1:19" x14ac:dyDescent="0.25">
      <c r="A51" s="105" t="str">
        <f>'Data shares'!C46</f>
        <v>COFORGE</v>
      </c>
      <c r="B51" s="143">
        <f>VLOOKUP($A51,'Data shares'!$C:$FA,118)</f>
        <v>0.5</v>
      </c>
      <c r="C51" s="143">
        <f>VLOOKUP($A51,'Data shares'!$C:$FA,119)</f>
        <v>0.55000000000000004</v>
      </c>
      <c r="D51" s="143">
        <f>VLOOKUP($A51,'Data shares'!$C:$FA,121)*100</f>
        <v>-9.09</v>
      </c>
      <c r="E51" s="143">
        <f>VLOOKUP($A51,'Data shares'!$C:$FA,124)</f>
        <v>0.37</v>
      </c>
      <c r="F51" s="143">
        <f>VLOOKUP($A51,'Data shares'!$C:$FA,125)</f>
        <v>0.31</v>
      </c>
      <c r="G51" s="143">
        <f>VLOOKUP($A51,'Data shares'!$C:$FA,127)*100</f>
        <v>19.350000000000001</v>
      </c>
      <c r="H51" s="103">
        <f>VLOOKUP($A51,'OI(Volume)'!$A$7:$O$427,8)</f>
        <v>5773500</v>
      </c>
      <c r="I51" s="103">
        <f>VLOOKUP($A51,'OI(Volume)'!$A$7:$O$427,9)</f>
        <v>83250</v>
      </c>
      <c r="J51" s="103">
        <f>VLOOKUP($A51,'OI(Volume)'!$A$7:$O$427,11)</f>
        <v>2863125</v>
      </c>
      <c r="K51" s="103">
        <f>VLOOKUP($A51,'OI(Volume)'!$A$7:$O$427,12)</f>
        <v>-294000</v>
      </c>
      <c r="L51" s="103">
        <f>VLOOKUP($A51,'OI(Value)'!$A$7:$O$306,8,0)</f>
        <v>1068</v>
      </c>
      <c r="M51" s="103">
        <f>VLOOKUP($A51,'OI(Value)'!$A$7:$O$306,9,0)</f>
        <v>15</v>
      </c>
      <c r="N51" s="103">
        <f>VLOOKUP($A51,'OI(Value)'!$A$7:$O$306,11,0)</f>
        <v>530</v>
      </c>
      <c r="O51" s="103">
        <f>VLOOKUP($A51,'OI(Value)'!$A$7:$O$306,12,0)</f>
        <v>-54</v>
      </c>
      <c r="P51" s="179">
        <f>VLOOKUP(A51,'OI(Value)'!A51:O252,8,0)</f>
        <v>1068</v>
      </c>
      <c r="Q51" s="179">
        <f>VLOOKUP(A51,'OI(Value)'!A51:O252,9,0)</f>
        <v>15</v>
      </c>
      <c r="R51" s="179">
        <f>VLOOKUP(A51,'OI(Value)'!A51:O252,11,0)</f>
        <v>530</v>
      </c>
      <c r="S51" s="179">
        <f>VLOOKUP(A51,'OI(Value)'!A51:O252,11,0)</f>
        <v>530</v>
      </c>
    </row>
    <row r="52" spans="1:19" x14ac:dyDescent="0.25">
      <c r="A52" s="105" t="str">
        <f>'Data shares'!C47</f>
        <v>COLPAL</v>
      </c>
      <c r="B52" s="143">
        <f>VLOOKUP($A52,'Data shares'!$C:$FA,118)</f>
        <v>0.64</v>
      </c>
      <c r="C52" s="143">
        <f>VLOOKUP($A52,'Data shares'!$C:$FA,119)</f>
        <v>0.65</v>
      </c>
      <c r="D52" s="143">
        <f>VLOOKUP($A52,'Data shares'!$C:$FA,121)*100</f>
        <v>-1.54</v>
      </c>
      <c r="E52" s="143">
        <f>VLOOKUP($A52,'Data shares'!$C:$FA,124)</f>
        <v>0.27</v>
      </c>
      <c r="F52" s="143">
        <f>VLOOKUP($A52,'Data shares'!$C:$FA,125)</f>
        <v>0.36</v>
      </c>
      <c r="G52" s="143">
        <f>VLOOKUP($A52,'Data shares'!$C:$FA,127)*100</f>
        <v>-25</v>
      </c>
      <c r="H52" s="103">
        <f>VLOOKUP($A52,'OI(Volume)'!$A$7:$O$427,8)</f>
        <v>2777625</v>
      </c>
      <c r="I52" s="103">
        <f>VLOOKUP($A52,'OI(Volume)'!$A$7:$O$427,9)</f>
        <v>110925</v>
      </c>
      <c r="J52" s="103">
        <f>VLOOKUP($A52,'OI(Volume)'!$A$7:$O$427,11)</f>
        <v>1769850</v>
      </c>
      <c r="K52" s="103">
        <f>VLOOKUP($A52,'OI(Volume)'!$A$7:$O$427,12)</f>
        <v>49500</v>
      </c>
      <c r="L52" s="103">
        <f>VLOOKUP($A52,'OI(Value)'!$A$7:$O$306,8,0)</f>
        <v>607</v>
      </c>
      <c r="M52" s="103">
        <f>VLOOKUP($A52,'OI(Value)'!$A$7:$O$306,9,0)</f>
        <v>24</v>
      </c>
      <c r="N52" s="103">
        <f>VLOOKUP($A52,'OI(Value)'!$A$7:$O$306,11,0)</f>
        <v>387</v>
      </c>
      <c r="O52" s="103">
        <f>VLOOKUP($A52,'OI(Value)'!$A$7:$O$306,12,0)</f>
        <v>11</v>
      </c>
      <c r="P52" s="179">
        <f>VLOOKUP(A52,'OI(Value)'!A52:O253,8,0)</f>
        <v>607</v>
      </c>
      <c r="Q52" s="179">
        <f>VLOOKUP(A52,'OI(Value)'!A52:O253,9,0)</f>
        <v>24</v>
      </c>
      <c r="R52" s="179">
        <f>VLOOKUP(A52,'OI(Value)'!A52:O253,11,0)</f>
        <v>387</v>
      </c>
      <c r="S52" s="179">
        <f>VLOOKUP(A52,'OI(Value)'!A52:O253,11,0)</f>
        <v>387</v>
      </c>
    </row>
    <row r="53" spans="1:19" x14ac:dyDescent="0.25">
      <c r="A53" s="105" t="str">
        <f>'Data shares'!C48</f>
        <v>CONCOR</v>
      </c>
      <c r="B53" s="143">
        <f>VLOOKUP($A53,'Data shares'!$C:$FA,118)</f>
        <v>0.67</v>
      </c>
      <c r="C53" s="143">
        <f>VLOOKUP($A53,'Data shares'!$C:$FA,119)</f>
        <v>0.6</v>
      </c>
      <c r="D53" s="143">
        <f>VLOOKUP($A53,'Data shares'!$C:$FA,121)*100</f>
        <v>11.67</v>
      </c>
      <c r="E53" s="143">
        <f>VLOOKUP($A53,'Data shares'!$C:$FA,124)</f>
        <v>0.38</v>
      </c>
      <c r="F53" s="143">
        <f>VLOOKUP($A53,'Data shares'!$C:$FA,125)</f>
        <v>0.32</v>
      </c>
      <c r="G53" s="143">
        <f>VLOOKUP($A53,'Data shares'!$C:$FA,127)*100</f>
        <v>18.75</v>
      </c>
      <c r="H53" s="103">
        <f>VLOOKUP($A53,'OI(Volume)'!$A$7:$O$427,8)</f>
        <v>16496250</v>
      </c>
      <c r="I53" s="103">
        <f>VLOOKUP($A53,'OI(Volume)'!$A$7:$O$427,9)</f>
        <v>-1440000</v>
      </c>
      <c r="J53" s="103">
        <f>VLOOKUP($A53,'OI(Volume)'!$A$7:$O$427,11)</f>
        <v>10996250</v>
      </c>
      <c r="K53" s="103">
        <f>VLOOKUP($A53,'OI(Volume)'!$A$7:$O$427,12)</f>
        <v>198750</v>
      </c>
      <c r="L53" s="103">
        <f>VLOOKUP($A53,'OI(Value)'!$A$7:$O$306,8,0)</f>
        <v>851</v>
      </c>
      <c r="M53" s="103">
        <f>VLOOKUP($A53,'OI(Value)'!$A$7:$O$306,9,0)</f>
        <v>-74</v>
      </c>
      <c r="N53" s="103">
        <f>VLOOKUP($A53,'OI(Value)'!$A$7:$O$306,11,0)</f>
        <v>567</v>
      </c>
      <c r="O53" s="103">
        <f>VLOOKUP($A53,'OI(Value)'!$A$7:$O$306,12,0)</f>
        <v>10</v>
      </c>
      <c r="P53" s="179">
        <f>VLOOKUP(A53,'OI(Value)'!A53:O254,8,0)</f>
        <v>851</v>
      </c>
      <c r="Q53" s="179">
        <f>VLOOKUP(A53,'OI(Value)'!A53:O254,9,0)</f>
        <v>-74</v>
      </c>
      <c r="R53" s="179">
        <f>VLOOKUP(A53,'OI(Value)'!A53:O254,11,0)</f>
        <v>567</v>
      </c>
      <c r="S53" s="179">
        <f>VLOOKUP(A53,'OI(Value)'!A53:O254,11,0)</f>
        <v>567</v>
      </c>
    </row>
    <row r="54" spans="1:19" x14ac:dyDescent="0.25">
      <c r="A54" s="105" t="str">
        <f>'Data shares'!C49</f>
        <v>CROMPTON</v>
      </c>
      <c r="B54" s="143">
        <f>VLOOKUP($A54,'Data shares'!$C:$FA,118)</f>
        <v>0.51</v>
      </c>
      <c r="C54" s="143">
        <f>VLOOKUP($A54,'Data shares'!$C:$FA,119)</f>
        <v>0.49</v>
      </c>
      <c r="D54" s="143">
        <f>VLOOKUP($A54,'Data shares'!$C:$FA,121)*100</f>
        <v>4.08</v>
      </c>
      <c r="E54" s="143">
        <f>VLOOKUP($A54,'Data shares'!$C:$FA,124)</f>
        <v>0.3</v>
      </c>
      <c r="F54" s="143">
        <f>VLOOKUP($A54,'Data shares'!$C:$FA,125)</f>
        <v>0.21</v>
      </c>
      <c r="G54" s="143">
        <f>VLOOKUP($A54,'Data shares'!$C:$FA,127)*100</f>
        <v>42.86</v>
      </c>
      <c r="H54" s="103">
        <f>VLOOKUP($A54,'OI(Volume)'!$A$7:$O$427,8)</f>
        <v>27723600</v>
      </c>
      <c r="I54" s="103">
        <f>VLOOKUP($A54,'OI(Volume)'!$A$7:$O$427,9)</f>
        <v>-329400</v>
      </c>
      <c r="J54" s="103">
        <f>VLOOKUP($A54,'OI(Volume)'!$A$7:$O$427,11)</f>
        <v>14088600</v>
      </c>
      <c r="K54" s="103">
        <f>VLOOKUP($A54,'OI(Volume)'!$A$7:$O$427,12)</f>
        <v>437400</v>
      </c>
      <c r="L54" s="103">
        <f>VLOOKUP($A54,'OI(Value)'!$A$7:$O$306,8,0)</f>
        <v>748</v>
      </c>
      <c r="M54" s="103">
        <f>VLOOKUP($A54,'OI(Value)'!$A$7:$O$306,9,0)</f>
        <v>-9</v>
      </c>
      <c r="N54" s="103">
        <f>VLOOKUP($A54,'OI(Value)'!$A$7:$O$306,11,0)</f>
        <v>380</v>
      </c>
      <c r="O54" s="103">
        <f>VLOOKUP($A54,'OI(Value)'!$A$7:$O$306,12,0)</f>
        <v>12</v>
      </c>
      <c r="P54" s="179">
        <f>VLOOKUP(A54,'OI(Value)'!A54:O255,8,0)</f>
        <v>748</v>
      </c>
      <c r="Q54" s="179">
        <f>VLOOKUP(A54,'OI(Value)'!A54:O255,9,0)</f>
        <v>-9</v>
      </c>
      <c r="R54" s="179">
        <f>VLOOKUP(A54,'OI(Value)'!A54:O255,11,0)</f>
        <v>380</v>
      </c>
      <c r="S54" s="179">
        <f>VLOOKUP(A54,'OI(Value)'!A54:O255,11,0)</f>
        <v>380</v>
      </c>
    </row>
    <row r="55" spans="1:19" x14ac:dyDescent="0.25">
      <c r="A55" s="105" t="str">
        <f>'Data shares'!C50</f>
        <v>CUMMINSIND</v>
      </c>
      <c r="B55" s="143">
        <f>VLOOKUP($A55,'Data shares'!$C:$FA,118)</f>
        <v>0.61</v>
      </c>
      <c r="C55" s="143">
        <f>VLOOKUP($A55,'Data shares'!$C:$FA,119)</f>
        <v>0.64</v>
      </c>
      <c r="D55" s="143">
        <f>VLOOKUP($A55,'Data shares'!$C:$FA,121)*100</f>
        <v>-4.6899999999999995</v>
      </c>
      <c r="E55" s="143">
        <f>VLOOKUP($A55,'Data shares'!$C:$FA,124)</f>
        <v>0.25</v>
      </c>
      <c r="F55" s="143">
        <f>VLOOKUP($A55,'Data shares'!$C:$FA,125)</f>
        <v>0.5</v>
      </c>
      <c r="G55" s="143">
        <f>VLOOKUP($A55,'Data shares'!$C:$FA,127)*100</f>
        <v>-50</v>
      </c>
      <c r="H55" s="103">
        <f>VLOOKUP($A55,'OI(Volume)'!$A$7:$O$427,8)</f>
        <v>1485600</v>
      </c>
      <c r="I55" s="103">
        <f>VLOOKUP($A55,'OI(Volume)'!$A$7:$O$427,9)</f>
        <v>147800</v>
      </c>
      <c r="J55" s="103">
        <f>VLOOKUP($A55,'OI(Volume)'!$A$7:$O$427,11)</f>
        <v>908000</v>
      </c>
      <c r="K55" s="103">
        <f>VLOOKUP($A55,'OI(Volume)'!$A$7:$O$427,12)</f>
        <v>53600</v>
      </c>
      <c r="L55" s="103">
        <f>VLOOKUP($A55,'OI(Value)'!$A$7:$O$306,8,0)</f>
        <v>651</v>
      </c>
      <c r="M55" s="103">
        <f>VLOOKUP($A55,'OI(Value)'!$A$7:$O$306,9,0)</f>
        <v>65</v>
      </c>
      <c r="N55" s="103">
        <f>VLOOKUP($A55,'OI(Value)'!$A$7:$O$306,11,0)</f>
        <v>398</v>
      </c>
      <c r="O55" s="103">
        <f>VLOOKUP($A55,'OI(Value)'!$A$7:$O$306,12,0)</f>
        <v>23</v>
      </c>
      <c r="P55" s="179">
        <f>VLOOKUP(A55,'OI(Value)'!A55:O256,8,0)</f>
        <v>651</v>
      </c>
      <c r="Q55" s="179">
        <f>VLOOKUP(A55,'OI(Value)'!A55:O256,9,0)</f>
        <v>65</v>
      </c>
      <c r="R55" s="179">
        <f>VLOOKUP(A55,'OI(Value)'!A55:O256,11,0)</f>
        <v>398</v>
      </c>
      <c r="S55" s="179">
        <f>VLOOKUP(A55,'OI(Value)'!A55:O256,11,0)</f>
        <v>398</v>
      </c>
    </row>
    <row r="56" spans="1:19" x14ac:dyDescent="0.25">
      <c r="A56" s="105" t="str">
        <f>'Data shares'!C51</f>
        <v>CYIENT</v>
      </c>
      <c r="B56" s="143">
        <f>VLOOKUP($A56,'Data shares'!$C:$FA,118)</f>
        <v>0.57999999999999996</v>
      </c>
      <c r="C56" s="143">
        <f>VLOOKUP($A56,'Data shares'!$C:$FA,119)</f>
        <v>0.6</v>
      </c>
      <c r="D56" s="143">
        <f>VLOOKUP($A56,'Data shares'!$C:$FA,121)*100</f>
        <v>-3.3300000000000005</v>
      </c>
      <c r="E56" s="143">
        <f>VLOOKUP($A56,'Data shares'!$C:$FA,124)</f>
        <v>0.4</v>
      </c>
      <c r="F56" s="143">
        <f>VLOOKUP($A56,'Data shares'!$C:$FA,125)</f>
        <v>0.28000000000000003</v>
      </c>
      <c r="G56" s="143">
        <f>VLOOKUP($A56,'Data shares'!$C:$FA,127)*100</f>
        <v>42.86</v>
      </c>
      <c r="H56" s="103">
        <f>VLOOKUP($A56,'OI(Volume)'!$A$7:$O$427,8)</f>
        <v>2456925</v>
      </c>
      <c r="I56" s="103">
        <f>VLOOKUP($A56,'OI(Volume)'!$A$7:$O$427,9)</f>
        <v>-81175</v>
      </c>
      <c r="J56" s="103">
        <f>VLOOKUP($A56,'OI(Volume)'!$A$7:$O$427,11)</f>
        <v>1418650</v>
      </c>
      <c r="K56" s="103">
        <f>VLOOKUP($A56,'OI(Volume)'!$A$7:$O$427,12)</f>
        <v>-99450</v>
      </c>
      <c r="L56" s="103">
        <f>VLOOKUP($A56,'OI(Value)'!$A$7:$O$306,8,0)</f>
        <v>282</v>
      </c>
      <c r="M56" s="103">
        <f>VLOOKUP($A56,'OI(Value)'!$A$7:$O$306,9,0)</f>
        <v>-9</v>
      </c>
      <c r="N56" s="103">
        <f>VLOOKUP($A56,'OI(Value)'!$A$7:$O$306,11,0)</f>
        <v>163</v>
      </c>
      <c r="O56" s="103">
        <f>VLOOKUP($A56,'OI(Value)'!$A$7:$O$306,12,0)</f>
        <v>-11</v>
      </c>
      <c r="P56" s="179">
        <f>VLOOKUP(A56,'OI(Value)'!A56:O257,8,0)</f>
        <v>282</v>
      </c>
      <c r="Q56" s="179">
        <f>VLOOKUP(A56,'OI(Value)'!A56:O257,9,0)</f>
        <v>-9</v>
      </c>
      <c r="R56" s="179">
        <f>VLOOKUP(A56,'OI(Value)'!A56:O257,11,0)</f>
        <v>163</v>
      </c>
      <c r="S56" s="179">
        <f>VLOOKUP(A56,'OI(Value)'!A56:O257,11,0)</f>
        <v>163</v>
      </c>
    </row>
    <row r="57" spans="1:19" x14ac:dyDescent="0.25">
      <c r="A57" s="105" t="str">
        <f>'Data shares'!C52</f>
        <v>DABUR</v>
      </c>
      <c r="B57" s="143">
        <f>VLOOKUP($A57,'Data shares'!$C:$FA,118)</f>
        <v>0.59</v>
      </c>
      <c r="C57" s="143">
        <f>VLOOKUP($A57,'Data shares'!$C:$FA,119)</f>
        <v>0.55000000000000004</v>
      </c>
      <c r="D57" s="143">
        <f>VLOOKUP($A57,'Data shares'!$C:$FA,121)*100</f>
        <v>7.2700000000000005</v>
      </c>
      <c r="E57" s="143">
        <f>VLOOKUP($A57,'Data shares'!$C:$FA,124)</f>
        <v>0.53</v>
      </c>
      <c r="F57" s="143">
        <f>VLOOKUP($A57,'Data shares'!$C:$FA,125)</f>
        <v>0.48</v>
      </c>
      <c r="G57" s="143">
        <f>VLOOKUP($A57,'Data shares'!$C:$FA,127)*100</f>
        <v>10.42</v>
      </c>
      <c r="H57" s="103">
        <f>VLOOKUP($A57,'OI(Volume)'!$A$7:$O$427,8)</f>
        <v>17871250</v>
      </c>
      <c r="I57" s="103">
        <f>VLOOKUP($A57,'OI(Volume)'!$A$7:$O$427,9)</f>
        <v>-1450000</v>
      </c>
      <c r="J57" s="103">
        <f>VLOOKUP($A57,'OI(Volume)'!$A$7:$O$427,11)</f>
        <v>10581250</v>
      </c>
      <c r="K57" s="103">
        <f>VLOOKUP($A57,'OI(Volume)'!$A$7:$O$427,12)</f>
        <v>-103750</v>
      </c>
      <c r="L57" s="103">
        <f>VLOOKUP($A57,'OI(Value)'!$A$7:$O$306,8,0)</f>
        <v>938</v>
      </c>
      <c r="M57" s="103">
        <f>VLOOKUP($A57,'OI(Value)'!$A$7:$O$306,9,0)</f>
        <v>-76</v>
      </c>
      <c r="N57" s="103">
        <f>VLOOKUP($A57,'OI(Value)'!$A$7:$O$306,11,0)</f>
        <v>555</v>
      </c>
      <c r="O57" s="103">
        <f>VLOOKUP($A57,'OI(Value)'!$A$7:$O$306,12,0)</f>
        <v>-5</v>
      </c>
      <c r="P57" s="179">
        <f>VLOOKUP(A57,'OI(Value)'!A57:O258,8,0)</f>
        <v>938</v>
      </c>
      <c r="Q57" s="179">
        <f>VLOOKUP(A57,'OI(Value)'!A57:O258,9,0)</f>
        <v>-76</v>
      </c>
      <c r="R57" s="179">
        <f>VLOOKUP(A57,'OI(Value)'!A57:O258,11,0)</f>
        <v>555</v>
      </c>
      <c r="S57" s="179">
        <f>VLOOKUP(A57,'OI(Value)'!A57:O258,11,0)</f>
        <v>555</v>
      </c>
    </row>
    <row r="58" spans="1:19" x14ac:dyDescent="0.25">
      <c r="A58" s="105" t="str">
        <f>'Data shares'!C53</f>
        <v>DALBHARAT</v>
      </c>
      <c r="B58" s="143">
        <f>VLOOKUP($A58,'Data shares'!$C:$FA,118)</f>
        <v>0.67</v>
      </c>
      <c r="C58" s="143">
        <f>VLOOKUP($A58,'Data shares'!$C:$FA,119)</f>
        <v>0.65</v>
      </c>
      <c r="D58" s="143">
        <f>VLOOKUP($A58,'Data shares'!$C:$FA,121)*100</f>
        <v>3.08</v>
      </c>
      <c r="E58" s="143">
        <f>VLOOKUP($A58,'Data shares'!$C:$FA,124)</f>
        <v>0.37</v>
      </c>
      <c r="F58" s="143">
        <f>VLOOKUP($A58,'Data shares'!$C:$FA,125)</f>
        <v>0.46</v>
      </c>
      <c r="G58" s="143">
        <f>VLOOKUP($A58,'Data shares'!$C:$FA,127)*100</f>
        <v>-19.57</v>
      </c>
      <c r="H58" s="103">
        <f>VLOOKUP($A58,'OI(Volume)'!$A$7:$O$427,8)</f>
        <v>1287325</v>
      </c>
      <c r="I58" s="103">
        <f>VLOOKUP($A58,'OI(Volume)'!$A$7:$O$427,9)</f>
        <v>-130000</v>
      </c>
      <c r="J58" s="103">
        <f>VLOOKUP($A58,'OI(Volume)'!$A$7:$O$427,11)</f>
        <v>857675</v>
      </c>
      <c r="K58" s="103">
        <f>VLOOKUP($A58,'OI(Volume)'!$A$7:$O$427,12)</f>
        <v>-60775</v>
      </c>
      <c r="L58" s="103">
        <f>VLOOKUP($A58,'OI(Value)'!$A$7:$O$306,8,0)</f>
        <v>260</v>
      </c>
      <c r="M58" s="103">
        <f>VLOOKUP($A58,'OI(Value)'!$A$7:$O$306,9,0)</f>
        <v>-26</v>
      </c>
      <c r="N58" s="103">
        <f>VLOOKUP($A58,'OI(Value)'!$A$7:$O$306,11,0)</f>
        <v>173</v>
      </c>
      <c r="O58" s="103">
        <f>VLOOKUP($A58,'OI(Value)'!$A$7:$O$306,12,0)</f>
        <v>-12</v>
      </c>
      <c r="P58" s="179">
        <f>VLOOKUP(A58,'OI(Value)'!A58:O259,8,0)</f>
        <v>260</v>
      </c>
      <c r="Q58" s="179">
        <f>VLOOKUP(A58,'OI(Value)'!A58:O259,9,0)</f>
        <v>-26</v>
      </c>
      <c r="R58" s="179">
        <f>VLOOKUP(A58,'OI(Value)'!A58:O259,11,0)</f>
        <v>173</v>
      </c>
      <c r="S58" s="179">
        <f>VLOOKUP(A58,'OI(Value)'!A58:O259,11,0)</f>
        <v>173</v>
      </c>
    </row>
    <row r="59" spans="1:19" x14ac:dyDescent="0.25">
      <c r="A59" s="105" t="str">
        <f>'Data shares'!C54</f>
        <v>DELHIVERY</v>
      </c>
      <c r="B59" s="143">
        <f>VLOOKUP($A59,'Data shares'!$C:$FA,118)</f>
        <v>0.48</v>
      </c>
      <c r="C59" s="143">
        <f>VLOOKUP($A59,'Data shares'!$C:$FA,119)</f>
        <v>0.44</v>
      </c>
      <c r="D59" s="143">
        <f>VLOOKUP($A59,'Data shares'!$C:$FA,121)*100</f>
        <v>9.09</v>
      </c>
      <c r="E59" s="143">
        <f>VLOOKUP($A59,'Data shares'!$C:$FA,124)</f>
        <v>0.37</v>
      </c>
      <c r="F59" s="143">
        <f>VLOOKUP($A59,'Data shares'!$C:$FA,125)</f>
        <v>0.41</v>
      </c>
      <c r="G59" s="143">
        <f>VLOOKUP($A59,'Data shares'!$C:$FA,127)*100</f>
        <v>-9.76</v>
      </c>
      <c r="H59" s="103">
        <f>VLOOKUP($A59,'OI(Volume)'!$A$7:$O$427,8)</f>
        <v>22976475</v>
      </c>
      <c r="I59" s="103">
        <f>VLOOKUP($A59,'OI(Volume)'!$A$7:$O$427,9)</f>
        <v>-3710100</v>
      </c>
      <c r="J59" s="103">
        <f>VLOOKUP($A59,'OI(Volume)'!$A$7:$O$427,11)</f>
        <v>10929025</v>
      </c>
      <c r="K59" s="103">
        <f>VLOOKUP($A59,'OI(Volume)'!$A$7:$O$427,12)</f>
        <v>-788500</v>
      </c>
      <c r="L59" s="103">
        <f>VLOOKUP($A59,'OI(Value)'!$A$7:$O$306,8,0)</f>
        <v>980</v>
      </c>
      <c r="M59" s="103">
        <f>VLOOKUP($A59,'OI(Value)'!$A$7:$O$306,9,0)</f>
        <v>-158</v>
      </c>
      <c r="N59" s="103">
        <f>VLOOKUP($A59,'OI(Value)'!$A$7:$O$306,11,0)</f>
        <v>466</v>
      </c>
      <c r="O59" s="103">
        <f>VLOOKUP($A59,'OI(Value)'!$A$7:$O$306,12,0)</f>
        <v>-34</v>
      </c>
      <c r="P59" s="179">
        <f>VLOOKUP(A59,'OI(Value)'!A59:O260,8,0)</f>
        <v>980</v>
      </c>
      <c r="Q59" s="179">
        <f>VLOOKUP(A59,'OI(Value)'!A59:O260,9,0)</f>
        <v>-158</v>
      </c>
      <c r="R59" s="179">
        <f>VLOOKUP(A59,'OI(Value)'!A59:O260,11,0)</f>
        <v>466</v>
      </c>
      <c r="S59" s="179">
        <f>VLOOKUP(A59,'OI(Value)'!A59:O260,11,0)</f>
        <v>466</v>
      </c>
    </row>
    <row r="60" spans="1:19" x14ac:dyDescent="0.25">
      <c r="A60" s="105" t="str">
        <f>'Data shares'!C55</f>
        <v>DIVISLAB</v>
      </c>
      <c r="B60" s="143">
        <f>VLOOKUP($A60,'Data shares'!$C:$FA,118)</f>
        <v>0.7</v>
      </c>
      <c r="C60" s="143">
        <f>VLOOKUP($A60,'Data shares'!$C:$FA,119)</f>
        <v>0.67</v>
      </c>
      <c r="D60" s="143">
        <f>VLOOKUP($A60,'Data shares'!$C:$FA,121)*100</f>
        <v>4.4799999999999995</v>
      </c>
      <c r="E60" s="143">
        <f>VLOOKUP($A60,'Data shares'!$C:$FA,124)</f>
        <v>0.38</v>
      </c>
      <c r="F60" s="143">
        <f>VLOOKUP($A60,'Data shares'!$C:$FA,125)</f>
        <v>0.45</v>
      </c>
      <c r="G60" s="143">
        <f>VLOOKUP($A60,'Data shares'!$C:$FA,127)*100</f>
        <v>-15.559999999999999</v>
      </c>
      <c r="H60" s="103">
        <f>VLOOKUP($A60,'OI(Volume)'!$A$7:$O$427,8)</f>
        <v>2133600</v>
      </c>
      <c r="I60" s="103">
        <f>VLOOKUP($A60,'OI(Volume)'!$A$7:$O$427,9)</f>
        <v>-218100</v>
      </c>
      <c r="J60" s="103">
        <f>VLOOKUP($A60,'OI(Volume)'!$A$7:$O$427,11)</f>
        <v>1498800</v>
      </c>
      <c r="K60" s="103">
        <f>VLOOKUP($A60,'OI(Volume)'!$A$7:$O$427,12)</f>
        <v>-86600</v>
      </c>
      <c r="L60" s="103">
        <f>VLOOKUP($A60,'OI(Value)'!$A$7:$O$306,8,0)</f>
        <v>1378</v>
      </c>
      <c r="M60" s="103">
        <f>VLOOKUP($A60,'OI(Value)'!$A$7:$O$306,9,0)</f>
        <v>-141</v>
      </c>
      <c r="N60" s="103">
        <f>VLOOKUP($A60,'OI(Value)'!$A$7:$O$306,11,0)</f>
        <v>968</v>
      </c>
      <c r="O60" s="103">
        <f>VLOOKUP($A60,'OI(Value)'!$A$7:$O$306,12,0)</f>
        <v>-56</v>
      </c>
      <c r="P60" s="179">
        <f>VLOOKUP(A60,'OI(Value)'!A60:O261,8,0)</f>
        <v>1378</v>
      </c>
      <c r="Q60" s="179">
        <f>VLOOKUP(A60,'OI(Value)'!A60:O261,9,0)</f>
        <v>-141</v>
      </c>
      <c r="R60" s="179">
        <f>VLOOKUP(A60,'OI(Value)'!A60:O261,11,0)</f>
        <v>968</v>
      </c>
      <c r="S60" s="179">
        <f>VLOOKUP(A60,'OI(Value)'!A60:O261,11,0)</f>
        <v>968</v>
      </c>
    </row>
    <row r="61" spans="1:19" x14ac:dyDescent="0.25">
      <c r="A61" s="105" t="str">
        <f>'Data shares'!C56</f>
        <v>DIXON</v>
      </c>
      <c r="B61" s="143">
        <f>VLOOKUP($A61,'Data shares'!$C:$FA,118)</f>
        <v>0.5</v>
      </c>
      <c r="C61" s="143">
        <f>VLOOKUP($A61,'Data shares'!$C:$FA,119)</f>
        <v>0.47</v>
      </c>
      <c r="D61" s="143">
        <f>VLOOKUP($A61,'Data shares'!$C:$FA,121)*100</f>
        <v>6.38</v>
      </c>
      <c r="E61" s="143">
        <f>VLOOKUP($A61,'Data shares'!$C:$FA,124)</f>
        <v>0.46</v>
      </c>
      <c r="F61" s="143">
        <f>VLOOKUP($A61,'Data shares'!$C:$FA,125)</f>
        <v>0.46</v>
      </c>
      <c r="G61" s="143">
        <f>VLOOKUP($A61,'Data shares'!$C:$FA,127)*100</f>
        <v>0</v>
      </c>
      <c r="H61" s="103">
        <f>VLOOKUP($A61,'OI(Volume)'!$A$7:$O$427,8)</f>
        <v>1852800</v>
      </c>
      <c r="I61" s="103">
        <f>VLOOKUP($A61,'OI(Volume)'!$A$7:$O$427,9)</f>
        <v>-141650</v>
      </c>
      <c r="J61" s="103">
        <f>VLOOKUP($A61,'OI(Volume)'!$A$7:$O$427,11)</f>
        <v>929500</v>
      </c>
      <c r="K61" s="103">
        <f>VLOOKUP($A61,'OI(Volume)'!$A$7:$O$427,12)</f>
        <v>-4600</v>
      </c>
      <c r="L61" s="103">
        <f>VLOOKUP($A61,'OI(Value)'!$A$7:$O$306,8,0)</f>
        <v>2836</v>
      </c>
      <c r="M61" s="103">
        <f>VLOOKUP($A61,'OI(Value)'!$A$7:$O$306,9,0)</f>
        <v>-217</v>
      </c>
      <c r="N61" s="103">
        <f>VLOOKUP($A61,'OI(Value)'!$A$7:$O$306,11,0)</f>
        <v>1423</v>
      </c>
      <c r="O61" s="103">
        <f>VLOOKUP($A61,'OI(Value)'!$A$7:$O$306,12,0)</f>
        <v>-7</v>
      </c>
      <c r="P61" s="179">
        <f>VLOOKUP(A61,'OI(Value)'!A61:O262,8,0)</f>
        <v>2836</v>
      </c>
      <c r="Q61" s="179">
        <f>VLOOKUP(A61,'OI(Value)'!A61:O262,9,0)</f>
        <v>-217</v>
      </c>
      <c r="R61" s="179">
        <f>VLOOKUP(A61,'OI(Value)'!A61:O262,11,0)</f>
        <v>1423</v>
      </c>
      <c r="S61" s="179">
        <f>VLOOKUP(A61,'OI(Value)'!A61:O262,11,0)</f>
        <v>1423</v>
      </c>
    </row>
    <row r="62" spans="1:19" x14ac:dyDescent="0.25">
      <c r="A62" s="105" t="str">
        <f>'Data shares'!C57</f>
        <v>DLF</v>
      </c>
      <c r="B62" s="143">
        <f>VLOOKUP($A62,'Data shares'!$C:$FA,118)</f>
        <v>0.72</v>
      </c>
      <c r="C62" s="143">
        <f>VLOOKUP($A62,'Data shares'!$C:$FA,119)</f>
        <v>0.7</v>
      </c>
      <c r="D62" s="143">
        <f>VLOOKUP($A62,'Data shares'!$C:$FA,121)*100</f>
        <v>2.86</v>
      </c>
      <c r="E62" s="143">
        <f>VLOOKUP($A62,'Data shares'!$C:$FA,124)</f>
        <v>0.38</v>
      </c>
      <c r="F62" s="143">
        <f>VLOOKUP($A62,'Data shares'!$C:$FA,125)</f>
        <v>0.59</v>
      </c>
      <c r="G62" s="143">
        <f>VLOOKUP($A62,'Data shares'!$C:$FA,127)*100</f>
        <v>-35.589999999999996</v>
      </c>
      <c r="H62" s="103">
        <f>VLOOKUP($A62,'OI(Volume)'!$A$7:$O$427,8)</f>
        <v>15835050</v>
      </c>
      <c r="I62" s="103">
        <f>VLOOKUP($A62,'OI(Volume)'!$A$7:$O$427,9)</f>
        <v>-523050</v>
      </c>
      <c r="J62" s="103">
        <f>VLOOKUP($A62,'OI(Volume)'!$A$7:$O$427,11)</f>
        <v>11417175</v>
      </c>
      <c r="K62" s="103">
        <f>VLOOKUP($A62,'OI(Volume)'!$A$7:$O$427,12)</f>
        <v>-107250</v>
      </c>
      <c r="L62" s="103">
        <f>VLOOKUP($A62,'OI(Value)'!$A$7:$O$306,8,0)</f>
        <v>1176</v>
      </c>
      <c r="M62" s="103">
        <f>VLOOKUP($A62,'OI(Value)'!$A$7:$O$306,9,0)</f>
        <v>-39</v>
      </c>
      <c r="N62" s="103">
        <f>VLOOKUP($A62,'OI(Value)'!$A$7:$O$306,11,0)</f>
        <v>848</v>
      </c>
      <c r="O62" s="103">
        <f>VLOOKUP($A62,'OI(Value)'!$A$7:$O$306,12,0)</f>
        <v>-8</v>
      </c>
      <c r="P62" s="179">
        <f>VLOOKUP(A62,'OI(Value)'!A62:O263,8,0)</f>
        <v>1176</v>
      </c>
      <c r="Q62" s="179">
        <f>VLOOKUP(A62,'OI(Value)'!A62:O263,9,0)</f>
        <v>-39</v>
      </c>
      <c r="R62" s="179">
        <f>VLOOKUP(A62,'OI(Value)'!A62:O263,11,0)</f>
        <v>848</v>
      </c>
      <c r="S62" s="179">
        <f>VLOOKUP(A62,'OI(Value)'!A62:O263,11,0)</f>
        <v>848</v>
      </c>
    </row>
    <row r="63" spans="1:19" x14ac:dyDescent="0.25">
      <c r="A63" s="105" t="str">
        <f>'Data shares'!C58</f>
        <v>DMART</v>
      </c>
      <c r="B63" s="143">
        <f>VLOOKUP($A63,'Data shares'!$C:$FA,118)</f>
        <v>0.46</v>
      </c>
      <c r="C63" s="143">
        <f>VLOOKUP($A63,'Data shares'!$C:$FA,119)</f>
        <v>0.42</v>
      </c>
      <c r="D63" s="143">
        <f>VLOOKUP($A63,'Data shares'!$C:$FA,121)*100</f>
        <v>9.5200000000000014</v>
      </c>
      <c r="E63" s="143">
        <f>VLOOKUP($A63,'Data shares'!$C:$FA,124)</f>
        <v>0.25</v>
      </c>
      <c r="F63" s="143">
        <f>VLOOKUP($A63,'Data shares'!$C:$FA,125)</f>
        <v>0.26</v>
      </c>
      <c r="G63" s="143">
        <f>VLOOKUP($A63,'Data shares'!$C:$FA,127)*100</f>
        <v>-3.85</v>
      </c>
      <c r="H63" s="103">
        <f>VLOOKUP($A63,'OI(Volume)'!$A$7:$O$427,8)</f>
        <v>2206650</v>
      </c>
      <c r="I63" s="103">
        <f>VLOOKUP($A63,'OI(Volume)'!$A$7:$O$427,9)</f>
        <v>-326250</v>
      </c>
      <c r="J63" s="103">
        <f>VLOOKUP($A63,'OI(Volume)'!$A$7:$O$427,11)</f>
        <v>1013700</v>
      </c>
      <c r="K63" s="103">
        <f>VLOOKUP($A63,'OI(Volume)'!$A$7:$O$427,12)</f>
        <v>-52350</v>
      </c>
      <c r="L63" s="103">
        <f>VLOOKUP($A63,'OI(Value)'!$A$7:$O$306,8,0)</f>
        <v>904</v>
      </c>
      <c r="M63" s="103">
        <f>VLOOKUP($A63,'OI(Value)'!$A$7:$O$306,9,0)</f>
        <v>-134</v>
      </c>
      <c r="N63" s="103">
        <f>VLOOKUP($A63,'OI(Value)'!$A$7:$O$306,11,0)</f>
        <v>415</v>
      </c>
      <c r="O63" s="103">
        <f>VLOOKUP($A63,'OI(Value)'!$A$7:$O$306,12,0)</f>
        <v>-21</v>
      </c>
      <c r="P63" s="179">
        <f>VLOOKUP(A63,'OI(Value)'!A63:O264,8,0)</f>
        <v>904</v>
      </c>
      <c r="Q63" s="179">
        <f>VLOOKUP(A63,'OI(Value)'!A63:O264,9,0)</f>
        <v>-134</v>
      </c>
      <c r="R63" s="179">
        <f>VLOOKUP(A63,'OI(Value)'!A63:O264,11,0)</f>
        <v>415</v>
      </c>
      <c r="S63" s="179">
        <f>VLOOKUP(A63,'OI(Value)'!A63:O264,11,0)</f>
        <v>415</v>
      </c>
    </row>
    <row r="64" spans="1:19" x14ac:dyDescent="0.25">
      <c r="A64" s="105" t="str">
        <f>'Data shares'!C59</f>
        <v>DRREDDY</v>
      </c>
      <c r="B64" s="143">
        <f>VLOOKUP($A64,'Data shares'!$C:$FA,118)</f>
        <v>0.49</v>
      </c>
      <c r="C64" s="143">
        <f>VLOOKUP($A64,'Data shares'!$C:$FA,119)</f>
        <v>0.45</v>
      </c>
      <c r="D64" s="143">
        <f>VLOOKUP($A64,'Data shares'!$C:$FA,121)*100</f>
        <v>8.89</v>
      </c>
      <c r="E64" s="143">
        <f>VLOOKUP($A64,'Data shares'!$C:$FA,124)</f>
        <v>0.52</v>
      </c>
      <c r="F64" s="143">
        <f>VLOOKUP($A64,'Data shares'!$C:$FA,125)</f>
        <v>0.43</v>
      </c>
      <c r="G64" s="143">
        <f>VLOOKUP($A64,'Data shares'!$C:$FA,127)*100</f>
        <v>20.93</v>
      </c>
      <c r="H64" s="103">
        <f>VLOOKUP($A64,'OI(Volume)'!$A$7:$O$427,8)</f>
        <v>10650000</v>
      </c>
      <c r="I64" s="103">
        <f>VLOOKUP($A64,'OI(Volume)'!$A$7:$O$427,9)</f>
        <v>-1060625</v>
      </c>
      <c r="J64" s="103">
        <f>VLOOKUP($A64,'OI(Volume)'!$A$7:$O$427,11)</f>
        <v>5197500</v>
      </c>
      <c r="K64" s="103">
        <f>VLOOKUP($A64,'OI(Volume)'!$A$7:$O$427,12)</f>
        <v>-96875</v>
      </c>
      <c r="L64" s="103">
        <f>VLOOKUP($A64,'OI(Value)'!$A$7:$O$306,8,0)</f>
        <v>1329</v>
      </c>
      <c r="M64" s="103">
        <f>VLOOKUP($A64,'OI(Value)'!$A$7:$O$306,9,0)</f>
        <v>-132</v>
      </c>
      <c r="N64" s="103">
        <f>VLOOKUP($A64,'OI(Value)'!$A$7:$O$306,11,0)</f>
        <v>648</v>
      </c>
      <c r="O64" s="103">
        <f>VLOOKUP($A64,'OI(Value)'!$A$7:$O$306,12,0)</f>
        <v>-12</v>
      </c>
      <c r="P64" s="179">
        <f>VLOOKUP(A64,'OI(Value)'!A64:O265,8,0)</f>
        <v>1329</v>
      </c>
      <c r="Q64" s="179">
        <f>VLOOKUP(A64,'OI(Value)'!A64:O265,9,0)</f>
        <v>-132</v>
      </c>
      <c r="R64" s="179">
        <f>VLOOKUP(A64,'OI(Value)'!A64:O265,11,0)</f>
        <v>648</v>
      </c>
      <c r="S64" s="179">
        <f>VLOOKUP(A64,'OI(Value)'!A64:O265,11,0)</f>
        <v>648</v>
      </c>
    </row>
    <row r="65" spans="1:19" x14ac:dyDescent="0.25">
      <c r="A65" s="105" t="str">
        <f>'Data shares'!C60</f>
        <v>EICHERMOT</v>
      </c>
      <c r="B65" s="143">
        <f>VLOOKUP($A65,'Data shares'!$C:$FA,118)</f>
        <v>0.89</v>
      </c>
      <c r="C65" s="143">
        <f>VLOOKUP($A65,'Data shares'!$C:$FA,119)</f>
        <v>0.73</v>
      </c>
      <c r="D65" s="143">
        <f>VLOOKUP($A65,'Data shares'!$C:$FA,121)*100</f>
        <v>21.92</v>
      </c>
      <c r="E65" s="143">
        <f>VLOOKUP($A65,'Data shares'!$C:$FA,124)</f>
        <v>0.28999999999999998</v>
      </c>
      <c r="F65" s="143">
        <f>VLOOKUP($A65,'Data shares'!$C:$FA,125)</f>
        <v>0.41</v>
      </c>
      <c r="G65" s="143">
        <f>VLOOKUP($A65,'Data shares'!$C:$FA,127)*100</f>
        <v>-29.270000000000003</v>
      </c>
      <c r="H65" s="103">
        <f>VLOOKUP($A65,'OI(Volume)'!$A$7:$O$427,8)</f>
        <v>2741500</v>
      </c>
      <c r="I65" s="103">
        <f>VLOOKUP($A65,'OI(Volume)'!$A$7:$O$427,9)</f>
        <v>338100</v>
      </c>
      <c r="J65" s="103">
        <f>VLOOKUP($A65,'OI(Volume)'!$A$7:$O$427,11)</f>
        <v>2438175</v>
      </c>
      <c r="K65" s="103">
        <f>VLOOKUP($A65,'OI(Volume)'!$A$7:$O$427,12)</f>
        <v>680050</v>
      </c>
      <c r="L65" s="103">
        <f>VLOOKUP($A65,'OI(Value)'!$A$7:$O$306,8,0)</f>
        <v>1950</v>
      </c>
      <c r="M65" s="103">
        <f>VLOOKUP($A65,'OI(Value)'!$A$7:$O$306,9,0)</f>
        <v>241</v>
      </c>
      <c r="N65" s="103">
        <f>VLOOKUP($A65,'OI(Value)'!$A$7:$O$306,11,0)</f>
        <v>1734</v>
      </c>
      <c r="O65" s="103">
        <f>VLOOKUP($A65,'OI(Value)'!$A$7:$O$306,12,0)</f>
        <v>484</v>
      </c>
      <c r="P65" s="179">
        <f>VLOOKUP(A65,'OI(Value)'!A65:O266,8,0)</f>
        <v>1950</v>
      </c>
      <c r="Q65" s="179">
        <f>VLOOKUP(A65,'OI(Value)'!A65:O266,9,0)</f>
        <v>241</v>
      </c>
      <c r="R65" s="179">
        <f>VLOOKUP(A65,'OI(Value)'!A65:O266,11,0)</f>
        <v>1734</v>
      </c>
      <c r="S65" s="179">
        <f>VLOOKUP(A65,'OI(Value)'!A65:O266,11,0)</f>
        <v>1734</v>
      </c>
    </row>
    <row r="66" spans="1:19" x14ac:dyDescent="0.25">
      <c r="A66" s="105" t="str">
        <f>'Data shares'!C61</f>
        <v>ETERNAL</v>
      </c>
      <c r="B66" s="143">
        <f>VLOOKUP($A66,'Data shares'!$C:$FA,118)</f>
        <v>0.5</v>
      </c>
      <c r="C66" s="143">
        <f>VLOOKUP($A66,'Data shares'!$C:$FA,119)</f>
        <v>0.47</v>
      </c>
      <c r="D66" s="143">
        <f>VLOOKUP($A66,'Data shares'!$C:$FA,121)*100</f>
        <v>6.38</v>
      </c>
      <c r="E66" s="143">
        <f>VLOOKUP($A66,'Data shares'!$C:$FA,124)</f>
        <v>0.32</v>
      </c>
      <c r="F66" s="143">
        <f>VLOOKUP($A66,'Data shares'!$C:$FA,125)</f>
        <v>0.37</v>
      </c>
      <c r="G66" s="143">
        <f>VLOOKUP($A66,'Data shares'!$C:$FA,127)*100</f>
        <v>-13.51</v>
      </c>
      <c r="H66" s="103">
        <f>VLOOKUP($A66,'OI(Volume)'!$A$7:$O$427,8)</f>
        <v>106479325</v>
      </c>
      <c r="I66" s="103">
        <f>VLOOKUP($A66,'OI(Volume)'!$A$7:$O$427,9)</f>
        <v>-8514175</v>
      </c>
      <c r="J66" s="103">
        <f>VLOOKUP($A66,'OI(Volume)'!$A$7:$O$427,11)</f>
        <v>53563400</v>
      </c>
      <c r="K66" s="103">
        <f>VLOOKUP($A66,'OI(Volume)'!$A$7:$O$427,12)</f>
        <v>-727500</v>
      </c>
      <c r="L66" s="103">
        <f>VLOOKUP($A66,'OI(Value)'!$A$7:$O$306,8,0)</f>
        <v>3266</v>
      </c>
      <c r="M66" s="103">
        <f>VLOOKUP($A66,'OI(Value)'!$A$7:$O$306,9,0)</f>
        <v>-261</v>
      </c>
      <c r="N66" s="103">
        <f>VLOOKUP($A66,'OI(Value)'!$A$7:$O$306,11,0)</f>
        <v>1643</v>
      </c>
      <c r="O66" s="103">
        <f>VLOOKUP($A66,'OI(Value)'!$A$7:$O$306,12,0)</f>
        <v>-22</v>
      </c>
      <c r="P66" s="179">
        <f>VLOOKUP(A66,'OI(Value)'!A66:O267,8,0)</f>
        <v>3266</v>
      </c>
      <c r="Q66" s="179">
        <f>VLOOKUP(A66,'OI(Value)'!A66:O267,9,0)</f>
        <v>-261</v>
      </c>
      <c r="R66" s="179">
        <f>VLOOKUP(A66,'OI(Value)'!A66:O267,11,0)</f>
        <v>1643</v>
      </c>
      <c r="S66" s="179">
        <f>VLOOKUP(A66,'OI(Value)'!A66:O267,11,0)</f>
        <v>1643</v>
      </c>
    </row>
    <row r="67" spans="1:19" x14ac:dyDescent="0.25">
      <c r="A67" s="105" t="str">
        <f>'Data shares'!C62</f>
        <v>EXIDEIND</v>
      </c>
      <c r="B67" s="143">
        <f>VLOOKUP($A67,'Data shares'!$C:$FA,118)</f>
        <v>0.65</v>
      </c>
      <c r="C67" s="143">
        <f>VLOOKUP($A67,'Data shares'!$C:$FA,119)</f>
        <v>0.67</v>
      </c>
      <c r="D67" s="143">
        <f>VLOOKUP($A67,'Data shares'!$C:$FA,121)*100</f>
        <v>-2.9899999999999998</v>
      </c>
      <c r="E67" s="143">
        <f>VLOOKUP($A67,'Data shares'!$C:$FA,124)</f>
        <v>0.39</v>
      </c>
      <c r="F67" s="143">
        <f>VLOOKUP($A67,'Data shares'!$C:$FA,125)</f>
        <v>0.42</v>
      </c>
      <c r="G67" s="143">
        <f>VLOOKUP($A67,'Data shares'!$C:$FA,127)*100</f>
        <v>-7.1400000000000006</v>
      </c>
      <c r="H67" s="103">
        <f>VLOOKUP($A67,'OI(Volume)'!$A$7:$O$427,8)</f>
        <v>17897400</v>
      </c>
      <c r="I67" s="103">
        <f>VLOOKUP($A67,'OI(Volume)'!$A$7:$O$427,9)</f>
        <v>-385200</v>
      </c>
      <c r="J67" s="103">
        <f>VLOOKUP($A67,'OI(Volume)'!$A$7:$O$427,11)</f>
        <v>11662200</v>
      </c>
      <c r="K67" s="103">
        <f>VLOOKUP($A67,'OI(Volume)'!$A$7:$O$427,12)</f>
        <v>-520200</v>
      </c>
      <c r="L67" s="103">
        <f>VLOOKUP($A67,'OI(Value)'!$A$7:$O$306,8,0)</f>
        <v>683</v>
      </c>
      <c r="M67" s="103">
        <f>VLOOKUP($A67,'OI(Value)'!$A$7:$O$306,9,0)</f>
        <v>-15</v>
      </c>
      <c r="N67" s="103">
        <f>VLOOKUP($A67,'OI(Value)'!$A$7:$O$306,11,0)</f>
        <v>445</v>
      </c>
      <c r="O67" s="103">
        <f>VLOOKUP($A67,'OI(Value)'!$A$7:$O$306,12,0)</f>
        <v>-20</v>
      </c>
      <c r="P67" s="179">
        <f>VLOOKUP(A67,'OI(Value)'!A67:O268,8,0)</f>
        <v>683</v>
      </c>
      <c r="Q67" s="179">
        <f>VLOOKUP(A67,'OI(Value)'!A67:O268,9,0)</f>
        <v>-15</v>
      </c>
      <c r="R67" s="179">
        <f>VLOOKUP(A67,'OI(Value)'!A67:O268,11,0)</f>
        <v>445</v>
      </c>
      <c r="S67" s="179">
        <f>VLOOKUP(A67,'OI(Value)'!A67:O268,11,0)</f>
        <v>445</v>
      </c>
    </row>
    <row r="68" spans="1:19" x14ac:dyDescent="0.25">
      <c r="A68" s="105" t="str">
        <f>'Data shares'!C63</f>
        <v>FEDERALBNK</v>
      </c>
      <c r="B68" s="143">
        <f>VLOOKUP($A68,'Data shares'!$C:$FA,118)</f>
        <v>0.87</v>
      </c>
      <c r="C68" s="143">
        <f>VLOOKUP($A68,'Data shares'!$C:$FA,119)</f>
        <v>0.93</v>
      </c>
      <c r="D68" s="143">
        <f>VLOOKUP($A68,'Data shares'!$C:$FA,121)*100</f>
        <v>-6.45</v>
      </c>
      <c r="E68" s="143">
        <f>VLOOKUP($A68,'Data shares'!$C:$FA,124)</f>
        <v>0.67</v>
      </c>
      <c r="F68" s="143">
        <f>VLOOKUP($A68,'Data shares'!$C:$FA,125)</f>
        <v>0.48</v>
      </c>
      <c r="G68" s="143">
        <f>VLOOKUP($A68,'Data shares'!$C:$FA,127)*100</f>
        <v>39.58</v>
      </c>
      <c r="H68" s="103">
        <f>VLOOKUP($A68,'OI(Volume)'!$A$7:$O$427,8)</f>
        <v>47085000</v>
      </c>
      <c r="I68" s="103">
        <f>VLOOKUP($A68,'OI(Volume)'!$A$7:$O$427,9)</f>
        <v>-5135000</v>
      </c>
      <c r="J68" s="103">
        <f>VLOOKUP($A68,'OI(Volume)'!$A$7:$O$427,11)</f>
        <v>40785000</v>
      </c>
      <c r="K68" s="103">
        <f>VLOOKUP($A68,'OI(Volume)'!$A$7:$O$427,12)</f>
        <v>-7925000</v>
      </c>
      <c r="L68" s="103">
        <f>VLOOKUP($A68,'OI(Value)'!$A$7:$O$306,8,0)</f>
        <v>1153</v>
      </c>
      <c r="M68" s="103">
        <f>VLOOKUP($A68,'OI(Value)'!$A$7:$O$306,9,0)</f>
        <v>-126</v>
      </c>
      <c r="N68" s="103">
        <f>VLOOKUP($A68,'OI(Value)'!$A$7:$O$306,11,0)</f>
        <v>998</v>
      </c>
      <c r="O68" s="103">
        <f>VLOOKUP($A68,'OI(Value)'!$A$7:$O$306,12,0)</f>
        <v>-194</v>
      </c>
      <c r="P68" s="179">
        <f>VLOOKUP(A68,'OI(Value)'!A68:O269,8,0)</f>
        <v>1153</v>
      </c>
      <c r="Q68" s="179">
        <f>VLOOKUP(A68,'OI(Value)'!A68:O269,9,0)</f>
        <v>-126</v>
      </c>
      <c r="R68" s="179">
        <f>VLOOKUP(A68,'OI(Value)'!A68:O269,11,0)</f>
        <v>998</v>
      </c>
      <c r="S68" s="179">
        <f>VLOOKUP(A68,'OI(Value)'!A68:O269,11,0)</f>
        <v>998</v>
      </c>
    </row>
    <row r="69" spans="1:19" x14ac:dyDescent="0.25">
      <c r="A69" s="105" t="str">
        <f>'Data shares'!C64</f>
        <v>FINNIFTY</v>
      </c>
      <c r="B69" s="143">
        <f>VLOOKUP($A69,'Data shares'!$C:$FA,118)</f>
        <v>1.33</v>
      </c>
      <c r="C69" s="143">
        <f>VLOOKUP($A69,'Data shares'!$C:$FA,119)</f>
        <v>1.07</v>
      </c>
      <c r="D69" s="143">
        <f>VLOOKUP($A69,'Data shares'!$C:$FA,121)*100</f>
        <v>24.3</v>
      </c>
      <c r="E69" s="143">
        <f>VLOOKUP($A69,'Data shares'!$C:$FA,124)</f>
        <v>0.82</v>
      </c>
      <c r="F69" s="143">
        <f>VLOOKUP($A69,'Data shares'!$C:$FA,125)</f>
        <v>0.94</v>
      </c>
      <c r="G69" s="143">
        <f>VLOOKUP($A69,'Data shares'!$C:$FA,127)*100</f>
        <v>-12.770000000000001</v>
      </c>
      <c r="H69" s="103">
        <f>VLOOKUP($A69,'OI(Volume)'!$A$7:$O$427,8)</f>
        <v>1107860</v>
      </c>
      <c r="I69" s="103">
        <f>VLOOKUP($A69,'OI(Volume)'!$A$7:$O$427,9)</f>
        <v>-214110</v>
      </c>
      <c r="J69" s="103">
        <f>VLOOKUP($A69,'OI(Volume)'!$A$7:$O$427,11)</f>
        <v>1471005</v>
      </c>
      <c r="K69" s="103">
        <f>VLOOKUP($A69,'OI(Volume)'!$A$7:$O$427,12)</f>
        <v>54080</v>
      </c>
      <c r="L69" s="103">
        <f>VLOOKUP($A69,'OI(Value)'!$A$7:$O$306,8,0)</f>
        <v>3089</v>
      </c>
      <c r="M69" s="103">
        <f>VLOOKUP($A69,'OI(Value)'!$A$7:$O$306,9,0)</f>
        <v>-597</v>
      </c>
      <c r="N69" s="103">
        <f>VLOOKUP($A69,'OI(Value)'!$A$7:$O$306,11,0)</f>
        <v>4102</v>
      </c>
      <c r="O69" s="103">
        <f>VLOOKUP($A69,'OI(Value)'!$A$7:$O$306,12,0)</f>
        <v>151</v>
      </c>
      <c r="P69" s="179">
        <f>VLOOKUP(A69,'OI(Value)'!A69:O270,8,0)</f>
        <v>3089</v>
      </c>
      <c r="Q69" s="179">
        <f>VLOOKUP(A69,'OI(Value)'!A69:O270,9,0)</f>
        <v>-597</v>
      </c>
      <c r="R69" s="179">
        <f>VLOOKUP(A69,'OI(Value)'!A69:O270,11,0)</f>
        <v>4102</v>
      </c>
      <c r="S69" s="179">
        <f>VLOOKUP(A69,'OI(Value)'!A69:O270,11,0)</f>
        <v>4102</v>
      </c>
    </row>
    <row r="70" spans="1:19" x14ac:dyDescent="0.25">
      <c r="A70" s="105" t="str">
        <f>'Data shares'!C65</f>
        <v>FORTIS</v>
      </c>
      <c r="B70" s="143">
        <f>VLOOKUP($A70,'Data shares'!$C:$FA,118)</f>
        <v>0.41</v>
      </c>
      <c r="C70" s="143">
        <f>VLOOKUP($A70,'Data shares'!$C:$FA,119)</f>
        <v>0.38</v>
      </c>
      <c r="D70" s="143">
        <f>VLOOKUP($A70,'Data shares'!$C:$FA,121)*100</f>
        <v>7.89</v>
      </c>
      <c r="E70" s="143">
        <f>VLOOKUP($A70,'Data shares'!$C:$FA,124)</f>
        <v>0.3</v>
      </c>
      <c r="F70" s="143">
        <f>VLOOKUP($A70,'Data shares'!$C:$FA,125)</f>
        <v>0.26</v>
      </c>
      <c r="G70" s="143">
        <f>VLOOKUP($A70,'Data shares'!$C:$FA,127)*100</f>
        <v>15.379999999999999</v>
      </c>
      <c r="H70" s="103">
        <f>VLOOKUP($A70,'OI(Volume)'!$A$7:$O$427,8)</f>
        <v>9677425</v>
      </c>
      <c r="I70" s="103">
        <f>VLOOKUP($A70,'OI(Volume)'!$A$7:$O$427,9)</f>
        <v>-1002075</v>
      </c>
      <c r="J70" s="103">
        <f>VLOOKUP($A70,'OI(Volume)'!$A$7:$O$427,11)</f>
        <v>3955600</v>
      </c>
      <c r="K70" s="103">
        <f>VLOOKUP($A70,'OI(Volume)'!$A$7:$O$427,12)</f>
        <v>-69750</v>
      </c>
      <c r="L70" s="103">
        <f>VLOOKUP($A70,'OI(Value)'!$A$7:$O$306,8,0)</f>
        <v>902</v>
      </c>
      <c r="M70" s="103">
        <f>VLOOKUP($A70,'OI(Value)'!$A$7:$O$306,9,0)</f>
        <v>-93</v>
      </c>
      <c r="N70" s="103">
        <f>VLOOKUP($A70,'OI(Value)'!$A$7:$O$306,11,0)</f>
        <v>369</v>
      </c>
      <c r="O70" s="103">
        <f>VLOOKUP($A70,'OI(Value)'!$A$7:$O$306,12,0)</f>
        <v>-7</v>
      </c>
      <c r="P70" s="179">
        <f>VLOOKUP(A70,'OI(Value)'!A70:O271,8,0)</f>
        <v>902</v>
      </c>
      <c r="Q70" s="179">
        <f>VLOOKUP(A70,'OI(Value)'!A70:O271,9,0)</f>
        <v>-93</v>
      </c>
      <c r="R70" s="179">
        <f>VLOOKUP(A70,'OI(Value)'!A70:O271,11,0)</f>
        <v>369</v>
      </c>
      <c r="S70" s="179">
        <f>VLOOKUP(A70,'OI(Value)'!A70:O271,11,0)</f>
        <v>369</v>
      </c>
    </row>
    <row r="71" spans="1:19" x14ac:dyDescent="0.25">
      <c r="A71" s="105" t="str">
        <f>'Data shares'!C66</f>
        <v>GAIL</v>
      </c>
      <c r="B71" s="143">
        <f>VLOOKUP($A71,'Data shares'!$C:$FA,118)</f>
        <v>0.7</v>
      </c>
      <c r="C71" s="143">
        <f>VLOOKUP($A71,'Data shares'!$C:$FA,119)</f>
        <v>0.66</v>
      </c>
      <c r="D71" s="143">
        <f>VLOOKUP($A71,'Data shares'!$C:$FA,121)*100</f>
        <v>6.0600000000000005</v>
      </c>
      <c r="E71" s="143">
        <f>VLOOKUP($A71,'Data shares'!$C:$FA,124)</f>
        <v>0.56000000000000005</v>
      </c>
      <c r="F71" s="143">
        <f>VLOOKUP($A71,'Data shares'!$C:$FA,125)</f>
        <v>0.41</v>
      </c>
      <c r="G71" s="143">
        <f>VLOOKUP($A71,'Data shares'!$C:$FA,127)*100</f>
        <v>36.590000000000003</v>
      </c>
      <c r="H71" s="103">
        <f>VLOOKUP($A71,'OI(Volume)'!$A$7:$O$427,8)</f>
        <v>39186000</v>
      </c>
      <c r="I71" s="103">
        <f>VLOOKUP($A71,'OI(Volume)'!$A$7:$O$427,9)</f>
        <v>-3625650</v>
      </c>
      <c r="J71" s="103">
        <f>VLOOKUP($A71,'OI(Volume)'!$A$7:$O$427,11)</f>
        <v>27234900</v>
      </c>
      <c r="K71" s="103">
        <f>VLOOKUP($A71,'OI(Volume)'!$A$7:$O$427,12)</f>
        <v>-844200</v>
      </c>
      <c r="L71" s="103">
        <f>VLOOKUP($A71,'OI(Value)'!$A$7:$O$306,8,0)</f>
        <v>722</v>
      </c>
      <c r="M71" s="103">
        <f>VLOOKUP($A71,'OI(Value)'!$A$7:$O$306,9,0)</f>
        <v>-67</v>
      </c>
      <c r="N71" s="103">
        <f>VLOOKUP($A71,'OI(Value)'!$A$7:$O$306,11,0)</f>
        <v>502</v>
      </c>
      <c r="O71" s="103">
        <f>VLOOKUP($A71,'OI(Value)'!$A$7:$O$306,12,0)</f>
        <v>-16</v>
      </c>
      <c r="P71" s="179">
        <f>VLOOKUP(A71,'OI(Value)'!A71:O272,8,0)</f>
        <v>722</v>
      </c>
      <c r="Q71" s="179">
        <f>VLOOKUP(A71,'OI(Value)'!A71:O272,9,0)</f>
        <v>-67</v>
      </c>
      <c r="R71" s="179">
        <f>VLOOKUP(A71,'OI(Value)'!A71:O272,11,0)</f>
        <v>502</v>
      </c>
      <c r="S71" s="179">
        <f>VLOOKUP(A71,'OI(Value)'!A71:O272,11,0)</f>
        <v>502</v>
      </c>
    </row>
    <row r="72" spans="1:19" x14ac:dyDescent="0.25">
      <c r="A72" s="105" t="str">
        <f>'Data shares'!C67</f>
        <v>GLENMARK</v>
      </c>
      <c r="B72" s="143">
        <f>VLOOKUP($A72,'Data shares'!$C:$FA,118)</f>
        <v>0.55000000000000004</v>
      </c>
      <c r="C72" s="143">
        <f>VLOOKUP($A72,'Data shares'!$C:$FA,119)</f>
        <v>0.44</v>
      </c>
      <c r="D72" s="143">
        <f>VLOOKUP($A72,'Data shares'!$C:$FA,121)*100</f>
        <v>25</v>
      </c>
      <c r="E72" s="143">
        <f>VLOOKUP($A72,'Data shares'!$C:$FA,124)</f>
        <v>0.28999999999999998</v>
      </c>
      <c r="F72" s="143">
        <f>VLOOKUP($A72,'Data shares'!$C:$FA,125)</f>
        <v>0.28999999999999998</v>
      </c>
      <c r="G72" s="143">
        <f>VLOOKUP($A72,'Data shares'!$C:$FA,127)*100</f>
        <v>0</v>
      </c>
      <c r="H72" s="103">
        <f>VLOOKUP($A72,'OI(Volume)'!$A$7:$O$427,8)</f>
        <v>7327875</v>
      </c>
      <c r="I72" s="103">
        <f>VLOOKUP($A72,'OI(Volume)'!$A$7:$O$427,9)</f>
        <v>-2435625</v>
      </c>
      <c r="J72" s="103">
        <f>VLOOKUP($A72,'OI(Volume)'!$A$7:$O$427,11)</f>
        <v>4022625</v>
      </c>
      <c r="K72" s="103">
        <f>VLOOKUP($A72,'OI(Volume)'!$A$7:$O$427,12)</f>
        <v>-316125</v>
      </c>
      <c r="L72" s="103">
        <f>VLOOKUP($A72,'OI(Value)'!$A$7:$O$306,8,0)</f>
        <v>1380</v>
      </c>
      <c r="M72" s="103">
        <f>VLOOKUP($A72,'OI(Value)'!$A$7:$O$306,9,0)</f>
        <v>-459</v>
      </c>
      <c r="N72" s="103">
        <f>VLOOKUP($A72,'OI(Value)'!$A$7:$O$306,11,0)</f>
        <v>758</v>
      </c>
      <c r="O72" s="103">
        <f>VLOOKUP($A72,'OI(Value)'!$A$7:$O$306,12,0)</f>
        <v>-60</v>
      </c>
      <c r="P72" s="179">
        <f>VLOOKUP(A72,'OI(Value)'!A72:O273,8,0)</f>
        <v>1380</v>
      </c>
      <c r="Q72" s="179">
        <f>VLOOKUP(A72,'OI(Value)'!A72:O273,9,0)</f>
        <v>-459</v>
      </c>
      <c r="R72" s="179">
        <f>VLOOKUP(A72,'OI(Value)'!A72:O273,11,0)</f>
        <v>758</v>
      </c>
      <c r="S72" s="179">
        <f>VLOOKUP(A72,'OI(Value)'!A72:O273,11,0)</f>
        <v>758</v>
      </c>
    </row>
    <row r="73" spans="1:19" x14ac:dyDescent="0.25">
      <c r="A73" s="105" t="str">
        <f>'Data shares'!C68</f>
        <v>GMRAIRPORT</v>
      </c>
      <c r="B73" s="143">
        <f>VLOOKUP($A73,'Data shares'!$C:$FA,118)</f>
        <v>0.6</v>
      </c>
      <c r="C73" s="143">
        <f>VLOOKUP($A73,'Data shares'!$C:$FA,119)</f>
        <v>0.63</v>
      </c>
      <c r="D73" s="143">
        <f>VLOOKUP($A73,'Data shares'!$C:$FA,121)*100</f>
        <v>-4.7600000000000007</v>
      </c>
      <c r="E73" s="143">
        <f>VLOOKUP($A73,'Data shares'!$C:$FA,124)</f>
        <v>0.47</v>
      </c>
      <c r="F73" s="143">
        <f>VLOOKUP($A73,'Data shares'!$C:$FA,125)</f>
        <v>0.46</v>
      </c>
      <c r="G73" s="143">
        <f>VLOOKUP($A73,'Data shares'!$C:$FA,127)*100</f>
        <v>2.17</v>
      </c>
      <c r="H73" s="103">
        <f>VLOOKUP($A73,'OI(Volume)'!$A$7:$O$427,8)</f>
        <v>158639400</v>
      </c>
      <c r="I73" s="103">
        <f>VLOOKUP($A73,'OI(Volume)'!$A$7:$O$427,9)</f>
        <v>-104625</v>
      </c>
      <c r="J73" s="103">
        <f>VLOOKUP($A73,'OI(Volume)'!$A$7:$O$427,11)</f>
        <v>95020425</v>
      </c>
      <c r="K73" s="103">
        <f>VLOOKUP($A73,'OI(Volume)'!$A$7:$O$427,12)</f>
        <v>-5056875</v>
      </c>
      <c r="L73" s="103">
        <f>VLOOKUP($A73,'OI(Value)'!$A$7:$O$306,8,0)</f>
        <v>1637</v>
      </c>
      <c r="M73" s="103">
        <f>VLOOKUP($A73,'OI(Value)'!$A$7:$O$306,9,0)</f>
        <v>-1</v>
      </c>
      <c r="N73" s="103">
        <f>VLOOKUP($A73,'OI(Value)'!$A$7:$O$306,11,0)</f>
        <v>981</v>
      </c>
      <c r="O73" s="103">
        <f>VLOOKUP($A73,'OI(Value)'!$A$7:$O$306,12,0)</f>
        <v>-52</v>
      </c>
      <c r="P73" s="179">
        <f>VLOOKUP(A73,'OI(Value)'!A73:O274,8,0)</f>
        <v>1637</v>
      </c>
      <c r="Q73" s="179">
        <f>VLOOKUP(A73,'OI(Value)'!A73:O274,9,0)</f>
        <v>-1</v>
      </c>
      <c r="R73" s="179">
        <f>VLOOKUP(A73,'OI(Value)'!A73:O274,11,0)</f>
        <v>981</v>
      </c>
      <c r="S73" s="179">
        <f>VLOOKUP(A73,'OI(Value)'!A73:O274,11,0)</f>
        <v>981</v>
      </c>
    </row>
    <row r="74" spans="1:19" x14ac:dyDescent="0.25">
      <c r="A74" s="105" t="str">
        <f>'Data shares'!C69</f>
        <v>GODREJCP</v>
      </c>
      <c r="B74" s="143">
        <f>VLOOKUP($A74,'Data shares'!$C:$FA,118)</f>
        <v>0.76</v>
      </c>
      <c r="C74" s="143">
        <f>VLOOKUP($A74,'Data shares'!$C:$FA,119)</f>
        <v>0.72</v>
      </c>
      <c r="D74" s="143">
        <f>VLOOKUP($A74,'Data shares'!$C:$FA,121)*100</f>
        <v>5.56</v>
      </c>
      <c r="E74" s="143">
        <f>VLOOKUP($A74,'Data shares'!$C:$FA,124)</f>
        <v>0.52</v>
      </c>
      <c r="F74" s="143">
        <f>VLOOKUP($A74,'Data shares'!$C:$FA,125)</f>
        <v>0.57999999999999996</v>
      </c>
      <c r="G74" s="143">
        <f>VLOOKUP($A74,'Data shares'!$C:$FA,127)*100</f>
        <v>-10.34</v>
      </c>
      <c r="H74" s="103">
        <f>VLOOKUP($A74,'OI(Volume)'!$A$7:$O$427,8)</f>
        <v>2321000</v>
      </c>
      <c r="I74" s="103">
        <f>VLOOKUP($A74,'OI(Volume)'!$A$7:$O$427,9)</f>
        <v>-142500</v>
      </c>
      <c r="J74" s="103">
        <f>VLOOKUP($A74,'OI(Volume)'!$A$7:$O$427,11)</f>
        <v>1766500</v>
      </c>
      <c r="K74" s="103">
        <f>VLOOKUP($A74,'OI(Volume)'!$A$7:$O$427,12)</f>
        <v>-1000</v>
      </c>
      <c r="L74" s="103">
        <f>VLOOKUP($A74,'OI(Value)'!$A$7:$O$306,8,0)</f>
        <v>262</v>
      </c>
      <c r="M74" s="103">
        <f>VLOOKUP($A74,'OI(Value)'!$A$7:$O$306,9,0)</f>
        <v>-16</v>
      </c>
      <c r="N74" s="103">
        <f>VLOOKUP($A74,'OI(Value)'!$A$7:$O$306,11,0)</f>
        <v>199</v>
      </c>
      <c r="O74" s="103">
        <f>VLOOKUP($A74,'OI(Value)'!$A$7:$O$306,12,0)</f>
        <v>0</v>
      </c>
      <c r="P74" s="179">
        <f>VLOOKUP(A74,'OI(Value)'!A74:O275,8,0)</f>
        <v>262</v>
      </c>
      <c r="Q74" s="179">
        <f>VLOOKUP(A74,'OI(Value)'!A74:O275,9,0)</f>
        <v>-16</v>
      </c>
      <c r="R74" s="179">
        <f>VLOOKUP(A74,'OI(Value)'!A74:O275,11,0)</f>
        <v>199</v>
      </c>
      <c r="S74" s="179">
        <f>VLOOKUP(A74,'OI(Value)'!A74:O275,11,0)</f>
        <v>199</v>
      </c>
    </row>
    <row r="75" spans="1:19" x14ac:dyDescent="0.25">
      <c r="A75" s="105" t="str">
        <f>'Data shares'!C70</f>
        <v>GODREJPROP</v>
      </c>
      <c r="B75" s="143">
        <f>VLOOKUP($A75,'Data shares'!$C:$FA,118)</f>
        <v>0.57999999999999996</v>
      </c>
      <c r="C75" s="143">
        <f>VLOOKUP($A75,'Data shares'!$C:$FA,119)</f>
        <v>0.6</v>
      </c>
      <c r="D75" s="143">
        <f>VLOOKUP($A75,'Data shares'!$C:$FA,121)*100</f>
        <v>-3.3300000000000005</v>
      </c>
      <c r="E75" s="143">
        <f>VLOOKUP($A75,'Data shares'!$C:$FA,124)</f>
        <v>0.32</v>
      </c>
      <c r="F75" s="143">
        <f>VLOOKUP($A75,'Data shares'!$C:$FA,125)</f>
        <v>0.48</v>
      </c>
      <c r="G75" s="143">
        <f>VLOOKUP($A75,'Data shares'!$C:$FA,127)*100</f>
        <v>-33.33</v>
      </c>
      <c r="H75" s="103">
        <f>VLOOKUP($A75,'OI(Volume)'!$A$7:$O$427,8)</f>
        <v>3081925</v>
      </c>
      <c r="I75" s="103">
        <f>VLOOKUP($A75,'OI(Volume)'!$A$7:$O$427,9)</f>
        <v>69575</v>
      </c>
      <c r="J75" s="103">
        <f>VLOOKUP($A75,'OI(Volume)'!$A$7:$O$427,11)</f>
        <v>1786950</v>
      </c>
      <c r="K75" s="103">
        <f>VLOOKUP($A75,'OI(Volume)'!$A$7:$O$427,12)</f>
        <v>-20900</v>
      </c>
      <c r="L75" s="103">
        <f>VLOOKUP($A75,'OI(Value)'!$A$7:$O$306,8,0)</f>
        <v>655</v>
      </c>
      <c r="M75" s="103">
        <f>VLOOKUP($A75,'OI(Value)'!$A$7:$O$306,9,0)</f>
        <v>15</v>
      </c>
      <c r="N75" s="103">
        <f>VLOOKUP($A75,'OI(Value)'!$A$7:$O$306,11,0)</f>
        <v>380</v>
      </c>
      <c r="O75" s="103">
        <f>VLOOKUP($A75,'OI(Value)'!$A$7:$O$306,12,0)</f>
        <v>-4</v>
      </c>
      <c r="P75" s="179">
        <f>VLOOKUP(A75,'OI(Value)'!A75:O276,8,0)</f>
        <v>655</v>
      </c>
      <c r="Q75" s="179">
        <f>VLOOKUP(A75,'OI(Value)'!A75:O276,9,0)</f>
        <v>15</v>
      </c>
      <c r="R75" s="179">
        <f>VLOOKUP(A75,'OI(Value)'!A75:O276,11,0)</f>
        <v>380</v>
      </c>
      <c r="S75" s="179">
        <f>VLOOKUP(A75,'OI(Value)'!A75:O276,11,0)</f>
        <v>380</v>
      </c>
    </row>
    <row r="76" spans="1:19" x14ac:dyDescent="0.25">
      <c r="A76" s="105" t="str">
        <f>'Data shares'!C71</f>
        <v>GRASIM</v>
      </c>
      <c r="B76" s="143">
        <f>VLOOKUP($A76,'Data shares'!$C:$FA,118)</f>
        <v>0.54</v>
      </c>
      <c r="C76" s="143">
        <f>VLOOKUP($A76,'Data shares'!$C:$FA,119)</f>
        <v>0.52</v>
      </c>
      <c r="D76" s="143">
        <f>VLOOKUP($A76,'Data shares'!$C:$FA,121)*100</f>
        <v>3.85</v>
      </c>
      <c r="E76" s="143">
        <f>VLOOKUP($A76,'Data shares'!$C:$FA,124)</f>
        <v>0.4</v>
      </c>
      <c r="F76" s="143">
        <f>VLOOKUP($A76,'Data shares'!$C:$FA,125)</f>
        <v>0.36</v>
      </c>
      <c r="G76" s="143">
        <f>VLOOKUP($A76,'Data shares'!$C:$FA,127)*100</f>
        <v>11.110000000000001</v>
      </c>
      <c r="H76" s="103">
        <f>VLOOKUP($A76,'OI(Volume)'!$A$7:$O$427,8)</f>
        <v>4752000</v>
      </c>
      <c r="I76" s="103">
        <f>VLOOKUP($A76,'OI(Volume)'!$A$7:$O$427,9)</f>
        <v>-232500</v>
      </c>
      <c r="J76" s="103">
        <f>VLOOKUP($A76,'OI(Volume)'!$A$7:$O$427,11)</f>
        <v>2557000</v>
      </c>
      <c r="K76" s="103">
        <f>VLOOKUP($A76,'OI(Volume)'!$A$7:$O$427,12)</f>
        <v>-15250</v>
      </c>
      <c r="L76" s="103">
        <f>VLOOKUP($A76,'OI(Value)'!$A$7:$O$306,8,0)</f>
        <v>1308</v>
      </c>
      <c r="M76" s="103">
        <f>VLOOKUP($A76,'OI(Value)'!$A$7:$O$306,9,0)</f>
        <v>-64</v>
      </c>
      <c r="N76" s="103">
        <f>VLOOKUP($A76,'OI(Value)'!$A$7:$O$306,11,0)</f>
        <v>704</v>
      </c>
      <c r="O76" s="103">
        <f>VLOOKUP($A76,'OI(Value)'!$A$7:$O$306,12,0)</f>
        <v>-4</v>
      </c>
      <c r="P76" s="179">
        <f>VLOOKUP(A76,'OI(Value)'!A76:O277,8,0)</f>
        <v>1308</v>
      </c>
      <c r="Q76" s="179">
        <f>VLOOKUP(A76,'OI(Value)'!A76:O277,9,0)</f>
        <v>-64</v>
      </c>
      <c r="R76" s="179">
        <f>VLOOKUP(A76,'OI(Value)'!A76:O277,11,0)</f>
        <v>704</v>
      </c>
      <c r="S76" s="179">
        <f>VLOOKUP(A76,'OI(Value)'!A76:O277,11,0)</f>
        <v>704</v>
      </c>
    </row>
    <row r="77" spans="1:19" x14ac:dyDescent="0.25">
      <c r="A77" s="105" t="str">
        <f>'Data shares'!C72</f>
        <v>HAL</v>
      </c>
      <c r="B77" s="143">
        <f>VLOOKUP($A77,'Data shares'!$C:$FA,118)</f>
        <v>0.46</v>
      </c>
      <c r="C77" s="143">
        <f>VLOOKUP($A77,'Data shares'!$C:$FA,119)</f>
        <v>0.45</v>
      </c>
      <c r="D77" s="143">
        <f>VLOOKUP($A77,'Data shares'!$C:$FA,121)*100</f>
        <v>2.2200000000000002</v>
      </c>
      <c r="E77" s="143">
        <f>VLOOKUP($A77,'Data shares'!$C:$FA,124)</f>
        <v>0.28999999999999998</v>
      </c>
      <c r="F77" s="143">
        <f>VLOOKUP($A77,'Data shares'!$C:$FA,125)</f>
        <v>0.35</v>
      </c>
      <c r="G77" s="143">
        <f>VLOOKUP($A77,'Data shares'!$C:$FA,127)*100</f>
        <v>-17.14</v>
      </c>
      <c r="H77" s="103">
        <f>VLOOKUP($A77,'OI(Volume)'!$A$7:$O$427,8)</f>
        <v>7304250</v>
      </c>
      <c r="I77" s="103">
        <f>VLOOKUP($A77,'OI(Volume)'!$A$7:$O$427,9)</f>
        <v>-372000</v>
      </c>
      <c r="J77" s="103">
        <f>VLOOKUP($A77,'OI(Volume)'!$A$7:$O$427,11)</f>
        <v>3352800</v>
      </c>
      <c r="K77" s="103">
        <f>VLOOKUP($A77,'OI(Volume)'!$A$7:$O$427,12)</f>
        <v>-91500</v>
      </c>
      <c r="L77" s="103">
        <f>VLOOKUP($A77,'OI(Value)'!$A$7:$O$306,8,0)</f>
        <v>3445</v>
      </c>
      <c r="M77" s="103">
        <f>VLOOKUP($A77,'OI(Value)'!$A$7:$O$306,9,0)</f>
        <v>-175</v>
      </c>
      <c r="N77" s="103">
        <f>VLOOKUP($A77,'OI(Value)'!$A$7:$O$306,11,0)</f>
        <v>1581</v>
      </c>
      <c r="O77" s="103">
        <f>VLOOKUP($A77,'OI(Value)'!$A$7:$O$306,12,0)</f>
        <v>-43</v>
      </c>
      <c r="P77" s="179">
        <f>VLOOKUP(A77,'OI(Value)'!A77:O278,8,0)</f>
        <v>3445</v>
      </c>
      <c r="Q77" s="179">
        <f>VLOOKUP(A77,'OI(Value)'!A77:O278,9,0)</f>
        <v>-175</v>
      </c>
      <c r="R77" s="179">
        <f>VLOOKUP(A77,'OI(Value)'!A77:O278,11,0)</f>
        <v>1581</v>
      </c>
      <c r="S77" s="179">
        <f>VLOOKUP(A77,'OI(Value)'!A77:O278,11,0)</f>
        <v>1581</v>
      </c>
    </row>
    <row r="78" spans="1:19" x14ac:dyDescent="0.25">
      <c r="A78" s="105" t="str">
        <f>'Data shares'!C73</f>
        <v>HAVELLS</v>
      </c>
      <c r="B78" s="143">
        <f>VLOOKUP($A78,'Data shares'!$C:$FA,118)</f>
        <v>0.72</v>
      </c>
      <c r="C78" s="143">
        <f>VLOOKUP($A78,'Data shares'!$C:$FA,119)</f>
        <v>0.66</v>
      </c>
      <c r="D78" s="143">
        <f>VLOOKUP($A78,'Data shares'!$C:$FA,121)*100</f>
        <v>9.09</v>
      </c>
      <c r="E78" s="143">
        <f>VLOOKUP($A78,'Data shares'!$C:$FA,124)</f>
        <v>0.45</v>
      </c>
      <c r="F78" s="143">
        <f>VLOOKUP($A78,'Data shares'!$C:$FA,125)</f>
        <v>0.45</v>
      </c>
      <c r="G78" s="143">
        <f>VLOOKUP($A78,'Data shares'!$C:$FA,127)*100</f>
        <v>0</v>
      </c>
      <c r="H78" s="103">
        <f>VLOOKUP($A78,'OI(Volume)'!$A$7:$O$427,8)</f>
        <v>2854000</v>
      </c>
      <c r="I78" s="103">
        <f>VLOOKUP($A78,'OI(Volume)'!$A$7:$O$427,9)</f>
        <v>-181500</v>
      </c>
      <c r="J78" s="103">
        <f>VLOOKUP($A78,'OI(Volume)'!$A$7:$O$427,11)</f>
        <v>2059000</v>
      </c>
      <c r="K78" s="103">
        <f>VLOOKUP($A78,'OI(Volume)'!$A$7:$O$427,12)</f>
        <v>50000</v>
      </c>
      <c r="L78" s="103">
        <f>VLOOKUP($A78,'OI(Value)'!$A$7:$O$306,8,0)</f>
        <v>413</v>
      </c>
      <c r="M78" s="103">
        <f>VLOOKUP($A78,'OI(Value)'!$A$7:$O$306,9,0)</f>
        <v>-26</v>
      </c>
      <c r="N78" s="103">
        <f>VLOOKUP($A78,'OI(Value)'!$A$7:$O$306,11,0)</f>
        <v>298</v>
      </c>
      <c r="O78" s="103">
        <f>VLOOKUP($A78,'OI(Value)'!$A$7:$O$306,12,0)</f>
        <v>7</v>
      </c>
      <c r="P78" s="179">
        <f>VLOOKUP(A78,'OI(Value)'!A78:O279,8,0)</f>
        <v>413</v>
      </c>
      <c r="Q78" s="179">
        <f>VLOOKUP(A78,'OI(Value)'!A78:O279,9,0)</f>
        <v>-26</v>
      </c>
      <c r="R78" s="179">
        <f>VLOOKUP(A78,'OI(Value)'!A78:O279,11,0)</f>
        <v>298</v>
      </c>
      <c r="S78" s="179">
        <f>VLOOKUP(A78,'OI(Value)'!A78:O279,11,0)</f>
        <v>298</v>
      </c>
    </row>
    <row r="79" spans="1:19" x14ac:dyDescent="0.25">
      <c r="A79" s="105" t="str">
        <f>'Data shares'!C74</f>
        <v>HCLTECH</v>
      </c>
      <c r="B79" s="143">
        <f>VLOOKUP($A79,'Data shares'!$C:$FA,118)</f>
        <v>0.77</v>
      </c>
      <c r="C79" s="143">
        <f>VLOOKUP($A79,'Data shares'!$C:$FA,119)</f>
        <v>0.91</v>
      </c>
      <c r="D79" s="143">
        <f>VLOOKUP($A79,'Data shares'!$C:$FA,121)*100</f>
        <v>-15.379999999999999</v>
      </c>
      <c r="E79" s="143">
        <f>VLOOKUP($A79,'Data shares'!$C:$FA,124)</f>
        <v>0.68</v>
      </c>
      <c r="F79" s="143">
        <f>VLOOKUP($A79,'Data shares'!$C:$FA,125)</f>
        <v>0.4</v>
      </c>
      <c r="G79" s="143">
        <f>VLOOKUP($A79,'Data shares'!$C:$FA,127)*100</f>
        <v>70</v>
      </c>
      <c r="H79" s="103">
        <f>VLOOKUP($A79,'OI(Volume)'!$A$7:$O$427,8)</f>
        <v>7007700</v>
      </c>
      <c r="I79" s="103">
        <f>VLOOKUP($A79,'OI(Volume)'!$A$7:$O$427,9)</f>
        <v>172900</v>
      </c>
      <c r="J79" s="103">
        <f>VLOOKUP($A79,'OI(Volume)'!$A$7:$O$427,11)</f>
        <v>5400150</v>
      </c>
      <c r="K79" s="103">
        <f>VLOOKUP($A79,'OI(Volume)'!$A$7:$O$427,12)</f>
        <v>-843500</v>
      </c>
      <c r="L79" s="103">
        <f>VLOOKUP($A79,'OI(Value)'!$A$7:$O$306,8,0)</f>
        <v>1155</v>
      </c>
      <c r="M79" s="103">
        <f>VLOOKUP($A79,'OI(Value)'!$A$7:$O$306,9,0)</f>
        <v>28</v>
      </c>
      <c r="N79" s="103">
        <f>VLOOKUP($A79,'OI(Value)'!$A$7:$O$306,11,0)</f>
        <v>890</v>
      </c>
      <c r="O79" s="103">
        <f>VLOOKUP($A79,'OI(Value)'!$A$7:$O$306,12,0)</f>
        <v>-139</v>
      </c>
      <c r="P79" s="179">
        <f>VLOOKUP(A79,'OI(Value)'!A79:O280,8,0)</f>
        <v>1155</v>
      </c>
      <c r="Q79" s="179">
        <f>VLOOKUP(A79,'OI(Value)'!A79:O280,9,0)</f>
        <v>28</v>
      </c>
      <c r="R79" s="179">
        <f>VLOOKUP(A79,'OI(Value)'!A79:O280,11,0)</f>
        <v>890</v>
      </c>
      <c r="S79" s="179">
        <f>VLOOKUP(A79,'OI(Value)'!A79:O280,11,0)</f>
        <v>890</v>
      </c>
    </row>
    <row r="80" spans="1:19" x14ac:dyDescent="0.25">
      <c r="A80" s="105" t="str">
        <f>'Data shares'!C75</f>
        <v>HDFCAMC</v>
      </c>
      <c r="B80" s="143">
        <f>VLOOKUP($A80,'Data shares'!$C:$FA,118)</f>
        <v>0.61</v>
      </c>
      <c r="C80" s="143">
        <f>VLOOKUP($A80,'Data shares'!$C:$FA,119)</f>
        <v>0.57999999999999996</v>
      </c>
      <c r="D80" s="143">
        <f>VLOOKUP($A80,'Data shares'!$C:$FA,121)*100</f>
        <v>5.17</v>
      </c>
      <c r="E80" s="143">
        <f>VLOOKUP($A80,'Data shares'!$C:$FA,124)</f>
        <v>0.27</v>
      </c>
      <c r="F80" s="143">
        <f>VLOOKUP($A80,'Data shares'!$C:$FA,125)</f>
        <v>0.24</v>
      </c>
      <c r="G80" s="143">
        <f>VLOOKUP($A80,'Data shares'!$C:$FA,127)*100</f>
        <v>12.5</v>
      </c>
      <c r="H80" s="103">
        <f>VLOOKUP($A80,'OI(Volume)'!$A$7:$O$427,8)</f>
        <v>1584750</v>
      </c>
      <c r="I80" s="103">
        <f>VLOOKUP($A80,'OI(Volume)'!$A$7:$O$427,9)</f>
        <v>-117450</v>
      </c>
      <c r="J80" s="103">
        <f>VLOOKUP($A80,'OI(Volume)'!$A$7:$O$427,11)</f>
        <v>968250</v>
      </c>
      <c r="K80" s="103">
        <f>VLOOKUP($A80,'OI(Volume)'!$A$7:$O$427,12)</f>
        <v>-13950</v>
      </c>
      <c r="L80" s="103">
        <f>VLOOKUP($A80,'OI(Value)'!$A$7:$O$306,8,0)</f>
        <v>857</v>
      </c>
      <c r="M80" s="103">
        <f>VLOOKUP($A80,'OI(Value)'!$A$7:$O$306,9,0)</f>
        <v>-63</v>
      </c>
      <c r="N80" s="103">
        <f>VLOOKUP($A80,'OI(Value)'!$A$7:$O$306,11,0)</f>
        <v>523</v>
      </c>
      <c r="O80" s="103">
        <f>VLOOKUP($A80,'OI(Value)'!$A$7:$O$306,12,0)</f>
        <v>-8</v>
      </c>
      <c r="P80" s="179">
        <f>VLOOKUP(A80,'OI(Value)'!A80:O281,8,0)</f>
        <v>857</v>
      </c>
      <c r="Q80" s="179">
        <f>VLOOKUP(A80,'OI(Value)'!A80:O281,9,0)</f>
        <v>-63</v>
      </c>
      <c r="R80" s="179">
        <f>VLOOKUP(A80,'OI(Value)'!A80:O281,11,0)</f>
        <v>523</v>
      </c>
      <c r="S80" s="179">
        <f>VLOOKUP(A80,'OI(Value)'!A80:O281,11,0)</f>
        <v>523</v>
      </c>
    </row>
    <row r="81" spans="1:19" x14ac:dyDescent="0.25">
      <c r="A81" s="105" t="str">
        <f>'Data shares'!C76</f>
        <v>HDFCBANK</v>
      </c>
      <c r="B81" s="143">
        <f>VLOOKUP($A81,'Data shares'!$C:$FA,118)</f>
        <v>0.74</v>
      </c>
      <c r="C81" s="143">
        <f>VLOOKUP($A81,'Data shares'!$C:$FA,119)</f>
        <v>0.62</v>
      </c>
      <c r="D81" s="143">
        <f>VLOOKUP($A81,'Data shares'!$C:$FA,121)*100</f>
        <v>19.350000000000001</v>
      </c>
      <c r="E81" s="143">
        <f>VLOOKUP($A81,'Data shares'!$C:$FA,124)</f>
        <v>0.51</v>
      </c>
      <c r="F81" s="143">
        <f>VLOOKUP($A81,'Data shares'!$C:$FA,125)</f>
        <v>0.47</v>
      </c>
      <c r="G81" s="143">
        <f>VLOOKUP($A81,'Data shares'!$C:$FA,127)*100</f>
        <v>8.51</v>
      </c>
      <c r="H81" s="103">
        <f>VLOOKUP($A81,'OI(Volume)'!$A$7:$O$427,8)</f>
        <v>33656150</v>
      </c>
      <c r="I81" s="103">
        <f>VLOOKUP($A81,'OI(Volume)'!$A$7:$O$427,9)</f>
        <v>-5971900</v>
      </c>
      <c r="J81" s="103">
        <f>VLOOKUP($A81,'OI(Volume)'!$A$7:$O$427,11)</f>
        <v>24792350</v>
      </c>
      <c r="K81" s="103">
        <f>VLOOKUP($A81,'OI(Volume)'!$A$7:$O$427,12)</f>
        <v>396550</v>
      </c>
      <c r="L81" s="103">
        <f>VLOOKUP($A81,'OI(Value)'!$A$7:$O$306,8,0)</f>
        <v>3399</v>
      </c>
      <c r="M81" s="103">
        <f>VLOOKUP($A81,'OI(Value)'!$A$7:$O$306,9,0)</f>
        <v>-603</v>
      </c>
      <c r="N81" s="103">
        <f>VLOOKUP($A81,'OI(Value)'!$A$7:$O$306,11,0)</f>
        <v>2504</v>
      </c>
      <c r="O81" s="103">
        <f>VLOOKUP($A81,'OI(Value)'!$A$7:$O$306,12,0)</f>
        <v>40</v>
      </c>
      <c r="P81" s="179">
        <f>VLOOKUP(A81,'OI(Value)'!A81:O282,8,0)</f>
        <v>3399</v>
      </c>
      <c r="Q81" s="179">
        <f>VLOOKUP(A81,'OI(Value)'!A81:O282,9,0)</f>
        <v>-603</v>
      </c>
      <c r="R81" s="179">
        <f>VLOOKUP(A81,'OI(Value)'!A81:O282,11,0)</f>
        <v>2504</v>
      </c>
      <c r="S81" s="179">
        <f>VLOOKUP(A81,'OI(Value)'!A81:O282,11,0)</f>
        <v>2504</v>
      </c>
    </row>
    <row r="82" spans="1:19" x14ac:dyDescent="0.25">
      <c r="A82" s="105" t="str">
        <f>'Data shares'!C77</f>
        <v>HDFCLIFE</v>
      </c>
      <c r="B82" s="143">
        <f>VLOOKUP($A82,'Data shares'!$C:$FA,118)</f>
        <v>0.71</v>
      </c>
      <c r="C82" s="143">
        <f>VLOOKUP($A82,'Data shares'!$C:$FA,119)</f>
        <v>0.67</v>
      </c>
      <c r="D82" s="143">
        <f>VLOOKUP($A82,'Data shares'!$C:$FA,121)*100</f>
        <v>5.9700000000000006</v>
      </c>
      <c r="E82" s="143">
        <f>VLOOKUP($A82,'Data shares'!$C:$FA,124)</f>
        <v>0.56000000000000005</v>
      </c>
      <c r="F82" s="143">
        <f>VLOOKUP($A82,'Data shares'!$C:$FA,125)</f>
        <v>0.48</v>
      </c>
      <c r="G82" s="143">
        <f>VLOOKUP($A82,'Data shares'!$C:$FA,127)*100</f>
        <v>16.669999999999998</v>
      </c>
      <c r="H82" s="103">
        <f>VLOOKUP($A82,'OI(Volume)'!$A$7:$O$427,8)</f>
        <v>10588600</v>
      </c>
      <c r="I82" s="103">
        <f>VLOOKUP($A82,'OI(Volume)'!$A$7:$O$427,9)</f>
        <v>-92400</v>
      </c>
      <c r="J82" s="103">
        <f>VLOOKUP($A82,'OI(Volume)'!$A$7:$O$427,11)</f>
        <v>7492100</v>
      </c>
      <c r="K82" s="103">
        <f>VLOOKUP($A82,'OI(Volume)'!$A$7:$O$427,12)</f>
        <v>377300</v>
      </c>
      <c r="L82" s="103">
        <f>VLOOKUP($A82,'OI(Value)'!$A$7:$O$306,8,0)</f>
        <v>807</v>
      </c>
      <c r="M82" s="103">
        <f>VLOOKUP($A82,'OI(Value)'!$A$7:$O$306,9,0)</f>
        <v>-7</v>
      </c>
      <c r="N82" s="103">
        <f>VLOOKUP($A82,'OI(Value)'!$A$7:$O$306,11,0)</f>
        <v>571</v>
      </c>
      <c r="O82" s="103">
        <f>VLOOKUP($A82,'OI(Value)'!$A$7:$O$306,12,0)</f>
        <v>29</v>
      </c>
      <c r="P82" s="179">
        <f>VLOOKUP(A82,'OI(Value)'!A82:O283,8,0)</f>
        <v>807</v>
      </c>
      <c r="Q82" s="179">
        <f>VLOOKUP(A82,'OI(Value)'!A82:O283,9,0)</f>
        <v>-7</v>
      </c>
      <c r="R82" s="179">
        <f>VLOOKUP(A82,'OI(Value)'!A82:O283,11,0)</f>
        <v>571</v>
      </c>
      <c r="S82" s="179">
        <f>VLOOKUP(A82,'OI(Value)'!A82:O283,11,0)</f>
        <v>571</v>
      </c>
    </row>
    <row r="83" spans="1:19" x14ac:dyDescent="0.25">
      <c r="A83" s="105" t="str">
        <f>'Data shares'!C78</f>
        <v>HEROMOTOCO</v>
      </c>
      <c r="B83" s="143">
        <f>VLOOKUP($A83,'Data shares'!$C:$FA,118)</f>
        <v>1.05</v>
      </c>
      <c r="C83" s="143">
        <f>VLOOKUP($A83,'Data shares'!$C:$FA,119)</f>
        <v>1.01</v>
      </c>
      <c r="D83" s="143">
        <f>VLOOKUP($A83,'Data shares'!$C:$FA,121)*100</f>
        <v>3.9600000000000004</v>
      </c>
      <c r="E83" s="143">
        <f>VLOOKUP($A83,'Data shares'!$C:$FA,124)</f>
        <v>0.52</v>
      </c>
      <c r="F83" s="143">
        <f>VLOOKUP($A83,'Data shares'!$C:$FA,125)</f>
        <v>0.59</v>
      </c>
      <c r="G83" s="143">
        <f>VLOOKUP($A83,'Data shares'!$C:$FA,127)*100</f>
        <v>-11.86</v>
      </c>
      <c r="H83" s="103">
        <f>VLOOKUP($A83,'OI(Volume)'!$A$7:$O$427,8)</f>
        <v>3872850</v>
      </c>
      <c r="I83" s="103">
        <f>VLOOKUP($A83,'OI(Volume)'!$A$7:$O$427,9)</f>
        <v>282300</v>
      </c>
      <c r="J83" s="103">
        <f>VLOOKUP($A83,'OI(Volume)'!$A$7:$O$427,11)</f>
        <v>4052850</v>
      </c>
      <c r="K83" s="103">
        <f>VLOOKUP($A83,'OI(Volume)'!$A$7:$O$427,12)</f>
        <v>421950</v>
      </c>
      <c r="L83" s="103">
        <f>VLOOKUP($A83,'OI(Value)'!$A$7:$O$306,8,0)</f>
        <v>2326</v>
      </c>
      <c r="M83" s="103">
        <f>VLOOKUP($A83,'OI(Value)'!$A$7:$O$306,9,0)</f>
        <v>170</v>
      </c>
      <c r="N83" s="103">
        <f>VLOOKUP($A83,'OI(Value)'!$A$7:$O$306,11,0)</f>
        <v>2434</v>
      </c>
      <c r="O83" s="103">
        <f>VLOOKUP($A83,'OI(Value)'!$A$7:$O$306,12,0)</f>
        <v>253</v>
      </c>
      <c r="P83" s="179">
        <f>VLOOKUP(A83,'OI(Value)'!A83:O284,8,0)</f>
        <v>2326</v>
      </c>
      <c r="Q83" s="179">
        <f>VLOOKUP(A83,'OI(Value)'!A83:O284,9,0)</f>
        <v>170</v>
      </c>
      <c r="R83" s="179">
        <f>VLOOKUP(A83,'OI(Value)'!A83:O284,11,0)</f>
        <v>2434</v>
      </c>
      <c r="S83" s="179">
        <f>VLOOKUP(A83,'OI(Value)'!A83:O284,11,0)</f>
        <v>2434</v>
      </c>
    </row>
    <row r="84" spans="1:19" x14ac:dyDescent="0.25">
      <c r="A84" s="105" t="str">
        <f>'Data shares'!C79</f>
        <v>HFCL</v>
      </c>
      <c r="B84" s="143">
        <f>VLOOKUP($A84,'Data shares'!$C:$FA,118)</f>
        <v>0.56000000000000005</v>
      </c>
      <c r="C84" s="143">
        <f>VLOOKUP($A84,'Data shares'!$C:$FA,119)</f>
        <v>0.56000000000000005</v>
      </c>
      <c r="D84" s="143">
        <f>VLOOKUP($A84,'Data shares'!$C:$FA,121)*100</f>
        <v>0</v>
      </c>
      <c r="E84" s="143">
        <f>VLOOKUP($A84,'Data shares'!$C:$FA,124)</f>
        <v>0.64</v>
      </c>
      <c r="F84" s="143">
        <f>VLOOKUP($A84,'Data shares'!$C:$FA,125)</f>
        <v>0.45</v>
      </c>
      <c r="G84" s="143">
        <f>VLOOKUP($A84,'Data shares'!$C:$FA,127)*100</f>
        <v>42.22</v>
      </c>
      <c r="H84" s="103">
        <f>VLOOKUP($A84,'OI(Volume)'!$A$7:$O$427,8)</f>
        <v>52844850</v>
      </c>
      <c r="I84" s="103">
        <f>VLOOKUP($A84,'OI(Volume)'!$A$7:$O$427,9)</f>
        <v>638550</v>
      </c>
      <c r="J84" s="103">
        <f>VLOOKUP($A84,'OI(Volume)'!$A$7:$O$427,11)</f>
        <v>29624850</v>
      </c>
      <c r="K84" s="103">
        <f>VLOOKUP($A84,'OI(Volume)'!$A$7:$O$427,12)</f>
        <v>516000</v>
      </c>
      <c r="L84" s="103">
        <f>VLOOKUP($A84,'OI(Value)'!$A$7:$O$306,8,0)</f>
        <v>388</v>
      </c>
      <c r="M84" s="103">
        <f>VLOOKUP($A84,'OI(Value)'!$A$7:$O$306,9,0)</f>
        <v>5</v>
      </c>
      <c r="N84" s="103">
        <f>VLOOKUP($A84,'OI(Value)'!$A$7:$O$306,11,0)</f>
        <v>217</v>
      </c>
      <c r="O84" s="103">
        <f>VLOOKUP($A84,'OI(Value)'!$A$7:$O$306,12,0)</f>
        <v>4</v>
      </c>
      <c r="P84" s="179">
        <f>VLOOKUP(A84,'OI(Value)'!A84:O285,8,0)</f>
        <v>388</v>
      </c>
      <c r="Q84" s="179">
        <f>VLOOKUP(A84,'OI(Value)'!A84:O285,9,0)</f>
        <v>5</v>
      </c>
      <c r="R84" s="179">
        <f>VLOOKUP(A84,'OI(Value)'!A84:O285,11,0)</f>
        <v>217</v>
      </c>
      <c r="S84" s="179">
        <f>VLOOKUP(A84,'OI(Value)'!A84:O285,11,0)</f>
        <v>217</v>
      </c>
    </row>
    <row r="85" spans="1:19" x14ac:dyDescent="0.25">
      <c r="A85" s="105" t="str">
        <f>'Data shares'!C80</f>
        <v>HINDALCO</v>
      </c>
      <c r="B85" s="143">
        <f>VLOOKUP($A85,'Data shares'!$C:$FA,118)</f>
        <v>0.69</v>
      </c>
      <c r="C85" s="143">
        <f>VLOOKUP($A85,'Data shares'!$C:$FA,119)</f>
        <v>0.68</v>
      </c>
      <c r="D85" s="143">
        <f>VLOOKUP($A85,'Data shares'!$C:$FA,121)*100</f>
        <v>1.47</v>
      </c>
      <c r="E85" s="143">
        <f>VLOOKUP($A85,'Data shares'!$C:$FA,124)</f>
        <v>0.41</v>
      </c>
      <c r="F85" s="143">
        <f>VLOOKUP($A85,'Data shares'!$C:$FA,125)</f>
        <v>0.6</v>
      </c>
      <c r="G85" s="143">
        <f>VLOOKUP($A85,'Data shares'!$C:$FA,127)*100</f>
        <v>-31.669999999999998</v>
      </c>
      <c r="H85" s="103">
        <f>VLOOKUP($A85,'OI(Volume)'!$A$7:$O$427,8)</f>
        <v>24368400</v>
      </c>
      <c r="I85" s="103">
        <f>VLOOKUP($A85,'OI(Volume)'!$A$7:$O$427,9)</f>
        <v>-1022000</v>
      </c>
      <c r="J85" s="103">
        <f>VLOOKUP($A85,'OI(Volume)'!$A$7:$O$427,11)</f>
        <v>16871400</v>
      </c>
      <c r="K85" s="103">
        <f>VLOOKUP($A85,'OI(Volume)'!$A$7:$O$427,12)</f>
        <v>-435400</v>
      </c>
      <c r="L85" s="103">
        <f>VLOOKUP($A85,'OI(Value)'!$A$7:$O$306,8,0)</f>
        <v>1951</v>
      </c>
      <c r="M85" s="103">
        <f>VLOOKUP($A85,'OI(Value)'!$A$7:$O$306,9,0)</f>
        <v>-82</v>
      </c>
      <c r="N85" s="103">
        <f>VLOOKUP($A85,'OI(Value)'!$A$7:$O$306,11,0)</f>
        <v>1350</v>
      </c>
      <c r="O85" s="103">
        <f>VLOOKUP($A85,'OI(Value)'!$A$7:$O$306,12,0)</f>
        <v>-35</v>
      </c>
      <c r="P85" s="179">
        <f>VLOOKUP(A85,'OI(Value)'!A85:O286,8,0)</f>
        <v>1951</v>
      </c>
      <c r="Q85" s="179">
        <f>VLOOKUP(A85,'OI(Value)'!A85:O286,9,0)</f>
        <v>-82</v>
      </c>
      <c r="R85" s="179">
        <f>VLOOKUP(A85,'OI(Value)'!A85:O286,11,0)</f>
        <v>1350</v>
      </c>
      <c r="S85" s="179">
        <f>VLOOKUP(A85,'OI(Value)'!A85:O286,11,0)</f>
        <v>1350</v>
      </c>
    </row>
    <row r="86" spans="1:19" x14ac:dyDescent="0.25">
      <c r="A86" s="105" t="str">
        <f>'Data shares'!C81</f>
        <v>HINDPETRO</v>
      </c>
      <c r="B86" s="143">
        <f>VLOOKUP($A86,'Data shares'!$C:$FA,118)</f>
        <v>0.69</v>
      </c>
      <c r="C86" s="143">
        <f>VLOOKUP($A86,'Data shares'!$C:$FA,119)</f>
        <v>0.66</v>
      </c>
      <c r="D86" s="143">
        <f>VLOOKUP($A86,'Data shares'!$C:$FA,121)*100</f>
        <v>4.55</v>
      </c>
      <c r="E86" s="143">
        <f>VLOOKUP($A86,'Data shares'!$C:$FA,124)</f>
        <v>0.4</v>
      </c>
      <c r="F86" s="143">
        <f>VLOOKUP($A86,'Data shares'!$C:$FA,125)</f>
        <v>0.5</v>
      </c>
      <c r="G86" s="143">
        <f>VLOOKUP($A86,'Data shares'!$C:$FA,127)*100</f>
        <v>-20</v>
      </c>
      <c r="H86" s="103">
        <f>VLOOKUP($A86,'OI(Volume)'!$A$7:$O$427,8)</f>
        <v>14503050</v>
      </c>
      <c r="I86" s="103">
        <f>VLOOKUP($A86,'OI(Volume)'!$A$7:$O$427,9)</f>
        <v>-781650</v>
      </c>
      <c r="J86" s="103">
        <f>VLOOKUP($A86,'OI(Volume)'!$A$7:$O$427,11)</f>
        <v>10013625</v>
      </c>
      <c r="K86" s="103">
        <f>VLOOKUP($A86,'OI(Volume)'!$A$7:$O$427,12)</f>
        <v>-127575</v>
      </c>
      <c r="L86" s="103">
        <f>VLOOKUP($A86,'OI(Value)'!$A$7:$O$306,8,0)</f>
        <v>694</v>
      </c>
      <c r="M86" s="103">
        <f>VLOOKUP($A86,'OI(Value)'!$A$7:$O$306,9,0)</f>
        <v>-37</v>
      </c>
      <c r="N86" s="103">
        <f>VLOOKUP($A86,'OI(Value)'!$A$7:$O$306,11,0)</f>
        <v>479</v>
      </c>
      <c r="O86" s="103">
        <f>VLOOKUP($A86,'OI(Value)'!$A$7:$O$306,12,0)</f>
        <v>-6</v>
      </c>
      <c r="P86" s="179">
        <f>VLOOKUP(A86,'OI(Value)'!A86:O287,8,0)</f>
        <v>694</v>
      </c>
      <c r="Q86" s="179">
        <f>VLOOKUP(A86,'OI(Value)'!A86:O287,9,0)</f>
        <v>-37</v>
      </c>
      <c r="R86" s="179">
        <f>VLOOKUP(A86,'OI(Value)'!A86:O287,11,0)</f>
        <v>479</v>
      </c>
      <c r="S86" s="179">
        <f>VLOOKUP(A86,'OI(Value)'!A86:O287,11,0)</f>
        <v>479</v>
      </c>
    </row>
    <row r="87" spans="1:19" x14ac:dyDescent="0.25">
      <c r="A87" s="105" t="str">
        <f>'Data shares'!C82</f>
        <v>HINDUNILVR</v>
      </c>
      <c r="B87" s="143">
        <f>VLOOKUP($A87,'Data shares'!$C:$FA,118)</f>
        <v>0.45</v>
      </c>
      <c r="C87" s="143">
        <f>VLOOKUP($A87,'Data shares'!$C:$FA,119)</f>
        <v>0.45</v>
      </c>
      <c r="D87" s="143">
        <f>VLOOKUP($A87,'Data shares'!$C:$FA,121)*100</f>
        <v>0</v>
      </c>
      <c r="E87" s="143">
        <f>VLOOKUP($A87,'Data shares'!$C:$FA,124)</f>
        <v>0.37</v>
      </c>
      <c r="F87" s="143">
        <f>VLOOKUP($A87,'Data shares'!$C:$FA,125)</f>
        <v>0.35</v>
      </c>
      <c r="G87" s="143">
        <f>VLOOKUP($A87,'Data shares'!$C:$FA,127)*100</f>
        <v>5.71</v>
      </c>
      <c r="H87" s="103">
        <f>VLOOKUP($A87,'OI(Volume)'!$A$7:$O$427,8)</f>
        <v>11681100</v>
      </c>
      <c r="I87" s="103">
        <f>VLOOKUP($A87,'OI(Volume)'!$A$7:$O$427,9)</f>
        <v>-845400</v>
      </c>
      <c r="J87" s="103">
        <f>VLOOKUP($A87,'OI(Volume)'!$A$7:$O$427,11)</f>
        <v>5248800</v>
      </c>
      <c r="K87" s="103">
        <f>VLOOKUP($A87,'OI(Volume)'!$A$7:$O$427,12)</f>
        <v>-368700</v>
      </c>
      <c r="L87" s="103">
        <f>VLOOKUP($A87,'OI(Value)'!$A$7:$O$306,8,0)</f>
        <v>2842</v>
      </c>
      <c r="M87" s="103">
        <f>VLOOKUP($A87,'OI(Value)'!$A$7:$O$306,9,0)</f>
        <v>-206</v>
      </c>
      <c r="N87" s="103">
        <f>VLOOKUP($A87,'OI(Value)'!$A$7:$O$306,11,0)</f>
        <v>1277</v>
      </c>
      <c r="O87" s="103">
        <f>VLOOKUP($A87,'OI(Value)'!$A$7:$O$306,12,0)</f>
        <v>-90</v>
      </c>
      <c r="P87" s="179">
        <f>VLOOKUP(A87,'OI(Value)'!A87:O288,8,0)</f>
        <v>2842</v>
      </c>
      <c r="Q87" s="179">
        <f>VLOOKUP(A87,'OI(Value)'!A87:O288,9,0)</f>
        <v>-206</v>
      </c>
      <c r="R87" s="179">
        <f>VLOOKUP(A87,'OI(Value)'!A87:O288,11,0)</f>
        <v>1277</v>
      </c>
      <c r="S87" s="179">
        <f>VLOOKUP(A87,'OI(Value)'!A87:O288,11,0)</f>
        <v>1277</v>
      </c>
    </row>
    <row r="88" spans="1:19" x14ac:dyDescent="0.25">
      <c r="A88" s="105" t="str">
        <f>'Data shares'!C83</f>
        <v>HINDZINC</v>
      </c>
      <c r="B88" s="143">
        <f>VLOOKUP($A88,'Data shares'!$C:$FA,118)</f>
        <v>0.52</v>
      </c>
      <c r="C88" s="143">
        <f>VLOOKUP($A88,'Data shares'!$C:$FA,119)</f>
        <v>0.49</v>
      </c>
      <c r="D88" s="143">
        <f>VLOOKUP($A88,'Data shares'!$C:$FA,121)*100</f>
        <v>6.12</v>
      </c>
      <c r="E88" s="143">
        <f>VLOOKUP($A88,'Data shares'!$C:$FA,124)</f>
        <v>0.23</v>
      </c>
      <c r="F88" s="143">
        <f>VLOOKUP($A88,'Data shares'!$C:$FA,125)</f>
        <v>0.34</v>
      </c>
      <c r="G88" s="143">
        <f>VLOOKUP($A88,'Data shares'!$C:$FA,127)*100</f>
        <v>-32.35</v>
      </c>
      <c r="H88" s="103">
        <f>VLOOKUP($A88,'OI(Volume)'!$A$7:$O$427,8)</f>
        <v>26313000</v>
      </c>
      <c r="I88" s="103">
        <f>VLOOKUP($A88,'OI(Volume)'!$A$7:$O$427,9)</f>
        <v>-1677025</v>
      </c>
      <c r="J88" s="103">
        <f>VLOOKUP($A88,'OI(Volume)'!$A$7:$O$427,11)</f>
        <v>13593825</v>
      </c>
      <c r="K88" s="103">
        <f>VLOOKUP($A88,'OI(Volume)'!$A$7:$O$427,12)</f>
        <v>-183750</v>
      </c>
      <c r="L88" s="103">
        <f>VLOOKUP($A88,'OI(Value)'!$A$7:$O$306,8,0)</f>
        <v>1242</v>
      </c>
      <c r="M88" s="103">
        <f>VLOOKUP($A88,'OI(Value)'!$A$7:$O$306,9,0)</f>
        <v>-79</v>
      </c>
      <c r="N88" s="103">
        <f>VLOOKUP($A88,'OI(Value)'!$A$7:$O$306,11,0)</f>
        <v>642</v>
      </c>
      <c r="O88" s="103">
        <f>VLOOKUP($A88,'OI(Value)'!$A$7:$O$306,12,0)</f>
        <v>-9</v>
      </c>
      <c r="P88" s="179">
        <f>VLOOKUP(A88,'OI(Value)'!A88:O289,8,0)</f>
        <v>1242</v>
      </c>
      <c r="Q88" s="179">
        <f>VLOOKUP(A88,'OI(Value)'!A88:O289,9,0)</f>
        <v>-79</v>
      </c>
      <c r="R88" s="179">
        <f>VLOOKUP(A88,'OI(Value)'!A88:O289,11,0)</f>
        <v>642</v>
      </c>
      <c r="S88" s="179">
        <f>VLOOKUP(A88,'OI(Value)'!A88:O289,11,0)</f>
        <v>642</v>
      </c>
    </row>
    <row r="89" spans="1:19" x14ac:dyDescent="0.25">
      <c r="A89" s="105" t="str">
        <f>'Data shares'!C84</f>
        <v>HUDCO</v>
      </c>
      <c r="B89" s="143">
        <f>VLOOKUP($A89,'Data shares'!$C:$FA,118)</f>
        <v>0.56999999999999995</v>
      </c>
      <c r="C89" s="143">
        <f>VLOOKUP($A89,'Data shares'!$C:$FA,119)</f>
        <v>0.55000000000000004</v>
      </c>
      <c r="D89" s="143">
        <f>VLOOKUP($A89,'Data shares'!$C:$FA,121)*100</f>
        <v>3.64</v>
      </c>
      <c r="E89" s="143">
        <f>VLOOKUP($A89,'Data shares'!$C:$FA,124)</f>
        <v>0.51</v>
      </c>
      <c r="F89" s="143">
        <f>VLOOKUP($A89,'Data shares'!$C:$FA,125)</f>
        <v>0.42</v>
      </c>
      <c r="G89" s="143">
        <f>VLOOKUP($A89,'Data shares'!$C:$FA,127)*100</f>
        <v>21.43</v>
      </c>
      <c r="H89" s="103">
        <f>VLOOKUP($A89,'OI(Volume)'!$A$7:$O$427,8)</f>
        <v>31798725</v>
      </c>
      <c r="I89" s="103">
        <f>VLOOKUP($A89,'OI(Volume)'!$A$7:$O$427,9)</f>
        <v>-2000775</v>
      </c>
      <c r="J89" s="103">
        <f>VLOOKUP($A89,'OI(Volume)'!$A$7:$O$427,11)</f>
        <v>18054150</v>
      </c>
      <c r="K89" s="103">
        <f>VLOOKUP($A89,'OI(Volume)'!$A$7:$O$427,12)</f>
        <v>-424575</v>
      </c>
      <c r="L89" s="103">
        <f>VLOOKUP($A89,'OI(Value)'!$A$7:$O$306,8,0)</f>
        <v>756</v>
      </c>
      <c r="M89" s="103">
        <f>VLOOKUP($A89,'OI(Value)'!$A$7:$O$306,9,0)</f>
        <v>-48</v>
      </c>
      <c r="N89" s="103">
        <f>VLOOKUP($A89,'OI(Value)'!$A$7:$O$306,11,0)</f>
        <v>429</v>
      </c>
      <c r="O89" s="103">
        <f>VLOOKUP($A89,'OI(Value)'!$A$7:$O$306,12,0)</f>
        <v>-10</v>
      </c>
      <c r="P89" s="179">
        <f>VLOOKUP(A89,'OI(Value)'!A89:O290,8,0)</f>
        <v>756</v>
      </c>
      <c r="Q89" s="179">
        <f>VLOOKUP(A89,'OI(Value)'!A89:O290,9,0)</f>
        <v>-48</v>
      </c>
      <c r="R89" s="179">
        <f>VLOOKUP(A89,'OI(Value)'!A89:O290,11,0)</f>
        <v>429</v>
      </c>
      <c r="S89" s="179">
        <f>VLOOKUP(A89,'OI(Value)'!A89:O290,11,0)</f>
        <v>429</v>
      </c>
    </row>
    <row r="90" spans="1:19" x14ac:dyDescent="0.25">
      <c r="A90" s="105" t="str">
        <f>'Data shares'!C85</f>
        <v>ICICIBANK</v>
      </c>
      <c r="B90" s="143">
        <f>VLOOKUP($A90,'Data shares'!$C:$FA,118)</f>
        <v>0.62</v>
      </c>
      <c r="C90" s="143">
        <f>VLOOKUP($A90,'Data shares'!$C:$FA,119)</f>
        <v>0.62</v>
      </c>
      <c r="D90" s="143">
        <f>VLOOKUP($A90,'Data shares'!$C:$FA,121)*100</f>
        <v>0</v>
      </c>
      <c r="E90" s="143">
        <f>VLOOKUP($A90,'Data shares'!$C:$FA,124)</f>
        <v>0.46</v>
      </c>
      <c r="F90" s="143">
        <f>VLOOKUP($A90,'Data shares'!$C:$FA,125)</f>
        <v>0.6</v>
      </c>
      <c r="G90" s="143">
        <f>VLOOKUP($A90,'Data shares'!$C:$FA,127)*100</f>
        <v>-23.330000000000002</v>
      </c>
      <c r="H90" s="103">
        <f>VLOOKUP($A90,'OI(Volume)'!$A$7:$O$427,8)</f>
        <v>38777200</v>
      </c>
      <c r="I90" s="103">
        <f>VLOOKUP($A90,'OI(Volume)'!$A$7:$O$427,9)</f>
        <v>-518000</v>
      </c>
      <c r="J90" s="103">
        <f>VLOOKUP($A90,'OI(Volume)'!$A$7:$O$427,11)</f>
        <v>23900100</v>
      </c>
      <c r="K90" s="103">
        <f>VLOOKUP($A90,'OI(Volume)'!$A$7:$O$427,12)</f>
        <v>-562100</v>
      </c>
      <c r="L90" s="103">
        <f>VLOOKUP($A90,'OI(Value)'!$A$7:$O$306,8,0)</f>
        <v>5370</v>
      </c>
      <c r="M90" s="103">
        <f>VLOOKUP($A90,'OI(Value)'!$A$7:$O$306,9,0)</f>
        <v>-72</v>
      </c>
      <c r="N90" s="103">
        <f>VLOOKUP($A90,'OI(Value)'!$A$7:$O$306,11,0)</f>
        <v>3310</v>
      </c>
      <c r="O90" s="103">
        <f>VLOOKUP($A90,'OI(Value)'!$A$7:$O$306,12,0)</f>
        <v>-78</v>
      </c>
      <c r="P90" s="179">
        <f>VLOOKUP(A90,'OI(Value)'!A90:O291,8,0)</f>
        <v>5370</v>
      </c>
      <c r="Q90" s="179">
        <f>VLOOKUP(A90,'OI(Value)'!A90:O291,9,0)</f>
        <v>-72</v>
      </c>
      <c r="R90" s="179">
        <f>VLOOKUP(A90,'OI(Value)'!A90:O291,11,0)</f>
        <v>3310</v>
      </c>
      <c r="S90" s="179">
        <f>VLOOKUP(A90,'OI(Value)'!A90:O291,11,0)</f>
        <v>3310</v>
      </c>
    </row>
    <row r="91" spans="1:19" x14ac:dyDescent="0.25">
      <c r="A91" s="105" t="str">
        <f>'Data shares'!C86</f>
        <v>ICICIGI</v>
      </c>
      <c r="B91" s="143">
        <f>VLOOKUP($A91,'Data shares'!$C:$FA,118)</f>
        <v>0.67</v>
      </c>
      <c r="C91" s="143">
        <f>VLOOKUP($A91,'Data shares'!$C:$FA,119)</f>
        <v>0.64</v>
      </c>
      <c r="D91" s="143">
        <f>VLOOKUP($A91,'Data shares'!$C:$FA,121)*100</f>
        <v>4.6899999999999995</v>
      </c>
      <c r="E91" s="143">
        <f>VLOOKUP($A91,'Data shares'!$C:$FA,124)</f>
        <v>0.36</v>
      </c>
      <c r="F91" s="143">
        <f>VLOOKUP($A91,'Data shares'!$C:$FA,125)</f>
        <v>0.38</v>
      </c>
      <c r="G91" s="143">
        <f>VLOOKUP($A91,'Data shares'!$C:$FA,127)*100</f>
        <v>-5.26</v>
      </c>
      <c r="H91" s="103">
        <f>VLOOKUP($A91,'OI(Volume)'!$A$7:$O$427,8)</f>
        <v>1513525</v>
      </c>
      <c r="I91" s="103">
        <f>VLOOKUP($A91,'OI(Volume)'!$A$7:$O$427,9)</f>
        <v>-37050</v>
      </c>
      <c r="J91" s="103">
        <f>VLOOKUP($A91,'OI(Volume)'!$A$7:$O$427,11)</f>
        <v>1006525</v>
      </c>
      <c r="K91" s="103">
        <f>VLOOKUP($A91,'OI(Volume)'!$A$7:$O$427,12)</f>
        <v>14300</v>
      </c>
      <c r="L91" s="103">
        <f>VLOOKUP($A91,'OI(Value)'!$A$7:$O$306,8,0)</f>
        <v>308</v>
      </c>
      <c r="M91" s="103">
        <f>VLOOKUP($A91,'OI(Value)'!$A$7:$O$306,9,0)</f>
        <v>-8</v>
      </c>
      <c r="N91" s="103">
        <f>VLOOKUP($A91,'OI(Value)'!$A$7:$O$306,11,0)</f>
        <v>205</v>
      </c>
      <c r="O91" s="103">
        <f>VLOOKUP($A91,'OI(Value)'!$A$7:$O$306,12,0)</f>
        <v>3</v>
      </c>
      <c r="P91" s="179">
        <f>VLOOKUP(A91,'OI(Value)'!A91:O292,8,0)</f>
        <v>308</v>
      </c>
      <c r="Q91" s="179">
        <f>VLOOKUP(A91,'OI(Value)'!A91:O292,9,0)</f>
        <v>-8</v>
      </c>
      <c r="R91" s="179">
        <f>VLOOKUP(A91,'OI(Value)'!A91:O292,11,0)</f>
        <v>205</v>
      </c>
      <c r="S91" s="179">
        <f>VLOOKUP(A91,'OI(Value)'!A91:O292,11,0)</f>
        <v>205</v>
      </c>
    </row>
    <row r="92" spans="1:19" x14ac:dyDescent="0.25">
      <c r="A92" s="105" t="str">
        <f>'Data shares'!C87</f>
        <v>ICICIPRULI</v>
      </c>
      <c r="B92" s="143">
        <f>VLOOKUP($A92,'Data shares'!$C:$FA,118)</f>
        <v>0.76</v>
      </c>
      <c r="C92" s="143">
        <f>VLOOKUP($A92,'Data shares'!$C:$FA,119)</f>
        <v>0.76</v>
      </c>
      <c r="D92" s="143">
        <f>VLOOKUP($A92,'Data shares'!$C:$FA,121)*100</f>
        <v>0</v>
      </c>
      <c r="E92" s="143">
        <f>VLOOKUP($A92,'Data shares'!$C:$FA,124)</f>
        <v>0.48</v>
      </c>
      <c r="F92" s="143">
        <f>VLOOKUP($A92,'Data shares'!$C:$FA,125)</f>
        <v>0.6</v>
      </c>
      <c r="G92" s="143">
        <f>VLOOKUP($A92,'Data shares'!$C:$FA,127)*100</f>
        <v>-20</v>
      </c>
      <c r="H92" s="103">
        <f>VLOOKUP($A92,'OI(Volume)'!$A$7:$O$427,8)</f>
        <v>3824875</v>
      </c>
      <c r="I92" s="103">
        <f>VLOOKUP($A92,'OI(Volume)'!$A$7:$O$427,9)</f>
        <v>55500</v>
      </c>
      <c r="J92" s="103">
        <f>VLOOKUP($A92,'OI(Volume)'!$A$7:$O$427,11)</f>
        <v>2897100</v>
      </c>
      <c r="K92" s="103">
        <f>VLOOKUP($A92,'OI(Volume)'!$A$7:$O$427,12)</f>
        <v>26825</v>
      </c>
      <c r="L92" s="103">
        <f>VLOOKUP($A92,'OI(Value)'!$A$7:$O$306,8,0)</f>
        <v>237</v>
      </c>
      <c r="M92" s="103">
        <f>VLOOKUP($A92,'OI(Value)'!$A$7:$O$306,9,0)</f>
        <v>3</v>
      </c>
      <c r="N92" s="103">
        <f>VLOOKUP($A92,'OI(Value)'!$A$7:$O$306,11,0)</f>
        <v>179</v>
      </c>
      <c r="O92" s="103">
        <f>VLOOKUP($A92,'OI(Value)'!$A$7:$O$306,12,0)</f>
        <v>2</v>
      </c>
      <c r="P92" s="179">
        <f>VLOOKUP(A92,'OI(Value)'!A92:O293,8,0)</f>
        <v>237</v>
      </c>
      <c r="Q92" s="179">
        <f>VLOOKUP(A92,'OI(Value)'!A92:O293,9,0)</f>
        <v>3</v>
      </c>
      <c r="R92" s="179">
        <f>VLOOKUP(A92,'OI(Value)'!A92:O293,11,0)</f>
        <v>179</v>
      </c>
      <c r="S92" s="179">
        <f>VLOOKUP(A92,'OI(Value)'!A92:O293,11,0)</f>
        <v>179</v>
      </c>
    </row>
    <row r="93" spans="1:19" x14ac:dyDescent="0.25">
      <c r="A93" s="105" t="str">
        <f>'Data shares'!C88</f>
        <v>IDEA</v>
      </c>
      <c r="B93" s="143">
        <f>VLOOKUP($A93,'Data shares'!$C:$FA,118)</f>
        <v>0.56999999999999995</v>
      </c>
      <c r="C93" s="143">
        <f>VLOOKUP($A93,'Data shares'!$C:$FA,119)</f>
        <v>0.64</v>
      </c>
      <c r="D93" s="143">
        <f>VLOOKUP($A93,'Data shares'!$C:$FA,121)*100</f>
        <v>-10.94</v>
      </c>
      <c r="E93" s="143">
        <f>VLOOKUP($A93,'Data shares'!$C:$FA,124)</f>
        <v>0.54</v>
      </c>
      <c r="F93" s="143">
        <f>VLOOKUP($A93,'Data shares'!$C:$FA,125)</f>
        <v>0.32</v>
      </c>
      <c r="G93" s="143">
        <f>VLOOKUP($A93,'Data shares'!$C:$FA,127)*100</f>
        <v>68.75</v>
      </c>
      <c r="H93" s="103">
        <f>VLOOKUP($A93,'OI(Volume)'!$A$7:$O$427,8)</f>
        <v>2548083750</v>
      </c>
      <c r="I93" s="103">
        <f>VLOOKUP($A93,'OI(Volume)'!$A$7:$O$427,9)</f>
        <v>107498400</v>
      </c>
      <c r="J93" s="103">
        <f>VLOOKUP($A93,'OI(Volume)'!$A$7:$O$427,11)</f>
        <v>1457589675</v>
      </c>
      <c r="K93" s="103">
        <f>VLOOKUP($A93,'OI(Volume)'!$A$7:$O$427,12)</f>
        <v>-99707625</v>
      </c>
      <c r="L93" s="103">
        <f>VLOOKUP($A93,'OI(Value)'!$A$7:$O$306,8,0)</f>
        <v>2591</v>
      </c>
      <c r="M93" s="103">
        <f>VLOOKUP($A93,'OI(Value)'!$A$7:$O$306,9,0)</f>
        <v>109</v>
      </c>
      <c r="N93" s="103">
        <f>VLOOKUP($A93,'OI(Value)'!$A$7:$O$306,11,0)</f>
        <v>1482</v>
      </c>
      <c r="O93" s="103">
        <f>VLOOKUP($A93,'OI(Value)'!$A$7:$O$306,12,0)</f>
        <v>-101</v>
      </c>
      <c r="P93" s="179">
        <f>VLOOKUP(A93,'OI(Value)'!A93:O294,8,0)</f>
        <v>2591</v>
      </c>
      <c r="Q93" s="179">
        <f>VLOOKUP(A93,'OI(Value)'!A93:O294,9,0)</f>
        <v>109</v>
      </c>
      <c r="R93" s="179">
        <f>VLOOKUP(A93,'OI(Value)'!A93:O294,11,0)</f>
        <v>1482</v>
      </c>
      <c r="S93" s="179">
        <f>VLOOKUP(A93,'OI(Value)'!A93:O294,11,0)</f>
        <v>1482</v>
      </c>
    </row>
    <row r="94" spans="1:19" x14ac:dyDescent="0.25">
      <c r="A94" s="105" t="str">
        <f>'Data shares'!C89</f>
        <v>IDFCFIRSTB</v>
      </c>
      <c r="B94" s="143">
        <f>VLOOKUP($A94,'Data shares'!$C:$FA,118)</f>
        <v>0.52</v>
      </c>
      <c r="C94" s="143">
        <f>VLOOKUP($A94,'Data shares'!$C:$FA,119)</f>
        <v>0.53</v>
      </c>
      <c r="D94" s="143">
        <f>VLOOKUP($A94,'Data shares'!$C:$FA,121)*100</f>
        <v>-1.8900000000000001</v>
      </c>
      <c r="E94" s="143">
        <f>VLOOKUP($A94,'Data shares'!$C:$FA,124)</f>
        <v>0.44</v>
      </c>
      <c r="F94" s="143">
        <f>VLOOKUP($A94,'Data shares'!$C:$FA,125)</f>
        <v>0.56000000000000005</v>
      </c>
      <c r="G94" s="143">
        <f>VLOOKUP($A94,'Data shares'!$C:$FA,127)*100</f>
        <v>-21.43</v>
      </c>
      <c r="H94" s="103">
        <f>VLOOKUP($A94,'OI(Volume)'!$A$7:$O$427,8)</f>
        <v>198049075</v>
      </c>
      <c r="I94" s="103">
        <f>VLOOKUP($A94,'OI(Volume)'!$A$7:$O$427,9)</f>
        <v>-5194000</v>
      </c>
      <c r="J94" s="103">
        <f>VLOOKUP($A94,'OI(Volume)'!$A$7:$O$427,11)</f>
        <v>103880000</v>
      </c>
      <c r="K94" s="103">
        <f>VLOOKUP($A94,'OI(Volume)'!$A$7:$O$427,12)</f>
        <v>-4776625</v>
      </c>
      <c r="L94" s="103">
        <f>VLOOKUP($A94,'OI(Value)'!$A$7:$O$306,8,0)</f>
        <v>1565</v>
      </c>
      <c r="M94" s="103">
        <f>VLOOKUP($A94,'OI(Value)'!$A$7:$O$306,9,0)</f>
        <v>-41</v>
      </c>
      <c r="N94" s="103">
        <f>VLOOKUP($A94,'OI(Value)'!$A$7:$O$306,11,0)</f>
        <v>821</v>
      </c>
      <c r="O94" s="103">
        <f>VLOOKUP($A94,'OI(Value)'!$A$7:$O$306,12,0)</f>
        <v>-38</v>
      </c>
      <c r="P94" s="179">
        <f>VLOOKUP(A94,'OI(Value)'!A94:O295,8,0)</f>
        <v>1565</v>
      </c>
      <c r="Q94" s="179">
        <f>VLOOKUP(A94,'OI(Value)'!A94:O295,9,0)</f>
        <v>-41</v>
      </c>
      <c r="R94" s="179">
        <f>VLOOKUP(A94,'OI(Value)'!A94:O295,11,0)</f>
        <v>821</v>
      </c>
      <c r="S94" s="179">
        <f>VLOOKUP(A94,'OI(Value)'!A94:O295,11,0)</f>
        <v>821</v>
      </c>
    </row>
    <row r="95" spans="1:19" x14ac:dyDescent="0.25">
      <c r="A95" s="105" t="str">
        <f>'Data shares'!C90</f>
        <v>IEX</v>
      </c>
      <c r="B95" s="143">
        <f>VLOOKUP($A95,'Data shares'!$C:$FA,118)</f>
        <v>0.64</v>
      </c>
      <c r="C95" s="143">
        <f>VLOOKUP($A95,'Data shares'!$C:$FA,119)</f>
        <v>0.6</v>
      </c>
      <c r="D95" s="143">
        <f>VLOOKUP($A95,'Data shares'!$C:$FA,121)*100</f>
        <v>6.67</v>
      </c>
      <c r="E95" s="143">
        <f>VLOOKUP($A95,'Data shares'!$C:$FA,124)</f>
        <v>0.23</v>
      </c>
      <c r="F95" s="143">
        <f>VLOOKUP($A95,'Data shares'!$C:$FA,125)</f>
        <v>0.45</v>
      </c>
      <c r="G95" s="143">
        <f>VLOOKUP($A95,'Data shares'!$C:$FA,127)*100</f>
        <v>-48.89</v>
      </c>
      <c r="H95" s="103">
        <f>VLOOKUP($A95,'OI(Volume)'!$A$7:$O$427,8)</f>
        <v>55770000</v>
      </c>
      <c r="I95" s="103">
        <f>VLOOKUP($A95,'OI(Volume)'!$A$7:$O$427,9)</f>
        <v>292500</v>
      </c>
      <c r="J95" s="103">
        <f>VLOOKUP($A95,'OI(Volume)'!$A$7:$O$427,11)</f>
        <v>35778750</v>
      </c>
      <c r="K95" s="103">
        <f>VLOOKUP($A95,'OI(Volume)'!$A$7:$O$427,12)</f>
        <v>2516250</v>
      </c>
      <c r="L95" s="103">
        <f>VLOOKUP($A95,'OI(Value)'!$A$7:$O$306,8,0)</f>
        <v>798</v>
      </c>
      <c r="M95" s="103">
        <f>VLOOKUP($A95,'OI(Value)'!$A$7:$O$306,9,0)</f>
        <v>4</v>
      </c>
      <c r="N95" s="103">
        <f>VLOOKUP($A95,'OI(Value)'!$A$7:$O$306,11,0)</f>
        <v>512</v>
      </c>
      <c r="O95" s="103">
        <f>VLOOKUP($A95,'OI(Value)'!$A$7:$O$306,12,0)</f>
        <v>36</v>
      </c>
      <c r="P95" s="179">
        <f>VLOOKUP(A95,'OI(Value)'!A95:O296,8,0)</f>
        <v>798</v>
      </c>
      <c r="Q95" s="179">
        <f>VLOOKUP(A95,'OI(Value)'!A95:O296,9,0)</f>
        <v>4</v>
      </c>
      <c r="R95" s="179">
        <f>VLOOKUP(A95,'OI(Value)'!A95:O296,11,0)</f>
        <v>512</v>
      </c>
      <c r="S95" s="179">
        <f>VLOOKUP(A95,'OI(Value)'!A95:O296,11,0)</f>
        <v>512</v>
      </c>
    </row>
    <row r="96" spans="1:19" x14ac:dyDescent="0.25">
      <c r="A96" s="105" t="str">
        <f>'Data shares'!C91</f>
        <v>IGL</v>
      </c>
      <c r="B96" s="143">
        <f>VLOOKUP($A96,'Data shares'!$C:$FA,118)</f>
        <v>0.59</v>
      </c>
      <c r="C96" s="143">
        <f>VLOOKUP($A96,'Data shares'!$C:$FA,119)</f>
        <v>0.56999999999999995</v>
      </c>
      <c r="D96" s="143">
        <f>VLOOKUP($A96,'Data shares'!$C:$FA,121)*100</f>
        <v>3.51</v>
      </c>
      <c r="E96" s="143">
        <f>VLOOKUP($A96,'Data shares'!$C:$FA,124)</f>
        <v>0.51</v>
      </c>
      <c r="F96" s="143">
        <f>VLOOKUP($A96,'Data shares'!$C:$FA,125)</f>
        <v>0.5</v>
      </c>
      <c r="G96" s="143">
        <f>VLOOKUP($A96,'Data shares'!$C:$FA,127)*100</f>
        <v>2</v>
      </c>
      <c r="H96" s="103">
        <f>VLOOKUP($A96,'OI(Volume)'!$A$7:$O$427,8)</f>
        <v>14025000</v>
      </c>
      <c r="I96" s="103">
        <f>VLOOKUP($A96,'OI(Volume)'!$A$7:$O$427,9)</f>
        <v>-992750</v>
      </c>
      <c r="J96" s="103">
        <f>VLOOKUP($A96,'OI(Volume)'!$A$7:$O$427,11)</f>
        <v>8244500</v>
      </c>
      <c r="K96" s="103">
        <f>VLOOKUP($A96,'OI(Volume)'!$A$7:$O$427,12)</f>
        <v>-294250</v>
      </c>
      <c r="L96" s="103">
        <f>VLOOKUP($A96,'OI(Value)'!$A$7:$O$306,8,0)</f>
        <v>287</v>
      </c>
      <c r="M96" s="103">
        <f>VLOOKUP($A96,'OI(Value)'!$A$7:$O$306,9,0)</f>
        <v>-20</v>
      </c>
      <c r="N96" s="103">
        <f>VLOOKUP($A96,'OI(Value)'!$A$7:$O$306,11,0)</f>
        <v>169</v>
      </c>
      <c r="O96" s="103">
        <f>VLOOKUP($A96,'OI(Value)'!$A$7:$O$306,12,0)</f>
        <v>-6</v>
      </c>
      <c r="P96" s="179">
        <f>VLOOKUP(A96,'OI(Value)'!A96:O297,8,0)</f>
        <v>287</v>
      </c>
      <c r="Q96" s="179">
        <f>VLOOKUP(A96,'OI(Value)'!A96:O297,9,0)</f>
        <v>-20</v>
      </c>
      <c r="R96" s="179">
        <f>VLOOKUP(A96,'OI(Value)'!A96:O297,11,0)</f>
        <v>169</v>
      </c>
      <c r="S96" s="179">
        <f>VLOOKUP(A96,'OI(Value)'!A96:O297,11,0)</f>
        <v>169</v>
      </c>
    </row>
    <row r="97" spans="1:19" x14ac:dyDescent="0.25">
      <c r="A97" s="105" t="str">
        <f>'Data shares'!C92</f>
        <v>IIFL</v>
      </c>
      <c r="B97" s="143">
        <f>VLOOKUP($A97,'Data shares'!$C:$FA,118)</f>
        <v>0.64</v>
      </c>
      <c r="C97" s="143">
        <f>VLOOKUP($A97,'Data shares'!$C:$FA,119)</f>
        <v>0.62</v>
      </c>
      <c r="D97" s="143">
        <f>VLOOKUP($A97,'Data shares'!$C:$FA,121)*100</f>
        <v>3.2300000000000004</v>
      </c>
      <c r="E97" s="143">
        <f>VLOOKUP($A97,'Data shares'!$C:$FA,124)</f>
        <v>0.49</v>
      </c>
      <c r="F97" s="143">
        <f>VLOOKUP($A97,'Data shares'!$C:$FA,125)</f>
        <v>0.36</v>
      </c>
      <c r="G97" s="143">
        <f>VLOOKUP($A97,'Data shares'!$C:$FA,127)*100</f>
        <v>36.11</v>
      </c>
      <c r="H97" s="103">
        <f>VLOOKUP($A97,'OI(Volume)'!$A$7:$O$427,8)</f>
        <v>8256600</v>
      </c>
      <c r="I97" s="103">
        <f>VLOOKUP($A97,'OI(Volume)'!$A$7:$O$427,9)</f>
        <v>-450450</v>
      </c>
      <c r="J97" s="103">
        <f>VLOOKUP($A97,'OI(Volume)'!$A$7:$O$427,11)</f>
        <v>5314650</v>
      </c>
      <c r="K97" s="103">
        <f>VLOOKUP($A97,'OI(Volume)'!$A$7:$O$427,12)</f>
        <v>-95700</v>
      </c>
      <c r="L97" s="103">
        <f>VLOOKUP($A97,'OI(Value)'!$A$7:$O$306,8,0)</f>
        <v>450</v>
      </c>
      <c r="M97" s="103">
        <f>VLOOKUP($A97,'OI(Value)'!$A$7:$O$306,9,0)</f>
        <v>-25</v>
      </c>
      <c r="N97" s="103">
        <f>VLOOKUP($A97,'OI(Value)'!$A$7:$O$306,11,0)</f>
        <v>290</v>
      </c>
      <c r="O97" s="103">
        <f>VLOOKUP($A97,'OI(Value)'!$A$7:$O$306,12,0)</f>
        <v>-5</v>
      </c>
      <c r="P97" s="179">
        <f>VLOOKUP(A97,'OI(Value)'!A97:O298,8,0)</f>
        <v>450</v>
      </c>
      <c r="Q97" s="179">
        <f>VLOOKUP(A97,'OI(Value)'!A97:O298,9,0)</f>
        <v>-25</v>
      </c>
      <c r="R97" s="179">
        <f>VLOOKUP(A97,'OI(Value)'!A97:O298,11,0)</f>
        <v>290</v>
      </c>
      <c r="S97" s="179">
        <f>VLOOKUP(A97,'OI(Value)'!A97:O298,11,0)</f>
        <v>290</v>
      </c>
    </row>
    <row r="98" spans="1:19" x14ac:dyDescent="0.25">
      <c r="A98" s="105" t="str">
        <f>'Data shares'!C93</f>
        <v>INDHOTEL</v>
      </c>
      <c r="B98" s="143">
        <f>VLOOKUP($A98,'Data shares'!$C:$FA,118)</f>
        <v>0.64</v>
      </c>
      <c r="C98" s="143">
        <f>VLOOKUP($A98,'Data shares'!$C:$FA,119)</f>
        <v>0.61</v>
      </c>
      <c r="D98" s="143">
        <f>VLOOKUP($A98,'Data shares'!$C:$FA,121)*100</f>
        <v>4.92</v>
      </c>
      <c r="E98" s="143">
        <f>VLOOKUP($A98,'Data shares'!$C:$FA,124)</f>
        <v>0.4</v>
      </c>
      <c r="F98" s="143">
        <f>VLOOKUP($A98,'Data shares'!$C:$FA,125)</f>
        <v>0.46</v>
      </c>
      <c r="G98" s="143">
        <f>VLOOKUP($A98,'Data shares'!$C:$FA,127)*100</f>
        <v>-13.04</v>
      </c>
      <c r="H98" s="103">
        <f>VLOOKUP($A98,'OI(Volume)'!$A$7:$O$427,8)</f>
        <v>13196000</v>
      </c>
      <c r="I98" s="103">
        <f>VLOOKUP($A98,'OI(Volume)'!$A$7:$O$427,9)</f>
        <v>-54000</v>
      </c>
      <c r="J98" s="103">
        <f>VLOOKUP($A98,'OI(Volume)'!$A$7:$O$427,11)</f>
        <v>8424000</v>
      </c>
      <c r="K98" s="103">
        <f>VLOOKUP($A98,'OI(Volume)'!$A$7:$O$427,12)</f>
        <v>326000</v>
      </c>
      <c r="L98" s="103">
        <f>VLOOKUP($A98,'OI(Value)'!$A$7:$O$306,8,0)</f>
        <v>969</v>
      </c>
      <c r="M98" s="103">
        <f>VLOOKUP($A98,'OI(Value)'!$A$7:$O$306,9,0)</f>
        <v>-4</v>
      </c>
      <c r="N98" s="103">
        <f>VLOOKUP($A98,'OI(Value)'!$A$7:$O$306,11,0)</f>
        <v>618</v>
      </c>
      <c r="O98" s="103">
        <f>VLOOKUP($A98,'OI(Value)'!$A$7:$O$306,12,0)</f>
        <v>24</v>
      </c>
      <c r="P98" s="179">
        <f>VLOOKUP(A98,'OI(Value)'!A98:O299,8,0)</f>
        <v>969</v>
      </c>
      <c r="Q98" s="179">
        <f>VLOOKUP(A98,'OI(Value)'!A98:O299,9,0)</f>
        <v>-4</v>
      </c>
      <c r="R98" s="179">
        <f>VLOOKUP(A98,'OI(Value)'!A98:O299,11,0)</f>
        <v>618</v>
      </c>
      <c r="S98" s="179">
        <f>VLOOKUP(A98,'OI(Value)'!A98:O299,11,0)</f>
        <v>618</v>
      </c>
    </row>
    <row r="99" spans="1:19" x14ac:dyDescent="0.25">
      <c r="A99" s="105" t="str">
        <f>'Data shares'!C94</f>
        <v>INDIANB</v>
      </c>
      <c r="B99" s="143">
        <f>VLOOKUP($A99,'Data shares'!$C:$FA,118)</f>
        <v>0.63</v>
      </c>
      <c r="C99" s="143">
        <f>VLOOKUP($A99,'Data shares'!$C:$FA,119)</f>
        <v>0.61</v>
      </c>
      <c r="D99" s="143">
        <f>VLOOKUP($A99,'Data shares'!$C:$FA,121)*100</f>
        <v>3.2800000000000002</v>
      </c>
      <c r="E99" s="143">
        <f>VLOOKUP($A99,'Data shares'!$C:$FA,124)</f>
        <v>0.52</v>
      </c>
      <c r="F99" s="143">
        <f>VLOOKUP($A99,'Data shares'!$C:$FA,125)</f>
        <v>0.47</v>
      </c>
      <c r="G99" s="143">
        <f>VLOOKUP($A99,'Data shares'!$C:$FA,127)*100</f>
        <v>10.639999999999999</v>
      </c>
      <c r="H99" s="103">
        <f>VLOOKUP($A99,'OI(Volume)'!$A$7:$O$427,8)</f>
        <v>6671000</v>
      </c>
      <c r="I99" s="103">
        <f>VLOOKUP($A99,'OI(Volume)'!$A$7:$O$427,9)</f>
        <v>-430000</v>
      </c>
      <c r="J99" s="103">
        <f>VLOOKUP($A99,'OI(Volume)'!$A$7:$O$427,11)</f>
        <v>4198000</v>
      </c>
      <c r="K99" s="103">
        <f>VLOOKUP($A99,'OI(Volume)'!$A$7:$O$427,12)</f>
        <v>-119000</v>
      </c>
      <c r="L99" s="103">
        <f>VLOOKUP($A99,'OI(Value)'!$A$7:$O$306,8,0)</f>
        <v>587</v>
      </c>
      <c r="M99" s="103">
        <f>VLOOKUP($A99,'OI(Value)'!$A$7:$O$306,9,0)</f>
        <v>-38</v>
      </c>
      <c r="N99" s="103">
        <f>VLOOKUP($A99,'OI(Value)'!$A$7:$O$306,11,0)</f>
        <v>370</v>
      </c>
      <c r="O99" s="103">
        <f>VLOOKUP($A99,'OI(Value)'!$A$7:$O$306,12,0)</f>
        <v>-10</v>
      </c>
      <c r="P99" s="179">
        <f>VLOOKUP(A99,'OI(Value)'!A99:O300,8,0)</f>
        <v>587</v>
      </c>
      <c r="Q99" s="179">
        <f>VLOOKUP(A99,'OI(Value)'!A99:O300,9,0)</f>
        <v>-38</v>
      </c>
      <c r="R99" s="179">
        <f>VLOOKUP(A99,'OI(Value)'!A99:O300,11,0)</f>
        <v>370</v>
      </c>
      <c r="S99" s="179">
        <f>VLOOKUP(A99,'OI(Value)'!A99:O300,11,0)</f>
        <v>370</v>
      </c>
    </row>
    <row r="100" spans="1:19" x14ac:dyDescent="0.25">
      <c r="A100" s="105" t="str">
        <f>'Data shares'!C95</f>
        <v>INDIAVIX</v>
      </c>
      <c r="B100" s="143">
        <f>VLOOKUP($A100,'Data shares'!$C:$FA,118)</f>
        <v>0</v>
      </c>
      <c r="C100" s="143">
        <f>VLOOKUP($A100,'Data shares'!$C:$FA,119)</f>
        <v>0</v>
      </c>
      <c r="D100" s="143">
        <f>VLOOKUP($A100,'Data shares'!$C:$FA,121)*100</f>
        <v>0</v>
      </c>
      <c r="E100" s="143">
        <f>VLOOKUP($A100,'Data shares'!$C:$FA,124)</f>
        <v>0</v>
      </c>
      <c r="F100" s="143">
        <f>VLOOKUP($A100,'Data shares'!$C:$FA,125)</f>
        <v>0</v>
      </c>
      <c r="G100" s="143">
        <f>VLOOKUP($A100,'Data shares'!$C:$FA,127)*100</f>
        <v>0</v>
      </c>
      <c r="H100" s="103">
        <f>VLOOKUP($A100,'OI(Volume)'!$A$7:$O$427,8)</f>
        <v>0</v>
      </c>
      <c r="I100" s="103">
        <f>VLOOKUP($A100,'OI(Volume)'!$A$7:$O$427,9)</f>
        <v>0</v>
      </c>
      <c r="J100" s="103">
        <f>VLOOKUP($A100,'OI(Volume)'!$A$7:$O$427,11)</f>
        <v>0</v>
      </c>
      <c r="K100" s="103">
        <f>VLOOKUP($A100,'OI(Volume)'!$A$7:$O$427,12)</f>
        <v>0</v>
      </c>
      <c r="L100" s="103">
        <f>VLOOKUP($A100,'OI(Value)'!$A$7:$O$306,8,0)</f>
        <v>0</v>
      </c>
      <c r="M100" s="103">
        <f>VLOOKUP($A100,'OI(Value)'!$A$7:$O$306,9,0)</f>
        <v>0</v>
      </c>
      <c r="N100" s="103">
        <f>VLOOKUP($A100,'OI(Value)'!$A$7:$O$306,11,0)</f>
        <v>0</v>
      </c>
      <c r="O100" s="103">
        <f>VLOOKUP($A100,'OI(Value)'!$A$7:$O$306,12,0)</f>
        <v>0</v>
      </c>
      <c r="P100" s="179">
        <f>VLOOKUP(A100,'OI(Value)'!A100:O301,8,0)</f>
        <v>0</v>
      </c>
      <c r="Q100" s="179">
        <f>VLOOKUP(A100,'OI(Value)'!A100:O301,9,0)</f>
        <v>0</v>
      </c>
      <c r="R100" s="179">
        <f>VLOOKUP(A100,'OI(Value)'!A100:O301,11,0)</f>
        <v>0</v>
      </c>
      <c r="S100" s="179">
        <f>VLOOKUP(A100,'OI(Value)'!A100:O301,11,0)</f>
        <v>0</v>
      </c>
    </row>
    <row r="101" spans="1:19" x14ac:dyDescent="0.25">
      <c r="A101" s="105" t="str">
        <f>'Data shares'!C96</f>
        <v>INDIGO</v>
      </c>
      <c r="B101" s="143">
        <f>VLOOKUP($A101,'Data shares'!$C:$FA,118)</f>
        <v>0.6</v>
      </c>
      <c r="C101" s="143">
        <f>VLOOKUP($A101,'Data shares'!$C:$FA,119)</f>
        <v>0.57999999999999996</v>
      </c>
      <c r="D101" s="143">
        <f>VLOOKUP($A101,'Data shares'!$C:$FA,121)*100</f>
        <v>3.45</v>
      </c>
      <c r="E101" s="143">
        <f>VLOOKUP($A101,'Data shares'!$C:$FA,124)</f>
        <v>0.46</v>
      </c>
      <c r="F101" s="143">
        <f>VLOOKUP($A101,'Data shares'!$C:$FA,125)</f>
        <v>0.57999999999999996</v>
      </c>
      <c r="G101" s="143">
        <f>VLOOKUP($A101,'Data shares'!$C:$FA,127)*100</f>
        <v>-20.69</v>
      </c>
      <c r="H101" s="103">
        <f>VLOOKUP($A101,'OI(Volume)'!$A$7:$O$427,8)</f>
        <v>3648000</v>
      </c>
      <c r="I101" s="103">
        <f>VLOOKUP($A101,'OI(Volume)'!$A$7:$O$427,9)</f>
        <v>-257100</v>
      </c>
      <c r="J101" s="103">
        <f>VLOOKUP($A101,'OI(Volume)'!$A$7:$O$427,11)</f>
        <v>2172750</v>
      </c>
      <c r="K101" s="103">
        <f>VLOOKUP($A101,'OI(Volume)'!$A$7:$O$427,12)</f>
        <v>-75450</v>
      </c>
      <c r="L101" s="103">
        <f>VLOOKUP($A101,'OI(Value)'!$A$7:$O$306,8,0)</f>
        <v>2111</v>
      </c>
      <c r="M101" s="103">
        <f>VLOOKUP($A101,'OI(Value)'!$A$7:$O$306,9,0)</f>
        <v>-149</v>
      </c>
      <c r="N101" s="103">
        <f>VLOOKUP($A101,'OI(Value)'!$A$7:$O$306,11,0)</f>
        <v>1258</v>
      </c>
      <c r="O101" s="103">
        <f>VLOOKUP($A101,'OI(Value)'!$A$7:$O$306,12,0)</f>
        <v>-44</v>
      </c>
      <c r="P101" s="179">
        <f>VLOOKUP(A101,'OI(Value)'!A101:O302,8,0)</f>
        <v>2111</v>
      </c>
      <c r="Q101" s="179">
        <f>VLOOKUP(A101,'OI(Value)'!A101:O302,9,0)</f>
        <v>-149</v>
      </c>
      <c r="R101" s="179">
        <f>VLOOKUP(A101,'OI(Value)'!A101:O302,11,0)</f>
        <v>1258</v>
      </c>
      <c r="S101" s="179">
        <f>VLOOKUP(A101,'OI(Value)'!A101:O302,11,0)</f>
        <v>1258</v>
      </c>
    </row>
    <row r="102" spans="1:19" x14ac:dyDescent="0.25">
      <c r="A102" s="105" t="str">
        <f>'Data shares'!C97</f>
        <v>INDUSINDBK</v>
      </c>
      <c r="B102" s="143">
        <f>VLOOKUP($A102,'Data shares'!$C:$FA,118)</f>
        <v>0.73</v>
      </c>
      <c r="C102" s="143">
        <f>VLOOKUP($A102,'Data shares'!$C:$FA,119)</f>
        <v>0.73</v>
      </c>
      <c r="D102" s="143">
        <f>VLOOKUP($A102,'Data shares'!$C:$FA,121)*100</f>
        <v>0</v>
      </c>
      <c r="E102" s="143">
        <f>VLOOKUP($A102,'Data shares'!$C:$FA,124)</f>
        <v>0.49</v>
      </c>
      <c r="F102" s="143">
        <f>VLOOKUP($A102,'Data shares'!$C:$FA,125)</f>
        <v>0.65</v>
      </c>
      <c r="G102" s="143">
        <f>VLOOKUP($A102,'Data shares'!$C:$FA,127)*100</f>
        <v>-24.62</v>
      </c>
      <c r="H102" s="103">
        <f>VLOOKUP($A102,'OI(Volume)'!$A$7:$O$427,8)</f>
        <v>18829300</v>
      </c>
      <c r="I102" s="103">
        <f>VLOOKUP($A102,'OI(Volume)'!$A$7:$O$427,9)</f>
        <v>270900</v>
      </c>
      <c r="J102" s="103">
        <f>VLOOKUP($A102,'OI(Volume)'!$A$7:$O$427,11)</f>
        <v>13692000</v>
      </c>
      <c r="K102" s="103">
        <f>VLOOKUP($A102,'OI(Volume)'!$A$7:$O$427,12)</f>
        <v>132300</v>
      </c>
      <c r="L102" s="103">
        <f>VLOOKUP($A102,'OI(Value)'!$A$7:$O$306,8,0)</f>
        <v>1563</v>
      </c>
      <c r="M102" s="103">
        <f>VLOOKUP($A102,'OI(Value)'!$A$7:$O$306,9,0)</f>
        <v>22</v>
      </c>
      <c r="N102" s="103">
        <f>VLOOKUP($A102,'OI(Value)'!$A$7:$O$306,11,0)</f>
        <v>1137</v>
      </c>
      <c r="O102" s="103">
        <f>VLOOKUP($A102,'OI(Value)'!$A$7:$O$306,12,0)</f>
        <v>11</v>
      </c>
      <c r="P102" s="179">
        <f>VLOOKUP(A102,'OI(Value)'!A102:O303,8,0)</f>
        <v>1563</v>
      </c>
      <c r="Q102" s="179">
        <f>VLOOKUP(A102,'OI(Value)'!A102:O303,9,0)</f>
        <v>22</v>
      </c>
      <c r="R102" s="179">
        <f>VLOOKUP(A102,'OI(Value)'!A102:O303,11,0)</f>
        <v>1137</v>
      </c>
      <c r="S102" s="179">
        <f>VLOOKUP(A102,'OI(Value)'!A102:O303,11,0)</f>
        <v>1137</v>
      </c>
    </row>
    <row r="103" spans="1:19" x14ac:dyDescent="0.25">
      <c r="A103" s="105" t="str">
        <f>'Data shares'!C98</f>
        <v>INDUSTOWER</v>
      </c>
      <c r="B103" s="143">
        <f>VLOOKUP($A103,'Data shares'!$C:$FA,118)</f>
        <v>0.74</v>
      </c>
      <c r="C103" s="143">
        <f>VLOOKUP($A103,'Data shares'!$C:$FA,119)</f>
        <v>0.74</v>
      </c>
      <c r="D103" s="143">
        <f>VLOOKUP($A103,'Data shares'!$C:$FA,121)*100</f>
        <v>0</v>
      </c>
      <c r="E103" s="143">
        <f>VLOOKUP($A103,'Data shares'!$C:$FA,124)</f>
        <v>0.63</v>
      </c>
      <c r="F103" s="143">
        <f>VLOOKUP($A103,'Data shares'!$C:$FA,125)</f>
        <v>0.64</v>
      </c>
      <c r="G103" s="143">
        <f>VLOOKUP($A103,'Data shares'!$C:$FA,127)*100</f>
        <v>-1.5599999999999998</v>
      </c>
      <c r="H103" s="103">
        <f>VLOOKUP($A103,'OI(Volume)'!$A$7:$O$427,8)</f>
        <v>27038500</v>
      </c>
      <c r="I103" s="103">
        <f>VLOOKUP($A103,'OI(Volume)'!$A$7:$O$427,9)</f>
        <v>-1001300</v>
      </c>
      <c r="J103" s="103">
        <f>VLOOKUP($A103,'OI(Volume)'!$A$7:$O$427,11)</f>
        <v>19988600</v>
      </c>
      <c r="K103" s="103">
        <f>VLOOKUP($A103,'OI(Volume)'!$A$7:$O$427,12)</f>
        <v>-802400</v>
      </c>
      <c r="L103" s="103">
        <f>VLOOKUP($A103,'OI(Value)'!$A$7:$O$306,8,0)</f>
        <v>1083</v>
      </c>
      <c r="M103" s="103">
        <f>VLOOKUP($A103,'OI(Value)'!$A$7:$O$306,9,0)</f>
        <v>-40</v>
      </c>
      <c r="N103" s="103">
        <f>VLOOKUP($A103,'OI(Value)'!$A$7:$O$306,11,0)</f>
        <v>801</v>
      </c>
      <c r="O103" s="103">
        <f>VLOOKUP($A103,'OI(Value)'!$A$7:$O$306,12,0)</f>
        <v>-32</v>
      </c>
      <c r="P103" s="179">
        <f>VLOOKUP(A103,'OI(Value)'!A103:O304,8,0)</f>
        <v>1083</v>
      </c>
      <c r="Q103" s="179">
        <f>VLOOKUP(A103,'OI(Value)'!A103:O304,9,0)</f>
        <v>-40</v>
      </c>
      <c r="R103" s="179">
        <f>VLOOKUP(A103,'OI(Value)'!A103:O304,11,0)</f>
        <v>801</v>
      </c>
      <c r="S103" s="179">
        <f>VLOOKUP(A103,'OI(Value)'!A103:O304,11,0)</f>
        <v>801</v>
      </c>
    </row>
    <row r="104" spans="1:19" x14ac:dyDescent="0.25">
      <c r="A104" s="105" t="str">
        <f>'Data shares'!C99</f>
        <v>INFY</v>
      </c>
      <c r="B104" s="143">
        <f>VLOOKUP($A104,'Data shares'!$C:$FA,118)</f>
        <v>0.74</v>
      </c>
      <c r="C104" s="143">
        <f>VLOOKUP($A104,'Data shares'!$C:$FA,119)</f>
        <v>0.77</v>
      </c>
      <c r="D104" s="143">
        <f>VLOOKUP($A104,'Data shares'!$C:$FA,121)*100</f>
        <v>-3.9</v>
      </c>
      <c r="E104" s="143">
        <f>VLOOKUP($A104,'Data shares'!$C:$FA,124)</f>
        <v>0.61</v>
      </c>
      <c r="F104" s="143">
        <f>VLOOKUP($A104,'Data shares'!$C:$FA,125)</f>
        <v>0.41</v>
      </c>
      <c r="G104" s="143">
        <f>VLOOKUP($A104,'Data shares'!$C:$FA,127)*100</f>
        <v>48.78</v>
      </c>
      <c r="H104" s="103">
        <f>VLOOKUP($A104,'OI(Volume)'!$A$7:$O$427,8)</f>
        <v>25319600</v>
      </c>
      <c r="I104" s="103">
        <f>VLOOKUP($A104,'OI(Volume)'!$A$7:$O$427,9)</f>
        <v>-385200</v>
      </c>
      <c r="J104" s="103">
        <f>VLOOKUP($A104,'OI(Volume)'!$A$7:$O$427,11)</f>
        <v>18820800</v>
      </c>
      <c r="K104" s="103">
        <f>VLOOKUP($A104,'OI(Volume)'!$A$7:$O$427,12)</f>
        <v>-909600</v>
      </c>
      <c r="L104" s="103">
        <f>VLOOKUP($A104,'OI(Value)'!$A$7:$O$306,8,0)</f>
        <v>3897</v>
      </c>
      <c r="M104" s="103">
        <f>VLOOKUP($A104,'OI(Value)'!$A$7:$O$306,9,0)</f>
        <v>-59</v>
      </c>
      <c r="N104" s="103">
        <f>VLOOKUP($A104,'OI(Value)'!$A$7:$O$306,11,0)</f>
        <v>2897</v>
      </c>
      <c r="O104" s="103">
        <f>VLOOKUP($A104,'OI(Value)'!$A$7:$O$306,12,0)</f>
        <v>-140</v>
      </c>
      <c r="P104" s="179">
        <f>VLOOKUP(A104,'OI(Value)'!A104:O305,8,0)</f>
        <v>3897</v>
      </c>
      <c r="Q104" s="179">
        <f>VLOOKUP(A104,'OI(Value)'!A104:O305,9,0)</f>
        <v>-59</v>
      </c>
      <c r="R104" s="179">
        <f>VLOOKUP(A104,'OI(Value)'!A104:O305,11,0)</f>
        <v>2897</v>
      </c>
      <c r="S104" s="179">
        <f>VLOOKUP(A104,'OI(Value)'!A104:O305,11,0)</f>
        <v>2897</v>
      </c>
    </row>
    <row r="105" spans="1:19" x14ac:dyDescent="0.25">
      <c r="A105" s="105" t="str">
        <f>'Data shares'!C100</f>
        <v>INOXWIND</v>
      </c>
      <c r="B105" s="143">
        <f>VLOOKUP($A105,'Data shares'!$C:$FA,118)</f>
        <v>0.41</v>
      </c>
      <c r="C105" s="143">
        <f>VLOOKUP($A105,'Data shares'!$C:$FA,119)</f>
        <v>0.38</v>
      </c>
      <c r="D105" s="143">
        <f>VLOOKUP($A105,'Data shares'!$C:$FA,121)*100</f>
        <v>7.89</v>
      </c>
      <c r="E105" s="143">
        <f>VLOOKUP($A105,'Data shares'!$C:$FA,124)</f>
        <v>0.25</v>
      </c>
      <c r="F105" s="143">
        <f>VLOOKUP($A105,'Data shares'!$C:$FA,125)</f>
        <v>0.25</v>
      </c>
      <c r="G105" s="143">
        <f>VLOOKUP($A105,'Data shares'!$C:$FA,127)*100</f>
        <v>0</v>
      </c>
      <c r="H105" s="103">
        <f>VLOOKUP($A105,'OI(Volume)'!$A$7:$O$427,8)</f>
        <v>47931286</v>
      </c>
      <c r="I105" s="103">
        <f>VLOOKUP($A105,'OI(Volume)'!$A$7:$O$427,9)</f>
        <v>-2002464</v>
      </c>
      <c r="J105" s="103">
        <f>VLOOKUP($A105,'OI(Volume)'!$A$7:$O$427,11)</f>
        <v>19470340</v>
      </c>
      <c r="K105" s="103">
        <f>VLOOKUP($A105,'OI(Volume)'!$A$7:$O$427,12)</f>
        <v>533336</v>
      </c>
      <c r="L105" s="103">
        <f>VLOOKUP($A105,'OI(Value)'!$A$7:$O$306,8,0)</f>
        <v>663</v>
      </c>
      <c r="M105" s="103">
        <f>VLOOKUP($A105,'OI(Value)'!$A$7:$O$306,9,0)</f>
        <v>-28</v>
      </c>
      <c r="N105" s="103">
        <f>VLOOKUP($A105,'OI(Value)'!$A$7:$O$306,11,0)</f>
        <v>269</v>
      </c>
      <c r="O105" s="103">
        <f>VLOOKUP($A105,'OI(Value)'!$A$7:$O$306,12,0)</f>
        <v>7</v>
      </c>
      <c r="P105" s="179">
        <f>VLOOKUP(A105,'OI(Value)'!A105:O306,8,0)</f>
        <v>663</v>
      </c>
      <c r="Q105" s="179">
        <f>VLOOKUP(A105,'OI(Value)'!A105:O306,9,0)</f>
        <v>-28</v>
      </c>
      <c r="R105" s="179">
        <f>VLOOKUP(A105,'OI(Value)'!A105:O306,11,0)</f>
        <v>269</v>
      </c>
      <c r="S105" s="179">
        <f>VLOOKUP(A105,'OI(Value)'!A105:O306,11,0)</f>
        <v>269</v>
      </c>
    </row>
    <row r="106" spans="1:19" x14ac:dyDescent="0.25">
      <c r="A106" s="105" t="str">
        <f>'Data shares'!C101</f>
        <v>IOC</v>
      </c>
      <c r="B106" s="143">
        <f>VLOOKUP($A106,'Data shares'!$C:$FA,118)</f>
        <v>0.88</v>
      </c>
      <c r="C106" s="143">
        <f>VLOOKUP($A106,'Data shares'!$C:$FA,119)</f>
        <v>0.88</v>
      </c>
      <c r="D106" s="143">
        <f>VLOOKUP($A106,'Data shares'!$C:$FA,121)*100</f>
        <v>0</v>
      </c>
      <c r="E106" s="143">
        <f>VLOOKUP($A106,'Data shares'!$C:$FA,124)</f>
        <v>0.6</v>
      </c>
      <c r="F106" s="143">
        <f>VLOOKUP($A106,'Data shares'!$C:$FA,125)</f>
        <v>0.64</v>
      </c>
      <c r="G106" s="143">
        <f>VLOOKUP($A106,'Data shares'!$C:$FA,127)*100</f>
        <v>-6.25</v>
      </c>
      <c r="H106" s="103">
        <f>VLOOKUP($A106,'OI(Volume)'!$A$7:$O$427,8)</f>
        <v>58524375</v>
      </c>
      <c r="I106" s="103">
        <f>VLOOKUP($A106,'OI(Volume)'!$A$7:$O$427,9)</f>
        <v>-3656250</v>
      </c>
      <c r="J106" s="103">
        <f>VLOOKUP($A106,'OI(Volume)'!$A$7:$O$427,11)</f>
        <v>51431250</v>
      </c>
      <c r="K106" s="103">
        <f>VLOOKUP($A106,'OI(Volume)'!$A$7:$O$427,12)</f>
        <v>-3066375</v>
      </c>
      <c r="L106" s="103">
        <f>VLOOKUP($A106,'OI(Value)'!$A$7:$O$306,8,0)</f>
        <v>987</v>
      </c>
      <c r="M106" s="103">
        <f>VLOOKUP($A106,'OI(Value)'!$A$7:$O$306,9,0)</f>
        <v>-62</v>
      </c>
      <c r="N106" s="103">
        <f>VLOOKUP($A106,'OI(Value)'!$A$7:$O$306,11,0)</f>
        <v>867</v>
      </c>
      <c r="O106" s="103">
        <f>VLOOKUP($A106,'OI(Value)'!$A$7:$O$306,12,0)</f>
        <v>-52</v>
      </c>
      <c r="P106" s="179">
        <f>VLOOKUP(A106,'OI(Value)'!A106:O307,8,0)</f>
        <v>987</v>
      </c>
      <c r="Q106" s="179">
        <f>VLOOKUP(A106,'OI(Value)'!A106:O307,9,0)</f>
        <v>-62</v>
      </c>
      <c r="R106" s="179">
        <f>VLOOKUP(A106,'OI(Value)'!A106:O307,11,0)</f>
        <v>867</v>
      </c>
      <c r="S106" s="179">
        <f>VLOOKUP(A106,'OI(Value)'!A106:O307,11,0)</f>
        <v>867</v>
      </c>
    </row>
    <row r="107" spans="1:19" x14ac:dyDescent="0.25">
      <c r="A107" s="105" t="str">
        <f>'Data shares'!C102</f>
        <v>IRCTC</v>
      </c>
      <c r="B107" s="143">
        <f>VLOOKUP($A107,'Data shares'!$C:$FA,118)</f>
        <v>0.64</v>
      </c>
      <c r="C107" s="143">
        <f>VLOOKUP($A107,'Data shares'!$C:$FA,119)</f>
        <v>0.62</v>
      </c>
      <c r="D107" s="143">
        <f>VLOOKUP($A107,'Data shares'!$C:$FA,121)*100</f>
        <v>3.2300000000000004</v>
      </c>
      <c r="E107" s="143">
        <f>VLOOKUP($A107,'Data shares'!$C:$FA,124)</f>
        <v>0.4</v>
      </c>
      <c r="F107" s="143">
        <f>VLOOKUP($A107,'Data shares'!$C:$FA,125)</f>
        <v>0.32</v>
      </c>
      <c r="G107" s="143">
        <f>VLOOKUP($A107,'Data shares'!$C:$FA,127)*100</f>
        <v>25</v>
      </c>
      <c r="H107" s="103">
        <f>VLOOKUP($A107,'OI(Volume)'!$A$7:$O$427,8)</f>
        <v>12379500</v>
      </c>
      <c r="I107" s="103">
        <f>VLOOKUP($A107,'OI(Volume)'!$A$7:$O$427,9)</f>
        <v>-588000</v>
      </c>
      <c r="J107" s="103">
        <f>VLOOKUP($A107,'OI(Volume)'!$A$7:$O$427,11)</f>
        <v>7876750</v>
      </c>
      <c r="K107" s="103">
        <f>VLOOKUP($A107,'OI(Volume)'!$A$7:$O$427,12)</f>
        <v>-143500</v>
      </c>
      <c r="L107" s="103">
        <f>VLOOKUP($A107,'OI(Value)'!$A$7:$O$306,8,0)</f>
        <v>865</v>
      </c>
      <c r="M107" s="103">
        <f>VLOOKUP($A107,'OI(Value)'!$A$7:$O$306,9,0)</f>
        <v>-41</v>
      </c>
      <c r="N107" s="103">
        <f>VLOOKUP($A107,'OI(Value)'!$A$7:$O$306,11,0)</f>
        <v>551</v>
      </c>
      <c r="O107" s="103">
        <f>VLOOKUP($A107,'OI(Value)'!$A$7:$O$306,12,0)</f>
        <v>-10</v>
      </c>
      <c r="P107" s="179">
        <f>VLOOKUP(A107,'OI(Value)'!A107:O308,8,0)</f>
        <v>865</v>
      </c>
      <c r="Q107" s="179">
        <f>VLOOKUP(A107,'OI(Value)'!A107:O308,9,0)</f>
        <v>-41</v>
      </c>
      <c r="R107" s="179">
        <f>VLOOKUP(A107,'OI(Value)'!A107:O308,11,0)</f>
        <v>551</v>
      </c>
      <c r="S107" s="179">
        <f>VLOOKUP(A107,'OI(Value)'!A107:O308,11,0)</f>
        <v>551</v>
      </c>
    </row>
    <row r="108" spans="1:19" x14ac:dyDescent="0.25">
      <c r="A108" s="105" t="str">
        <f>'Data shares'!C103</f>
        <v>IREDA</v>
      </c>
      <c r="B108" s="143">
        <f>VLOOKUP($A108,'Data shares'!$C:$FA,118)</f>
        <v>0.56000000000000005</v>
      </c>
      <c r="C108" s="143">
        <f>VLOOKUP($A108,'Data shares'!$C:$FA,119)</f>
        <v>0.51</v>
      </c>
      <c r="D108" s="143">
        <f>VLOOKUP($A108,'Data shares'!$C:$FA,121)*100</f>
        <v>9.8000000000000007</v>
      </c>
      <c r="E108" s="143">
        <f>VLOOKUP($A108,'Data shares'!$C:$FA,124)</f>
        <v>0.23</v>
      </c>
      <c r="F108" s="143">
        <f>VLOOKUP($A108,'Data shares'!$C:$FA,125)</f>
        <v>0.32</v>
      </c>
      <c r="G108" s="143">
        <f>VLOOKUP($A108,'Data shares'!$C:$FA,127)*100</f>
        <v>-28.13</v>
      </c>
      <c r="H108" s="103">
        <f>VLOOKUP($A108,'OI(Volume)'!$A$7:$O$427,8)</f>
        <v>26820300</v>
      </c>
      <c r="I108" s="103">
        <f>VLOOKUP($A108,'OI(Volume)'!$A$7:$O$427,9)</f>
        <v>-2484000</v>
      </c>
      <c r="J108" s="103">
        <f>VLOOKUP($A108,'OI(Volume)'!$A$7:$O$427,11)</f>
        <v>15042000</v>
      </c>
      <c r="K108" s="103">
        <f>VLOOKUP($A108,'OI(Volume)'!$A$7:$O$427,12)</f>
        <v>189750</v>
      </c>
      <c r="L108" s="103">
        <f>VLOOKUP($A108,'OI(Value)'!$A$7:$O$306,8,0)</f>
        <v>394</v>
      </c>
      <c r="M108" s="103">
        <f>VLOOKUP($A108,'OI(Value)'!$A$7:$O$306,9,0)</f>
        <v>-36</v>
      </c>
      <c r="N108" s="103">
        <f>VLOOKUP($A108,'OI(Value)'!$A$7:$O$306,11,0)</f>
        <v>221</v>
      </c>
      <c r="O108" s="103">
        <f>VLOOKUP($A108,'OI(Value)'!$A$7:$O$306,12,0)</f>
        <v>3</v>
      </c>
      <c r="P108" s="179">
        <f>VLOOKUP(A108,'OI(Value)'!A108:O309,8,0)</f>
        <v>394</v>
      </c>
      <c r="Q108" s="179">
        <f>VLOOKUP(A108,'OI(Value)'!A108:O309,9,0)</f>
        <v>-36</v>
      </c>
      <c r="R108" s="179">
        <f>VLOOKUP(A108,'OI(Value)'!A108:O309,11,0)</f>
        <v>221</v>
      </c>
      <c r="S108" s="179">
        <f>VLOOKUP(A108,'OI(Value)'!A108:O309,11,0)</f>
        <v>221</v>
      </c>
    </row>
    <row r="109" spans="1:19" x14ac:dyDescent="0.25">
      <c r="A109" s="105" t="str">
        <f>'Data shares'!C104</f>
        <v>IRFC</v>
      </c>
      <c r="B109" s="143">
        <f>VLOOKUP($A109,'Data shares'!$C:$FA,118)</f>
        <v>0.49</v>
      </c>
      <c r="C109" s="143">
        <f>VLOOKUP($A109,'Data shares'!$C:$FA,119)</f>
        <v>0.48</v>
      </c>
      <c r="D109" s="143">
        <f>VLOOKUP($A109,'Data shares'!$C:$FA,121)*100</f>
        <v>2.08</v>
      </c>
      <c r="E109" s="143">
        <f>VLOOKUP($A109,'Data shares'!$C:$FA,124)</f>
        <v>0.34</v>
      </c>
      <c r="F109" s="143">
        <f>VLOOKUP($A109,'Data shares'!$C:$FA,125)</f>
        <v>0.25</v>
      </c>
      <c r="G109" s="143">
        <f>VLOOKUP($A109,'Data shares'!$C:$FA,127)*100</f>
        <v>36</v>
      </c>
      <c r="H109" s="103">
        <f>VLOOKUP($A109,'OI(Volume)'!$A$7:$O$427,8)</f>
        <v>36996250</v>
      </c>
      <c r="I109" s="103">
        <f>VLOOKUP($A109,'OI(Volume)'!$A$7:$O$427,9)</f>
        <v>-1151750</v>
      </c>
      <c r="J109" s="103">
        <f>VLOOKUP($A109,'OI(Volume)'!$A$7:$O$427,11)</f>
        <v>18279250</v>
      </c>
      <c r="K109" s="103">
        <f>VLOOKUP($A109,'OI(Volume)'!$A$7:$O$427,12)</f>
        <v>114750</v>
      </c>
      <c r="L109" s="103">
        <f>VLOOKUP($A109,'OI(Value)'!$A$7:$O$306,8,0)</f>
        <v>444</v>
      </c>
      <c r="M109" s="103">
        <f>VLOOKUP($A109,'OI(Value)'!$A$7:$O$306,9,0)</f>
        <v>-14</v>
      </c>
      <c r="N109" s="103">
        <f>VLOOKUP($A109,'OI(Value)'!$A$7:$O$306,11,0)</f>
        <v>219</v>
      </c>
      <c r="O109" s="103">
        <f>VLOOKUP($A109,'OI(Value)'!$A$7:$O$306,12,0)</f>
        <v>1</v>
      </c>
      <c r="P109" s="179">
        <f>VLOOKUP(A109,'OI(Value)'!A109:O310,8,0)</f>
        <v>444</v>
      </c>
      <c r="Q109" s="179">
        <f>VLOOKUP(A109,'OI(Value)'!A109:O310,9,0)</f>
        <v>-14</v>
      </c>
      <c r="R109" s="179">
        <f>VLOOKUP(A109,'OI(Value)'!A109:O310,11,0)</f>
        <v>219</v>
      </c>
      <c r="S109" s="179">
        <f>VLOOKUP(A109,'OI(Value)'!A109:O310,11,0)</f>
        <v>219</v>
      </c>
    </row>
    <row r="110" spans="1:19" x14ac:dyDescent="0.25">
      <c r="A110" s="105" t="str">
        <f>'Data shares'!C105</f>
        <v>ITC</v>
      </c>
      <c r="B110" s="143">
        <f>VLOOKUP($A110,'Data shares'!$C:$FA,118)</f>
        <v>0.46</v>
      </c>
      <c r="C110" s="143">
        <f>VLOOKUP($A110,'Data shares'!$C:$FA,119)</f>
        <v>0.46</v>
      </c>
      <c r="D110" s="143">
        <f>VLOOKUP($A110,'Data shares'!$C:$FA,121)*100</f>
        <v>0</v>
      </c>
      <c r="E110" s="143">
        <f>VLOOKUP($A110,'Data shares'!$C:$FA,124)</f>
        <v>0.45</v>
      </c>
      <c r="F110" s="143">
        <f>VLOOKUP($A110,'Data shares'!$C:$FA,125)</f>
        <v>0.4</v>
      </c>
      <c r="G110" s="143">
        <f>VLOOKUP($A110,'Data shares'!$C:$FA,127)*100</f>
        <v>12.5</v>
      </c>
      <c r="H110" s="103">
        <f>VLOOKUP($A110,'OI(Volume)'!$A$7:$O$427,8)</f>
        <v>69395200</v>
      </c>
      <c r="I110" s="103">
        <f>VLOOKUP($A110,'OI(Volume)'!$A$7:$O$427,9)</f>
        <v>-4558400</v>
      </c>
      <c r="J110" s="103">
        <f>VLOOKUP($A110,'OI(Volume)'!$A$7:$O$427,11)</f>
        <v>31897600</v>
      </c>
      <c r="K110" s="103">
        <f>VLOOKUP($A110,'OI(Volume)'!$A$7:$O$427,12)</f>
        <v>-1764800</v>
      </c>
      <c r="L110" s="103">
        <f>VLOOKUP($A110,'OI(Value)'!$A$7:$O$306,8,0)</f>
        <v>2816</v>
      </c>
      <c r="M110" s="103">
        <f>VLOOKUP($A110,'OI(Value)'!$A$7:$O$306,9,0)</f>
        <v>-185</v>
      </c>
      <c r="N110" s="103">
        <f>VLOOKUP($A110,'OI(Value)'!$A$7:$O$306,11,0)</f>
        <v>1295</v>
      </c>
      <c r="O110" s="103">
        <f>VLOOKUP($A110,'OI(Value)'!$A$7:$O$306,12,0)</f>
        <v>-72</v>
      </c>
      <c r="P110" s="179">
        <f>VLOOKUP(A110,'OI(Value)'!A110:O311,8,0)</f>
        <v>2816</v>
      </c>
      <c r="Q110" s="179">
        <f>VLOOKUP(A110,'OI(Value)'!A110:O311,9,0)</f>
        <v>-185</v>
      </c>
      <c r="R110" s="179">
        <f>VLOOKUP(A110,'OI(Value)'!A110:O311,11,0)</f>
        <v>1295</v>
      </c>
      <c r="S110" s="179">
        <f>VLOOKUP(A110,'OI(Value)'!A110:O311,11,0)</f>
        <v>1295</v>
      </c>
    </row>
    <row r="111" spans="1:19" x14ac:dyDescent="0.25">
      <c r="A111" s="105" t="str">
        <f>'Data shares'!C106</f>
        <v>JINDALSTEL</v>
      </c>
      <c r="B111" s="143">
        <f>VLOOKUP($A111,'Data shares'!$C:$FA,118)</f>
        <v>0.86</v>
      </c>
      <c r="C111" s="143">
        <f>VLOOKUP($A111,'Data shares'!$C:$FA,119)</f>
        <v>0.86</v>
      </c>
      <c r="D111" s="143">
        <f>VLOOKUP($A111,'Data shares'!$C:$FA,121)*100</f>
        <v>0</v>
      </c>
      <c r="E111" s="143">
        <f>VLOOKUP($A111,'Data shares'!$C:$FA,124)</f>
        <v>0.56000000000000005</v>
      </c>
      <c r="F111" s="143">
        <f>VLOOKUP($A111,'Data shares'!$C:$FA,125)</f>
        <v>0.55000000000000004</v>
      </c>
      <c r="G111" s="143">
        <f>VLOOKUP($A111,'Data shares'!$C:$FA,127)*100</f>
        <v>1.82</v>
      </c>
      <c r="H111" s="103">
        <f>VLOOKUP($A111,'OI(Volume)'!$A$7:$O$427,8)</f>
        <v>5850625</v>
      </c>
      <c r="I111" s="103">
        <f>VLOOKUP($A111,'OI(Volume)'!$A$7:$O$427,9)</f>
        <v>-370000</v>
      </c>
      <c r="J111" s="103">
        <f>VLOOKUP($A111,'OI(Volume)'!$A$7:$O$427,11)</f>
        <v>5031250</v>
      </c>
      <c r="K111" s="103">
        <f>VLOOKUP($A111,'OI(Volume)'!$A$7:$O$427,12)</f>
        <v>-324375</v>
      </c>
      <c r="L111" s="103">
        <f>VLOOKUP($A111,'OI(Value)'!$A$7:$O$306,8,0)</f>
        <v>626</v>
      </c>
      <c r="M111" s="103">
        <f>VLOOKUP($A111,'OI(Value)'!$A$7:$O$306,9,0)</f>
        <v>-40</v>
      </c>
      <c r="N111" s="103">
        <f>VLOOKUP($A111,'OI(Value)'!$A$7:$O$306,11,0)</f>
        <v>539</v>
      </c>
      <c r="O111" s="103">
        <f>VLOOKUP($A111,'OI(Value)'!$A$7:$O$306,12,0)</f>
        <v>-35</v>
      </c>
      <c r="P111" s="179">
        <f>VLOOKUP(A111,'OI(Value)'!A111:O312,8,0)</f>
        <v>626</v>
      </c>
      <c r="Q111" s="179">
        <f>VLOOKUP(A111,'OI(Value)'!A111:O312,9,0)</f>
        <v>-40</v>
      </c>
      <c r="R111" s="179">
        <f>VLOOKUP(A111,'OI(Value)'!A111:O312,11,0)</f>
        <v>539</v>
      </c>
      <c r="S111" s="179">
        <f>VLOOKUP(A111,'OI(Value)'!A111:O312,11,0)</f>
        <v>539</v>
      </c>
    </row>
    <row r="112" spans="1:19" x14ac:dyDescent="0.25">
      <c r="A112" s="105" t="str">
        <f>'Data shares'!C107</f>
        <v>JIOFIN</v>
      </c>
      <c r="B112" s="143">
        <f>VLOOKUP($A112,'Data shares'!$C:$FA,118)</f>
        <v>0.61</v>
      </c>
      <c r="C112" s="143">
        <f>VLOOKUP($A112,'Data shares'!$C:$FA,119)</f>
        <v>0.57999999999999996</v>
      </c>
      <c r="D112" s="143">
        <f>VLOOKUP($A112,'Data shares'!$C:$FA,121)*100</f>
        <v>5.17</v>
      </c>
      <c r="E112" s="143">
        <f>VLOOKUP($A112,'Data shares'!$C:$FA,124)</f>
        <v>0.35</v>
      </c>
      <c r="F112" s="143">
        <f>VLOOKUP($A112,'Data shares'!$C:$FA,125)</f>
        <v>0.4</v>
      </c>
      <c r="G112" s="143">
        <f>VLOOKUP($A112,'Data shares'!$C:$FA,127)*100</f>
        <v>-12.5</v>
      </c>
      <c r="H112" s="103">
        <f>VLOOKUP($A112,'OI(Volume)'!$A$7:$O$427,8)</f>
        <v>72455200</v>
      </c>
      <c r="I112" s="103">
        <f>VLOOKUP($A112,'OI(Volume)'!$A$7:$O$427,9)</f>
        <v>-3489750</v>
      </c>
      <c r="J112" s="103">
        <f>VLOOKUP($A112,'OI(Volume)'!$A$7:$O$427,11)</f>
        <v>43930900</v>
      </c>
      <c r="K112" s="103">
        <f>VLOOKUP($A112,'OI(Volume)'!$A$7:$O$427,12)</f>
        <v>-237350</v>
      </c>
      <c r="L112" s="103">
        <f>VLOOKUP($A112,'OI(Value)'!$A$7:$O$306,8,0)</f>
        <v>2237</v>
      </c>
      <c r="M112" s="103">
        <f>VLOOKUP($A112,'OI(Value)'!$A$7:$O$306,9,0)</f>
        <v>-108</v>
      </c>
      <c r="N112" s="103">
        <f>VLOOKUP($A112,'OI(Value)'!$A$7:$O$306,11,0)</f>
        <v>1357</v>
      </c>
      <c r="O112" s="103">
        <f>VLOOKUP($A112,'OI(Value)'!$A$7:$O$306,12,0)</f>
        <v>-7</v>
      </c>
      <c r="P112" s="179">
        <f>VLOOKUP(A112,'OI(Value)'!A112:O313,8,0)</f>
        <v>2237</v>
      </c>
      <c r="Q112" s="179">
        <f>VLOOKUP(A112,'OI(Value)'!A112:O313,9,0)</f>
        <v>-108</v>
      </c>
      <c r="R112" s="179">
        <f>VLOOKUP(A112,'OI(Value)'!A112:O313,11,0)</f>
        <v>1357</v>
      </c>
      <c r="S112" s="179">
        <f>VLOOKUP(A112,'OI(Value)'!A112:O313,11,0)</f>
        <v>1357</v>
      </c>
    </row>
    <row r="113" spans="1:19" x14ac:dyDescent="0.25">
      <c r="A113" s="105" t="str">
        <f>'Data shares'!C108</f>
        <v>JSWENERGY</v>
      </c>
      <c r="B113" s="143">
        <f>VLOOKUP($A113,'Data shares'!$C:$FA,118)</f>
        <v>0.44</v>
      </c>
      <c r="C113" s="143">
        <f>VLOOKUP($A113,'Data shares'!$C:$FA,119)</f>
        <v>0.41</v>
      </c>
      <c r="D113" s="143">
        <f>VLOOKUP($A113,'Data shares'!$C:$FA,121)*100</f>
        <v>7.32</v>
      </c>
      <c r="E113" s="143">
        <f>VLOOKUP($A113,'Data shares'!$C:$FA,124)</f>
        <v>0.45</v>
      </c>
      <c r="F113" s="143">
        <f>VLOOKUP($A113,'Data shares'!$C:$FA,125)</f>
        <v>0.45</v>
      </c>
      <c r="G113" s="143">
        <f>VLOOKUP($A113,'Data shares'!$C:$FA,127)*100</f>
        <v>0</v>
      </c>
      <c r="H113" s="103">
        <f>VLOOKUP($A113,'OI(Volume)'!$A$7:$O$427,8)</f>
        <v>14222000</v>
      </c>
      <c r="I113" s="103">
        <f>VLOOKUP($A113,'OI(Volume)'!$A$7:$O$427,9)</f>
        <v>988000</v>
      </c>
      <c r="J113" s="103">
        <f>VLOOKUP($A113,'OI(Volume)'!$A$7:$O$427,11)</f>
        <v>6287000</v>
      </c>
      <c r="K113" s="103">
        <f>VLOOKUP($A113,'OI(Volume)'!$A$7:$O$427,12)</f>
        <v>801000</v>
      </c>
      <c r="L113" s="103">
        <f>VLOOKUP($A113,'OI(Value)'!$A$7:$O$306,8,0)</f>
        <v>718</v>
      </c>
      <c r="M113" s="103">
        <f>VLOOKUP($A113,'OI(Value)'!$A$7:$O$306,9,0)</f>
        <v>50</v>
      </c>
      <c r="N113" s="103">
        <f>VLOOKUP($A113,'OI(Value)'!$A$7:$O$306,11,0)</f>
        <v>317</v>
      </c>
      <c r="O113" s="103">
        <f>VLOOKUP($A113,'OI(Value)'!$A$7:$O$306,12,0)</f>
        <v>40</v>
      </c>
      <c r="P113" s="179">
        <f>VLOOKUP(A113,'OI(Value)'!A113:O314,8,0)</f>
        <v>718</v>
      </c>
      <c r="Q113" s="179">
        <f>VLOOKUP(A113,'OI(Value)'!A113:O314,9,0)</f>
        <v>50</v>
      </c>
      <c r="R113" s="179">
        <f>VLOOKUP(A113,'OI(Value)'!A113:O314,11,0)</f>
        <v>317</v>
      </c>
      <c r="S113" s="179">
        <f>VLOOKUP(A113,'OI(Value)'!A113:O314,11,0)</f>
        <v>317</v>
      </c>
    </row>
    <row r="114" spans="1:19" x14ac:dyDescent="0.25">
      <c r="A114" s="105" t="str">
        <f>'Data shares'!C109</f>
        <v>JSWSTEEL</v>
      </c>
      <c r="B114" s="143">
        <f>VLOOKUP($A114,'Data shares'!$C:$FA,118)</f>
        <v>0.57999999999999996</v>
      </c>
      <c r="C114" s="143">
        <f>VLOOKUP($A114,'Data shares'!$C:$FA,119)</f>
        <v>0.55000000000000004</v>
      </c>
      <c r="D114" s="143">
        <f>VLOOKUP($A114,'Data shares'!$C:$FA,121)*100</f>
        <v>5.45</v>
      </c>
      <c r="E114" s="143">
        <f>VLOOKUP($A114,'Data shares'!$C:$FA,124)</f>
        <v>0.5</v>
      </c>
      <c r="F114" s="143">
        <f>VLOOKUP($A114,'Data shares'!$C:$FA,125)</f>
        <v>0.4</v>
      </c>
      <c r="G114" s="143">
        <f>VLOOKUP($A114,'Data shares'!$C:$FA,127)*100</f>
        <v>25</v>
      </c>
      <c r="H114" s="103">
        <f>VLOOKUP($A114,'OI(Volume)'!$A$7:$O$427,8)</f>
        <v>8662275</v>
      </c>
      <c r="I114" s="103">
        <f>VLOOKUP($A114,'OI(Volume)'!$A$7:$O$427,9)</f>
        <v>-562275</v>
      </c>
      <c r="J114" s="103">
        <f>VLOOKUP($A114,'OI(Volume)'!$A$7:$O$427,11)</f>
        <v>5017275</v>
      </c>
      <c r="K114" s="103">
        <f>VLOOKUP($A114,'OI(Volume)'!$A$7:$O$427,12)</f>
        <v>-76950</v>
      </c>
      <c r="L114" s="103">
        <f>VLOOKUP($A114,'OI(Value)'!$A$7:$O$306,8,0)</f>
        <v>1015</v>
      </c>
      <c r="M114" s="103">
        <f>VLOOKUP($A114,'OI(Value)'!$A$7:$O$306,9,0)</f>
        <v>-66</v>
      </c>
      <c r="N114" s="103">
        <f>VLOOKUP($A114,'OI(Value)'!$A$7:$O$306,11,0)</f>
        <v>588</v>
      </c>
      <c r="O114" s="103">
        <f>VLOOKUP($A114,'OI(Value)'!$A$7:$O$306,12,0)</f>
        <v>-9</v>
      </c>
      <c r="P114" s="179">
        <f>VLOOKUP(A114,'OI(Value)'!A114:O315,8,0)</f>
        <v>1015</v>
      </c>
      <c r="Q114" s="179">
        <f>VLOOKUP(A114,'OI(Value)'!A114:O315,9,0)</f>
        <v>-66</v>
      </c>
      <c r="R114" s="179">
        <f>VLOOKUP(A114,'OI(Value)'!A114:O315,11,0)</f>
        <v>588</v>
      </c>
      <c r="S114" s="179">
        <f>VLOOKUP(A114,'OI(Value)'!A114:O315,11,0)</f>
        <v>588</v>
      </c>
    </row>
    <row r="115" spans="1:19" x14ac:dyDescent="0.25">
      <c r="A115" s="105" t="str">
        <f>'Data shares'!C110</f>
        <v>JUBLFOOD</v>
      </c>
      <c r="B115" s="143">
        <f>VLOOKUP($A115,'Data shares'!$C:$FA,118)</f>
        <v>0.65</v>
      </c>
      <c r="C115" s="143">
        <f>VLOOKUP($A115,'Data shares'!$C:$FA,119)</f>
        <v>0.65</v>
      </c>
      <c r="D115" s="143">
        <f>VLOOKUP($A115,'Data shares'!$C:$FA,121)*100</f>
        <v>0</v>
      </c>
      <c r="E115" s="143">
        <f>VLOOKUP($A115,'Data shares'!$C:$FA,124)</f>
        <v>0.39</v>
      </c>
      <c r="F115" s="143">
        <f>VLOOKUP($A115,'Data shares'!$C:$FA,125)</f>
        <v>0.49</v>
      </c>
      <c r="G115" s="143">
        <f>VLOOKUP($A115,'Data shares'!$C:$FA,127)*100</f>
        <v>-20.41</v>
      </c>
      <c r="H115" s="103">
        <f>VLOOKUP($A115,'OI(Volume)'!$A$7:$O$427,8)</f>
        <v>12040000</v>
      </c>
      <c r="I115" s="103">
        <f>VLOOKUP($A115,'OI(Volume)'!$A$7:$O$427,9)</f>
        <v>-588750</v>
      </c>
      <c r="J115" s="103">
        <f>VLOOKUP($A115,'OI(Volume)'!$A$7:$O$427,11)</f>
        <v>7832500</v>
      </c>
      <c r="K115" s="103">
        <f>VLOOKUP($A115,'OI(Volume)'!$A$7:$O$427,12)</f>
        <v>-327500</v>
      </c>
      <c r="L115" s="103">
        <f>VLOOKUP($A115,'OI(Value)'!$A$7:$O$306,8,0)</f>
        <v>713</v>
      </c>
      <c r="M115" s="103">
        <f>VLOOKUP($A115,'OI(Value)'!$A$7:$O$306,9,0)</f>
        <v>-35</v>
      </c>
      <c r="N115" s="103">
        <f>VLOOKUP($A115,'OI(Value)'!$A$7:$O$306,11,0)</f>
        <v>464</v>
      </c>
      <c r="O115" s="103">
        <f>VLOOKUP($A115,'OI(Value)'!$A$7:$O$306,12,0)</f>
        <v>-19</v>
      </c>
      <c r="P115" s="179">
        <f>VLOOKUP(A115,'OI(Value)'!A115:O316,8,0)</f>
        <v>713</v>
      </c>
      <c r="Q115" s="179">
        <f>VLOOKUP(A115,'OI(Value)'!A115:O316,9,0)</f>
        <v>-35</v>
      </c>
      <c r="R115" s="179">
        <f>VLOOKUP(A115,'OI(Value)'!A115:O316,11,0)</f>
        <v>464</v>
      </c>
      <c r="S115" s="179">
        <f>VLOOKUP(A115,'OI(Value)'!A115:O316,11,0)</f>
        <v>464</v>
      </c>
    </row>
    <row r="116" spans="1:19" x14ac:dyDescent="0.25">
      <c r="A116" s="105" t="str">
        <f>'Data shares'!C111</f>
        <v>KALYANKJIL</v>
      </c>
      <c r="B116" s="143">
        <f>VLOOKUP($A116,'Data shares'!$C:$FA,118)</f>
        <v>0.52</v>
      </c>
      <c r="C116" s="143">
        <f>VLOOKUP($A116,'Data shares'!$C:$FA,119)</f>
        <v>0.48</v>
      </c>
      <c r="D116" s="143">
        <f>VLOOKUP($A116,'Data shares'!$C:$FA,121)*100</f>
        <v>8.33</v>
      </c>
      <c r="E116" s="143">
        <f>VLOOKUP($A116,'Data shares'!$C:$FA,124)</f>
        <v>0.37</v>
      </c>
      <c r="F116" s="143">
        <f>VLOOKUP($A116,'Data shares'!$C:$FA,125)</f>
        <v>0.35</v>
      </c>
      <c r="G116" s="143">
        <f>VLOOKUP($A116,'Data shares'!$C:$FA,127)*100</f>
        <v>5.71</v>
      </c>
      <c r="H116" s="103">
        <f>VLOOKUP($A116,'OI(Volume)'!$A$7:$O$427,8)</f>
        <v>11332875</v>
      </c>
      <c r="I116" s="103">
        <f>VLOOKUP($A116,'OI(Volume)'!$A$7:$O$427,9)</f>
        <v>-1574500</v>
      </c>
      <c r="J116" s="103">
        <f>VLOOKUP($A116,'OI(Volume)'!$A$7:$O$427,11)</f>
        <v>5929050</v>
      </c>
      <c r="K116" s="103">
        <f>VLOOKUP($A116,'OI(Volume)'!$A$7:$O$427,12)</f>
        <v>-251450</v>
      </c>
      <c r="L116" s="103">
        <f>VLOOKUP($A116,'OI(Value)'!$A$7:$O$306,8,0)</f>
        <v>572</v>
      </c>
      <c r="M116" s="103">
        <f>VLOOKUP($A116,'OI(Value)'!$A$7:$O$306,9,0)</f>
        <v>-79</v>
      </c>
      <c r="N116" s="103">
        <f>VLOOKUP($A116,'OI(Value)'!$A$7:$O$306,11,0)</f>
        <v>299</v>
      </c>
      <c r="O116" s="103">
        <f>VLOOKUP($A116,'OI(Value)'!$A$7:$O$306,12,0)</f>
        <v>-13</v>
      </c>
      <c r="P116" s="179">
        <f>VLOOKUP(A116,'OI(Value)'!A116:O317,8,0)</f>
        <v>572</v>
      </c>
      <c r="Q116" s="179">
        <f>VLOOKUP(A116,'OI(Value)'!A116:O317,9,0)</f>
        <v>-79</v>
      </c>
      <c r="R116" s="179">
        <f>VLOOKUP(A116,'OI(Value)'!A116:O317,11,0)</f>
        <v>299</v>
      </c>
      <c r="S116" s="179">
        <f>VLOOKUP(A116,'OI(Value)'!A116:O317,11,0)</f>
        <v>299</v>
      </c>
    </row>
    <row r="117" spans="1:19" x14ac:dyDescent="0.25">
      <c r="A117" s="105" t="str">
        <f>'Data shares'!C112</f>
        <v>KAYNES</v>
      </c>
      <c r="B117" s="143">
        <f>VLOOKUP($A117,'Data shares'!$C:$FA,118)</f>
        <v>0.33</v>
      </c>
      <c r="C117" s="143">
        <f>VLOOKUP($A117,'Data shares'!$C:$FA,119)</f>
        <v>0.31</v>
      </c>
      <c r="D117" s="143">
        <f>VLOOKUP($A117,'Data shares'!$C:$FA,121)*100</f>
        <v>6.45</v>
      </c>
      <c r="E117" s="143">
        <f>VLOOKUP($A117,'Data shares'!$C:$FA,124)</f>
        <v>0.32</v>
      </c>
      <c r="F117" s="143">
        <f>VLOOKUP($A117,'Data shares'!$C:$FA,125)</f>
        <v>0.3</v>
      </c>
      <c r="G117" s="143">
        <f>VLOOKUP($A117,'Data shares'!$C:$FA,127)*100</f>
        <v>6.67</v>
      </c>
      <c r="H117" s="103">
        <f>VLOOKUP($A117,'OI(Volume)'!$A$7:$O$427,8)</f>
        <v>3496100</v>
      </c>
      <c r="I117" s="103">
        <f>VLOOKUP($A117,'OI(Volume)'!$A$7:$O$427,9)</f>
        <v>-380900</v>
      </c>
      <c r="J117" s="103">
        <f>VLOOKUP($A117,'OI(Volume)'!$A$7:$O$427,11)</f>
        <v>1145500</v>
      </c>
      <c r="K117" s="103">
        <f>VLOOKUP($A117,'OI(Volume)'!$A$7:$O$427,12)</f>
        <v>-71100</v>
      </c>
      <c r="L117" s="103">
        <f>VLOOKUP($A117,'OI(Value)'!$A$7:$O$306,8,0)</f>
        <v>2090</v>
      </c>
      <c r="M117" s="103">
        <f>VLOOKUP($A117,'OI(Value)'!$A$7:$O$306,9,0)</f>
        <v>-228</v>
      </c>
      <c r="N117" s="103">
        <f>VLOOKUP($A117,'OI(Value)'!$A$7:$O$306,11,0)</f>
        <v>685</v>
      </c>
      <c r="O117" s="103">
        <f>VLOOKUP($A117,'OI(Value)'!$A$7:$O$306,12,0)</f>
        <v>-43</v>
      </c>
      <c r="P117" s="179">
        <f>VLOOKUP(A117,'OI(Value)'!A117:O318,8,0)</f>
        <v>2090</v>
      </c>
      <c r="Q117" s="179">
        <f>VLOOKUP(A117,'OI(Value)'!A117:O318,9,0)</f>
        <v>-228</v>
      </c>
      <c r="R117" s="179">
        <f>VLOOKUP(A117,'OI(Value)'!A117:O318,11,0)</f>
        <v>685</v>
      </c>
      <c r="S117" s="179">
        <f>VLOOKUP(A117,'OI(Value)'!A117:O318,11,0)</f>
        <v>685</v>
      </c>
    </row>
    <row r="118" spans="1:19" x14ac:dyDescent="0.25">
      <c r="A118" s="105" t="str">
        <f>'Data shares'!C113</f>
        <v>KEI</v>
      </c>
      <c r="B118" s="143">
        <f>VLOOKUP($A118,'Data shares'!$C:$FA,118)</f>
        <v>0.6</v>
      </c>
      <c r="C118" s="143">
        <f>VLOOKUP($A118,'Data shares'!$C:$FA,119)</f>
        <v>0.53</v>
      </c>
      <c r="D118" s="143">
        <f>VLOOKUP($A118,'Data shares'!$C:$FA,121)*100</f>
        <v>13.209999999999999</v>
      </c>
      <c r="E118" s="143">
        <f>VLOOKUP($A118,'Data shares'!$C:$FA,124)</f>
        <v>0.28999999999999998</v>
      </c>
      <c r="F118" s="143">
        <f>VLOOKUP($A118,'Data shares'!$C:$FA,125)</f>
        <v>0.52</v>
      </c>
      <c r="G118" s="143">
        <f>VLOOKUP($A118,'Data shares'!$C:$FA,127)*100</f>
        <v>-44.230000000000004</v>
      </c>
      <c r="H118" s="103">
        <f>VLOOKUP($A118,'OI(Volume)'!$A$7:$O$427,8)</f>
        <v>590800</v>
      </c>
      <c r="I118" s="103">
        <f>VLOOKUP($A118,'OI(Volume)'!$A$7:$O$427,9)</f>
        <v>-78050</v>
      </c>
      <c r="J118" s="103">
        <f>VLOOKUP($A118,'OI(Volume)'!$A$7:$O$427,11)</f>
        <v>352800</v>
      </c>
      <c r="K118" s="103">
        <f>VLOOKUP($A118,'OI(Volume)'!$A$7:$O$427,12)</f>
        <v>1050</v>
      </c>
      <c r="L118" s="103">
        <f>VLOOKUP($A118,'OI(Value)'!$A$7:$O$306,8,0)</f>
        <v>246</v>
      </c>
      <c r="M118" s="103">
        <f>VLOOKUP($A118,'OI(Value)'!$A$7:$O$306,9,0)</f>
        <v>-33</v>
      </c>
      <c r="N118" s="103">
        <f>VLOOKUP($A118,'OI(Value)'!$A$7:$O$306,11,0)</f>
        <v>147</v>
      </c>
      <c r="O118" s="103">
        <f>VLOOKUP($A118,'OI(Value)'!$A$7:$O$306,12,0)</f>
        <v>0</v>
      </c>
      <c r="P118" s="179">
        <f>VLOOKUP(A118,'OI(Value)'!A118:O319,8,0)</f>
        <v>246</v>
      </c>
      <c r="Q118" s="179">
        <f>VLOOKUP(A118,'OI(Value)'!A118:O319,9,0)</f>
        <v>-33</v>
      </c>
      <c r="R118" s="179">
        <f>VLOOKUP(A118,'OI(Value)'!A118:O319,11,0)</f>
        <v>147</v>
      </c>
      <c r="S118" s="179">
        <f>VLOOKUP(A118,'OI(Value)'!A118:O319,11,0)</f>
        <v>147</v>
      </c>
    </row>
    <row r="119" spans="1:19" x14ac:dyDescent="0.25">
      <c r="A119" s="105" t="str">
        <f>'Data shares'!C114</f>
        <v>KFINTECH</v>
      </c>
      <c r="B119" s="143">
        <f>VLOOKUP($A119,'Data shares'!$C:$FA,118)</f>
        <v>0.47</v>
      </c>
      <c r="C119" s="143">
        <f>VLOOKUP($A119,'Data shares'!$C:$FA,119)</f>
        <v>0.44</v>
      </c>
      <c r="D119" s="143">
        <f>VLOOKUP($A119,'Data shares'!$C:$FA,121)*100</f>
        <v>6.8199999999999994</v>
      </c>
      <c r="E119" s="143">
        <f>VLOOKUP($A119,'Data shares'!$C:$FA,124)</f>
        <v>0.35</v>
      </c>
      <c r="F119" s="143">
        <f>VLOOKUP($A119,'Data shares'!$C:$FA,125)</f>
        <v>0.36</v>
      </c>
      <c r="G119" s="143">
        <f>VLOOKUP($A119,'Data shares'!$C:$FA,127)*100</f>
        <v>-2.78</v>
      </c>
      <c r="H119" s="103">
        <f>VLOOKUP($A119,'OI(Volume)'!$A$7:$O$427,8)</f>
        <v>3920300</v>
      </c>
      <c r="I119" s="103">
        <f>VLOOKUP($A119,'OI(Volume)'!$A$7:$O$427,9)</f>
        <v>-396850</v>
      </c>
      <c r="J119" s="103">
        <f>VLOOKUP($A119,'OI(Volume)'!$A$7:$O$427,11)</f>
        <v>1842700</v>
      </c>
      <c r="K119" s="103">
        <f>VLOOKUP($A119,'OI(Volume)'!$A$7:$O$427,12)</f>
        <v>-45550</v>
      </c>
      <c r="L119" s="103">
        <f>VLOOKUP($A119,'OI(Value)'!$A$7:$O$306,8,0)</f>
        <v>424</v>
      </c>
      <c r="M119" s="103">
        <f>VLOOKUP($A119,'OI(Value)'!$A$7:$O$306,9,0)</f>
        <v>-43</v>
      </c>
      <c r="N119" s="103">
        <f>VLOOKUP($A119,'OI(Value)'!$A$7:$O$306,11,0)</f>
        <v>199</v>
      </c>
      <c r="O119" s="103">
        <f>VLOOKUP($A119,'OI(Value)'!$A$7:$O$306,12,0)</f>
        <v>-5</v>
      </c>
      <c r="P119" s="179">
        <f>VLOOKUP(A119,'OI(Value)'!A119:O320,8,0)</f>
        <v>424</v>
      </c>
      <c r="Q119" s="179">
        <f>VLOOKUP(A119,'OI(Value)'!A119:O320,9,0)</f>
        <v>-43</v>
      </c>
      <c r="R119" s="179">
        <f>VLOOKUP(A119,'OI(Value)'!A119:O320,11,0)</f>
        <v>199</v>
      </c>
      <c r="S119" s="179">
        <f>VLOOKUP(A119,'OI(Value)'!A119:O320,11,0)</f>
        <v>199</v>
      </c>
    </row>
    <row r="120" spans="1:19" x14ac:dyDescent="0.25">
      <c r="A120" s="105" t="str">
        <f>'Data shares'!C115</f>
        <v>KOTAKBANK</v>
      </c>
      <c r="B120" s="143">
        <f>VLOOKUP($A120,'Data shares'!$C:$FA,118)</f>
        <v>0.52</v>
      </c>
      <c r="C120" s="143">
        <f>VLOOKUP($A120,'Data shares'!$C:$FA,119)</f>
        <v>0.5</v>
      </c>
      <c r="D120" s="143">
        <f>VLOOKUP($A120,'Data shares'!$C:$FA,121)*100</f>
        <v>4</v>
      </c>
      <c r="E120" s="143">
        <f>VLOOKUP($A120,'Data shares'!$C:$FA,124)</f>
        <v>0.44</v>
      </c>
      <c r="F120" s="143">
        <f>VLOOKUP($A120,'Data shares'!$C:$FA,125)</f>
        <v>0.41</v>
      </c>
      <c r="G120" s="143">
        <f>VLOOKUP($A120,'Data shares'!$C:$FA,127)*100</f>
        <v>7.32</v>
      </c>
      <c r="H120" s="103">
        <f>VLOOKUP($A120,'OI(Volume)'!$A$7:$O$427,8)</f>
        <v>14040000</v>
      </c>
      <c r="I120" s="103">
        <f>VLOOKUP($A120,'OI(Volume)'!$A$7:$O$427,9)</f>
        <v>-928800</v>
      </c>
      <c r="J120" s="103">
        <f>VLOOKUP($A120,'OI(Volume)'!$A$7:$O$427,11)</f>
        <v>7238800</v>
      </c>
      <c r="K120" s="103">
        <f>VLOOKUP($A120,'OI(Volume)'!$A$7:$O$427,12)</f>
        <v>-196000</v>
      </c>
      <c r="L120" s="103">
        <f>VLOOKUP($A120,'OI(Value)'!$A$7:$O$306,8,0)</f>
        <v>2944</v>
      </c>
      <c r="M120" s="103">
        <f>VLOOKUP($A120,'OI(Value)'!$A$7:$O$306,9,0)</f>
        <v>-195</v>
      </c>
      <c r="N120" s="103">
        <f>VLOOKUP($A120,'OI(Value)'!$A$7:$O$306,11,0)</f>
        <v>1518</v>
      </c>
      <c r="O120" s="103">
        <f>VLOOKUP($A120,'OI(Value)'!$A$7:$O$306,12,0)</f>
        <v>-41</v>
      </c>
      <c r="P120" s="179">
        <f>VLOOKUP(A120,'OI(Value)'!A120:O321,8,0)</f>
        <v>2944</v>
      </c>
      <c r="Q120" s="179">
        <f>VLOOKUP(A120,'OI(Value)'!A120:O321,9,0)</f>
        <v>-195</v>
      </c>
      <c r="R120" s="179">
        <f>VLOOKUP(A120,'OI(Value)'!A120:O321,11,0)</f>
        <v>1518</v>
      </c>
      <c r="S120" s="179">
        <f>VLOOKUP(A120,'OI(Value)'!A120:O321,11,0)</f>
        <v>1518</v>
      </c>
    </row>
    <row r="121" spans="1:19" x14ac:dyDescent="0.25">
      <c r="A121" s="105" t="str">
        <f>'Data shares'!C116</f>
        <v>KPITTECH</v>
      </c>
      <c r="B121" s="143">
        <f>VLOOKUP($A121,'Data shares'!$C:$FA,118)</f>
        <v>0.79</v>
      </c>
      <c r="C121" s="143">
        <f>VLOOKUP($A121,'Data shares'!$C:$FA,119)</f>
        <v>0.82</v>
      </c>
      <c r="D121" s="143">
        <f>VLOOKUP($A121,'Data shares'!$C:$FA,121)*100</f>
        <v>-3.66</v>
      </c>
      <c r="E121" s="143">
        <f>VLOOKUP($A121,'Data shares'!$C:$FA,124)</f>
        <v>0.21</v>
      </c>
      <c r="F121" s="143">
        <f>VLOOKUP($A121,'Data shares'!$C:$FA,125)</f>
        <v>0.33</v>
      </c>
      <c r="G121" s="143">
        <f>VLOOKUP($A121,'Data shares'!$C:$FA,127)*100</f>
        <v>-36.36</v>
      </c>
      <c r="H121" s="103">
        <f>VLOOKUP($A121,'OI(Volume)'!$A$7:$O$427,8)</f>
        <v>2057375</v>
      </c>
      <c r="I121" s="103">
        <f>VLOOKUP($A121,'OI(Volume)'!$A$7:$O$427,9)</f>
        <v>58000</v>
      </c>
      <c r="J121" s="103">
        <f>VLOOKUP($A121,'OI(Volume)'!$A$7:$O$427,11)</f>
        <v>1624150</v>
      </c>
      <c r="K121" s="103">
        <f>VLOOKUP($A121,'OI(Volume)'!$A$7:$O$427,12)</f>
        <v>-20800</v>
      </c>
      <c r="L121" s="103">
        <f>VLOOKUP($A121,'OI(Value)'!$A$7:$O$306,8,0)</f>
        <v>247</v>
      </c>
      <c r="M121" s="103">
        <f>VLOOKUP($A121,'OI(Value)'!$A$7:$O$306,9,0)</f>
        <v>7</v>
      </c>
      <c r="N121" s="103">
        <f>VLOOKUP($A121,'OI(Value)'!$A$7:$O$306,11,0)</f>
        <v>195</v>
      </c>
      <c r="O121" s="103">
        <f>VLOOKUP($A121,'OI(Value)'!$A$7:$O$306,12,0)</f>
        <v>-2</v>
      </c>
      <c r="P121" s="179">
        <f>VLOOKUP(A121,'OI(Value)'!A121:O322,8,0)</f>
        <v>247</v>
      </c>
      <c r="Q121" s="179">
        <f>VLOOKUP(A121,'OI(Value)'!A121:O322,9,0)</f>
        <v>7</v>
      </c>
      <c r="R121" s="179">
        <f>VLOOKUP(A121,'OI(Value)'!A121:O322,11,0)</f>
        <v>195</v>
      </c>
      <c r="S121" s="179">
        <f>VLOOKUP(A121,'OI(Value)'!A121:O322,11,0)</f>
        <v>195</v>
      </c>
    </row>
    <row r="122" spans="1:19" x14ac:dyDescent="0.25">
      <c r="A122" s="105" t="str">
        <f>'Data shares'!C117</f>
        <v>LAURUSLABS</v>
      </c>
      <c r="B122" s="143">
        <f>VLOOKUP($A122,'Data shares'!$C:$FA,118)</f>
        <v>0.7</v>
      </c>
      <c r="C122" s="143">
        <f>VLOOKUP($A122,'Data shares'!$C:$FA,119)</f>
        <v>0.71</v>
      </c>
      <c r="D122" s="143">
        <f>VLOOKUP($A122,'Data shares'!$C:$FA,121)*100</f>
        <v>-1.41</v>
      </c>
      <c r="E122" s="143">
        <f>VLOOKUP($A122,'Data shares'!$C:$FA,124)</f>
        <v>0.66</v>
      </c>
      <c r="F122" s="143">
        <f>VLOOKUP($A122,'Data shares'!$C:$FA,125)</f>
        <v>0.66</v>
      </c>
      <c r="G122" s="143">
        <f>VLOOKUP($A122,'Data shares'!$C:$FA,127)*100</f>
        <v>0</v>
      </c>
      <c r="H122" s="103">
        <f>VLOOKUP($A122,'OI(Volume)'!$A$7:$O$427,8)</f>
        <v>12208550</v>
      </c>
      <c r="I122" s="103">
        <f>VLOOKUP($A122,'OI(Volume)'!$A$7:$O$427,9)</f>
        <v>-462400</v>
      </c>
      <c r="J122" s="103">
        <f>VLOOKUP($A122,'OI(Volume)'!$A$7:$O$427,11)</f>
        <v>8523800</v>
      </c>
      <c r="K122" s="103">
        <f>VLOOKUP($A122,'OI(Volume)'!$A$7:$O$427,12)</f>
        <v>-494700</v>
      </c>
      <c r="L122" s="103">
        <f>VLOOKUP($A122,'OI(Value)'!$A$7:$O$306,8,0)</f>
        <v>1205</v>
      </c>
      <c r="M122" s="103">
        <f>VLOOKUP($A122,'OI(Value)'!$A$7:$O$306,9,0)</f>
        <v>-46</v>
      </c>
      <c r="N122" s="103">
        <f>VLOOKUP($A122,'OI(Value)'!$A$7:$O$306,11,0)</f>
        <v>841</v>
      </c>
      <c r="O122" s="103">
        <f>VLOOKUP($A122,'OI(Value)'!$A$7:$O$306,12,0)</f>
        <v>-49</v>
      </c>
      <c r="P122" s="179">
        <f>VLOOKUP(A122,'OI(Value)'!A122:O323,8,0)</f>
        <v>1205</v>
      </c>
      <c r="Q122" s="179">
        <f>VLOOKUP(A122,'OI(Value)'!A122:O323,9,0)</f>
        <v>-46</v>
      </c>
      <c r="R122" s="179">
        <f>VLOOKUP(A122,'OI(Value)'!A122:O323,11,0)</f>
        <v>841</v>
      </c>
      <c r="S122" s="179">
        <f>VLOOKUP(A122,'OI(Value)'!A122:O323,11,0)</f>
        <v>841</v>
      </c>
    </row>
    <row r="123" spans="1:19" x14ac:dyDescent="0.25">
      <c r="A123" s="105" t="str">
        <f>'Data shares'!C118</f>
        <v>LICHSGFIN</v>
      </c>
      <c r="B123" s="143">
        <f>VLOOKUP($A123,'Data shares'!$C:$FA,118)</f>
        <v>0.7</v>
      </c>
      <c r="C123" s="143">
        <f>VLOOKUP($A123,'Data shares'!$C:$FA,119)</f>
        <v>0.66</v>
      </c>
      <c r="D123" s="143">
        <f>VLOOKUP($A123,'Data shares'!$C:$FA,121)*100</f>
        <v>6.0600000000000005</v>
      </c>
      <c r="E123" s="143">
        <f>VLOOKUP($A123,'Data shares'!$C:$FA,124)</f>
        <v>0.5</v>
      </c>
      <c r="F123" s="143">
        <f>VLOOKUP($A123,'Data shares'!$C:$FA,125)</f>
        <v>0.35</v>
      </c>
      <c r="G123" s="143">
        <f>VLOOKUP($A123,'Data shares'!$C:$FA,127)*100</f>
        <v>42.86</v>
      </c>
      <c r="H123" s="103">
        <f>VLOOKUP($A123,'OI(Volume)'!$A$7:$O$427,8)</f>
        <v>12732000</v>
      </c>
      <c r="I123" s="103">
        <f>VLOOKUP($A123,'OI(Volume)'!$A$7:$O$427,9)</f>
        <v>269000</v>
      </c>
      <c r="J123" s="103">
        <f>VLOOKUP($A123,'OI(Volume)'!$A$7:$O$427,11)</f>
        <v>8864000</v>
      </c>
      <c r="K123" s="103">
        <f>VLOOKUP($A123,'OI(Volume)'!$A$7:$O$427,12)</f>
        <v>626000</v>
      </c>
      <c r="L123" s="103">
        <f>VLOOKUP($A123,'OI(Value)'!$A$7:$O$306,8,0)</f>
        <v>707</v>
      </c>
      <c r="M123" s="103">
        <f>VLOOKUP($A123,'OI(Value)'!$A$7:$O$306,9,0)</f>
        <v>15</v>
      </c>
      <c r="N123" s="103">
        <f>VLOOKUP($A123,'OI(Value)'!$A$7:$O$306,11,0)</f>
        <v>492</v>
      </c>
      <c r="O123" s="103">
        <f>VLOOKUP($A123,'OI(Value)'!$A$7:$O$306,12,0)</f>
        <v>35</v>
      </c>
      <c r="P123" s="179">
        <f>VLOOKUP(A123,'OI(Value)'!A123:O324,8,0)</f>
        <v>707</v>
      </c>
      <c r="Q123" s="179">
        <f>VLOOKUP(A123,'OI(Value)'!A123:O324,9,0)</f>
        <v>15</v>
      </c>
      <c r="R123" s="179">
        <f>VLOOKUP(A123,'OI(Value)'!A123:O324,11,0)</f>
        <v>492</v>
      </c>
      <c r="S123" s="179">
        <f>VLOOKUP(A123,'OI(Value)'!A123:O324,11,0)</f>
        <v>492</v>
      </c>
    </row>
    <row r="124" spans="1:19" x14ac:dyDescent="0.25">
      <c r="A124" s="105" t="str">
        <f>'Data shares'!C119</f>
        <v>LICI</v>
      </c>
      <c r="B124" s="143">
        <f>VLOOKUP($A124,'Data shares'!$C:$FA,118)</f>
        <v>0.51</v>
      </c>
      <c r="C124" s="143">
        <f>VLOOKUP($A124,'Data shares'!$C:$FA,119)</f>
        <v>0.51</v>
      </c>
      <c r="D124" s="143">
        <f>VLOOKUP($A124,'Data shares'!$C:$FA,121)*100</f>
        <v>0</v>
      </c>
      <c r="E124" s="143">
        <f>VLOOKUP($A124,'Data shares'!$C:$FA,124)</f>
        <v>0.34</v>
      </c>
      <c r="F124" s="143">
        <f>VLOOKUP($A124,'Data shares'!$C:$FA,125)</f>
        <v>0.33</v>
      </c>
      <c r="G124" s="143">
        <f>VLOOKUP($A124,'Data shares'!$C:$FA,127)*100</f>
        <v>3.0300000000000002</v>
      </c>
      <c r="H124" s="103">
        <f>VLOOKUP($A124,'OI(Volume)'!$A$7:$O$427,8)</f>
        <v>8239700</v>
      </c>
      <c r="I124" s="103">
        <f>VLOOKUP($A124,'OI(Volume)'!$A$7:$O$427,9)</f>
        <v>-297500</v>
      </c>
      <c r="J124" s="103">
        <f>VLOOKUP($A124,'OI(Volume)'!$A$7:$O$427,11)</f>
        <v>4201400</v>
      </c>
      <c r="K124" s="103">
        <f>VLOOKUP($A124,'OI(Volume)'!$A$7:$O$427,12)</f>
        <v>-177800</v>
      </c>
      <c r="L124" s="103">
        <f>VLOOKUP($A124,'OI(Value)'!$A$7:$O$306,8,0)</f>
        <v>748</v>
      </c>
      <c r="M124" s="103">
        <f>VLOOKUP($A124,'OI(Value)'!$A$7:$O$306,9,0)</f>
        <v>-27</v>
      </c>
      <c r="N124" s="103">
        <f>VLOOKUP($A124,'OI(Value)'!$A$7:$O$306,11,0)</f>
        <v>382</v>
      </c>
      <c r="O124" s="103">
        <f>VLOOKUP($A124,'OI(Value)'!$A$7:$O$306,12,0)</f>
        <v>-16</v>
      </c>
      <c r="P124" s="179">
        <f>VLOOKUP(A124,'OI(Value)'!A124:O325,8,0)</f>
        <v>748</v>
      </c>
      <c r="Q124" s="179">
        <f>VLOOKUP(A124,'OI(Value)'!A124:O325,9,0)</f>
        <v>-27</v>
      </c>
      <c r="R124" s="179">
        <f>VLOOKUP(A124,'OI(Value)'!A124:O325,11,0)</f>
        <v>382</v>
      </c>
      <c r="S124" s="179">
        <f>VLOOKUP(A124,'OI(Value)'!A124:O325,11,0)</f>
        <v>382</v>
      </c>
    </row>
    <row r="125" spans="1:19" x14ac:dyDescent="0.25">
      <c r="A125" s="105" t="str">
        <f>'Data shares'!C120</f>
        <v>LODHA</v>
      </c>
      <c r="B125" s="143">
        <f>VLOOKUP($A125,'Data shares'!$C:$FA,118)</f>
        <v>0.66</v>
      </c>
      <c r="C125" s="143">
        <f>VLOOKUP($A125,'Data shares'!$C:$FA,119)</f>
        <v>0.67</v>
      </c>
      <c r="D125" s="143">
        <f>VLOOKUP($A125,'Data shares'!$C:$FA,121)*100</f>
        <v>-1.49</v>
      </c>
      <c r="E125" s="143">
        <f>VLOOKUP($A125,'Data shares'!$C:$FA,124)</f>
        <v>0.36</v>
      </c>
      <c r="F125" s="143">
        <f>VLOOKUP($A125,'Data shares'!$C:$FA,125)</f>
        <v>0.38</v>
      </c>
      <c r="G125" s="143">
        <f>VLOOKUP($A125,'Data shares'!$C:$FA,127)*100</f>
        <v>-5.26</v>
      </c>
      <c r="H125" s="103">
        <f>VLOOKUP($A125,'OI(Volume)'!$A$7:$O$427,8)</f>
        <v>2905200</v>
      </c>
      <c r="I125" s="103">
        <f>VLOOKUP($A125,'OI(Volume)'!$A$7:$O$427,9)</f>
        <v>197100</v>
      </c>
      <c r="J125" s="103">
        <f>VLOOKUP($A125,'OI(Volume)'!$A$7:$O$427,11)</f>
        <v>1912950</v>
      </c>
      <c r="K125" s="103">
        <f>VLOOKUP($A125,'OI(Volume)'!$A$7:$O$427,12)</f>
        <v>108000</v>
      </c>
      <c r="L125" s="103">
        <f>VLOOKUP($A125,'OI(Value)'!$A$7:$O$306,8,0)</f>
        <v>350</v>
      </c>
      <c r="M125" s="103">
        <f>VLOOKUP($A125,'OI(Value)'!$A$7:$O$306,9,0)</f>
        <v>24</v>
      </c>
      <c r="N125" s="103">
        <f>VLOOKUP($A125,'OI(Value)'!$A$7:$O$306,11,0)</f>
        <v>230</v>
      </c>
      <c r="O125" s="103">
        <f>VLOOKUP($A125,'OI(Value)'!$A$7:$O$306,12,0)</f>
        <v>13</v>
      </c>
      <c r="P125" s="179">
        <f>VLOOKUP(A125,'OI(Value)'!A125:O326,8,0)</f>
        <v>350</v>
      </c>
      <c r="Q125" s="179">
        <f>VLOOKUP(A125,'OI(Value)'!A125:O326,9,0)</f>
        <v>24</v>
      </c>
      <c r="R125" s="179">
        <f>VLOOKUP(A125,'OI(Value)'!A125:O326,11,0)</f>
        <v>230</v>
      </c>
      <c r="S125" s="179">
        <f>VLOOKUP(A125,'OI(Value)'!A125:O326,11,0)</f>
        <v>230</v>
      </c>
    </row>
    <row r="126" spans="1:19" x14ac:dyDescent="0.25">
      <c r="A126" s="105" t="str">
        <f>'Data shares'!C121</f>
        <v>LT</v>
      </c>
      <c r="B126" s="143">
        <f>VLOOKUP($A126,'Data shares'!$C:$FA,118)</f>
        <v>0.59</v>
      </c>
      <c r="C126" s="143">
        <f>VLOOKUP($A126,'Data shares'!$C:$FA,119)</f>
        <v>0.52</v>
      </c>
      <c r="D126" s="143">
        <f>VLOOKUP($A126,'Data shares'!$C:$FA,121)*100</f>
        <v>13.459999999999999</v>
      </c>
      <c r="E126" s="143">
        <f>VLOOKUP($A126,'Data shares'!$C:$FA,124)</f>
        <v>0.46</v>
      </c>
      <c r="F126" s="143">
        <f>VLOOKUP($A126,'Data shares'!$C:$FA,125)</f>
        <v>0.5</v>
      </c>
      <c r="G126" s="143">
        <f>VLOOKUP($A126,'Data shares'!$C:$FA,127)*100</f>
        <v>-8</v>
      </c>
      <c r="H126" s="103">
        <f>VLOOKUP($A126,'OI(Volume)'!$A$7:$O$427,8)</f>
        <v>6524350</v>
      </c>
      <c r="I126" s="103">
        <f>VLOOKUP($A126,'OI(Volume)'!$A$7:$O$427,9)</f>
        <v>-502775</v>
      </c>
      <c r="J126" s="103">
        <f>VLOOKUP($A126,'OI(Volume)'!$A$7:$O$427,11)</f>
        <v>3840025</v>
      </c>
      <c r="K126" s="103">
        <f>VLOOKUP($A126,'OI(Volume)'!$A$7:$O$427,12)</f>
        <v>212625</v>
      </c>
      <c r="L126" s="103">
        <f>VLOOKUP($A126,'OI(Value)'!$A$7:$O$306,8,0)</f>
        <v>2636</v>
      </c>
      <c r="M126" s="103">
        <f>VLOOKUP($A126,'OI(Value)'!$A$7:$O$306,9,0)</f>
        <v>-203</v>
      </c>
      <c r="N126" s="103">
        <f>VLOOKUP($A126,'OI(Value)'!$A$7:$O$306,11,0)</f>
        <v>1551</v>
      </c>
      <c r="O126" s="103">
        <f>VLOOKUP($A126,'OI(Value)'!$A$7:$O$306,12,0)</f>
        <v>86</v>
      </c>
      <c r="P126" s="179">
        <f>VLOOKUP(A126,'OI(Value)'!A126:O327,8,0)</f>
        <v>2636</v>
      </c>
      <c r="Q126" s="179">
        <f>VLOOKUP(A126,'OI(Value)'!A126:O327,9,0)</f>
        <v>-203</v>
      </c>
      <c r="R126" s="179">
        <f>VLOOKUP(A126,'OI(Value)'!A126:O327,11,0)</f>
        <v>1551</v>
      </c>
      <c r="S126" s="179">
        <f>VLOOKUP(A126,'OI(Value)'!A126:O327,11,0)</f>
        <v>1551</v>
      </c>
    </row>
    <row r="127" spans="1:19" x14ac:dyDescent="0.25">
      <c r="A127" s="105" t="str">
        <f>'Data shares'!C122</f>
        <v>LTF</v>
      </c>
      <c r="B127" s="143">
        <f>VLOOKUP($A127,'Data shares'!$C:$FA,118)</f>
        <v>0.84</v>
      </c>
      <c r="C127" s="143">
        <f>VLOOKUP($A127,'Data shares'!$C:$FA,119)</f>
        <v>0.83</v>
      </c>
      <c r="D127" s="143">
        <f>VLOOKUP($A127,'Data shares'!$C:$FA,121)*100</f>
        <v>1.2</v>
      </c>
      <c r="E127" s="143">
        <f>VLOOKUP($A127,'Data shares'!$C:$FA,124)</f>
        <v>0.45</v>
      </c>
      <c r="F127" s="143">
        <f>VLOOKUP($A127,'Data shares'!$C:$FA,125)</f>
        <v>0.54</v>
      </c>
      <c r="G127" s="143">
        <f>VLOOKUP($A127,'Data shares'!$C:$FA,127)*100</f>
        <v>-16.669999999999998</v>
      </c>
      <c r="H127" s="103">
        <f>VLOOKUP($A127,'OI(Volume)'!$A$7:$O$427,8)</f>
        <v>39670342</v>
      </c>
      <c r="I127" s="103">
        <f>VLOOKUP($A127,'OI(Volume)'!$A$7:$O$427,9)</f>
        <v>-1180180</v>
      </c>
      <c r="J127" s="103">
        <f>VLOOKUP($A127,'OI(Volume)'!$A$7:$O$427,11)</f>
        <v>33313672</v>
      </c>
      <c r="K127" s="103">
        <f>VLOOKUP($A127,'OI(Volume)'!$A$7:$O$427,12)</f>
        <v>-742828</v>
      </c>
      <c r="L127" s="103">
        <f>VLOOKUP($A127,'OI(Value)'!$A$7:$O$306,8,0)</f>
        <v>1162</v>
      </c>
      <c r="M127" s="103">
        <f>VLOOKUP($A127,'OI(Value)'!$A$7:$O$306,9,0)</f>
        <v>-35</v>
      </c>
      <c r="N127" s="103">
        <f>VLOOKUP($A127,'OI(Value)'!$A$7:$O$306,11,0)</f>
        <v>976</v>
      </c>
      <c r="O127" s="103">
        <f>VLOOKUP($A127,'OI(Value)'!$A$7:$O$306,12,0)</f>
        <v>-22</v>
      </c>
      <c r="P127" s="179">
        <f>VLOOKUP(A127,'OI(Value)'!A127:O328,8,0)</f>
        <v>1162</v>
      </c>
      <c r="Q127" s="179">
        <f>VLOOKUP(A127,'OI(Value)'!A127:O328,9,0)</f>
        <v>-35</v>
      </c>
      <c r="R127" s="179">
        <f>VLOOKUP(A127,'OI(Value)'!A127:O328,11,0)</f>
        <v>976</v>
      </c>
      <c r="S127" s="179">
        <f>VLOOKUP(A127,'OI(Value)'!A127:O328,11,0)</f>
        <v>976</v>
      </c>
    </row>
    <row r="128" spans="1:19" x14ac:dyDescent="0.25">
      <c r="A128" s="105" t="str">
        <f>'Data shares'!C123</f>
        <v>LTIM</v>
      </c>
      <c r="B128" s="143">
        <f>VLOOKUP($A128,'Data shares'!$C:$FA,118)</f>
        <v>0.76</v>
      </c>
      <c r="C128" s="143">
        <f>VLOOKUP($A128,'Data shares'!$C:$FA,119)</f>
        <v>0.65</v>
      </c>
      <c r="D128" s="143">
        <f>VLOOKUP($A128,'Data shares'!$C:$FA,121)*100</f>
        <v>16.919999999999998</v>
      </c>
      <c r="E128" s="143">
        <f>VLOOKUP($A128,'Data shares'!$C:$FA,124)</f>
        <v>0.46</v>
      </c>
      <c r="F128" s="143">
        <f>VLOOKUP($A128,'Data shares'!$C:$FA,125)</f>
        <v>0.28000000000000003</v>
      </c>
      <c r="G128" s="143">
        <f>VLOOKUP($A128,'Data shares'!$C:$FA,127)*100</f>
        <v>64.290000000000006</v>
      </c>
      <c r="H128" s="103">
        <f>VLOOKUP($A128,'OI(Volume)'!$A$7:$O$427,8)</f>
        <v>1083300</v>
      </c>
      <c r="I128" s="103">
        <f>VLOOKUP($A128,'OI(Volume)'!$A$7:$O$427,9)</f>
        <v>-127800</v>
      </c>
      <c r="J128" s="103">
        <f>VLOOKUP($A128,'OI(Volume)'!$A$7:$O$427,11)</f>
        <v>823650</v>
      </c>
      <c r="K128" s="103">
        <f>VLOOKUP($A128,'OI(Volume)'!$A$7:$O$427,12)</f>
        <v>32850</v>
      </c>
      <c r="L128" s="103">
        <f>VLOOKUP($A128,'OI(Value)'!$A$7:$O$306,8,0)</f>
        <v>654</v>
      </c>
      <c r="M128" s="103">
        <f>VLOOKUP($A128,'OI(Value)'!$A$7:$O$306,9,0)</f>
        <v>-77</v>
      </c>
      <c r="N128" s="103">
        <f>VLOOKUP($A128,'OI(Value)'!$A$7:$O$306,11,0)</f>
        <v>497</v>
      </c>
      <c r="O128" s="103">
        <f>VLOOKUP($A128,'OI(Value)'!$A$7:$O$306,12,0)</f>
        <v>20</v>
      </c>
      <c r="P128" s="179">
        <f>VLOOKUP(A128,'OI(Value)'!A128:O329,8,0)</f>
        <v>654</v>
      </c>
      <c r="Q128" s="179">
        <f>VLOOKUP(A128,'OI(Value)'!A128:O329,9,0)</f>
        <v>-77</v>
      </c>
      <c r="R128" s="179">
        <f>VLOOKUP(A128,'OI(Value)'!A128:O329,11,0)</f>
        <v>497</v>
      </c>
      <c r="S128" s="179">
        <f>VLOOKUP(A128,'OI(Value)'!A128:O329,11,0)</f>
        <v>497</v>
      </c>
    </row>
    <row r="129" spans="1:19" x14ac:dyDescent="0.25">
      <c r="A129" s="105" t="str">
        <f>'Data shares'!C124</f>
        <v>LUPIN</v>
      </c>
      <c r="B129" s="143">
        <f>VLOOKUP($A129,'Data shares'!$C:$FA,118)</f>
        <v>0.67</v>
      </c>
      <c r="C129" s="143">
        <f>VLOOKUP($A129,'Data shares'!$C:$FA,119)</f>
        <v>0.65</v>
      </c>
      <c r="D129" s="143">
        <f>VLOOKUP($A129,'Data shares'!$C:$FA,121)*100</f>
        <v>3.08</v>
      </c>
      <c r="E129" s="143">
        <f>VLOOKUP($A129,'Data shares'!$C:$FA,124)</f>
        <v>0.37</v>
      </c>
      <c r="F129" s="143">
        <f>VLOOKUP($A129,'Data shares'!$C:$FA,125)</f>
        <v>0.35</v>
      </c>
      <c r="G129" s="143">
        <f>VLOOKUP($A129,'Data shares'!$C:$FA,127)*100</f>
        <v>5.71</v>
      </c>
      <c r="H129" s="103">
        <f>VLOOKUP($A129,'OI(Volume)'!$A$7:$O$427,8)</f>
        <v>4652475</v>
      </c>
      <c r="I129" s="103">
        <f>VLOOKUP($A129,'OI(Volume)'!$A$7:$O$427,9)</f>
        <v>-341275</v>
      </c>
      <c r="J129" s="103">
        <f>VLOOKUP($A129,'OI(Volume)'!$A$7:$O$427,11)</f>
        <v>3108875</v>
      </c>
      <c r="K129" s="103">
        <f>VLOOKUP($A129,'OI(Volume)'!$A$7:$O$427,12)</f>
        <v>-137275</v>
      </c>
      <c r="L129" s="103">
        <f>VLOOKUP($A129,'OI(Value)'!$A$7:$O$306,8,0)</f>
        <v>944</v>
      </c>
      <c r="M129" s="103">
        <f>VLOOKUP($A129,'OI(Value)'!$A$7:$O$306,9,0)</f>
        <v>-69</v>
      </c>
      <c r="N129" s="103">
        <f>VLOOKUP($A129,'OI(Value)'!$A$7:$O$306,11,0)</f>
        <v>631</v>
      </c>
      <c r="O129" s="103">
        <f>VLOOKUP($A129,'OI(Value)'!$A$7:$O$306,12,0)</f>
        <v>-28</v>
      </c>
      <c r="P129" s="179">
        <f>VLOOKUP(A129,'OI(Value)'!A129:O330,8,0)</f>
        <v>944</v>
      </c>
      <c r="Q129" s="179">
        <f>VLOOKUP(A129,'OI(Value)'!A129:O330,9,0)</f>
        <v>-69</v>
      </c>
      <c r="R129" s="179">
        <f>VLOOKUP(A129,'OI(Value)'!A129:O330,11,0)</f>
        <v>631</v>
      </c>
      <c r="S129" s="179">
        <f>VLOOKUP(A129,'OI(Value)'!A129:O330,11,0)</f>
        <v>631</v>
      </c>
    </row>
    <row r="130" spans="1:19" x14ac:dyDescent="0.25">
      <c r="A130" s="105" t="str">
        <f>'Data shares'!C125</f>
        <v>M&amp;M</v>
      </c>
      <c r="B130" s="143">
        <f>VLOOKUP($A130,'Data shares'!$C:$FA,118)</f>
        <v>0.76</v>
      </c>
      <c r="C130" s="143">
        <f>VLOOKUP($A130,'Data shares'!$C:$FA,119)</f>
        <v>0.73</v>
      </c>
      <c r="D130" s="143">
        <f>VLOOKUP($A130,'Data shares'!$C:$FA,121)*100</f>
        <v>4.1099999999999994</v>
      </c>
      <c r="E130" s="143">
        <f>VLOOKUP($A130,'Data shares'!$C:$FA,124)</f>
        <v>0.53</v>
      </c>
      <c r="F130" s="143">
        <f>VLOOKUP($A130,'Data shares'!$C:$FA,125)</f>
        <v>0.64</v>
      </c>
      <c r="G130" s="143">
        <f>VLOOKUP($A130,'Data shares'!$C:$FA,127)*100</f>
        <v>-17.190000000000001</v>
      </c>
      <c r="H130" s="103">
        <f>VLOOKUP($A130,'OI(Volume)'!$A$7:$O$427,8)</f>
        <v>4712600</v>
      </c>
      <c r="I130" s="103">
        <f>VLOOKUP($A130,'OI(Volume)'!$A$7:$O$427,9)</f>
        <v>-246600</v>
      </c>
      <c r="J130" s="103">
        <f>VLOOKUP($A130,'OI(Volume)'!$A$7:$O$427,11)</f>
        <v>3576800</v>
      </c>
      <c r="K130" s="103">
        <f>VLOOKUP($A130,'OI(Volume)'!$A$7:$O$427,12)</f>
        <v>-44200</v>
      </c>
      <c r="L130" s="103">
        <f>VLOOKUP($A130,'OI(Value)'!$A$7:$O$306,8,0)</f>
        <v>1754</v>
      </c>
      <c r="M130" s="103">
        <f>VLOOKUP($A130,'OI(Value)'!$A$7:$O$306,9,0)</f>
        <v>-92</v>
      </c>
      <c r="N130" s="103">
        <f>VLOOKUP($A130,'OI(Value)'!$A$7:$O$306,11,0)</f>
        <v>1331</v>
      </c>
      <c r="O130" s="103">
        <f>VLOOKUP($A130,'OI(Value)'!$A$7:$O$306,12,0)</f>
        <v>-16</v>
      </c>
      <c r="P130" s="179">
        <f>VLOOKUP(A130,'OI(Value)'!A130:O331,8,0)</f>
        <v>1754</v>
      </c>
      <c r="Q130" s="179">
        <f>VLOOKUP(A130,'OI(Value)'!A130:O331,9,0)</f>
        <v>-92</v>
      </c>
      <c r="R130" s="179">
        <f>VLOOKUP(A130,'OI(Value)'!A130:O331,11,0)</f>
        <v>1331</v>
      </c>
      <c r="S130" s="179">
        <f>VLOOKUP(A130,'OI(Value)'!A130:O331,11,0)</f>
        <v>1331</v>
      </c>
    </row>
    <row r="131" spans="1:19" x14ac:dyDescent="0.25">
      <c r="A131" s="105" t="str">
        <f>'Data shares'!C126</f>
        <v>MANAPPURAM</v>
      </c>
      <c r="B131" s="143">
        <f>VLOOKUP($A131,'Data shares'!$C:$FA,118)</f>
        <v>0.57999999999999996</v>
      </c>
      <c r="C131" s="143">
        <f>VLOOKUP($A131,'Data shares'!$C:$FA,119)</f>
        <v>0.53</v>
      </c>
      <c r="D131" s="143">
        <f>VLOOKUP($A131,'Data shares'!$C:$FA,121)*100</f>
        <v>9.43</v>
      </c>
      <c r="E131" s="143">
        <f>VLOOKUP($A131,'Data shares'!$C:$FA,124)</f>
        <v>0.4</v>
      </c>
      <c r="F131" s="143">
        <f>VLOOKUP($A131,'Data shares'!$C:$FA,125)</f>
        <v>0.38</v>
      </c>
      <c r="G131" s="143">
        <f>VLOOKUP($A131,'Data shares'!$C:$FA,127)*100</f>
        <v>5.26</v>
      </c>
      <c r="H131" s="103">
        <f>VLOOKUP($A131,'OI(Volume)'!$A$7:$O$427,8)</f>
        <v>21534000</v>
      </c>
      <c r="I131" s="103">
        <f>VLOOKUP($A131,'OI(Volume)'!$A$7:$O$427,9)</f>
        <v>-2181000</v>
      </c>
      <c r="J131" s="103">
        <f>VLOOKUP($A131,'OI(Volume)'!$A$7:$O$427,11)</f>
        <v>12528000</v>
      </c>
      <c r="K131" s="103">
        <f>VLOOKUP($A131,'OI(Volume)'!$A$7:$O$427,12)</f>
        <v>-153000</v>
      </c>
      <c r="L131" s="103">
        <f>VLOOKUP($A131,'OI(Value)'!$A$7:$O$306,8,0)</f>
        <v>607</v>
      </c>
      <c r="M131" s="103">
        <f>VLOOKUP($A131,'OI(Value)'!$A$7:$O$306,9,0)</f>
        <v>-62</v>
      </c>
      <c r="N131" s="103">
        <f>VLOOKUP($A131,'OI(Value)'!$A$7:$O$306,11,0)</f>
        <v>353</v>
      </c>
      <c r="O131" s="103">
        <f>VLOOKUP($A131,'OI(Value)'!$A$7:$O$306,12,0)</f>
        <v>-4</v>
      </c>
      <c r="P131" s="179">
        <f>VLOOKUP(A131,'OI(Value)'!A131:O332,8,0)</f>
        <v>607</v>
      </c>
      <c r="Q131" s="179">
        <f>VLOOKUP(A131,'OI(Value)'!A131:O332,9,0)</f>
        <v>-62</v>
      </c>
      <c r="R131" s="179">
        <f>VLOOKUP(A131,'OI(Value)'!A131:O332,11,0)</f>
        <v>353</v>
      </c>
      <c r="S131" s="179">
        <f>VLOOKUP(A131,'OI(Value)'!A131:O332,11,0)</f>
        <v>353</v>
      </c>
    </row>
    <row r="132" spans="1:19" x14ac:dyDescent="0.25">
      <c r="A132" s="105" t="str">
        <f>'Data shares'!C127</f>
        <v>MANKIND</v>
      </c>
      <c r="B132" s="143">
        <f>VLOOKUP($A132,'Data shares'!$C:$FA,118)</f>
        <v>0.46</v>
      </c>
      <c r="C132" s="143">
        <f>VLOOKUP($A132,'Data shares'!$C:$FA,119)</f>
        <v>0.4</v>
      </c>
      <c r="D132" s="143">
        <f>VLOOKUP($A132,'Data shares'!$C:$FA,121)*100</f>
        <v>15</v>
      </c>
      <c r="E132" s="143">
        <f>VLOOKUP($A132,'Data shares'!$C:$FA,124)</f>
        <v>0.22</v>
      </c>
      <c r="F132" s="143">
        <f>VLOOKUP($A132,'Data shares'!$C:$FA,125)</f>
        <v>0.34</v>
      </c>
      <c r="G132" s="143">
        <f>VLOOKUP($A132,'Data shares'!$C:$FA,127)*100</f>
        <v>-35.29</v>
      </c>
      <c r="H132" s="103">
        <f>VLOOKUP($A132,'OI(Volume)'!$A$7:$O$427,8)</f>
        <v>1305900</v>
      </c>
      <c r="I132" s="103">
        <f>VLOOKUP($A132,'OI(Volume)'!$A$7:$O$427,9)</f>
        <v>-224550</v>
      </c>
      <c r="J132" s="103">
        <f>VLOOKUP($A132,'OI(Volume)'!$A$7:$O$427,11)</f>
        <v>598725</v>
      </c>
      <c r="K132" s="103">
        <f>VLOOKUP($A132,'OI(Volume)'!$A$7:$O$427,12)</f>
        <v>-20475</v>
      </c>
      <c r="L132" s="103">
        <f>VLOOKUP($A132,'OI(Value)'!$A$7:$O$306,8,0)</f>
        <v>293</v>
      </c>
      <c r="M132" s="103">
        <f>VLOOKUP($A132,'OI(Value)'!$A$7:$O$306,9,0)</f>
        <v>-50</v>
      </c>
      <c r="N132" s="103">
        <f>VLOOKUP($A132,'OI(Value)'!$A$7:$O$306,11,0)</f>
        <v>134</v>
      </c>
      <c r="O132" s="103">
        <f>VLOOKUP($A132,'OI(Value)'!$A$7:$O$306,12,0)</f>
        <v>-5</v>
      </c>
      <c r="P132" s="179">
        <f>VLOOKUP(A132,'OI(Value)'!A132:O333,8,0)</f>
        <v>293</v>
      </c>
      <c r="Q132" s="179">
        <f>VLOOKUP(A132,'OI(Value)'!A132:O333,9,0)</f>
        <v>-50</v>
      </c>
      <c r="R132" s="179">
        <f>VLOOKUP(A132,'OI(Value)'!A132:O333,11,0)</f>
        <v>134</v>
      </c>
      <c r="S132" s="179">
        <f>VLOOKUP(A132,'OI(Value)'!A132:O333,11,0)</f>
        <v>134</v>
      </c>
    </row>
    <row r="133" spans="1:19" x14ac:dyDescent="0.25">
      <c r="A133" s="105" t="str">
        <f>'Data shares'!C128</f>
        <v>MARICO</v>
      </c>
      <c r="B133" s="143">
        <f>VLOOKUP($A133,'Data shares'!$C:$FA,118)</f>
        <v>0.69</v>
      </c>
      <c r="C133" s="143">
        <f>VLOOKUP($A133,'Data shares'!$C:$FA,119)</f>
        <v>0.8</v>
      </c>
      <c r="D133" s="143">
        <f>VLOOKUP($A133,'Data shares'!$C:$FA,121)*100</f>
        <v>-13.750000000000002</v>
      </c>
      <c r="E133" s="143">
        <f>VLOOKUP($A133,'Data shares'!$C:$FA,124)</f>
        <v>0.61</v>
      </c>
      <c r="F133" s="143">
        <f>VLOOKUP($A133,'Data shares'!$C:$FA,125)</f>
        <v>0.63</v>
      </c>
      <c r="G133" s="143">
        <f>VLOOKUP($A133,'Data shares'!$C:$FA,127)*100</f>
        <v>-3.17</v>
      </c>
      <c r="H133" s="103">
        <f>VLOOKUP($A133,'OI(Volume)'!$A$7:$O$427,8)</f>
        <v>7580400</v>
      </c>
      <c r="I133" s="103">
        <f>VLOOKUP($A133,'OI(Volume)'!$A$7:$O$427,9)</f>
        <v>208800</v>
      </c>
      <c r="J133" s="103">
        <f>VLOOKUP($A133,'OI(Volume)'!$A$7:$O$427,11)</f>
        <v>5194800</v>
      </c>
      <c r="K133" s="103">
        <f>VLOOKUP($A133,'OI(Volume)'!$A$7:$O$427,12)</f>
        <v>-712800</v>
      </c>
      <c r="L133" s="103">
        <f>VLOOKUP($A133,'OI(Value)'!$A$7:$O$306,8,0)</f>
        <v>558</v>
      </c>
      <c r="M133" s="103">
        <f>VLOOKUP($A133,'OI(Value)'!$A$7:$O$306,9,0)</f>
        <v>15</v>
      </c>
      <c r="N133" s="103">
        <f>VLOOKUP($A133,'OI(Value)'!$A$7:$O$306,11,0)</f>
        <v>383</v>
      </c>
      <c r="O133" s="103">
        <f>VLOOKUP($A133,'OI(Value)'!$A$7:$O$306,12,0)</f>
        <v>-53</v>
      </c>
      <c r="P133" s="179">
        <f>VLOOKUP(A133,'OI(Value)'!A133:O334,8,0)</f>
        <v>558</v>
      </c>
      <c r="Q133" s="179">
        <f>VLOOKUP(A133,'OI(Value)'!A133:O334,9,0)</f>
        <v>15</v>
      </c>
      <c r="R133" s="179">
        <f>VLOOKUP(A133,'OI(Value)'!A133:O334,11,0)</f>
        <v>383</v>
      </c>
      <c r="S133" s="179">
        <f>VLOOKUP(A133,'OI(Value)'!A133:O334,11,0)</f>
        <v>383</v>
      </c>
    </row>
    <row r="134" spans="1:19" x14ac:dyDescent="0.25">
      <c r="A134" s="105" t="str">
        <f>'Data shares'!C129</f>
        <v>MARUTI</v>
      </c>
      <c r="B134" s="143">
        <f>VLOOKUP($A134,'Data shares'!$C:$FA,118)</f>
        <v>0.46</v>
      </c>
      <c r="C134" s="143">
        <f>VLOOKUP($A134,'Data shares'!$C:$FA,119)</f>
        <v>0.43</v>
      </c>
      <c r="D134" s="143">
        <f>VLOOKUP($A134,'Data shares'!$C:$FA,121)*100</f>
        <v>6.98</v>
      </c>
      <c r="E134" s="143">
        <f>VLOOKUP($A134,'Data shares'!$C:$FA,124)</f>
        <v>0.43</v>
      </c>
      <c r="F134" s="143">
        <f>VLOOKUP($A134,'Data shares'!$C:$FA,125)</f>
        <v>0.52</v>
      </c>
      <c r="G134" s="143">
        <f>VLOOKUP($A134,'Data shares'!$C:$FA,127)*100</f>
        <v>-17.309999999999999</v>
      </c>
      <c r="H134" s="103">
        <f>VLOOKUP($A134,'OI(Volume)'!$A$7:$O$427,8)</f>
        <v>2852050</v>
      </c>
      <c r="I134" s="103">
        <f>VLOOKUP($A134,'OI(Volume)'!$A$7:$O$427,9)</f>
        <v>-338450</v>
      </c>
      <c r="J134" s="103">
        <f>VLOOKUP($A134,'OI(Volume)'!$A$7:$O$427,11)</f>
        <v>1312300</v>
      </c>
      <c r="K134" s="103">
        <f>VLOOKUP($A134,'OI(Volume)'!$A$7:$O$427,12)</f>
        <v>-59150</v>
      </c>
      <c r="L134" s="103">
        <f>VLOOKUP($A134,'OI(Value)'!$A$7:$O$306,8,0)</f>
        <v>4510</v>
      </c>
      <c r="M134" s="103">
        <f>VLOOKUP($A134,'OI(Value)'!$A$7:$O$306,9,0)</f>
        <v>-535</v>
      </c>
      <c r="N134" s="103">
        <f>VLOOKUP($A134,'OI(Value)'!$A$7:$O$306,11,0)</f>
        <v>2075</v>
      </c>
      <c r="O134" s="103">
        <f>VLOOKUP($A134,'OI(Value)'!$A$7:$O$306,12,0)</f>
        <v>-94</v>
      </c>
      <c r="P134" s="179">
        <f>VLOOKUP(A134,'OI(Value)'!A134:O335,8,0)</f>
        <v>4510</v>
      </c>
      <c r="Q134" s="179">
        <f>VLOOKUP(A134,'OI(Value)'!A134:O335,9,0)</f>
        <v>-535</v>
      </c>
      <c r="R134" s="179">
        <f>VLOOKUP(A134,'OI(Value)'!A134:O335,11,0)</f>
        <v>2075</v>
      </c>
      <c r="S134" s="179">
        <f>VLOOKUP(A134,'OI(Value)'!A134:O335,11,0)</f>
        <v>2075</v>
      </c>
    </row>
    <row r="135" spans="1:19" x14ac:dyDescent="0.25">
      <c r="A135" s="105" t="str">
        <f>'Data shares'!C130</f>
        <v>MAXHEALTH</v>
      </c>
      <c r="B135" s="143">
        <f>VLOOKUP($A135,'Data shares'!$C:$FA,118)</f>
        <v>0.7</v>
      </c>
      <c r="C135" s="143">
        <f>VLOOKUP($A135,'Data shares'!$C:$FA,119)</f>
        <v>0.71</v>
      </c>
      <c r="D135" s="143">
        <f>VLOOKUP($A135,'Data shares'!$C:$FA,121)*100</f>
        <v>-1.41</v>
      </c>
      <c r="E135" s="143">
        <f>VLOOKUP($A135,'Data shares'!$C:$FA,124)</f>
        <v>0.5</v>
      </c>
      <c r="F135" s="143">
        <f>VLOOKUP($A135,'Data shares'!$C:$FA,125)</f>
        <v>0.43</v>
      </c>
      <c r="G135" s="143">
        <f>VLOOKUP($A135,'Data shares'!$C:$FA,127)*100</f>
        <v>16.28</v>
      </c>
      <c r="H135" s="103">
        <f>VLOOKUP($A135,'OI(Volume)'!$A$7:$O$427,8)</f>
        <v>4645725</v>
      </c>
      <c r="I135" s="103">
        <f>VLOOKUP($A135,'OI(Volume)'!$A$7:$O$427,9)</f>
        <v>-647325</v>
      </c>
      <c r="J135" s="103">
        <f>VLOOKUP($A135,'OI(Volume)'!$A$7:$O$427,11)</f>
        <v>3261300</v>
      </c>
      <c r="K135" s="103">
        <f>VLOOKUP($A135,'OI(Volume)'!$A$7:$O$427,12)</f>
        <v>-474600</v>
      </c>
      <c r="L135" s="103">
        <f>VLOOKUP($A135,'OI(Value)'!$A$7:$O$306,8,0)</f>
        <v>543</v>
      </c>
      <c r="M135" s="103">
        <f>VLOOKUP($A135,'OI(Value)'!$A$7:$O$306,9,0)</f>
        <v>-76</v>
      </c>
      <c r="N135" s="103">
        <f>VLOOKUP($A135,'OI(Value)'!$A$7:$O$306,11,0)</f>
        <v>381</v>
      </c>
      <c r="O135" s="103">
        <f>VLOOKUP($A135,'OI(Value)'!$A$7:$O$306,12,0)</f>
        <v>-55</v>
      </c>
      <c r="P135" s="179">
        <f>VLOOKUP(A135,'OI(Value)'!A135:O336,8,0)</f>
        <v>543</v>
      </c>
      <c r="Q135" s="179">
        <f>VLOOKUP(A135,'OI(Value)'!A135:O336,9,0)</f>
        <v>-76</v>
      </c>
      <c r="R135" s="179">
        <f>VLOOKUP(A135,'OI(Value)'!A135:O336,11,0)</f>
        <v>381</v>
      </c>
      <c r="S135" s="179">
        <f>VLOOKUP(A135,'OI(Value)'!A135:O336,11,0)</f>
        <v>381</v>
      </c>
    </row>
    <row r="136" spans="1:19" x14ac:dyDescent="0.25">
      <c r="A136" s="105" t="str">
        <f>'Data shares'!C131</f>
        <v>MAZDOCK</v>
      </c>
      <c r="B136" s="143">
        <f>VLOOKUP($A136,'Data shares'!$C:$FA,118)</f>
        <v>0.47</v>
      </c>
      <c r="C136" s="143">
        <f>VLOOKUP($A136,'Data shares'!$C:$FA,119)</f>
        <v>0.42</v>
      </c>
      <c r="D136" s="143">
        <f>VLOOKUP($A136,'Data shares'!$C:$FA,121)*100</f>
        <v>11.899999999999999</v>
      </c>
      <c r="E136" s="143">
        <f>VLOOKUP($A136,'Data shares'!$C:$FA,124)</f>
        <v>0.3</v>
      </c>
      <c r="F136" s="143">
        <f>VLOOKUP($A136,'Data shares'!$C:$FA,125)</f>
        <v>0.23</v>
      </c>
      <c r="G136" s="143">
        <f>VLOOKUP($A136,'Data shares'!$C:$FA,127)*100</f>
        <v>30.43</v>
      </c>
      <c r="H136" s="103">
        <f>VLOOKUP($A136,'OI(Volume)'!$A$7:$O$427,8)</f>
        <v>3293650</v>
      </c>
      <c r="I136" s="103">
        <f>VLOOKUP($A136,'OI(Volume)'!$A$7:$O$427,9)</f>
        <v>-367550</v>
      </c>
      <c r="J136" s="103">
        <f>VLOOKUP($A136,'OI(Volume)'!$A$7:$O$427,11)</f>
        <v>1560525</v>
      </c>
      <c r="K136" s="103">
        <f>VLOOKUP($A136,'OI(Volume)'!$A$7:$O$427,12)</f>
        <v>16125</v>
      </c>
      <c r="L136" s="103">
        <f>VLOOKUP($A136,'OI(Value)'!$A$7:$O$306,8,0)</f>
        <v>934</v>
      </c>
      <c r="M136" s="103">
        <f>VLOOKUP($A136,'OI(Value)'!$A$7:$O$306,9,0)</f>
        <v>-104</v>
      </c>
      <c r="N136" s="103">
        <f>VLOOKUP($A136,'OI(Value)'!$A$7:$O$306,11,0)</f>
        <v>442</v>
      </c>
      <c r="O136" s="103">
        <f>VLOOKUP($A136,'OI(Value)'!$A$7:$O$306,12,0)</f>
        <v>5</v>
      </c>
      <c r="P136" s="179">
        <f>VLOOKUP(A136,'OI(Value)'!A136:O337,8,0)</f>
        <v>934</v>
      </c>
      <c r="Q136" s="179">
        <f>VLOOKUP(A136,'OI(Value)'!A136:O337,9,0)</f>
        <v>-104</v>
      </c>
      <c r="R136" s="179">
        <f>VLOOKUP(A136,'OI(Value)'!A136:O337,11,0)</f>
        <v>442</v>
      </c>
      <c r="S136" s="179">
        <f>VLOOKUP(A136,'OI(Value)'!A136:O337,11,0)</f>
        <v>442</v>
      </c>
    </row>
    <row r="137" spans="1:19" x14ac:dyDescent="0.25">
      <c r="A137" s="105" t="str">
        <f>'Data shares'!C132</f>
        <v>MCX</v>
      </c>
      <c r="B137" s="143">
        <f>VLOOKUP($A137,'Data shares'!$C:$FA,118)</f>
        <v>0.76</v>
      </c>
      <c r="C137" s="143">
        <f>VLOOKUP($A137,'Data shares'!$C:$FA,119)</f>
        <v>0.78</v>
      </c>
      <c r="D137" s="143">
        <f>VLOOKUP($A137,'Data shares'!$C:$FA,121)*100</f>
        <v>-2.56</v>
      </c>
      <c r="E137" s="143">
        <f>VLOOKUP($A137,'Data shares'!$C:$FA,124)</f>
        <v>0.54</v>
      </c>
      <c r="F137" s="143">
        <f>VLOOKUP($A137,'Data shares'!$C:$FA,125)</f>
        <v>0.6</v>
      </c>
      <c r="G137" s="143">
        <f>VLOOKUP($A137,'Data shares'!$C:$FA,127)*100</f>
        <v>-10</v>
      </c>
      <c r="H137" s="103">
        <f>VLOOKUP($A137,'OI(Volume)'!$A$7:$O$427,8)</f>
        <v>2628875</v>
      </c>
      <c r="I137" s="103">
        <f>VLOOKUP($A137,'OI(Volume)'!$A$7:$O$427,9)</f>
        <v>-127875</v>
      </c>
      <c r="J137" s="103">
        <f>VLOOKUP($A137,'OI(Volume)'!$A$7:$O$427,11)</f>
        <v>1987250</v>
      </c>
      <c r="K137" s="103">
        <f>VLOOKUP($A137,'OI(Volume)'!$A$7:$O$427,12)</f>
        <v>-156250</v>
      </c>
      <c r="L137" s="103">
        <f>VLOOKUP($A137,'OI(Value)'!$A$7:$O$306,8,0)</f>
        <v>2589</v>
      </c>
      <c r="M137" s="103">
        <f>VLOOKUP($A137,'OI(Value)'!$A$7:$O$306,9,0)</f>
        <v>-126</v>
      </c>
      <c r="N137" s="103">
        <f>VLOOKUP($A137,'OI(Value)'!$A$7:$O$306,11,0)</f>
        <v>1957</v>
      </c>
      <c r="O137" s="103">
        <f>VLOOKUP($A137,'OI(Value)'!$A$7:$O$306,12,0)</f>
        <v>-154</v>
      </c>
      <c r="P137" s="179">
        <f>VLOOKUP(A137,'OI(Value)'!A137:O338,8,0)</f>
        <v>2589</v>
      </c>
      <c r="Q137" s="179">
        <f>VLOOKUP(A137,'OI(Value)'!A137:O338,9,0)</f>
        <v>-126</v>
      </c>
      <c r="R137" s="179">
        <f>VLOOKUP(A137,'OI(Value)'!A137:O338,11,0)</f>
        <v>1957</v>
      </c>
      <c r="S137" s="179">
        <f>VLOOKUP(A137,'OI(Value)'!A137:O338,11,0)</f>
        <v>1957</v>
      </c>
    </row>
    <row r="138" spans="1:19" x14ac:dyDescent="0.25">
      <c r="A138" s="105" t="str">
        <f>'Data shares'!C133</f>
        <v>MFSL</v>
      </c>
      <c r="B138" s="143">
        <f>VLOOKUP($A138,'Data shares'!$C:$FA,118)</f>
        <v>0.66</v>
      </c>
      <c r="C138" s="143">
        <f>VLOOKUP($A138,'Data shares'!$C:$FA,119)</f>
        <v>0.68</v>
      </c>
      <c r="D138" s="143">
        <f>VLOOKUP($A138,'Data shares'!$C:$FA,121)*100</f>
        <v>-2.94</v>
      </c>
      <c r="E138" s="143">
        <f>VLOOKUP($A138,'Data shares'!$C:$FA,124)</f>
        <v>0.38</v>
      </c>
      <c r="F138" s="143">
        <f>VLOOKUP($A138,'Data shares'!$C:$FA,125)</f>
        <v>0.52</v>
      </c>
      <c r="G138" s="143">
        <f>VLOOKUP($A138,'Data shares'!$C:$FA,127)*100</f>
        <v>-26.919999999999998</v>
      </c>
      <c r="H138" s="103">
        <f>VLOOKUP($A138,'OI(Volume)'!$A$7:$O$427,8)</f>
        <v>2043200</v>
      </c>
      <c r="I138" s="103">
        <f>VLOOKUP($A138,'OI(Volume)'!$A$7:$O$427,9)</f>
        <v>162400</v>
      </c>
      <c r="J138" s="103">
        <f>VLOOKUP($A138,'OI(Volume)'!$A$7:$O$427,11)</f>
        <v>1356400</v>
      </c>
      <c r="K138" s="103">
        <f>VLOOKUP($A138,'OI(Volume)'!$A$7:$O$427,12)</f>
        <v>70400</v>
      </c>
      <c r="L138" s="103">
        <f>VLOOKUP($A138,'OI(Value)'!$A$7:$O$306,8,0)</f>
        <v>346</v>
      </c>
      <c r="M138" s="103">
        <f>VLOOKUP($A138,'OI(Value)'!$A$7:$O$306,9,0)</f>
        <v>27</v>
      </c>
      <c r="N138" s="103">
        <f>VLOOKUP($A138,'OI(Value)'!$A$7:$O$306,11,0)</f>
        <v>230</v>
      </c>
      <c r="O138" s="103">
        <f>VLOOKUP($A138,'OI(Value)'!$A$7:$O$306,12,0)</f>
        <v>12</v>
      </c>
      <c r="P138" s="179">
        <f>VLOOKUP(A138,'OI(Value)'!A138:O339,8,0)</f>
        <v>346</v>
      </c>
      <c r="Q138" s="179">
        <f>VLOOKUP(A138,'OI(Value)'!A138:O339,9,0)</f>
        <v>27</v>
      </c>
      <c r="R138" s="179">
        <f>VLOOKUP(A138,'OI(Value)'!A138:O339,11,0)</f>
        <v>230</v>
      </c>
      <c r="S138" s="179">
        <f>VLOOKUP(A138,'OI(Value)'!A138:O339,11,0)</f>
        <v>230</v>
      </c>
    </row>
    <row r="139" spans="1:19" x14ac:dyDescent="0.25">
      <c r="A139" s="105" t="str">
        <f>'Data shares'!C134</f>
        <v>MIDCPNIFTY</v>
      </c>
      <c r="B139" s="143">
        <f>VLOOKUP($A139,'Data shares'!$C:$FA,118)</f>
        <v>1.1000000000000001</v>
      </c>
      <c r="C139" s="143">
        <f>VLOOKUP($A139,'Data shares'!$C:$FA,119)</f>
        <v>1.2</v>
      </c>
      <c r="D139" s="143">
        <f>VLOOKUP($A139,'Data shares'!$C:$FA,121)*100</f>
        <v>-8.33</v>
      </c>
      <c r="E139" s="143">
        <f>VLOOKUP($A139,'Data shares'!$C:$FA,124)</f>
        <v>1.05</v>
      </c>
      <c r="F139" s="143">
        <f>VLOOKUP($A139,'Data shares'!$C:$FA,125)</f>
        <v>1.17</v>
      </c>
      <c r="G139" s="143">
        <f>VLOOKUP($A139,'Data shares'!$C:$FA,127)*100</f>
        <v>-10.26</v>
      </c>
      <c r="H139" s="103">
        <f>VLOOKUP($A139,'OI(Volume)'!$A$7:$O$427,8)</f>
        <v>10673320</v>
      </c>
      <c r="I139" s="103">
        <f>VLOOKUP($A139,'OI(Volume)'!$A$7:$O$427,9)</f>
        <v>292740</v>
      </c>
      <c r="J139" s="103">
        <f>VLOOKUP($A139,'OI(Volume)'!$A$7:$O$427,11)</f>
        <v>11757720</v>
      </c>
      <c r="K139" s="103">
        <f>VLOOKUP($A139,'OI(Volume)'!$A$7:$O$427,12)</f>
        <v>-672560</v>
      </c>
      <c r="L139" s="103">
        <f>VLOOKUP($A139,'OI(Value)'!$A$7:$O$306,8,0)</f>
        <v>14950</v>
      </c>
      <c r="M139" s="103">
        <f>VLOOKUP($A139,'OI(Value)'!$A$7:$O$306,9,0)</f>
        <v>410</v>
      </c>
      <c r="N139" s="103">
        <f>VLOOKUP($A139,'OI(Value)'!$A$7:$O$306,11,0)</f>
        <v>16469</v>
      </c>
      <c r="O139" s="103">
        <f>VLOOKUP($A139,'OI(Value)'!$A$7:$O$306,12,0)</f>
        <v>-942</v>
      </c>
      <c r="P139" s="179">
        <f>VLOOKUP(A139,'OI(Value)'!A139:O340,8,0)</f>
        <v>14950</v>
      </c>
      <c r="Q139" s="179">
        <f>VLOOKUP(A139,'OI(Value)'!A139:O340,9,0)</f>
        <v>410</v>
      </c>
      <c r="R139" s="179">
        <f>VLOOKUP(A139,'OI(Value)'!A139:O340,11,0)</f>
        <v>16469</v>
      </c>
      <c r="S139" s="179">
        <f>VLOOKUP(A139,'OI(Value)'!A139:O340,11,0)</f>
        <v>16469</v>
      </c>
    </row>
    <row r="140" spans="1:19" x14ac:dyDescent="0.25">
      <c r="A140" s="105" t="str">
        <f>'Data shares'!C135</f>
        <v>MOTHERSON</v>
      </c>
      <c r="B140" s="143">
        <f>VLOOKUP($A140,'Data shares'!$C:$FA,118)</f>
        <v>0.61</v>
      </c>
      <c r="C140" s="143">
        <f>VLOOKUP($A140,'Data shares'!$C:$FA,119)</f>
        <v>0.6</v>
      </c>
      <c r="D140" s="143">
        <f>VLOOKUP($A140,'Data shares'!$C:$FA,121)*100</f>
        <v>1.67</v>
      </c>
      <c r="E140" s="143">
        <f>VLOOKUP($A140,'Data shares'!$C:$FA,124)</f>
        <v>0.4</v>
      </c>
      <c r="F140" s="143">
        <f>VLOOKUP($A140,'Data shares'!$C:$FA,125)</f>
        <v>0.34</v>
      </c>
      <c r="G140" s="143">
        <f>VLOOKUP($A140,'Data shares'!$C:$FA,127)*100</f>
        <v>17.649999999999999</v>
      </c>
      <c r="H140" s="103">
        <f>VLOOKUP($A140,'OI(Volume)'!$A$7:$O$427,8)</f>
        <v>95226600</v>
      </c>
      <c r="I140" s="103">
        <f>VLOOKUP($A140,'OI(Volume)'!$A$7:$O$427,9)</f>
        <v>-3130350</v>
      </c>
      <c r="J140" s="103">
        <f>VLOOKUP($A140,'OI(Volume)'!$A$7:$O$427,11)</f>
        <v>58258950</v>
      </c>
      <c r="K140" s="103">
        <f>VLOOKUP($A140,'OI(Volume)'!$A$7:$O$427,12)</f>
        <v>-793350</v>
      </c>
      <c r="L140" s="103">
        <f>VLOOKUP($A140,'OI(Value)'!$A$7:$O$306,8,0)</f>
        <v>1066</v>
      </c>
      <c r="M140" s="103">
        <f>VLOOKUP($A140,'OI(Value)'!$A$7:$O$306,9,0)</f>
        <v>-35</v>
      </c>
      <c r="N140" s="103">
        <f>VLOOKUP($A140,'OI(Value)'!$A$7:$O$306,11,0)</f>
        <v>652</v>
      </c>
      <c r="O140" s="103">
        <f>VLOOKUP($A140,'OI(Value)'!$A$7:$O$306,12,0)</f>
        <v>-9</v>
      </c>
      <c r="P140" s="179">
        <f>VLOOKUP(A140,'OI(Value)'!A140:O341,8,0)</f>
        <v>1066</v>
      </c>
      <c r="Q140" s="179">
        <f>VLOOKUP(A140,'OI(Value)'!A140:O341,9,0)</f>
        <v>-35</v>
      </c>
      <c r="R140" s="179">
        <f>VLOOKUP(A140,'OI(Value)'!A140:O341,11,0)</f>
        <v>652</v>
      </c>
      <c r="S140" s="179">
        <f>VLOOKUP(A140,'OI(Value)'!A140:O341,11,0)</f>
        <v>652</v>
      </c>
    </row>
    <row r="141" spans="1:19" x14ac:dyDescent="0.25">
      <c r="A141" s="105" t="str">
        <f>'Data shares'!C136</f>
        <v>MPHASIS</v>
      </c>
      <c r="B141" s="143">
        <f>VLOOKUP($A141,'Data shares'!$C:$FA,118)</f>
        <v>0.6</v>
      </c>
      <c r="C141" s="143">
        <f>VLOOKUP($A141,'Data shares'!$C:$FA,119)</f>
        <v>0.53</v>
      </c>
      <c r="D141" s="143">
        <f>VLOOKUP($A141,'Data shares'!$C:$FA,121)*100</f>
        <v>13.209999999999999</v>
      </c>
      <c r="E141" s="143">
        <f>VLOOKUP($A141,'Data shares'!$C:$FA,124)</f>
        <v>0.44</v>
      </c>
      <c r="F141" s="143">
        <f>VLOOKUP($A141,'Data shares'!$C:$FA,125)</f>
        <v>0.4</v>
      </c>
      <c r="G141" s="143">
        <f>VLOOKUP($A141,'Data shares'!$C:$FA,127)*100</f>
        <v>10</v>
      </c>
      <c r="H141" s="103">
        <f>VLOOKUP($A141,'OI(Volume)'!$A$7:$O$427,8)</f>
        <v>2749175</v>
      </c>
      <c r="I141" s="103">
        <f>VLOOKUP($A141,'OI(Volume)'!$A$7:$O$427,9)</f>
        <v>-518100</v>
      </c>
      <c r="J141" s="103">
        <f>VLOOKUP($A141,'OI(Volume)'!$A$7:$O$427,11)</f>
        <v>1635975</v>
      </c>
      <c r="K141" s="103">
        <f>VLOOKUP($A141,'OI(Volume)'!$A$7:$O$427,12)</f>
        <v>-98450</v>
      </c>
      <c r="L141" s="103">
        <f>VLOOKUP($A141,'OI(Value)'!$A$7:$O$306,8,0)</f>
        <v>754</v>
      </c>
      <c r="M141" s="103">
        <f>VLOOKUP($A141,'OI(Value)'!$A$7:$O$306,9,0)</f>
        <v>-142</v>
      </c>
      <c r="N141" s="103">
        <f>VLOOKUP($A141,'OI(Value)'!$A$7:$O$306,11,0)</f>
        <v>449</v>
      </c>
      <c r="O141" s="103">
        <f>VLOOKUP($A141,'OI(Value)'!$A$7:$O$306,12,0)</f>
        <v>-27</v>
      </c>
      <c r="P141" s="179">
        <f>VLOOKUP(A141,'OI(Value)'!A141:O342,8,0)</f>
        <v>754</v>
      </c>
      <c r="Q141" s="179">
        <f>VLOOKUP(A141,'OI(Value)'!A141:O342,9,0)</f>
        <v>-142</v>
      </c>
      <c r="R141" s="179">
        <f>VLOOKUP(A141,'OI(Value)'!A141:O342,11,0)</f>
        <v>449</v>
      </c>
      <c r="S141" s="179">
        <f>VLOOKUP(A141,'OI(Value)'!A141:O342,11,0)</f>
        <v>449</v>
      </c>
    </row>
    <row r="142" spans="1:19" x14ac:dyDescent="0.25">
      <c r="A142" s="105" t="str">
        <f>'Data shares'!C137</f>
        <v>MUTHOOTFIN</v>
      </c>
      <c r="B142" s="143">
        <f>VLOOKUP($A142,'Data shares'!$C:$FA,118)</f>
        <v>0.85</v>
      </c>
      <c r="C142" s="143">
        <f>VLOOKUP($A142,'Data shares'!$C:$FA,119)</f>
        <v>0.87</v>
      </c>
      <c r="D142" s="143">
        <f>VLOOKUP($A142,'Data shares'!$C:$FA,121)*100</f>
        <v>-2.2999999999999998</v>
      </c>
      <c r="E142" s="143">
        <f>VLOOKUP($A142,'Data shares'!$C:$FA,124)</f>
        <v>0.81</v>
      </c>
      <c r="F142" s="143">
        <f>VLOOKUP($A142,'Data shares'!$C:$FA,125)</f>
        <v>0.89</v>
      </c>
      <c r="G142" s="143">
        <f>VLOOKUP($A142,'Data shares'!$C:$FA,127)*100</f>
        <v>-8.99</v>
      </c>
      <c r="H142" s="103">
        <f>VLOOKUP($A142,'OI(Volume)'!$A$7:$O$427,8)</f>
        <v>4093100</v>
      </c>
      <c r="I142" s="103">
        <f>VLOOKUP($A142,'OI(Volume)'!$A$7:$O$427,9)</f>
        <v>-362725</v>
      </c>
      <c r="J142" s="103">
        <f>VLOOKUP($A142,'OI(Volume)'!$A$7:$O$427,11)</f>
        <v>3493325</v>
      </c>
      <c r="K142" s="103">
        <f>VLOOKUP($A142,'OI(Volume)'!$A$7:$O$427,12)</f>
        <v>-403975</v>
      </c>
      <c r="L142" s="103">
        <f>VLOOKUP($A142,'OI(Value)'!$A$7:$O$306,8,0)</f>
        <v>1518</v>
      </c>
      <c r="M142" s="103">
        <f>VLOOKUP($A142,'OI(Value)'!$A$7:$O$306,9,0)</f>
        <v>-135</v>
      </c>
      <c r="N142" s="103">
        <f>VLOOKUP($A142,'OI(Value)'!$A$7:$O$306,11,0)</f>
        <v>1295</v>
      </c>
      <c r="O142" s="103">
        <f>VLOOKUP($A142,'OI(Value)'!$A$7:$O$306,12,0)</f>
        <v>-150</v>
      </c>
      <c r="P142" s="179">
        <f>VLOOKUP(A142,'OI(Value)'!A142:O343,8,0)</f>
        <v>1518</v>
      </c>
      <c r="Q142" s="179">
        <f>VLOOKUP(A142,'OI(Value)'!A142:O343,9,0)</f>
        <v>-135</v>
      </c>
      <c r="R142" s="179">
        <f>VLOOKUP(A142,'OI(Value)'!A142:O343,11,0)</f>
        <v>1295</v>
      </c>
      <c r="S142" s="179">
        <f>VLOOKUP(A142,'OI(Value)'!A142:O343,11,0)</f>
        <v>1295</v>
      </c>
    </row>
    <row r="143" spans="1:19" x14ac:dyDescent="0.25">
      <c r="A143" s="105" t="str">
        <f>'Data shares'!C138</f>
        <v>NATIONALUM</v>
      </c>
      <c r="B143" s="143">
        <f>VLOOKUP($A143,'Data shares'!$C:$FA,118)</f>
        <v>0.93</v>
      </c>
      <c r="C143" s="143">
        <f>VLOOKUP($A143,'Data shares'!$C:$FA,119)</f>
        <v>0.98</v>
      </c>
      <c r="D143" s="143">
        <f>VLOOKUP($A143,'Data shares'!$C:$FA,121)*100</f>
        <v>-5.0999999999999996</v>
      </c>
      <c r="E143" s="143">
        <f>VLOOKUP($A143,'Data shares'!$C:$FA,124)</f>
        <v>0.42</v>
      </c>
      <c r="F143" s="143">
        <f>VLOOKUP($A143,'Data shares'!$C:$FA,125)</f>
        <v>0.55000000000000004</v>
      </c>
      <c r="G143" s="143">
        <f>VLOOKUP($A143,'Data shares'!$C:$FA,127)*100</f>
        <v>-23.64</v>
      </c>
      <c r="H143" s="103">
        <f>VLOOKUP($A143,'OI(Volume)'!$A$7:$O$427,8)</f>
        <v>39240000</v>
      </c>
      <c r="I143" s="103">
        <f>VLOOKUP($A143,'OI(Volume)'!$A$7:$O$427,9)</f>
        <v>138750</v>
      </c>
      <c r="J143" s="103">
        <f>VLOOKUP($A143,'OI(Volume)'!$A$7:$O$427,11)</f>
        <v>36360000</v>
      </c>
      <c r="K143" s="103">
        <f>VLOOKUP($A143,'OI(Volume)'!$A$7:$O$427,12)</f>
        <v>-1965000</v>
      </c>
      <c r="L143" s="103">
        <f>VLOOKUP($A143,'OI(Value)'!$A$7:$O$306,8,0)</f>
        <v>1013</v>
      </c>
      <c r="M143" s="103">
        <f>VLOOKUP($A143,'OI(Value)'!$A$7:$O$306,9,0)</f>
        <v>4</v>
      </c>
      <c r="N143" s="103">
        <f>VLOOKUP($A143,'OI(Value)'!$A$7:$O$306,11,0)</f>
        <v>939</v>
      </c>
      <c r="O143" s="103">
        <f>VLOOKUP($A143,'OI(Value)'!$A$7:$O$306,12,0)</f>
        <v>-51</v>
      </c>
      <c r="P143" s="179">
        <f>VLOOKUP(A143,'OI(Value)'!A143:O344,8,0)</f>
        <v>1013</v>
      </c>
      <c r="Q143" s="179">
        <f>VLOOKUP(A143,'OI(Value)'!A143:O344,9,0)</f>
        <v>4</v>
      </c>
      <c r="R143" s="179">
        <f>VLOOKUP(A143,'OI(Value)'!A143:O344,11,0)</f>
        <v>939</v>
      </c>
      <c r="S143" s="179">
        <f>VLOOKUP(A143,'OI(Value)'!A143:O344,11,0)</f>
        <v>939</v>
      </c>
    </row>
    <row r="144" spans="1:19" x14ac:dyDescent="0.25">
      <c r="A144" s="105" t="str">
        <f>'Data shares'!C139</f>
        <v>NAUKRI</v>
      </c>
      <c r="B144" s="143">
        <f>VLOOKUP($A144,'Data shares'!$C:$FA,118)</f>
        <v>0.6</v>
      </c>
      <c r="C144" s="143">
        <f>VLOOKUP($A144,'Data shares'!$C:$FA,119)</f>
        <v>0.54</v>
      </c>
      <c r="D144" s="143">
        <f>VLOOKUP($A144,'Data shares'!$C:$FA,121)*100</f>
        <v>11.110000000000001</v>
      </c>
      <c r="E144" s="143">
        <f>VLOOKUP($A144,'Data shares'!$C:$FA,124)</f>
        <v>0.36</v>
      </c>
      <c r="F144" s="143">
        <f>VLOOKUP($A144,'Data shares'!$C:$FA,125)</f>
        <v>0.3</v>
      </c>
      <c r="G144" s="143">
        <f>VLOOKUP($A144,'Data shares'!$C:$FA,127)*100</f>
        <v>20</v>
      </c>
      <c r="H144" s="103">
        <f>VLOOKUP($A144,'OI(Volume)'!$A$7:$O$427,8)</f>
        <v>3126750</v>
      </c>
      <c r="I144" s="103">
        <f>VLOOKUP($A144,'OI(Volume)'!$A$7:$O$427,9)</f>
        <v>-361500</v>
      </c>
      <c r="J144" s="103">
        <f>VLOOKUP($A144,'OI(Volume)'!$A$7:$O$427,11)</f>
        <v>1873875</v>
      </c>
      <c r="K144" s="103">
        <f>VLOOKUP($A144,'OI(Volume)'!$A$7:$O$427,12)</f>
        <v>6375</v>
      </c>
      <c r="L144" s="103">
        <f>VLOOKUP($A144,'OI(Value)'!$A$7:$O$306,8,0)</f>
        <v>426</v>
      </c>
      <c r="M144" s="103">
        <f>VLOOKUP($A144,'OI(Value)'!$A$7:$O$306,9,0)</f>
        <v>-49</v>
      </c>
      <c r="N144" s="103">
        <f>VLOOKUP($A144,'OI(Value)'!$A$7:$O$306,11,0)</f>
        <v>255</v>
      </c>
      <c r="O144" s="103">
        <f>VLOOKUP($A144,'OI(Value)'!$A$7:$O$306,12,0)</f>
        <v>1</v>
      </c>
      <c r="P144" s="179">
        <f>VLOOKUP(A144,'OI(Value)'!A144:O345,8,0)</f>
        <v>426</v>
      </c>
      <c r="Q144" s="179">
        <f>VLOOKUP(A144,'OI(Value)'!A144:O345,9,0)</f>
        <v>-49</v>
      </c>
      <c r="R144" s="179">
        <f>VLOOKUP(A144,'OI(Value)'!A144:O345,11,0)</f>
        <v>255</v>
      </c>
      <c r="S144" s="179">
        <f>VLOOKUP(A144,'OI(Value)'!A144:O345,11,0)</f>
        <v>255</v>
      </c>
    </row>
    <row r="145" spans="1:19" x14ac:dyDescent="0.25">
      <c r="A145" s="105" t="str">
        <f>'Data shares'!C140</f>
        <v>NBCC</v>
      </c>
      <c r="B145" s="143">
        <f>VLOOKUP($A145,'Data shares'!$C:$FA,118)</f>
        <v>0.48</v>
      </c>
      <c r="C145" s="143">
        <f>VLOOKUP($A145,'Data shares'!$C:$FA,119)</f>
        <v>0.55000000000000004</v>
      </c>
      <c r="D145" s="143">
        <f>VLOOKUP($A145,'Data shares'!$C:$FA,121)*100</f>
        <v>-12.73</v>
      </c>
      <c r="E145" s="143">
        <f>VLOOKUP($A145,'Data shares'!$C:$FA,124)</f>
        <v>0.34</v>
      </c>
      <c r="F145" s="143">
        <f>VLOOKUP($A145,'Data shares'!$C:$FA,125)</f>
        <v>0.46</v>
      </c>
      <c r="G145" s="143">
        <f>VLOOKUP($A145,'Data shares'!$C:$FA,127)*100</f>
        <v>-26.090000000000003</v>
      </c>
      <c r="H145" s="103">
        <f>VLOOKUP($A145,'OI(Volume)'!$A$7:$O$427,8)</f>
        <v>55204500</v>
      </c>
      <c r="I145" s="103">
        <f>VLOOKUP($A145,'OI(Volume)'!$A$7:$O$427,9)</f>
        <v>11102000</v>
      </c>
      <c r="J145" s="103">
        <f>VLOOKUP($A145,'OI(Volume)'!$A$7:$O$427,11)</f>
        <v>26721500</v>
      </c>
      <c r="K145" s="103">
        <f>VLOOKUP($A145,'OI(Volume)'!$A$7:$O$427,12)</f>
        <v>2431000</v>
      </c>
      <c r="L145" s="103">
        <f>VLOOKUP($A145,'OI(Value)'!$A$7:$O$306,8,0)</f>
        <v>641</v>
      </c>
      <c r="M145" s="103">
        <f>VLOOKUP($A145,'OI(Value)'!$A$7:$O$306,9,0)</f>
        <v>129</v>
      </c>
      <c r="N145" s="103">
        <f>VLOOKUP($A145,'OI(Value)'!$A$7:$O$306,11,0)</f>
        <v>310</v>
      </c>
      <c r="O145" s="103">
        <f>VLOOKUP($A145,'OI(Value)'!$A$7:$O$306,12,0)</f>
        <v>28</v>
      </c>
      <c r="P145" s="179">
        <f>VLOOKUP(A145,'OI(Value)'!A145:O346,8,0)</f>
        <v>641</v>
      </c>
      <c r="Q145" s="179">
        <f>VLOOKUP(A145,'OI(Value)'!A145:O346,9,0)</f>
        <v>129</v>
      </c>
      <c r="R145" s="179">
        <f>VLOOKUP(A145,'OI(Value)'!A145:O346,11,0)</f>
        <v>310</v>
      </c>
      <c r="S145" s="179">
        <f>VLOOKUP(A145,'OI(Value)'!A145:O346,11,0)</f>
        <v>310</v>
      </c>
    </row>
    <row r="146" spans="1:19" x14ac:dyDescent="0.25">
      <c r="A146" s="105" t="str">
        <f>'Data shares'!C141</f>
        <v>NCC</v>
      </c>
      <c r="B146" s="143">
        <f>VLOOKUP($A146,'Data shares'!$C:$FA,118)</f>
        <v>0.47</v>
      </c>
      <c r="C146" s="143">
        <f>VLOOKUP($A146,'Data shares'!$C:$FA,119)</f>
        <v>0.46</v>
      </c>
      <c r="D146" s="143">
        <f>VLOOKUP($A146,'Data shares'!$C:$FA,121)*100</f>
        <v>2.17</v>
      </c>
      <c r="E146" s="143">
        <f>VLOOKUP($A146,'Data shares'!$C:$FA,124)</f>
        <v>0.33</v>
      </c>
      <c r="F146" s="143">
        <f>VLOOKUP($A146,'Data shares'!$C:$FA,125)</f>
        <v>0.28999999999999998</v>
      </c>
      <c r="G146" s="143">
        <f>VLOOKUP($A146,'Data shares'!$C:$FA,127)*100</f>
        <v>13.79</v>
      </c>
      <c r="H146" s="103">
        <f>VLOOKUP($A146,'OI(Volume)'!$A$7:$O$427,8)</f>
        <v>23608800</v>
      </c>
      <c r="I146" s="103">
        <f>VLOOKUP($A146,'OI(Volume)'!$A$7:$O$427,9)</f>
        <v>-305100</v>
      </c>
      <c r="J146" s="103">
        <f>VLOOKUP($A146,'OI(Volume)'!$A$7:$O$427,11)</f>
        <v>11051100</v>
      </c>
      <c r="K146" s="103">
        <f>VLOOKUP($A146,'OI(Volume)'!$A$7:$O$427,12)</f>
        <v>-24300</v>
      </c>
      <c r="L146" s="103">
        <f>VLOOKUP($A146,'OI(Value)'!$A$7:$O$306,8,0)</f>
        <v>423</v>
      </c>
      <c r="M146" s="103">
        <f>VLOOKUP($A146,'OI(Value)'!$A$7:$O$306,9,0)</f>
        <v>-5</v>
      </c>
      <c r="N146" s="103">
        <f>VLOOKUP($A146,'OI(Value)'!$A$7:$O$306,11,0)</f>
        <v>198</v>
      </c>
      <c r="O146" s="103">
        <f>VLOOKUP($A146,'OI(Value)'!$A$7:$O$306,12,0)</f>
        <v>0</v>
      </c>
      <c r="P146" s="179">
        <f>VLOOKUP(A146,'OI(Value)'!A146:O347,8,0)</f>
        <v>423</v>
      </c>
      <c r="Q146" s="179">
        <f>VLOOKUP(A146,'OI(Value)'!A146:O347,9,0)</f>
        <v>-5</v>
      </c>
      <c r="R146" s="179">
        <f>VLOOKUP(A146,'OI(Value)'!A146:O347,11,0)</f>
        <v>198</v>
      </c>
      <c r="S146" s="179">
        <f>VLOOKUP(A146,'OI(Value)'!A146:O347,11,0)</f>
        <v>198</v>
      </c>
    </row>
    <row r="147" spans="1:19" x14ac:dyDescent="0.25">
      <c r="A147" s="105" t="str">
        <f>'Data shares'!C142</f>
        <v>NESTLEIND</v>
      </c>
      <c r="B147" s="143">
        <f>VLOOKUP($A147,'Data shares'!$C:$FA,118)</f>
        <v>0.37</v>
      </c>
      <c r="C147" s="143">
        <f>VLOOKUP($A147,'Data shares'!$C:$FA,119)</f>
        <v>0.38</v>
      </c>
      <c r="D147" s="143">
        <f>VLOOKUP($A147,'Data shares'!$C:$FA,121)*100</f>
        <v>-2.63</v>
      </c>
      <c r="E147" s="143">
        <f>VLOOKUP($A147,'Data shares'!$C:$FA,124)</f>
        <v>0.3</v>
      </c>
      <c r="F147" s="143">
        <f>VLOOKUP($A147,'Data shares'!$C:$FA,125)</f>
        <v>0.34</v>
      </c>
      <c r="G147" s="143">
        <f>VLOOKUP($A147,'Data shares'!$C:$FA,127)*100</f>
        <v>-11.76</v>
      </c>
      <c r="H147" s="103">
        <f>VLOOKUP($A147,'OI(Volume)'!$A$7:$O$427,8)</f>
        <v>5230500</v>
      </c>
      <c r="I147" s="103">
        <f>VLOOKUP($A147,'OI(Volume)'!$A$7:$O$427,9)</f>
        <v>-203500</v>
      </c>
      <c r="J147" s="103">
        <f>VLOOKUP($A147,'OI(Volume)'!$A$7:$O$427,11)</f>
        <v>1958500</v>
      </c>
      <c r="K147" s="103">
        <f>VLOOKUP($A147,'OI(Volume)'!$A$7:$O$427,12)</f>
        <v>-86500</v>
      </c>
      <c r="L147" s="103">
        <f>VLOOKUP($A147,'OI(Value)'!$A$7:$O$306,8,0)</f>
        <v>670</v>
      </c>
      <c r="M147" s="103">
        <f>VLOOKUP($A147,'OI(Value)'!$A$7:$O$306,9,0)</f>
        <v>-26</v>
      </c>
      <c r="N147" s="103">
        <f>VLOOKUP($A147,'OI(Value)'!$A$7:$O$306,11,0)</f>
        <v>251</v>
      </c>
      <c r="O147" s="103">
        <f>VLOOKUP($A147,'OI(Value)'!$A$7:$O$306,12,0)</f>
        <v>-11</v>
      </c>
      <c r="P147" s="179">
        <f>VLOOKUP(A147,'OI(Value)'!A147:O348,8,0)</f>
        <v>670</v>
      </c>
      <c r="Q147" s="179">
        <f>VLOOKUP(A147,'OI(Value)'!A147:O348,9,0)</f>
        <v>-26</v>
      </c>
      <c r="R147" s="179">
        <f>VLOOKUP(A147,'OI(Value)'!A147:O348,11,0)</f>
        <v>251</v>
      </c>
      <c r="S147" s="179">
        <f>VLOOKUP(A147,'OI(Value)'!A147:O348,11,0)</f>
        <v>251</v>
      </c>
    </row>
    <row r="148" spans="1:19" x14ac:dyDescent="0.25">
      <c r="A148" s="105" t="str">
        <f>'Data shares'!C143</f>
        <v>NHPC</v>
      </c>
      <c r="B148" s="143">
        <f>VLOOKUP($A148,'Data shares'!$C:$FA,118)</f>
        <v>0.45</v>
      </c>
      <c r="C148" s="143">
        <f>VLOOKUP($A148,'Data shares'!$C:$FA,119)</f>
        <v>0.45</v>
      </c>
      <c r="D148" s="143">
        <f>VLOOKUP($A148,'Data shares'!$C:$FA,121)*100</f>
        <v>0</v>
      </c>
      <c r="E148" s="143">
        <f>VLOOKUP($A148,'Data shares'!$C:$FA,124)</f>
        <v>0.34</v>
      </c>
      <c r="F148" s="143">
        <f>VLOOKUP($A148,'Data shares'!$C:$FA,125)</f>
        <v>0.33</v>
      </c>
      <c r="G148" s="143">
        <f>VLOOKUP($A148,'Data shares'!$C:$FA,127)*100</f>
        <v>3.0300000000000002</v>
      </c>
      <c r="H148" s="103">
        <f>VLOOKUP($A148,'OI(Volume)'!$A$7:$O$427,8)</f>
        <v>39046400</v>
      </c>
      <c r="I148" s="103">
        <f>VLOOKUP($A148,'OI(Volume)'!$A$7:$O$427,9)</f>
        <v>-1593600</v>
      </c>
      <c r="J148" s="103">
        <f>VLOOKUP($A148,'OI(Volume)'!$A$7:$O$427,11)</f>
        <v>17625600</v>
      </c>
      <c r="K148" s="103">
        <f>VLOOKUP($A148,'OI(Volume)'!$A$7:$O$427,12)</f>
        <v>-486400</v>
      </c>
      <c r="L148" s="103">
        <f>VLOOKUP($A148,'OI(Value)'!$A$7:$O$306,8,0)</f>
        <v>313</v>
      </c>
      <c r="M148" s="103">
        <f>VLOOKUP($A148,'OI(Value)'!$A$7:$O$306,9,0)</f>
        <v>-13</v>
      </c>
      <c r="N148" s="103">
        <f>VLOOKUP($A148,'OI(Value)'!$A$7:$O$306,11,0)</f>
        <v>141</v>
      </c>
      <c r="O148" s="103">
        <f>VLOOKUP($A148,'OI(Value)'!$A$7:$O$306,12,0)</f>
        <v>-4</v>
      </c>
      <c r="P148" s="179">
        <f>VLOOKUP(A148,'OI(Value)'!A148:O349,8,0)</f>
        <v>313</v>
      </c>
      <c r="Q148" s="179">
        <f>VLOOKUP(A148,'OI(Value)'!A148:O349,9,0)</f>
        <v>-13</v>
      </c>
      <c r="R148" s="179">
        <f>VLOOKUP(A148,'OI(Value)'!A148:O349,11,0)</f>
        <v>141</v>
      </c>
      <c r="S148" s="179">
        <f>VLOOKUP(A148,'OI(Value)'!A148:O349,11,0)</f>
        <v>141</v>
      </c>
    </row>
    <row r="149" spans="1:19" x14ac:dyDescent="0.25">
      <c r="A149" s="105" t="str">
        <f>'Data shares'!C144</f>
        <v>NIFTY</v>
      </c>
      <c r="B149" s="143">
        <f>VLOOKUP($A149,'Data shares'!$C:$FA,118)</f>
        <v>1.44</v>
      </c>
      <c r="C149" s="143">
        <f>VLOOKUP($A149,'Data shares'!$C:$FA,119)</f>
        <v>1.29</v>
      </c>
      <c r="D149" s="143">
        <f>VLOOKUP($A149,'Data shares'!$C:$FA,121)*100</f>
        <v>11.63</v>
      </c>
      <c r="E149" s="143">
        <f>VLOOKUP($A149,'Data shares'!$C:$FA,124)</f>
        <v>0.95</v>
      </c>
      <c r="F149" s="143">
        <f>VLOOKUP($A149,'Data shares'!$C:$FA,125)</f>
        <v>0.89</v>
      </c>
      <c r="G149" s="143">
        <f>VLOOKUP($A149,'Data shares'!$C:$FA,127)*100</f>
        <v>6.74</v>
      </c>
      <c r="H149" s="103">
        <f>VLOOKUP($A149,'OI(Volume)'!$A$7:$O$427,8)</f>
        <v>195577170</v>
      </c>
      <c r="I149" s="103">
        <f>VLOOKUP($A149,'OI(Volume)'!$A$7:$O$427,9)</f>
        <v>16585445</v>
      </c>
      <c r="J149" s="103">
        <f>VLOOKUP($A149,'OI(Volume)'!$A$7:$O$427,11)</f>
        <v>281716225</v>
      </c>
      <c r="K149" s="103">
        <f>VLOOKUP($A149,'OI(Volume)'!$A$7:$O$427,12)</f>
        <v>51481495</v>
      </c>
      <c r="L149" s="103">
        <f>VLOOKUP($A149,'OI(Value)'!$A$7:$O$306,8,0)</f>
        <v>512819</v>
      </c>
      <c r="M149" s="103">
        <f>VLOOKUP($A149,'OI(Value)'!$A$7:$O$306,9,0)</f>
        <v>43488</v>
      </c>
      <c r="N149" s="103">
        <f>VLOOKUP($A149,'OI(Value)'!$A$7:$O$306,11,0)</f>
        <v>738682</v>
      </c>
      <c r="O149" s="103">
        <f>VLOOKUP($A149,'OI(Value)'!$A$7:$O$306,12,0)</f>
        <v>134989</v>
      </c>
      <c r="P149" s="179">
        <f>VLOOKUP(A149,'OI(Value)'!A149:O350,8,0)</f>
        <v>512819</v>
      </c>
      <c r="Q149" s="179">
        <f>VLOOKUP(A149,'OI(Value)'!A149:O350,9,0)</f>
        <v>43488</v>
      </c>
      <c r="R149" s="179">
        <f>VLOOKUP(A149,'OI(Value)'!A149:O350,11,0)</f>
        <v>738682</v>
      </c>
      <c r="S149" s="179">
        <f>VLOOKUP(A149,'OI(Value)'!A149:O350,11,0)</f>
        <v>738682</v>
      </c>
    </row>
    <row r="150" spans="1:19" x14ac:dyDescent="0.25">
      <c r="A150" s="105" t="str">
        <f>'Data shares'!C145</f>
        <v>NIFTYNXT50</v>
      </c>
      <c r="B150" s="143">
        <f>VLOOKUP($A150,'Data shares'!$C:$FA,118)</f>
        <v>0.78</v>
      </c>
      <c r="C150" s="143">
        <f>VLOOKUP($A150,'Data shares'!$C:$FA,119)</f>
        <v>0.54</v>
      </c>
      <c r="D150" s="143">
        <f>VLOOKUP($A150,'Data shares'!$C:$FA,121)*100</f>
        <v>44.440000000000005</v>
      </c>
      <c r="E150" s="143">
        <f>VLOOKUP($A150,'Data shares'!$C:$FA,124)</f>
        <v>0.5</v>
      </c>
      <c r="F150" s="143">
        <f>VLOOKUP($A150,'Data shares'!$C:$FA,125)</f>
        <v>0.68</v>
      </c>
      <c r="G150" s="143">
        <f>VLOOKUP($A150,'Data shares'!$C:$FA,127)*100</f>
        <v>-26.47</v>
      </c>
      <c r="H150" s="103">
        <f>VLOOKUP($A150,'OI(Volume)'!$A$7:$O$427,8)</f>
        <v>20475</v>
      </c>
      <c r="I150" s="103">
        <f>VLOOKUP($A150,'OI(Volume)'!$A$7:$O$427,9)</f>
        <v>275</v>
      </c>
      <c r="J150" s="103">
        <f>VLOOKUP($A150,'OI(Volume)'!$A$7:$O$427,11)</f>
        <v>15950</v>
      </c>
      <c r="K150" s="103">
        <f>VLOOKUP($A150,'OI(Volume)'!$A$7:$O$427,12)</f>
        <v>5000</v>
      </c>
      <c r="L150" s="103">
        <f>VLOOKUP($A150,'OI(Value)'!$A$7:$O$306,8,0)</f>
        <v>143</v>
      </c>
      <c r="M150" s="103">
        <f>VLOOKUP($A150,'OI(Value)'!$A$7:$O$306,9,0)</f>
        <v>2</v>
      </c>
      <c r="N150" s="103">
        <f>VLOOKUP($A150,'OI(Value)'!$A$7:$O$306,11,0)</f>
        <v>111</v>
      </c>
      <c r="O150" s="103">
        <f>VLOOKUP($A150,'OI(Value)'!$A$7:$O$306,12,0)</f>
        <v>35</v>
      </c>
      <c r="P150" s="179">
        <f>VLOOKUP(A150,'OI(Value)'!A150:O351,8,0)</f>
        <v>143</v>
      </c>
      <c r="Q150" s="179">
        <f>VLOOKUP(A150,'OI(Value)'!A150:O351,9,0)</f>
        <v>2</v>
      </c>
      <c r="R150" s="179">
        <f>VLOOKUP(A150,'OI(Value)'!A150:O351,11,0)</f>
        <v>111</v>
      </c>
      <c r="S150" s="179">
        <f>VLOOKUP(A150,'OI(Value)'!A150:O351,11,0)</f>
        <v>111</v>
      </c>
    </row>
    <row r="151" spans="1:19" x14ac:dyDescent="0.25">
      <c r="A151" s="105" t="str">
        <f>'Data shares'!C146</f>
        <v>NMDC</v>
      </c>
      <c r="B151" s="143">
        <f>VLOOKUP($A151,'Data shares'!$C:$FA,118)</f>
        <v>0.61</v>
      </c>
      <c r="C151" s="143">
        <f>VLOOKUP($A151,'Data shares'!$C:$FA,119)</f>
        <v>0.61</v>
      </c>
      <c r="D151" s="143">
        <f>VLOOKUP($A151,'Data shares'!$C:$FA,121)*100</f>
        <v>0</v>
      </c>
      <c r="E151" s="143">
        <f>VLOOKUP($A151,'Data shares'!$C:$FA,124)</f>
        <v>0.6</v>
      </c>
      <c r="F151" s="143">
        <f>VLOOKUP($A151,'Data shares'!$C:$FA,125)</f>
        <v>0.49</v>
      </c>
      <c r="G151" s="143">
        <f>VLOOKUP($A151,'Data shares'!$C:$FA,127)*100</f>
        <v>22.45</v>
      </c>
      <c r="H151" s="103">
        <f>VLOOKUP($A151,'OI(Volume)'!$A$7:$O$427,8)</f>
        <v>153758250</v>
      </c>
      <c r="I151" s="103">
        <f>VLOOKUP($A151,'OI(Volume)'!$A$7:$O$427,9)</f>
        <v>1053000</v>
      </c>
      <c r="J151" s="103">
        <f>VLOOKUP($A151,'OI(Volume)'!$A$7:$O$427,11)</f>
        <v>93042000</v>
      </c>
      <c r="K151" s="103">
        <f>VLOOKUP($A151,'OI(Volume)'!$A$7:$O$427,12)</f>
        <v>546750</v>
      </c>
      <c r="L151" s="103">
        <f>VLOOKUP($A151,'OI(Value)'!$A$7:$O$306,8,0)</f>
        <v>1145</v>
      </c>
      <c r="M151" s="103">
        <f>VLOOKUP($A151,'OI(Value)'!$A$7:$O$306,9,0)</f>
        <v>8</v>
      </c>
      <c r="N151" s="103">
        <f>VLOOKUP($A151,'OI(Value)'!$A$7:$O$306,11,0)</f>
        <v>693</v>
      </c>
      <c r="O151" s="103">
        <f>VLOOKUP($A151,'OI(Value)'!$A$7:$O$306,12,0)</f>
        <v>4</v>
      </c>
      <c r="P151" s="179">
        <f>VLOOKUP(A151,'OI(Value)'!A151:O352,8,0)</f>
        <v>1145</v>
      </c>
      <c r="Q151" s="179">
        <f>VLOOKUP(A151,'OI(Value)'!A151:O352,9,0)</f>
        <v>8</v>
      </c>
      <c r="R151" s="179">
        <f>VLOOKUP(A151,'OI(Value)'!A151:O352,11,0)</f>
        <v>693</v>
      </c>
      <c r="S151" s="179">
        <f>VLOOKUP(A151,'OI(Value)'!A151:O352,11,0)</f>
        <v>693</v>
      </c>
    </row>
    <row r="152" spans="1:19" x14ac:dyDescent="0.25">
      <c r="A152" s="105" t="str">
        <f>'Data shares'!C147</f>
        <v>NTPC</v>
      </c>
      <c r="B152" s="143">
        <f>VLOOKUP($A152,'Data shares'!$C:$FA,118)</f>
        <v>0.4</v>
      </c>
      <c r="C152" s="143">
        <f>VLOOKUP($A152,'Data shares'!$C:$FA,119)</f>
        <v>0.4</v>
      </c>
      <c r="D152" s="143">
        <f>VLOOKUP($A152,'Data shares'!$C:$FA,121)*100</f>
        <v>0</v>
      </c>
      <c r="E152" s="143">
        <f>VLOOKUP($A152,'Data shares'!$C:$FA,124)</f>
        <v>0.44</v>
      </c>
      <c r="F152" s="143">
        <f>VLOOKUP($A152,'Data shares'!$C:$FA,125)</f>
        <v>0.32</v>
      </c>
      <c r="G152" s="143">
        <f>VLOOKUP($A152,'Data shares'!$C:$FA,127)*100</f>
        <v>37.5</v>
      </c>
      <c r="H152" s="103">
        <f>VLOOKUP($A152,'OI(Volume)'!$A$7:$O$427,8)</f>
        <v>59157000</v>
      </c>
      <c r="I152" s="103">
        <f>VLOOKUP($A152,'OI(Volume)'!$A$7:$O$427,9)</f>
        <v>-2112000</v>
      </c>
      <c r="J152" s="103">
        <f>VLOOKUP($A152,'OI(Volume)'!$A$7:$O$427,11)</f>
        <v>23527500</v>
      </c>
      <c r="K152" s="103">
        <f>VLOOKUP($A152,'OI(Volume)'!$A$7:$O$427,12)</f>
        <v>-1234500</v>
      </c>
      <c r="L152" s="103">
        <f>VLOOKUP($A152,'OI(Value)'!$A$7:$O$306,8,0)</f>
        <v>1934</v>
      </c>
      <c r="M152" s="103">
        <f>VLOOKUP($A152,'OI(Value)'!$A$7:$O$306,9,0)</f>
        <v>-69</v>
      </c>
      <c r="N152" s="103">
        <f>VLOOKUP($A152,'OI(Value)'!$A$7:$O$306,11,0)</f>
        <v>769</v>
      </c>
      <c r="O152" s="103">
        <f>VLOOKUP($A152,'OI(Value)'!$A$7:$O$306,12,0)</f>
        <v>-40</v>
      </c>
      <c r="P152" s="179">
        <f>VLOOKUP(A152,'OI(Value)'!A152:O353,8,0)</f>
        <v>1934</v>
      </c>
      <c r="Q152" s="179">
        <f>VLOOKUP(A152,'OI(Value)'!A152:O353,9,0)</f>
        <v>-69</v>
      </c>
      <c r="R152" s="179">
        <f>VLOOKUP(A152,'OI(Value)'!A152:O353,11,0)</f>
        <v>769</v>
      </c>
      <c r="S152" s="179">
        <f>VLOOKUP(A152,'OI(Value)'!A152:O353,11,0)</f>
        <v>769</v>
      </c>
    </row>
    <row r="153" spans="1:19" x14ac:dyDescent="0.25">
      <c r="A153" s="105" t="str">
        <f>'Data shares'!C148</f>
        <v>NUVAMA</v>
      </c>
      <c r="B153" s="143">
        <f>VLOOKUP($A153,'Data shares'!$C:$FA,118)</f>
        <v>0.65</v>
      </c>
      <c r="C153" s="143">
        <f>VLOOKUP($A153,'Data shares'!$C:$FA,119)</f>
        <v>0.56000000000000005</v>
      </c>
      <c r="D153" s="143">
        <f>VLOOKUP($A153,'Data shares'!$C:$FA,121)*100</f>
        <v>16.07</v>
      </c>
      <c r="E153" s="143">
        <f>VLOOKUP($A153,'Data shares'!$C:$FA,124)</f>
        <v>0.26</v>
      </c>
      <c r="F153" s="143">
        <f>VLOOKUP($A153,'Data shares'!$C:$FA,125)</f>
        <v>0.21</v>
      </c>
      <c r="G153" s="143">
        <f>VLOOKUP($A153,'Data shares'!$C:$FA,127)*100</f>
        <v>23.810000000000002</v>
      </c>
      <c r="H153" s="103">
        <f>VLOOKUP($A153,'OI(Volume)'!$A$7:$O$427,8)</f>
        <v>371400</v>
      </c>
      <c r="I153" s="103">
        <f>VLOOKUP($A153,'OI(Volume)'!$A$7:$O$427,9)</f>
        <v>-17100</v>
      </c>
      <c r="J153" s="103">
        <f>VLOOKUP($A153,'OI(Volume)'!$A$7:$O$427,11)</f>
        <v>241125</v>
      </c>
      <c r="K153" s="103">
        <f>VLOOKUP($A153,'OI(Volume)'!$A$7:$O$427,12)</f>
        <v>24825</v>
      </c>
      <c r="L153" s="103">
        <f>VLOOKUP($A153,'OI(Value)'!$A$7:$O$306,8,0)</f>
        <v>273</v>
      </c>
      <c r="M153" s="103">
        <f>VLOOKUP($A153,'OI(Value)'!$A$7:$O$306,9,0)</f>
        <v>-13</v>
      </c>
      <c r="N153" s="103">
        <f>VLOOKUP($A153,'OI(Value)'!$A$7:$O$306,11,0)</f>
        <v>177</v>
      </c>
      <c r="O153" s="103">
        <f>VLOOKUP($A153,'OI(Value)'!$A$7:$O$306,12,0)</f>
        <v>18</v>
      </c>
      <c r="P153" s="179">
        <f>VLOOKUP(A153,'OI(Value)'!A153:O354,8,0)</f>
        <v>273</v>
      </c>
      <c r="Q153" s="179">
        <f>VLOOKUP(A153,'OI(Value)'!A153:O354,9,0)</f>
        <v>-13</v>
      </c>
      <c r="R153" s="179">
        <f>VLOOKUP(A153,'OI(Value)'!A153:O354,11,0)</f>
        <v>177</v>
      </c>
      <c r="S153" s="179">
        <f>VLOOKUP(A153,'OI(Value)'!A153:O354,11,0)</f>
        <v>177</v>
      </c>
    </row>
    <row r="154" spans="1:19" x14ac:dyDescent="0.25">
      <c r="A154" s="105" t="str">
        <f>'Data shares'!C149</f>
        <v>NYKAA</v>
      </c>
      <c r="B154" s="143">
        <f>VLOOKUP($A154,'Data shares'!$C:$FA,118)</f>
        <v>0.59</v>
      </c>
      <c r="C154" s="143">
        <f>VLOOKUP($A154,'Data shares'!$C:$FA,119)</f>
        <v>0.61</v>
      </c>
      <c r="D154" s="143">
        <f>VLOOKUP($A154,'Data shares'!$C:$FA,121)*100</f>
        <v>-3.2800000000000002</v>
      </c>
      <c r="E154" s="143">
        <f>VLOOKUP($A154,'Data shares'!$C:$FA,124)</f>
        <v>0.4</v>
      </c>
      <c r="F154" s="143">
        <f>VLOOKUP($A154,'Data shares'!$C:$FA,125)</f>
        <v>0.46</v>
      </c>
      <c r="G154" s="143">
        <f>VLOOKUP($A154,'Data shares'!$C:$FA,127)*100</f>
        <v>-13.04</v>
      </c>
      <c r="H154" s="103">
        <f>VLOOKUP($A154,'OI(Volume)'!$A$7:$O$427,8)</f>
        <v>19296875</v>
      </c>
      <c r="I154" s="103">
        <f>VLOOKUP($A154,'OI(Volume)'!$A$7:$O$427,9)</f>
        <v>-1315625</v>
      </c>
      <c r="J154" s="103">
        <f>VLOOKUP($A154,'OI(Volume)'!$A$7:$O$427,11)</f>
        <v>11409375</v>
      </c>
      <c r="K154" s="103">
        <f>VLOOKUP($A154,'OI(Volume)'!$A$7:$O$427,12)</f>
        <v>-1062500</v>
      </c>
      <c r="L154" s="103">
        <f>VLOOKUP($A154,'OI(Value)'!$A$7:$O$306,8,0)</f>
        <v>519</v>
      </c>
      <c r="M154" s="103">
        <f>VLOOKUP($A154,'OI(Value)'!$A$7:$O$306,9,0)</f>
        <v>-35</v>
      </c>
      <c r="N154" s="103">
        <f>VLOOKUP($A154,'OI(Value)'!$A$7:$O$306,11,0)</f>
        <v>307</v>
      </c>
      <c r="O154" s="103">
        <f>VLOOKUP($A154,'OI(Value)'!$A$7:$O$306,12,0)</f>
        <v>-29</v>
      </c>
      <c r="P154" s="179">
        <f>VLOOKUP(A154,'OI(Value)'!A154:O355,8,0)</f>
        <v>519</v>
      </c>
      <c r="Q154" s="179">
        <f>VLOOKUP(A154,'OI(Value)'!A154:O355,9,0)</f>
        <v>-35</v>
      </c>
      <c r="R154" s="179">
        <f>VLOOKUP(A154,'OI(Value)'!A154:O355,11,0)</f>
        <v>307</v>
      </c>
      <c r="S154" s="179">
        <f>VLOOKUP(A154,'OI(Value)'!A154:O355,11,0)</f>
        <v>307</v>
      </c>
    </row>
    <row r="155" spans="1:19" x14ac:dyDescent="0.25">
      <c r="A155" s="105" t="str">
        <f>'Data shares'!C150</f>
        <v>OBEROIRLTY</v>
      </c>
      <c r="B155" s="143">
        <f>VLOOKUP($A155,'Data shares'!$C:$FA,118)</f>
        <v>0.66</v>
      </c>
      <c r="C155" s="143">
        <f>VLOOKUP($A155,'Data shares'!$C:$FA,119)</f>
        <v>0.61</v>
      </c>
      <c r="D155" s="143">
        <f>VLOOKUP($A155,'Data shares'!$C:$FA,121)*100</f>
        <v>8.2000000000000011</v>
      </c>
      <c r="E155" s="143">
        <f>VLOOKUP($A155,'Data shares'!$C:$FA,124)</f>
        <v>0.43</v>
      </c>
      <c r="F155" s="143">
        <f>VLOOKUP($A155,'Data shares'!$C:$FA,125)</f>
        <v>0.46</v>
      </c>
      <c r="G155" s="143">
        <f>VLOOKUP($A155,'Data shares'!$C:$FA,127)*100</f>
        <v>-6.52</v>
      </c>
      <c r="H155" s="103">
        <f>VLOOKUP($A155,'OI(Volume)'!$A$7:$O$427,8)</f>
        <v>1459150</v>
      </c>
      <c r="I155" s="103">
        <f>VLOOKUP($A155,'OI(Volume)'!$A$7:$O$427,9)</f>
        <v>-102900</v>
      </c>
      <c r="J155" s="103">
        <f>VLOOKUP($A155,'OI(Volume)'!$A$7:$O$427,11)</f>
        <v>960050</v>
      </c>
      <c r="K155" s="103">
        <f>VLOOKUP($A155,'OI(Volume)'!$A$7:$O$427,12)</f>
        <v>2800</v>
      </c>
      <c r="L155" s="103">
        <f>VLOOKUP($A155,'OI(Value)'!$A$7:$O$306,8,0)</f>
        <v>249</v>
      </c>
      <c r="M155" s="103">
        <f>VLOOKUP($A155,'OI(Value)'!$A$7:$O$306,9,0)</f>
        <v>-18</v>
      </c>
      <c r="N155" s="103">
        <f>VLOOKUP($A155,'OI(Value)'!$A$7:$O$306,11,0)</f>
        <v>164</v>
      </c>
      <c r="O155" s="103">
        <f>VLOOKUP($A155,'OI(Value)'!$A$7:$O$306,12,0)</f>
        <v>0</v>
      </c>
      <c r="P155" s="179">
        <f>VLOOKUP(A155,'OI(Value)'!A155:O356,8,0)</f>
        <v>249</v>
      </c>
      <c r="Q155" s="179">
        <f>VLOOKUP(A155,'OI(Value)'!A155:O356,9,0)</f>
        <v>-18</v>
      </c>
      <c r="R155" s="179">
        <f>VLOOKUP(A155,'OI(Value)'!A155:O356,11,0)</f>
        <v>164</v>
      </c>
      <c r="S155" s="179">
        <f>VLOOKUP(A155,'OI(Value)'!A155:O356,11,0)</f>
        <v>164</v>
      </c>
    </row>
    <row r="156" spans="1:19" x14ac:dyDescent="0.25">
      <c r="A156" s="105" t="str">
        <f>'Data shares'!C151</f>
        <v>OFSS</v>
      </c>
      <c r="B156" s="143">
        <f>VLOOKUP($A156,'Data shares'!$C:$FA,118)</f>
        <v>0.51</v>
      </c>
      <c r="C156" s="143">
        <f>VLOOKUP($A156,'Data shares'!$C:$FA,119)</f>
        <v>0.51</v>
      </c>
      <c r="D156" s="143">
        <f>VLOOKUP($A156,'Data shares'!$C:$FA,121)*100</f>
        <v>0</v>
      </c>
      <c r="E156" s="143">
        <f>VLOOKUP($A156,'Data shares'!$C:$FA,124)</f>
        <v>0.27</v>
      </c>
      <c r="F156" s="143">
        <f>VLOOKUP($A156,'Data shares'!$C:$FA,125)</f>
        <v>0.3</v>
      </c>
      <c r="G156" s="143">
        <f>VLOOKUP($A156,'Data shares'!$C:$FA,127)*100</f>
        <v>-10</v>
      </c>
      <c r="H156" s="103">
        <f>VLOOKUP($A156,'OI(Volume)'!$A$7:$O$427,8)</f>
        <v>897225</v>
      </c>
      <c r="I156" s="103">
        <f>VLOOKUP($A156,'OI(Volume)'!$A$7:$O$427,9)</f>
        <v>-8100</v>
      </c>
      <c r="J156" s="103">
        <f>VLOOKUP($A156,'OI(Volume)'!$A$7:$O$427,11)</f>
        <v>458175</v>
      </c>
      <c r="K156" s="103">
        <f>VLOOKUP($A156,'OI(Volume)'!$A$7:$O$427,12)</f>
        <v>-7200</v>
      </c>
      <c r="L156" s="103">
        <f>VLOOKUP($A156,'OI(Value)'!$A$7:$O$306,8,0)</f>
        <v>753</v>
      </c>
      <c r="M156" s="103">
        <f>VLOOKUP($A156,'OI(Value)'!$A$7:$O$306,9,0)</f>
        <v>-7</v>
      </c>
      <c r="N156" s="103">
        <f>VLOOKUP($A156,'OI(Value)'!$A$7:$O$306,11,0)</f>
        <v>385</v>
      </c>
      <c r="O156" s="103">
        <f>VLOOKUP($A156,'OI(Value)'!$A$7:$O$306,12,0)</f>
        <v>-6</v>
      </c>
      <c r="P156" s="179">
        <f>VLOOKUP(A156,'OI(Value)'!A156:O357,8,0)</f>
        <v>753</v>
      </c>
      <c r="Q156" s="179">
        <f>VLOOKUP(A156,'OI(Value)'!A156:O357,9,0)</f>
        <v>-7</v>
      </c>
      <c r="R156" s="179">
        <f>VLOOKUP(A156,'OI(Value)'!A156:O357,11,0)</f>
        <v>385</v>
      </c>
      <c r="S156" s="179">
        <f>VLOOKUP(A156,'OI(Value)'!A156:O357,11,0)</f>
        <v>385</v>
      </c>
    </row>
    <row r="157" spans="1:19" x14ac:dyDescent="0.25">
      <c r="A157" s="105" t="str">
        <f>'Data shares'!C152</f>
        <v>OIL</v>
      </c>
      <c r="B157" s="143">
        <f>VLOOKUP($A157,'Data shares'!$C:$FA,118)</f>
        <v>0.56000000000000005</v>
      </c>
      <c r="C157" s="143">
        <f>VLOOKUP($A157,'Data shares'!$C:$FA,119)</f>
        <v>0.53</v>
      </c>
      <c r="D157" s="143">
        <f>VLOOKUP($A157,'Data shares'!$C:$FA,121)*100</f>
        <v>5.66</v>
      </c>
      <c r="E157" s="143">
        <f>VLOOKUP($A157,'Data shares'!$C:$FA,124)</f>
        <v>0.37</v>
      </c>
      <c r="F157" s="143">
        <f>VLOOKUP($A157,'Data shares'!$C:$FA,125)</f>
        <v>0.27</v>
      </c>
      <c r="G157" s="143">
        <f>VLOOKUP($A157,'Data shares'!$C:$FA,127)*100</f>
        <v>37.04</v>
      </c>
      <c r="H157" s="103">
        <f>VLOOKUP($A157,'OI(Volume)'!$A$7:$O$427,8)</f>
        <v>6906200</v>
      </c>
      <c r="I157" s="103">
        <f>VLOOKUP($A157,'OI(Volume)'!$A$7:$O$427,9)</f>
        <v>-550200</v>
      </c>
      <c r="J157" s="103">
        <f>VLOOKUP($A157,'OI(Volume)'!$A$7:$O$427,11)</f>
        <v>3887800</v>
      </c>
      <c r="K157" s="103">
        <f>VLOOKUP($A157,'OI(Volume)'!$A$7:$O$427,12)</f>
        <v>-46200</v>
      </c>
      <c r="L157" s="103">
        <f>VLOOKUP($A157,'OI(Value)'!$A$7:$O$306,8,0)</f>
        <v>299</v>
      </c>
      <c r="M157" s="103">
        <f>VLOOKUP($A157,'OI(Value)'!$A$7:$O$306,9,0)</f>
        <v>-24</v>
      </c>
      <c r="N157" s="103">
        <f>VLOOKUP($A157,'OI(Value)'!$A$7:$O$306,11,0)</f>
        <v>168</v>
      </c>
      <c r="O157" s="103">
        <f>VLOOKUP($A157,'OI(Value)'!$A$7:$O$306,12,0)</f>
        <v>-2</v>
      </c>
      <c r="P157" s="179">
        <f>VLOOKUP(A157,'OI(Value)'!A157:O358,8,0)</f>
        <v>299</v>
      </c>
      <c r="Q157" s="179">
        <f>VLOOKUP(A157,'OI(Value)'!A157:O358,9,0)</f>
        <v>-24</v>
      </c>
      <c r="R157" s="179">
        <f>VLOOKUP(A157,'OI(Value)'!A157:O358,11,0)</f>
        <v>168</v>
      </c>
      <c r="S157" s="179">
        <f>VLOOKUP(A157,'OI(Value)'!A157:O358,11,0)</f>
        <v>168</v>
      </c>
    </row>
    <row r="158" spans="1:19" x14ac:dyDescent="0.25">
      <c r="A158" s="105" t="str">
        <f>'Data shares'!C153</f>
        <v>ONGC</v>
      </c>
      <c r="B158" s="143">
        <f>VLOOKUP($A158,'Data shares'!$C:$FA,118)</f>
        <v>0.38</v>
      </c>
      <c r="C158" s="143">
        <f>VLOOKUP($A158,'Data shares'!$C:$FA,119)</f>
        <v>0.38</v>
      </c>
      <c r="D158" s="143">
        <f>VLOOKUP($A158,'Data shares'!$C:$FA,121)*100</f>
        <v>0</v>
      </c>
      <c r="E158" s="143">
        <f>VLOOKUP($A158,'Data shares'!$C:$FA,124)</f>
        <v>0.48</v>
      </c>
      <c r="F158" s="143">
        <f>VLOOKUP($A158,'Data shares'!$C:$FA,125)</f>
        <v>0.47</v>
      </c>
      <c r="G158" s="143">
        <f>VLOOKUP($A158,'Data shares'!$C:$FA,127)*100</f>
        <v>2.13</v>
      </c>
      <c r="H158" s="103">
        <f>VLOOKUP($A158,'OI(Volume)'!$A$7:$O$427,8)</f>
        <v>58284000</v>
      </c>
      <c r="I158" s="103">
        <f>VLOOKUP($A158,'OI(Volume)'!$A$7:$O$427,9)</f>
        <v>1437750</v>
      </c>
      <c r="J158" s="103">
        <f>VLOOKUP($A158,'OI(Volume)'!$A$7:$O$427,11)</f>
        <v>22263750</v>
      </c>
      <c r="K158" s="103">
        <f>VLOOKUP($A158,'OI(Volume)'!$A$7:$O$427,12)</f>
        <v>888750</v>
      </c>
      <c r="L158" s="103">
        <f>VLOOKUP($A158,'OI(Value)'!$A$7:$O$306,8,0)</f>
        <v>1446</v>
      </c>
      <c r="M158" s="103">
        <f>VLOOKUP($A158,'OI(Value)'!$A$7:$O$306,9,0)</f>
        <v>36</v>
      </c>
      <c r="N158" s="103">
        <f>VLOOKUP($A158,'OI(Value)'!$A$7:$O$306,11,0)</f>
        <v>552</v>
      </c>
      <c r="O158" s="103">
        <f>VLOOKUP($A158,'OI(Value)'!$A$7:$O$306,12,0)</f>
        <v>22</v>
      </c>
      <c r="P158" s="179">
        <f>VLOOKUP(A158,'OI(Value)'!A158:O359,8,0)</f>
        <v>1446</v>
      </c>
      <c r="Q158" s="179">
        <f>VLOOKUP(A158,'OI(Value)'!A158:O359,9,0)</f>
        <v>36</v>
      </c>
      <c r="R158" s="179">
        <f>VLOOKUP(A158,'OI(Value)'!A158:O359,11,0)</f>
        <v>552</v>
      </c>
      <c r="S158" s="179">
        <f>VLOOKUP(A158,'OI(Value)'!A158:O359,11,0)</f>
        <v>552</v>
      </c>
    </row>
    <row r="159" spans="1:19" x14ac:dyDescent="0.25">
      <c r="A159" s="105" t="str">
        <f>'Data shares'!C154</f>
        <v>PAGEIND</v>
      </c>
      <c r="B159" s="143">
        <f>VLOOKUP($A159,'Data shares'!$C:$FA,118)</f>
        <v>0.36</v>
      </c>
      <c r="C159" s="143">
        <f>VLOOKUP($A159,'Data shares'!$C:$FA,119)</f>
        <v>0.34</v>
      </c>
      <c r="D159" s="143">
        <f>VLOOKUP($A159,'Data shares'!$C:$FA,121)*100</f>
        <v>5.88</v>
      </c>
      <c r="E159" s="143">
        <f>VLOOKUP($A159,'Data shares'!$C:$FA,124)</f>
        <v>0.2</v>
      </c>
      <c r="F159" s="143">
        <f>VLOOKUP($A159,'Data shares'!$C:$FA,125)</f>
        <v>0.26</v>
      </c>
      <c r="G159" s="143">
        <f>VLOOKUP($A159,'Data shares'!$C:$FA,127)*100</f>
        <v>-23.080000000000002</v>
      </c>
      <c r="H159" s="103">
        <f>VLOOKUP($A159,'OI(Volume)'!$A$7:$O$427,8)</f>
        <v>202200</v>
      </c>
      <c r="I159" s="103">
        <f>VLOOKUP($A159,'OI(Volume)'!$A$7:$O$427,9)</f>
        <v>780</v>
      </c>
      <c r="J159" s="103">
        <f>VLOOKUP($A159,'OI(Volume)'!$A$7:$O$427,11)</f>
        <v>72870</v>
      </c>
      <c r="K159" s="103">
        <f>VLOOKUP($A159,'OI(Volume)'!$A$7:$O$427,12)</f>
        <v>3615</v>
      </c>
      <c r="L159" s="103">
        <f>VLOOKUP($A159,'OI(Value)'!$A$7:$O$306,8,0)</f>
        <v>782</v>
      </c>
      <c r="M159" s="103">
        <f>VLOOKUP($A159,'OI(Value)'!$A$7:$O$306,9,0)</f>
        <v>3</v>
      </c>
      <c r="N159" s="103">
        <f>VLOOKUP($A159,'OI(Value)'!$A$7:$O$306,11,0)</f>
        <v>282</v>
      </c>
      <c r="O159" s="103">
        <f>VLOOKUP($A159,'OI(Value)'!$A$7:$O$306,12,0)</f>
        <v>14</v>
      </c>
      <c r="P159" s="179">
        <f>VLOOKUP(A159,'OI(Value)'!A159:O360,8,0)</f>
        <v>782</v>
      </c>
      <c r="Q159" s="179">
        <f>VLOOKUP(A159,'OI(Value)'!A159:O360,9,0)</f>
        <v>3</v>
      </c>
      <c r="R159" s="179">
        <f>VLOOKUP(A159,'OI(Value)'!A159:O360,11,0)</f>
        <v>282</v>
      </c>
      <c r="S159" s="179">
        <f>VLOOKUP(A159,'OI(Value)'!A159:O360,11,0)</f>
        <v>282</v>
      </c>
    </row>
    <row r="160" spans="1:19" x14ac:dyDescent="0.25">
      <c r="A160" s="105" t="str">
        <f>'Data shares'!C155</f>
        <v>PATANJALI</v>
      </c>
      <c r="B160" s="143">
        <f>VLOOKUP($A160,'Data shares'!$C:$FA,118)</f>
        <v>0.37</v>
      </c>
      <c r="C160" s="143">
        <f>VLOOKUP($A160,'Data shares'!$C:$FA,119)</f>
        <v>0.38</v>
      </c>
      <c r="D160" s="143">
        <f>VLOOKUP($A160,'Data shares'!$C:$FA,121)*100</f>
        <v>-2.63</v>
      </c>
      <c r="E160" s="143">
        <f>VLOOKUP($A160,'Data shares'!$C:$FA,124)</f>
        <v>0.31</v>
      </c>
      <c r="F160" s="143">
        <f>VLOOKUP($A160,'Data shares'!$C:$FA,125)</f>
        <v>0.28999999999999998</v>
      </c>
      <c r="G160" s="143">
        <f>VLOOKUP($A160,'Data shares'!$C:$FA,127)*100</f>
        <v>6.9</v>
      </c>
      <c r="H160" s="103">
        <f>VLOOKUP($A160,'OI(Volume)'!$A$7:$O$427,8)</f>
        <v>10307700</v>
      </c>
      <c r="I160" s="103">
        <f>VLOOKUP($A160,'OI(Volume)'!$A$7:$O$427,9)</f>
        <v>-452700</v>
      </c>
      <c r="J160" s="103">
        <f>VLOOKUP($A160,'OI(Volume)'!$A$7:$O$427,11)</f>
        <v>3819600</v>
      </c>
      <c r="K160" s="103">
        <f>VLOOKUP($A160,'OI(Volume)'!$A$7:$O$427,12)</f>
        <v>-231300</v>
      </c>
      <c r="L160" s="103">
        <f>VLOOKUP($A160,'OI(Value)'!$A$7:$O$306,8,0)</f>
        <v>601</v>
      </c>
      <c r="M160" s="103">
        <f>VLOOKUP($A160,'OI(Value)'!$A$7:$O$306,9,0)</f>
        <v>-26</v>
      </c>
      <c r="N160" s="103">
        <f>VLOOKUP($A160,'OI(Value)'!$A$7:$O$306,11,0)</f>
        <v>223</v>
      </c>
      <c r="O160" s="103">
        <f>VLOOKUP($A160,'OI(Value)'!$A$7:$O$306,12,0)</f>
        <v>-13</v>
      </c>
      <c r="P160" s="179">
        <f>VLOOKUP(A160,'OI(Value)'!A160:O361,8,0)</f>
        <v>601</v>
      </c>
      <c r="Q160" s="179">
        <f>VLOOKUP(A160,'OI(Value)'!A160:O361,9,0)</f>
        <v>-26</v>
      </c>
      <c r="R160" s="179">
        <f>VLOOKUP(A160,'OI(Value)'!A160:O361,11,0)</f>
        <v>223</v>
      </c>
      <c r="S160" s="179">
        <f>VLOOKUP(A160,'OI(Value)'!A160:O361,11,0)</f>
        <v>223</v>
      </c>
    </row>
    <row r="161" spans="1:19" x14ac:dyDescent="0.25">
      <c r="A161" s="105" t="str">
        <f>'Data shares'!C156</f>
        <v>PAYTM</v>
      </c>
      <c r="B161" s="143">
        <f>VLOOKUP($A161,'Data shares'!$C:$FA,118)</f>
        <v>0.64</v>
      </c>
      <c r="C161" s="143">
        <f>VLOOKUP($A161,'Data shares'!$C:$FA,119)</f>
        <v>0.63</v>
      </c>
      <c r="D161" s="143">
        <f>VLOOKUP($A161,'Data shares'!$C:$FA,121)*100</f>
        <v>1.59</v>
      </c>
      <c r="E161" s="143">
        <f>VLOOKUP($A161,'Data shares'!$C:$FA,124)</f>
        <v>0.35</v>
      </c>
      <c r="F161" s="143">
        <f>VLOOKUP($A161,'Data shares'!$C:$FA,125)</f>
        <v>0.57999999999999996</v>
      </c>
      <c r="G161" s="143">
        <f>VLOOKUP($A161,'Data shares'!$C:$FA,127)*100</f>
        <v>-39.660000000000004</v>
      </c>
      <c r="H161" s="103">
        <f>VLOOKUP($A161,'OI(Volume)'!$A$7:$O$427,8)</f>
        <v>10137675</v>
      </c>
      <c r="I161" s="103">
        <f>VLOOKUP($A161,'OI(Volume)'!$A$7:$O$427,9)</f>
        <v>-176175</v>
      </c>
      <c r="J161" s="103">
        <f>VLOOKUP($A161,'OI(Volume)'!$A$7:$O$427,11)</f>
        <v>6452500</v>
      </c>
      <c r="K161" s="103">
        <f>VLOOKUP($A161,'OI(Volume)'!$A$7:$O$427,12)</f>
        <v>-84825</v>
      </c>
      <c r="L161" s="103">
        <f>VLOOKUP($A161,'OI(Value)'!$A$7:$O$306,8,0)</f>
        <v>1301</v>
      </c>
      <c r="M161" s="103">
        <f>VLOOKUP($A161,'OI(Value)'!$A$7:$O$306,9,0)</f>
        <v>-23</v>
      </c>
      <c r="N161" s="103">
        <f>VLOOKUP($A161,'OI(Value)'!$A$7:$O$306,11,0)</f>
        <v>828</v>
      </c>
      <c r="O161" s="103">
        <f>VLOOKUP($A161,'OI(Value)'!$A$7:$O$306,12,0)</f>
        <v>-11</v>
      </c>
      <c r="P161" s="179">
        <f>VLOOKUP(A161,'OI(Value)'!A161:O362,8,0)</f>
        <v>1301</v>
      </c>
      <c r="Q161" s="179">
        <f>VLOOKUP(A161,'OI(Value)'!A161:O362,9,0)</f>
        <v>-23</v>
      </c>
      <c r="R161" s="179">
        <f>VLOOKUP(A161,'OI(Value)'!A161:O362,11,0)</f>
        <v>828</v>
      </c>
      <c r="S161" s="179">
        <f>VLOOKUP(A161,'OI(Value)'!A161:O362,11,0)</f>
        <v>828</v>
      </c>
    </row>
    <row r="162" spans="1:19" x14ac:dyDescent="0.25">
      <c r="A162" s="105" t="str">
        <f>'Data shares'!C157</f>
        <v>PERSISTENT</v>
      </c>
      <c r="B162" s="143">
        <f>VLOOKUP($A162,'Data shares'!$C:$FA,118)</f>
        <v>1.1499999999999999</v>
      </c>
      <c r="C162" s="143">
        <f>VLOOKUP($A162,'Data shares'!$C:$FA,119)</f>
        <v>1.1499999999999999</v>
      </c>
      <c r="D162" s="143">
        <f>VLOOKUP($A162,'Data shares'!$C:$FA,121)*100</f>
        <v>0</v>
      </c>
      <c r="E162" s="143">
        <f>VLOOKUP($A162,'Data shares'!$C:$FA,124)</f>
        <v>0.53</v>
      </c>
      <c r="F162" s="143">
        <f>VLOOKUP($A162,'Data shares'!$C:$FA,125)</f>
        <v>0.37</v>
      </c>
      <c r="G162" s="143">
        <f>VLOOKUP($A162,'Data shares'!$C:$FA,127)*100</f>
        <v>43.24</v>
      </c>
      <c r="H162" s="103">
        <f>VLOOKUP($A162,'OI(Volume)'!$A$7:$O$427,8)</f>
        <v>983100</v>
      </c>
      <c r="I162" s="103">
        <f>VLOOKUP($A162,'OI(Volume)'!$A$7:$O$427,9)</f>
        <v>-37700</v>
      </c>
      <c r="J162" s="103">
        <f>VLOOKUP($A162,'OI(Volume)'!$A$7:$O$427,11)</f>
        <v>1133800</v>
      </c>
      <c r="K162" s="103">
        <f>VLOOKUP($A162,'OI(Volume)'!$A$7:$O$427,12)</f>
        <v>-41400</v>
      </c>
      <c r="L162" s="103">
        <f>VLOOKUP($A162,'OI(Value)'!$A$7:$O$306,8,0)</f>
        <v>624</v>
      </c>
      <c r="M162" s="103">
        <f>VLOOKUP($A162,'OI(Value)'!$A$7:$O$306,9,0)</f>
        <v>-24</v>
      </c>
      <c r="N162" s="103">
        <f>VLOOKUP($A162,'OI(Value)'!$A$7:$O$306,11,0)</f>
        <v>720</v>
      </c>
      <c r="O162" s="103">
        <f>VLOOKUP($A162,'OI(Value)'!$A$7:$O$306,12,0)</f>
        <v>-26</v>
      </c>
      <c r="P162" s="179">
        <f>VLOOKUP(A162,'OI(Value)'!A162:O363,8,0)</f>
        <v>624</v>
      </c>
      <c r="Q162" s="179">
        <f>VLOOKUP(A162,'OI(Value)'!A162:O363,9,0)</f>
        <v>-24</v>
      </c>
      <c r="R162" s="179">
        <f>VLOOKUP(A162,'OI(Value)'!A162:O363,11,0)</f>
        <v>720</v>
      </c>
      <c r="S162" s="179">
        <f>VLOOKUP(A162,'OI(Value)'!A162:O363,11,0)</f>
        <v>720</v>
      </c>
    </row>
    <row r="163" spans="1:19" x14ac:dyDescent="0.25">
      <c r="A163" s="105" t="str">
        <f>'Data shares'!C158</f>
        <v>PETRONET</v>
      </c>
      <c r="B163" s="143">
        <f>VLOOKUP($A163,'Data shares'!$C:$FA,118)</f>
        <v>1.21</v>
      </c>
      <c r="C163" s="143">
        <f>VLOOKUP($A163,'Data shares'!$C:$FA,119)</f>
        <v>1.2</v>
      </c>
      <c r="D163" s="143">
        <f>VLOOKUP($A163,'Data shares'!$C:$FA,121)*100</f>
        <v>0.83</v>
      </c>
      <c r="E163" s="143">
        <f>VLOOKUP($A163,'Data shares'!$C:$FA,124)</f>
        <v>1.03</v>
      </c>
      <c r="F163" s="143">
        <f>VLOOKUP($A163,'Data shares'!$C:$FA,125)</f>
        <v>0.91</v>
      </c>
      <c r="G163" s="143">
        <f>VLOOKUP($A163,'Data shares'!$C:$FA,127)*100</f>
        <v>13.19</v>
      </c>
      <c r="H163" s="103">
        <f>VLOOKUP($A163,'OI(Volume)'!$A$7:$O$427,8)</f>
        <v>14144500</v>
      </c>
      <c r="I163" s="103">
        <f>VLOOKUP($A163,'OI(Volume)'!$A$7:$O$427,9)</f>
        <v>336600</v>
      </c>
      <c r="J163" s="103">
        <f>VLOOKUP($A163,'OI(Volume)'!$A$7:$O$427,11)</f>
        <v>17116200</v>
      </c>
      <c r="K163" s="103">
        <f>VLOOKUP($A163,'OI(Volume)'!$A$7:$O$427,12)</f>
        <v>577800</v>
      </c>
      <c r="L163" s="103">
        <f>VLOOKUP($A163,'OI(Value)'!$A$7:$O$306,8,0)</f>
        <v>388</v>
      </c>
      <c r="M163" s="103">
        <f>VLOOKUP($A163,'OI(Value)'!$A$7:$O$306,9,0)</f>
        <v>9</v>
      </c>
      <c r="N163" s="103">
        <f>VLOOKUP($A163,'OI(Value)'!$A$7:$O$306,11,0)</f>
        <v>469</v>
      </c>
      <c r="O163" s="103">
        <f>VLOOKUP($A163,'OI(Value)'!$A$7:$O$306,12,0)</f>
        <v>16</v>
      </c>
      <c r="P163" s="179">
        <f>VLOOKUP(A163,'OI(Value)'!A163:O364,8,0)</f>
        <v>388</v>
      </c>
      <c r="Q163" s="179">
        <f>VLOOKUP(A163,'OI(Value)'!A163:O364,9,0)</f>
        <v>9</v>
      </c>
      <c r="R163" s="179">
        <f>VLOOKUP(A163,'OI(Value)'!A163:O364,11,0)</f>
        <v>469</v>
      </c>
      <c r="S163" s="179">
        <f>VLOOKUP(A163,'OI(Value)'!A163:O364,11,0)</f>
        <v>469</v>
      </c>
    </row>
    <row r="164" spans="1:19" x14ac:dyDescent="0.25">
      <c r="A164" s="105" t="str">
        <f>'Data shares'!C159</f>
        <v>PFC</v>
      </c>
      <c r="B164" s="143">
        <f>VLOOKUP($A164,'Data shares'!$C:$FA,118)</f>
        <v>0.71</v>
      </c>
      <c r="C164" s="143">
        <f>VLOOKUP($A164,'Data shares'!$C:$FA,119)</f>
        <v>0.66</v>
      </c>
      <c r="D164" s="143">
        <f>VLOOKUP($A164,'Data shares'!$C:$FA,121)*100</f>
        <v>7.580000000000001</v>
      </c>
      <c r="E164" s="143">
        <f>VLOOKUP($A164,'Data shares'!$C:$FA,124)</f>
        <v>0.52</v>
      </c>
      <c r="F164" s="143">
        <f>VLOOKUP($A164,'Data shares'!$C:$FA,125)</f>
        <v>0.46</v>
      </c>
      <c r="G164" s="143">
        <f>VLOOKUP($A164,'Data shares'!$C:$FA,127)*100</f>
        <v>13.04</v>
      </c>
      <c r="H164" s="103">
        <f>VLOOKUP($A164,'OI(Volume)'!$A$7:$O$427,8)</f>
        <v>43401800</v>
      </c>
      <c r="I164" s="103">
        <f>VLOOKUP($A164,'OI(Volume)'!$A$7:$O$427,9)</f>
        <v>-4189900</v>
      </c>
      <c r="J164" s="103">
        <f>VLOOKUP($A164,'OI(Volume)'!$A$7:$O$427,11)</f>
        <v>30690400</v>
      </c>
      <c r="K164" s="103">
        <f>VLOOKUP($A164,'OI(Volume)'!$A$7:$O$427,12)</f>
        <v>-747500</v>
      </c>
      <c r="L164" s="103">
        <f>VLOOKUP($A164,'OI(Value)'!$A$7:$O$306,8,0)</f>
        <v>1621</v>
      </c>
      <c r="M164" s="103">
        <f>VLOOKUP($A164,'OI(Value)'!$A$7:$O$306,9,0)</f>
        <v>-156</v>
      </c>
      <c r="N164" s="103">
        <f>VLOOKUP($A164,'OI(Value)'!$A$7:$O$306,11,0)</f>
        <v>1146</v>
      </c>
      <c r="O164" s="103">
        <f>VLOOKUP($A164,'OI(Value)'!$A$7:$O$306,12,0)</f>
        <v>-28</v>
      </c>
      <c r="P164" s="179">
        <f>VLOOKUP(A164,'OI(Value)'!A164:O365,8,0)</f>
        <v>1621</v>
      </c>
      <c r="Q164" s="179">
        <f>VLOOKUP(A164,'OI(Value)'!A164:O365,9,0)</f>
        <v>-156</v>
      </c>
      <c r="R164" s="179">
        <f>VLOOKUP(A164,'OI(Value)'!A164:O365,11,0)</f>
        <v>1146</v>
      </c>
      <c r="S164" s="179">
        <f>VLOOKUP(A164,'OI(Value)'!A164:O365,11,0)</f>
        <v>1146</v>
      </c>
    </row>
    <row r="165" spans="1:19" x14ac:dyDescent="0.25">
      <c r="A165" s="105" t="str">
        <f>'Data shares'!C160</f>
        <v>PGEL</v>
      </c>
      <c r="B165" s="143">
        <f>VLOOKUP($A165,'Data shares'!$C:$FA,118)</f>
        <v>0.66</v>
      </c>
      <c r="C165" s="143">
        <f>VLOOKUP($A165,'Data shares'!$C:$FA,119)</f>
        <v>0.79</v>
      </c>
      <c r="D165" s="143">
        <f>VLOOKUP($A165,'Data shares'!$C:$FA,121)*100</f>
        <v>-16.46</v>
      </c>
      <c r="E165" s="143">
        <f>VLOOKUP($A165,'Data shares'!$C:$FA,124)</f>
        <v>0.32</v>
      </c>
      <c r="F165" s="143">
        <f>VLOOKUP($A165,'Data shares'!$C:$FA,125)</f>
        <v>0.62</v>
      </c>
      <c r="G165" s="143">
        <f>VLOOKUP($A165,'Data shares'!$C:$FA,127)*100</f>
        <v>-48.39</v>
      </c>
      <c r="H165" s="103">
        <f>VLOOKUP($A165,'OI(Volume)'!$A$7:$O$427,8)</f>
        <v>10287300</v>
      </c>
      <c r="I165" s="103">
        <f>VLOOKUP($A165,'OI(Volume)'!$A$7:$O$427,9)</f>
        <v>697300</v>
      </c>
      <c r="J165" s="103">
        <f>VLOOKUP($A165,'OI(Volume)'!$A$7:$O$427,11)</f>
        <v>6825100</v>
      </c>
      <c r="K165" s="103">
        <f>VLOOKUP($A165,'OI(Volume)'!$A$7:$O$427,12)</f>
        <v>-751800</v>
      </c>
      <c r="L165" s="103">
        <f>VLOOKUP($A165,'OI(Value)'!$A$7:$O$306,8,0)</f>
        <v>610</v>
      </c>
      <c r="M165" s="103">
        <f>VLOOKUP($A165,'OI(Value)'!$A$7:$O$306,9,0)</f>
        <v>41</v>
      </c>
      <c r="N165" s="103">
        <f>VLOOKUP($A165,'OI(Value)'!$A$7:$O$306,11,0)</f>
        <v>405</v>
      </c>
      <c r="O165" s="103">
        <f>VLOOKUP($A165,'OI(Value)'!$A$7:$O$306,12,0)</f>
        <v>-45</v>
      </c>
      <c r="P165" s="179">
        <f>VLOOKUP(A165,'OI(Value)'!A165:O366,8,0)</f>
        <v>610</v>
      </c>
      <c r="Q165" s="179">
        <f>VLOOKUP(A165,'OI(Value)'!A165:O366,9,0)</f>
        <v>41</v>
      </c>
      <c r="R165" s="179">
        <f>VLOOKUP(A165,'OI(Value)'!A165:O366,11,0)</f>
        <v>405</v>
      </c>
      <c r="S165" s="179">
        <f>VLOOKUP(A165,'OI(Value)'!A165:O366,11,0)</f>
        <v>405</v>
      </c>
    </row>
    <row r="166" spans="1:19" x14ac:dyDescent="0.25">
      <c r="A166" s="105" t="str">
        <f>'Data shares'!C161</f>
        <v>PHOENIXLTD</v>
      </c>
      <c r="B166" s="143">
        <f>VLOOKUP($A166,'Data shares'!$C:$FA,118)</f>
        <v>0.47</v>
      </c>
      <c r="C166" s="143">
        <f>VLOOKUP($A166,'Data shares'!$C:$FA,119)</f>
        <v>0.47</v>
      </c>
      <c r="D166" s="143">
        <f>VLOOKUP($A166,'Data shares'!$C:$FA,121)*100</f>
        <v>0</v>
      </c>
      <c r="E166" s="143">
        <f>VLOOKUP($A166,'Data shares'!$C:$FA,124)</f>
        <v>0.3</v>
      </c>
      <c r="F166" s="143">
        <f>VLOOKUP($A166,'Data shares'!$C:$FA,125)</f>
        <v>0.2</v>
      </c>
      <c r="G166" s="143">
        <f>VLOOKUP($A166,'Data shares'!$C:$FA,127)*100</f>
        <v>50</v>
      </c>
      <c r="H166" s="103">
        <f>VLOOKUP($A166,'OI(Volume)'!$A$7:$O$427,8)</f>
        <v>1059100</v>
      </c>
      <c r="I166" s="103">
        <f>VLOOKUP($A166,'OI(Volume)'!$A$7:$O$427,9)</f>
        <v>-28350</v>
      </c>
      <c r="J166" s="103">
        <f>VLOOKUP($A166,'OI(Volume)'!$A$7:$O$427,11)</f>
        <v>494900</v>
      </c>
      <c r="K166" s="103">
        <f>VLOOKUP($A166,'OI(Volume)'!$A$7:$O$427,12)</f>
        <v>-16450</v>
      </c>
      <c r="L166" s="103">
        <f>VLOOKUP($A166,'OI(Value)'!$A$7:$O$306,8,0)</f>
        <v>182</v>
      </c>
      <c r="M166" s="103">
        <f>VLOOKUP($A166,'OI(Value)'!$A$7:$O$306,9,0)</f>
        <v>-5</v>
      </c>
      <c r="N166" s="103">
        <f>VLOOKUP($A166,'OI(Value)'!$A$7:$O$306,11,0)</f>
        <v>85</v>
      </c>
      <c r="O166" s="103">
        <f>VLOOKUP($A166,'OI(Value)'!$A$7:$O$306,12,0)</f>
        <v>-3</v>
      </c>
      <c r="P166" s="179">
        <f>VLOOKUP(A166,'OI(Value)'!A166:O367,8,0)</f>
        <v>182</v>
      </c>
      <c r="Q166" s="179">
        <f>VLOOKUP(A166,'OI(Value)'!A166:O367,9,0)</f>
        <v>-5</v>
      </c>
      <c r="R166" s="179">
        <f>VLOOKUP(A166,'OI(Value)'!A166:O367,11,0)</f>
        <v>85</v>
      </c>
      <c r="S166" s="179">
        <f>VLOOKUP(A166,'OI(Value)'!A166:O367,11,0)</f>
        <v>85</v>
      </c>
    </row>
    <row r="167" spans="1:19" x14ac:dyDescent="0.25">
      <c r="A167" s="105" t="str">
        <f>'Data shares'!C162</f>
        <v>PIDILITIND</v>
      </c>
      <c r="B167" s="143">
        <f>VLOOKUP($A167,'Data shares'!$C:$FA,118)</f>
        <v>0.57999999999999996</v>
      </c>
      <c r="C167" s="143">
        <f>VLOOKUP($A167,'Data shares'!$C:$FA,119)</f>
        <v>0.56000000000000005</v>
      </c>
      <c r="D167" s="143">
        <f>VLOOKUP($A167,'Data shares'!$C:$FA,121)*100</f>
        <v>3.5700000000000003</v>
      </c>
      <c r="E167" s="143">
        <f>VLOOKUP($A167,'Data shares'!$C:$FA,124)</f>
        <v>0.33</v>
      </c>
      <c r="F167" s="143">
        <f>VLOOKUP($A167,'Data shares'!$C:$FA,125)</f>
        <v>0.3</v>
      </c>
      <c r="G167" s="143">
        <f>VLOOKUP($A167,'Data shares'!$C:$FA,127)*100</f>
        <v>10</v>
      </c>
      <c r="H167" s="103">
        <f>VLOOKUP($A167,'OI(Volume)'!$A$7:$O$427,8)</f>
        <v>2717000</v>
      </c>
      <c r="I167" s="103">
        <f>VLOOKUP($A167,'OI(Volume)'!$A$7:$O$427,9)</f>
        <v>-342500</v>
      </c>
      <c r="J167" s="103">
        <f>VLOOKUP($A167,'OI(Volume)'!$A$7:$O$427,11)</f>
        <v>1587500</v>
      </c>
      <c r="K167" s="103">
        <f>VLOOKUP($A167,'OI(Volume)'!$A$7:$O$427,12)</f>
        <v>-115500</v>
      </c>
      <c r="L167" s="103">
        <f>VLOOKUP($A167,'OI(Value)'!$A$7:$O$306,8,0)</f>
        <v>404</v>
      </c>
      <c r="M167" s="103">
        <f>VLOOKUP($A167,'OI(Value)'!$A$7:$O$306,9,0)</f>
        <v>-51</v>
      </c>
      <c r="N167" s="103">
        <f>VLOOKUP($A167,'OI(Value)'!$A$7:$O$306,11,0)</f>
        <v>236</v>
      </c>
      <c r="O167" s="103">
        <f>VLOOKUP($A167,'OI(Value)'!$A$7:$O$306,12,0)</f>
        <v>-17</v>
      </c>
      <c r="P167" s="179">
        <f>VLOOKUP(A167,'OI(Value)'!A167:O368,8,0)</f>
        <v>404</v>
      </c>
      <c r="Q167" s="179">
        <f>VLOOKUP(A167,'OI(Value)'!A167:O368,9,0)</f>
        <v>-51</v>
      </c>
      <c r="R167" s="179">
        <f>VLOOKUP(A167,'OI(Value)'!A167:O368,11,0)</f>
        <v>236</v>
      </c>
      <c r="S167" s="179">
        <f>VLOOKUP(A167,'OI(Value)'!A167:O368,11,0)</f>
        <v>236</v>
      </c>
    </row>
    <row r="168" spans="1:19" x14ac:dyDescent="0.25">
      <c r="A168" s="105" t="str">
        <f>'Data shares'!C163</f>
        <v>PIIND</v>
      </c>
      <c r="B168" s="143">
        <f>VLOOKUP($A168,'Data shares'!$C:$FA,118)</f>
        <v>0.67</v>
      </c>
      <c r="C168" s="143">
        <f>VLOOKUP($A168,'Data shares'!$C:$FA,119)</f>
        <v>0.62</v>
      </c>
      <c r="D168" s="143">
        <f>VLOOKUP($A168,'Data shares'!$C:$FA,121)*100</f>
        <v>8.06</v>
      </c>
      <c r="E168" s="143">
        <f>VLOOKUP($A168,'Data shares'!$C:$FA,124)</f>
        <v>0.35</v>
      </c>
      <c r="F168" s="143">
        <f>VLOOKUP($A168,'Data shares'!$C:$FA,125)</f>
        <v>0.43</v>
      </c>
      <c r="G168" s="143">
        <f>VLOOKUP($A168,'Data shares'!$C:$FA,127)*100</f>
        <v>-18.600000000000001</v>
      </c>
      <c r="H168" s="103">
        <f>VLOOKUP($A168,'OI(Volume)'!$A$7:$O$427,8)</f>
        <v>1387225</v>
      </c>
      <c r="I168" s="103">
        <f>VLOOKUP($A168,'OI(Volume)'!$A$7:$O$427,9)</f>
        <v>-191625</v>
      </c>
      <c r="J168" s="103">
        <f>VLOOKUP($A168,'OI(Volume)'!$A$7:$O$427,11)</f>
        <v>935900</v>
      </c>
      <c r="K168" s="103">
        <f>VLOOKUP($A168,'OI(Volume)'!$A$7:$O$427,12)</f>
        <v>-37800</v>
      </c>
      <c r="L168" s="103">
        <f>VLOOKUP($A168,'OI(Value)'!$A$7:$O$306,8,0)</f>
        <v>479</v>
      </c>
      <c r="M168" s="103">
        <f>VLOOKUP($A168,'OI(Value)'!$A$7:$O$306,9,0)</f>
        <v>-66</v>
      </c>
      <c r="N168" s="103">
        <f>VLOOKUP($A168,'OI(Value)'!$A$7:$O$306,11,0)</f>
        <v>323</v>
      </c>
      <c r="O168" s="103">
        <f>VLOOKUP($A168,'OI(Value)'!$A$7:$O$306,12,0)</f>
        <v>-13</v>
      </c>
      <c r="P168" s="179">
        <f>VLOOKUP(A168,'OI(Value)'!A168:O369,8,0)</f>
        <v>479</v>
      </c>
      <c r="Q168" s="179">
        <f>VLOOKUP(A168,'OI(Value)'!A168:O369,9,0)</f>
        <v>-66</v>
      </c>
      <c r="R168" s="179">
        <f>VLOOKUP(A168,'OI(Value)'!A168:O369,11,0)</f>
        <v>323</v>
      </c>
      <c r="S168" s="179">
        <f>VLOOKUP(A168,'OI(Value)'!A168:O369,11,0)</f>
        <v>323</v>
      </c>
    </row>
    <row r="169" spans="1:19" x14ac:dyDescent="0.25">
      <c r="A169" s="105" t="str">
        <f>'Data shares'!C164</f>
        <v>PNB</v>
      </c>
      <c r="B169" s="143">
        <f>VLOOKUP($A169,'Data shares'!$C:$FA,118)</f>
        <v>0.71</v>
      </c>
      <c r="C169" s="143">
        <f>VLOOKUP($A169,'Data shares'!$C:$FA,119)</f>
        <v>0.71</v>
      </c>
      <c r="D169" s="143">
        <f>VLOOKUP($A169,'Data shares'!$C:$FA,121)*100</f>
        <v>0</v>
      </c>
      <c r="E169" s="143">
        <f>VLOOKUP($A169,'Data shares'!$C:$FA,124)</f>
        <v>0.67</v>
      </c>
      <c r="F169" s="143">
        <f>VLOOKUP($A169,'Data shares'!$C:$FA,125)</f>
        <v>0.42</v>
      </c>
      <c r="G169" s="143">
        <f>VLOOKUP($A169,'Data shares'!$C:$FA,127)*100</f>
        <v>59.519999999999996</v>
      </c>
      <c r="H169" s="103">
        <f>VLOOKUP($A169,'OI(Volume)'!$A$7:$O$427,8)</f>
        <v>119448000</v>
      </c>
      <c r="I169" s="103">
        <f>VLOOKUP($A169,'OI(Volume)'!$A$7:$O$427,9)</f>
        <v>-296000</v>
      </c>
      <c r="J169" s="103">
        <f>VLOOKUP($A169,'OI(Volume)'!$A$7:$O$427,11)</f>
        <v>84248000</v>
      </c>
      <c r="K169" s="103">
        <f>VLOOKUP($A169,'OI(Volume)'!$A$7:$O$427,12)</f>
        <v>-968000</v>
      </c>
      <c r="L169" s="103">
        <f>VLOOKUP($A169,'OI(Value)'!$A$7:$O$306,8,0)</f>
        <v>1479</v>
      </c>
      <c r="M169" s="103">
        <f>VLOOKUP($A169,'OI(Value)'!$A$7:$O$306,9,0)</f>
        <v>-4</v>
      </c>
      <c r="N169" s="103">
        <f>VLOOKUP($A169,'OI(Value)'!$A$7:$O$306,11,0)</f>
        <v>1043</v>
      </c>
      <c r="O169" s="103">
        <f>VLOOKUP($A169,'OI(Value)'!$A$7:$O$306,12,0)</f>
        <v>-12</v>
      </c>
      <c r="P169" s="179">
        <f>VLOOKUP(A169,'OI(Value)'!A169:O370,8,0)</f>
        <v>1479</v>
      </c>
      <c r="Q169" s="179">
        <f>VLOOKUP(A169,'OI(Value)'!A169:O370,9,0)</f>
        <v>-4</v>
      </c>
      <c r="R169" s="179">
        <f>VLOOKUP(A169,'OI(Value)'!A169:O370,11,0)</f>
        <v>1043</v>
      </c>
      <c r="S169" s="179">
        <f>VLOOKUP(A169,'OI(Value)'!A169:O370,11,0)</f>
        <v>1043</v>
      </c>
    </row>
    <row r="170" spans="1:19" x14ac:dyDescent="0.25">
      <c r="A170" s="105" t="str">
        <f>'Data shares'!C165</f>
        <v>PNBHOUSING</v>
      </c>
      <c r="B170" s="143">
        <f>VLOOKUP($A170,'Data shares'!$C:$FA,118)</f>
        <v>0.8</v>
      </c>
      <c r="C170" s="143">
        <f>VLOOKUP($A170,'Data shares'!$C:$FA,119)</f>
        <v>0.78</v>
      </c>
      <c r="D170" s="143">
        <f>VLOOKUP($A170,'Data shares'!$C:$FA,121)*100</f>
        <v>2.56</v>
      </c>
      <c r="E170" s="143">
        <f>VLOOKUP($A170,'Data shares'!$C:$FA,124)</f>
        <v>0.38</v>
      </c>
      <c r="F170" s="143">
        <f>VLOOKUP($A170,'Data shares'!$C:$FA,125)</f>
        <v>0.55000000000000004</v>
      </c>
      <c r="G170" s="143">
        <f>VLOOKUP($A170,'Data shares'!$C:$FA,127)*100</f>
        <v>-30.91</v>
      </c>
      <c r="H170" s="103">
        <f>VLOOKUP($A170,'OI(Volume)'!$A$7:$O$427,8)</f>
        <v>5909800</v>
      </c>
      <c r="I170" s="103">
        <f>VLOOKUP($A170,'OI(Volume)'!$A$7:$O$427,9)</f>
        <v>-293800</v>
      </c>
      <c r="J170" s="103">
        <f>VLOOKUP($A170,'OI(Volume)'!$A$7:$O$427,11)</f>
        <v>4717050</v>
      </c>
      <c r="K170" s="103">
        <f>VLOOKUP($A170,'OI(Volume)'!$A$7:$O$427,12)</f>
        <v>-104000</v>
      </c>
      <c r="L170" s="103">
        <f>VLOOKUP($A170,'OI(Value)'!$A$7:$O$306,8,0)</f>
        <v>535</v>
      </c>
      <c r="M170" s="103">
        <f>VLOOKUP($A170,'OI(Value)'!$A$7:$O$306,9,0)</f>
        <v>-27</v>
      </c>
      <c r="N170" s="103">
        <f>VLOOKUP($A170,'OI(Value)'!$A$7:$O$306,11,0)</f>
        <v>427</v>
      </c>
      <c r="O170" s="103">
        <f>VLOOKUP($A170,'OI(Value)'!$A$7:$O$306,12,0)</f>
        <v>-9</v>
      </c>
      <c r="P170" s="179">
        <f>VLOOKUP(A170,'OI(Value)'!A170:O371,8,0)</f>
        <v>535</v>
      </c>
      <c r="Q170" s="179">
        <f>VLOOKUP(A170,'OI(Value)'!A170:O371,9,0)</f>
        <v>-27</v>
      </c>
      <c r="R170" s="179">
        <f>VLOOKUP(A170,'OI(Value)'!A170:O371,11,0)</f>
        <v>427</v>
      </c>
      <c r="S170" s="179">
        <f>VLOOKUP(A170,'OI(Value)'!A170:O371,11,0)</f>
        <v>427</v>
      </c>
    </row>
    <row r="171" spans="1:19" x14ac:dyDescent="0.25">
      <c r="A171" s="105" t="str">
        <f>'Data shares'!C166</f>
        <v>POLICYBZR</v>
      </c>
      <c r="B171" s="143">
        <f>VLOOKUP($A171,'Data shares'!$C:$FA,118)</f>
        <v>0.59</v>
      </c>
      <c r="C171" s="143">
        <f>VLOOKUP($A171,'Data shares'!$C:$FA,119)</f>
        <v>0.56999999999999995</v>
      </c>
      <c r="D171" s="143">
        <f>VLOOKUP($A171,'Data shares'!$C:$FA,121)*100</f>
        <v>3.51</v>
      </c>
      <c r="E171" s="143">
        <f>VLOOKUP($A171,'Data shares'!$C:$FA,124)</f>
        <v>0.57999999999999996</v>
      </c>
      <c r="F171" s="143">
        <f>VLOOKUP($A171,'Data shares'!$C:$FA,125)</f>
        <v>0.43</v>
      </c>
      <c r="G171" s="143">
        <f>VLOOKUP($A171,'Data shares'!$C:$FA,127)*100</f>
        <v>34.880000000000003</v>
      </c>
      <c r="H171" s="103">
        <f>VLOOKUP($A171,'OI(Volume)'!$A$7:$O$427,8)</f>
        <v>2612050</v>
      </c>
      <c r="I171" s="103">
        <f>VLOOKUP($A171,'OI(Volume)'!$A$7:$O$427,9)</f>
        <v>-194250</v>
      </c>
      <c r="J171" s="103">
        <f>VLOOKUP($A171,'OI(Volume)'!$A$7:$O$427,11)</f>
        <v>1538600</v>
      </c>
      <c r="K171" s="103">
        <f>VLOOKUP($A171,'OI(Volume)'!$A$7:$O$427,12)</f>
        <v>-69300</v>
      </c>
      <c r="L171" s="103">
        <f>VLOOKUP($A171,'OI(Value)'!$A$7:$O$306,8,0)</f>
        <v>481</v>
      </c>
      <c r="M171" s="103">
        <f>VLOOKUP($A171,'OI(Value)'!$A$7:$O$306,9,0)</f>
        <v>-36</v>
      </c>
      <c r="N171" s="103">
        <f>VLOOKUP($A171,'OI(Value)'!$A$7:$O$306,11,0)</f>
        <v>284</v>
      </c>
      <c r="O171" s="103">
        <f>VLOOKUP($A171,'OI(Value)'!$A$7:$O$306,12,0)</f>
        <v>-13</v>
      </c>
      <c r="P171" s="179">
        <f>VLOOKUP(A171,'OI(Value)'!A171:O372,8,0)</f>
        <v>481</v>
      </c>
      <c r="Q171" s="179">
        <f>VLOOKUP(A171,'OI(Value)'!A171:O372,9,0)</f>
        <v>-36</v>
      </c>
      <c r="R171" s="179">
        <f>VLOOKUP(A171,'OI(Value)'!A171:O372,11,0)</f>
        <v>284</v>
      </c>
      <c r="S171" s="179">
        <f>VLOOKUP(A171,'OI(Value)'!A171:O372,11,0)</f>
        <v>284</v>
      </c>
    </row>
    <row r="172" spans="1:19" x14ac:dyDescent="0.25">
      <c r="A172" s="105" t="str">
        <f>'Data shares'!C167</f>
        <v>POLYCAB</v>
      </c>
      <c r="B172" s="143">
        <f>VLOOKUP($A172,'Data shares'!$C:$FA,118)</f>
        <v>0.49</v>
      </c>
      <c r="C172" s="143">
        <f>VLOOKUP($A172,'Data shares'!$C:$FA,119)</f>
        <v>0.52</v>
      </c>
      <c r="D172" s="143">
        <f>VLOOKUP($A172,'Data shares'!$C:$FA,121)*100</f>
        <v>-5.7700000000000005</v>
      </c>
      <c r="E172" s="143">
        <f>VLOOKUP($A172,'Data shares'!$C:$FA,124)</f>
        <v>0.42</v>
      </c>
      <c r="F172" s="143">
        <f>VLOOKUP($A172,'Data shares'!$C:$FA,125)</f>
        <v>0.34</v>
      </c>
      <c r="G172" s="143">
        <f>VLOOKUP($A172,'Data shares'!$C:$FA,127)*100</f>
        <v>23.53</v>
      </c>
      <c r="H172" s="103">
        <f>VLOOKUP($A172,'OI(Volume)'!$A$7:$O$427,8)</f>
        <v>762875</v>
      </c>
      <c r="I172" s="103">
        <f>VLOOKUP($A172,'OI(Volume)'!$A$7:$O$427,9)</f>
        <v>-67000</v>
      </c>
      <c r="J172" s="103">
        <f>VLOOKUP($A172,'OI(Volume)'!$A$7:$O$427,11)</f>
        <v>377250</v>
      </c>
      <c r="K172" s="103">
        <f>VLOOKUP($A172,'OI(Volume)'!$A$7:$O$427,12)</f>
        <v>-53375</v>
      </c>
      <c r="L172" s="103">
        <f>VLOOKUP($A172,'OI(Value)'!$A$7:$O$306,8,0)</f>
        <v>584</v>
      </c>
      <c r="M172" s="103">
        <f>VLOOKUP($A172,'OI(Value)'!$A$7:$O$306,9,0)</f>
        <v>-51</v>
      </c>
      <c r="N172" s="103">
        <f>VLOOKUP($A172,'OI(Value)'!$A$7:$O$306,11,0)</f>
        <v>289</v>
      </c>
      <c r="O172" s="103">
        <f>VLOOKUP($A172,'OI(Value)'!$A$7:$O$306,12,0)</f>
        <v>-41</v>
      </c>
      <c r="P172" s="179">
        <f>VLOOKUP(A172,'OI(Value)'!A172:O373,8,0)</f>
        <v>584</v>
      </c>
      <c r="Q172" s="179">
        <f>VLOOKUP(A172,'OI(Value)'!A172:O373,9,0)</f>
        <v>-51</v>
      </c>
      <c r="R172" s="179">
        <f>VLOOKUP(A172,'OI(Value)'!A172:O373,11,0)</f>
        <v>289</v>
      </c>
      <c r="S172" s="179">
        <f>VLOOKUP(A172,'OI(Value)'!A172:O373,11,0)</f>
        <v>289</v>
      </c>
    </row>
    <row r="173" spans="1:19" x14ac:dyDescent="0.25">
      <c r="A173" s="105" t="str">
        <f>'Data shares'!C168</f>
        <v>POWERGRID</v>
      </c>
      <c r="B173" s="143">
        <f>VLOOKUP($A173,'Data shares'!$C:$FA,118)</f>
        <v>0.56000000000000005</v>
      </c>
      <c r="C173" s="143">
        <f>VLOOKUP($A173,'Data shares'!$C:$FA,119)</f>
        <v>0.53</v>
      </c>
      <c r="D173" s="143">
        <f>VLOOKUP($A173,'Data shares'!$C:$FA,121)*100</f>
        <v>5.66</v>
      </c>
      <c r="E173" s="143">
        <f>VLOOKUP($A173,'Data shares'!$C:$FA,124)</f>
        <v>0.41</v>
      </c>
      <c r="F173" s="143">
        <f>VLOOKUP($A173,'Data shares'!$C:$FA,125)</f>
        <v>0.3</v>
      </c>
      <c r="G173" s="143">
        <f>VLOOKUP($A173,'Data shares'!$C:$FA,127)*100</f>
        <v>36.67</v>
      </c>
      <c r="H173" s="103">
        <f>VLOOKUP($A173,'OI(Volume)'!$A$7:$O$427,8)</f>
        <v>36920800</v>
      </c>
      <c r="I173" s="103">
        <f>VLOOKUP($A173,'OI(Volume)'!$A$7:$O$427,9)</f>
        <v>-3608100</v>
      </c>
      <c r="J173" s="103">
        <f>VLOOKUP($A173,'OI(Volume)'!$A$7:$O$427,11)</f>
        <v>20816400</v>
      </c>
      <c r="K173" s="103">
        <f>VLOOKUP($A173,'OI(Volume)'!$A$7:$O$427,12)</f>
        <v>-836000</v>
      </c>
      <c r="L173" s="103">
        <f>VLOOKUP($A173,'OI(Value)'!$A$7:$O$306,8,0)</f>
        <v>1023</v>
      </c>
      <c r="M173" s="103">
        <f>VLOOKUP($A173,'OI(Value)'!$A$7:$O$306,9,0)</f>
        <v>-100</v>
      </c>
      <c r="N173" s="103">
        <f>VLOOKUP($A173,'OI(Value)'!$A$7:$O$306,11,0)</f>
        <v>577</v>
      </c>
      <c r="O173" s="103">
        <f>VLOOKUP($A173,'OI(Value)'!$A$7:$O$306,12,0)</f>
        <v>-23</v>
      </c>
    </row>
    <row r="174" spans="1:19" x14ac:dyDescent="0.25">
      <c r="A174" s="105" t="str">
        <f>'Data shares'!C169</f>
        <v>POWERINDIA</v>
      </c>
      <c r="B174" s="143">
        <f>VLOOKUP($A174,'Data shares'!$C:$FA,118)</f>
        <v>0.79</v>
      </c>
      <c r="C174" s="143">
        <f>VLOOKUP($A174,'Data shares'!$C:$FA,119)</f>
        <v>0.96</v>
      </c>
      <c r="D174" s="143">
        <f>VLOOKUP($A174,'Data shares'!$C:$FA,121)*100</f>
        <v>-17.71</v>
      </c>
      <c r="E174" s="143">
        <f>VLOOKUP($A174,'Data shares'!$C:$FA,124)</f>
        <v>0.33</v>
      </c>
      <c r="F174" s="143">
        <f>VLOOKUP($A174,'Data shares'!$C:$FA,125)</f>
        <v>0.73</v>
      </c>
      <c r="G174" s="143">
        <f>VLOOKUP($A174,'Data shares'!$C:$FA,127)*100</f>
        <v>-54.790000000000006</v>
      </c>
      <c r="H174" s="103">
        <f>VLOOKUP($A174,'OI(Volume)'!$A$7:$O$427,8)</f>
        <v>397600</v>
      </c>
      <c r="I174" s="103">
        <f>VLOOKUP($A174,'OI(Volume)'!$A$7:$O$427,9)</f>
        <v>112450</v>
      </c>
      <c r="J174" s="103">
        <f>VLOOKUP($A174,'OI(Volume)'!$A$7:$O$427,11)</f>
        <v>315750</v>
      </c>
      <c r="K174" s="103">
        <f>VLOOKUP($A174,'OI(Volume)'!$A$7:$O$427,12)</f>
        <v>40850</v>
      </c>
      <c r="L174" s="103">
        <f>VLOOKUP($A174,'OI(Value)'!$A$7:$O$306,8,0)</f>
        <v>890</v>
      </c>
      <c r="M174" s="103">
        <f>VLOOKUP($A174,'OI(Value)'!$A$7:$O$306,9,0)</f>
        <v>252</v>
      </c>
      <c r="N174" s="103">
        <f>VLOOKUP($A174,'OI(Value)'!$A$7:$O$306,11,0)</f>
        <v>707</v>
      </c>
      <c r="O174" s="103">
        <f>VLOOKUP($A174,'OI(Value)'!$A$7:$O$306,12,0)</f>
        <v>91</v>
      </c>
    </row>
    <row r="175" spans="1:19" x14ac:dyDescent="0.25">
      <c r="A175" s="105" t="str">
        <f>'Data shares'!C170</f>
        <v>PPLPHARMA</v>
      </c>
      <c r="B175" s="143">
        <f>VLOOKUP($A175,'Data shares'!$C:$FA,118)</f>
        <v>0.44</v>
      </c>
      <c r="C175" s="143">
        <f>VLOOKUP($A175,'Data shares'!$C:$FA,119)</f>
        <v>0.43</v>
      </c>
      <c r="D175" s="143">
        <f>VLOOKUP($A175,'Data shares'!$C:$FA,121)*100</f>
        <v>2.33</v>
      </c>
      <c r="E175" s="143">
        <f>VLOOKUP($A175,'Data shares'!$C:$FA,124)</f>
        <v>0.25</v>
      </c>
      <c r="F175" s="143">
        <f>VLOOKUP($A175,'Data shares'!$C:$FA,125)</f>
        <v>0.37</v>
      </c>
      <c r="G175" s="143">
        <f>VLOOKUP($A175,'Data shares'!$C:$FA,127)*100</f>
        <v>-32.43</v>
      </c>
      <c r="H175" s="103">
        <f>VLOOKUP($A175,'OI(Volume)'!$A$7:$O$427,8)</f>
        <v>17490625</v>
      </c>
      <c r="I175" s="103">
        <f>VLOOKUP($A175,'OI(Volume)'!$A$7:$O$427,9)</f>
        <v>-459750</v>
      </c>
      <c r="J175" s="103">
        <f>VLOOKUP($A175,'OI(Volume)'!$A$7:$O$427,11)</f>
        <v>7638125</v>
      </c>
      <c r="K175" s="103">
        <f>VLOOKUP($A175,'OI(Volume)'!$A$7:$O$427,12)</f>
        <v>-37500</v>
      </c>
      <c r="L175" s="103">
        <f>VLOOKUP($A175,'OI(Value)'!$A$7:$O$306,8,0)</f>
        <v>332</v>
      </c>
      <c r="M175" s="103">
        <f>VLOOKUP($A175,'OI(Value)'!$A$7:$O$306,9,0)</f>
        <v>-9</v>
      </c>
      <c r="N175" s="103">
        <f>VLOOKUP($A175,'OI(Value)'!$A$7:$O$306,11,0)</f>
        <v>145</v>
      </c>
      <c r="O175" s="103">
        <f>VLOOKUP($A175,'OI(Value)'!$A$7:$O$306,12,0)</f>
        <v>-1</v>
      </c>
    </row>
    <row r="176" spans="1:19" x14ac:dyDescent="0.25">
      <c r="A176" s="105" t="str">
        <f>'Data shares'!C171</f>
        <v>PRESTIGE</v>
      </c>
      <c r="B176" s="143">
        <f>VLOOKUP($A176,'Data shares'!$C:$FA,118)</f>
        <v>0.56000000000000005</v>
      </c>
      <c r="C176" s="143">
        <f>VLOOKUP($A176,'Data shares'!$C:$FA,119)</f>
        <v>0.51</v>
      </c>
      <c r="D176" s="143">
        <f>VLOOKUP($A176,'Data shares'!$C:$FA,121)*100</f>
        <v>9.8000000000000007</v>
      </c>
      <c r="E176" s="143">
        <f>VLOOKUP($A176,'Data shares'!$C:$FA,124)</f>
        <v>0.23</v>
      </c>
      <c r="F176" s="143">
        <f>VLOOKUP($A176,'Data shares'!$C:$FA,125)</f>
        <v>0.19</v>
      </c>
      <c r="G176" s="143">
        <f>VLOOKUP($A176,'Data shares'!$C:$FA,127)*100</f>
        <v>21.05</v>
      </c>
      <c r="H176" s="103">
        <f>VLOOKUP($A176,'OI(Volume)'!$A$7:$O$427,8)</f>
        <v>2170800</v>
      </c>
      <c r="I176" s="103">
        <f>VLOOKUP($A176,'OI(Volume)'!$A$7:$O$427,9)</f>
        <v>-300150</v>
      </c>
      <c r="J176" s="103">
        <f>VLOOKUP($A176,'OI(Volume)'!$A$7:$O$427,11)</f>
        <v>1225350</v>
      </c>
      <c r="K176" s="103">
        <f>VLOOKUP($A176,'OI(Volume)'!$A$7:$O$427,12)</f>
        <v>-42300</v>
      </c>
      <c r="L176" s="103">
        <f>VLOOKUP($A176,'OI(Value)'!$A$7:$O$306,8,0)</f>
        <v>373</v>
      </c>
      <c r="M176" s="103">
        <f>VLOOKUP($A176,'OI(Value)'!$A$7:$O$306,9,0)</f>
        <v>-52</v>
      </c>
      <c r="N176" s="103">
        <f>VLOOKUP($A176,'OI(Value)'!$A$7:$O$306,11,0)</f>
        <v>210</v>
      </c>
      <c r="O176" s="103">
        <f>VLOOKUP($A176,'OI(Value)'!$A$7:$O$306,12,0)</f>
        <v>-7</v>
      </c>
    </row>
    <row r="177" spans="1:15" x14ac:dyDescent="0.25">
      <c r="A177" s="105" t="str">
        <f>'Data shares'!C172</f>
        <v>RBLBANK</v>
      </c>
      <c r="B177" s="143">
        <f>VLOOKUP($A177,'Data shares'!$C:$FA,118)</f>
        <v>0.7</v>
      </c>
      <c r="C177" s="143">
        <f>VLOOKUP($A177,'Data shares'!$C:$FA,119)</f>
        <v>0.72</v>
      </c>
      <c r="D177" s="143">
        <f>VLOOKUP($A177,'Data shares'!$C:$FA,121)*100</f>
        <v>-2.78</v>
      </c>
      <c r="E177" s="143">
        <f>VLOOKUP($A177,'Data shares'!$C:$FA,124)</f>
        <v>0.42</v>
      </c>
      <c r="F177" s="143">
        <f>VLOOKUP($A177,'Data shares'!$C:$FA,125)</f>
        <v>0.43</v>
      </c>
      <c r="G177" s="143">
        <f>VLOOKUP($A177,'Data shares'!$C:$FA,127)*100</f>
        <v>-2.33</v>
      </c>
      <c r="H177" s="103">
        <f>VLOOKUP($A177,'OI(Volume)'!$A$7:$O$427,8)</f>
        <v>22139275</v>
      </c>
      <c r="I177" s="103">
        <f>VLOOKUP($A177,'OI(Volume)'!$A$7:$O$427,9)</f>
        <v>-774700</v>
      </c>
      <c r="J177" s="103">
        <f>VLOOKUP($A177,'OI(Volume)'!$A$7:$O$427,11)</f>
        <v>15598775</v>
      </c>
      <c r="K177" s="103">
        <f>VLOOKUP($A177,'OI(Volume)'!$A$7:$O$427,12)</f>
        <v>-815975</v>
      </c>
      <c r="L177" s="103">
        <f>VLOOKUP($A177,'OI(Value)'!$A$7:$O$306,8,0)</f>
        <v>694</v>
      </c>
      <c r="M177" s="103">
        <f>VLOOKUP($A177,'OI(Value)'!$A$7:$O$306,9,0)</f>
        <v>-24</v>
      </c>
      <c r="N177" s="103">
        <f>VLOOKUP($A177,'OI(Value)'!$A$7:$O$306,11,0)</f>
        <v>489</v>
      </c>
      <c r="O177" s="103">
        <f>VLOOKUP($A177,'OI(Value)'!$A$7:$O$306,12,0)</f>
        <v>-26</v>
      </c>
    </row>
    <row r="178" spans="1:15" x14ac:dyDescent="0.25">
      <c r="A178" s="105" t="str">
        <f>'Data shares'!C173</f>
        <v>RECLTD</v>
      </c>
      <c r="B178" s="143">
        <f>VLOOKUP($A178,'Data shares'!$C:$FA,118)</f>
        <v>0.72</v>
      </c>
      <c r="C178" s="143">
        <f>VLOOKUP($A178,'Data shares'!$C:$FA,119)</f>
        <v>0.68</v>
      </c>
      <c r="D178" s="143">
        <f>VLOOKUP($A178,'Data shares'!$C:$FA,121)*100</f>
        <v>5.88</v>
      </c>
      <c r="E178" s="143">
        <f>VLOOKUP($A178,'Data shares'!$C:$FA,124)</f>
        <v>0.55000000000000004</v>
      </c>
      <c r="F178" s="143">
        <f>VLOOKUP($A178,'Data shares'!$C:$FA,125)</f>
        <v>0.46</v>
      </c>
      <c r="G178" s="143">
        <f>VLOOKUP($A178,'Data shares'!$C:$FA,127)*100</f>
        <v>19.57</v>
      </c>
      <c r="H178" s="103">
        <f>VLOOKUP($A178,'OI(Volume)'!$A$7:$O$427,8)</f>
        <v>42331950</v>
      </c>
      <c r="I178" s="103">
        <f>VLOOKUP($A178,'OI(Volume)'!$A$7:$O$427,9)</f>
        <v>-4810375</v>
      </c>
      <c r="J178" s="103">
        <f>VLOOKUP($A178,'OI(Volume)'!$A$7:$O$427,11)</f>
        <v>30677300</v>
      </c>
      <c r="K178" s="103">
        <f>VLOOKUP($A178,'OI(Volume)'!$A$7:$O$427,12)</f>
        <v>-1404200</v>
      </c>
      <c r="L178" s="103">
        <f>VLOOKUP($A178,'OI(Value)'!$A$7:$O$306,8,0)</f>
        <v>1529</v>
      </c>
      <c r="M178" s="103">
        <f>VLOOKUP($A178,'OI(Value)'!$A$7:$O$306,9,0)</f>
        <v>-174</v>
      </c>
      <c r="N178" s="103">
        <f>VLOOKUP($A178,'OI(Value)'!$A$7:$O$306,11,0)</f>
        <v>1108</v>
      </c>
      <c r="O178" s="103">
        <f>VLOOKUP($A178,'OI(Value)'!$A$7:$O$306,12,0)</f>
        <v>-51</v>
      </c>
    </row>
    <row r="179" spans="1:15" x14ac:dyDescent="0.25">
      <c r="A179" s="105" t="str">
        <f>'Data shares'!C174</f>
        <v>RELIANCE</v>
      </c>
      <c r="B179" s="143">
        <f>VLOOKUP($A179,'Data shares'!$C:$FA,118)</f>
        <v>0.73</v>
      </c>
      <c r="C179" s="143">
        <f>VLOOKUP($A179,'Data shares'!$C:$FA,119)</f>
        <v>0.65</v>
      </c>
      <c r="D179" s="143">
        <f>VLOOKUP($A179,'Data shares'!$C:$FA,121)*100</f>
        <v>12.31</v>
      </c>
      <c r="E179" s="143">
        <f>VLOOKUP($A179,'Data shares'!$C:$FA,124)</f>
        <v>0.46</v>
      </c>
      <c r="F179" s="143">
        <f>VLOOKUP($A179,'Data shares'!$C:$FA,125)</f>
        <v>0.6</v>
      </c>
      <c r="G179" s="143">
        <f>VLOOKUP($A179,'Data shares'!$C:$FA,127)*100</f>
        <v>-23.330000000000002</v>
      </c>
      <c r="H179" s="103">
        <f>VLOOKUP($A179,'OI(Volume)'!$A$7:$O$427,8)</f>
        <v>48184500</v>
      </c>
      <c r="I179" s="103">
        <f>VLOOKUP($A179,'OI(Volume)'!$A$7:$O$427,9)</f>
        <v>1886000</v>
      </c>
      <c r="J179" s="103">
        <f>VLOOKUP($A179,'OI(Volume)'!$A$7:$O$427,11)</f>
        <v>35374000</v>
      </c>
      <c r="K179" s="103">
        <f>VLOOKUP($A179,'OI(Volume)'!$A$7:$O$427,12)</f>
        <v>5372000</v>
      </c>
      <c r="L179" s="103">
        <f>VLOOKUP($A179,'OI(Value)'!$A$7:$O$306,8,0)</f>
        <v>7459</v>
      </c>
      <c r="M179" s="103">
        <f>VLOOKUP($A179,'OI(Value)'!$A$7:$O$306,9,0)</f>
        <v>292</v>
      </c>
      <c r="N179" s="103">
        <f>VLOOKUP($A179,'OI(Value)'!$A$7:$O$306,11,0)</f>
        <v>5476</v>
      </c>
      <c r="O179" s="103">
        <f>VLOOKUP($A179,'OI(Value)'!$A$7:$O$306,12,0)</f>
        <v>832</v>
      </c>
    </row>
    <row r="180" spans="1:15" x14ac:dyDescent="0.25">
      <c r="A180" s="105" t="str">
        <f>'Data shares'!C175</f>
        <v>RVNL</v>
      </c>
      <c r="B180" s="143">
        <f>VLOOKUP($A180,'Data shares'!$C:$FA,118)</f>
        <v>0.54</v>
      </c>
      <c r="C180" s="143">
        <f>VLOOKUP($A180,'Data shares'!$C:$FA,119)</f>
        <v>0.51</v>
      </c>
      <c r="D180" s="143">
        <f>VLOOKUP($A180,'Data shares'!$C:$FA,121)*100</f>
        <v>5.88</v>
      </c>
      <c r="E180" s="143">
        <f>VLOOKUP($A180,'Data shares'!$C:$FA,124)</f>
        <v>0.39</v>
      </c>
      <c r="F180" s="143">
        <f>VLOOKUP($A180,'Data shares'!$C:$FA,125)</f>
        <v>0.36</v>
      </c>
      <c r="G180" s="143">
        <f>VLOOKUP($A180,'Data shares'!$C:$FA,127)*100</f>
        <v>8.33</v>
      </c>
      <c r="H180" s="103">
        <f>VLOOKUP($A180,'OI(Volume)'!$A$7:$O$427,8)</f>
        <v>16655350</v>
      </c>
      <c r="I180" s="103">
        <f>VLOOKUP($A180,'OI(Volume)'!$A$7:$O$427,9)</f>
        <v>-1855500</v>
      </c>
      <c r="J180" s="103">
        <f>VLOOKUP($A180,'OI(Volume)'!$A$7:$O$427,11)</f>
        <v>8963550</v>
      </c>
      <c r="K180" s="103">
        <f>VLOOKUP($A180,'OI(Volume)'!$A$7:$O$427,12)</f>
        <v>-471625</v>
      </c>
      <c r="L180" s="103">
        <f>VLOOKUP($A180,'OI(Value)'!$A$7:$O$306,8,0)</f>
        <v>532</v>
      </c>
      <c r="M180" s="103">
        <f>VLOOKUP($A180,'OI(Value)'!$A$7:$O$306,9,0)</f>
        <v>-59</v>
      </c>
      <c r="N180" s="103">
        <f>VLOOKUP($A180,'OI(Value)'!$A$7:$O$306,11,0)</f>
        <v>286</v>
      </c>
      <c r="O180" s="103">
        <f>VLOOKUP($A180,'OI(Value)'!$A$7:$O$306,12,0)</f>
        <v>-15</v>
      </c>
    </row>
    <row r="181" spans="1:15" x14ac:dyDescent="0.25">
      <c r="A181" s="105" t="str">
        <f>'Data shares'!C176</f>
        <v>SAIL</v>
      </c>
      <c r="B181" s="143">
        <f>VLOOKUP($A181,'Data shares'!$C:$FA,118)</f>
        <v>0.89</v>
      </c>
      <c r="C181" s="143">
        <f>VLOOKUP($A181,'Data shares'!$C:$FA,119)</f>
        <v>0.86</v>
      </c>
      <c r="D181" s="143">
        <f>VLOOKUP($A181,'Data shares'!$C:$FA,121)*100</f>
        <v>3.49</v>
      </c>
      <c r="E181" s="143">
        <f>VLOOKUP($A181,'Data shares'!$C:$FA,124)</f>
        <v>0.28999999999999998</v>
      </c>
      <c r="F181" s="143">
        <f>VLOOKUP($A181,'Data shares'!$C:$FA,125)</f>
        <v>0.44</v>
      </c>
      <c r="G181" s="143">
        <f>VLOOKUP($A181,'Data shares'!$C:$FA,127)*100</f>
        <v>-34.089999999999996</v>
      </c>
      <c r="H181" s="103">
        <f>VLOOKUP($A181,'OI(Volume)'!$A$7:$O$427,8)</f>
        <v>48076300</v>
      </c>
      <c r="I181" s="103">
        <f>VLOOKUP($A181,'OI(Volume)'!$A$7:$O$427,9)</f>
        <v>-1945800</v>
      </c>
      <c r="J181" s="103">
        <f>VLOOKUP($A181,'OI(Volume)'!$A$7:$O$427,11)</f>
        <v>42647800</v>
      </c>
      <c r="K181" s="103">
        <f>VLOOKUP($A181,'OI(Volume)'!$A$7:$O$427,12)</f>
        <v>-587500</v>
      </c>
      <c r="L181" s="103">
        <f>VLOOKUP($A181,'OI(Value)'!$A$7:$O$306,8,0)</f>
        <v>665</v>
      </c>
      <c r="M181" s="103">
        <f>VLOOKUP($A181,'OI(Value)'!$A$7:$O$306,9,0)</f>
        <v>-27</v>
      </c>
      <c r="N181" s="103">
        <f>VLOOKUP($A181,'OI(Value)'!$A$7:$O$306,11,0)</f>
        <v>590</v>
      </c>
      <c r="O181" s="103">
        <f>VLOOKUP($A181,'OI(Value)'!$A$7:$O$306,12,0)</f>
        <v>-8</v>
      </c>
    </row>
    <row r="182" spans="1:15" x14ac:dyDescent="0.25">
      <c r="A182" s="105" t="str">
        <f>'Data shares'!C177</f>
        <v>SAMMAANCAP</v>
      </c>
      <c r="B182" s="143">
        <f>VLOOKUP($A182,'Data shares'!$C:$FA,118)</f>
        <v>0.59</v>
      </c>
      <c r="C182" s="143">
        <f>VLOOKUP($A182,'Data shares'!$C:$FA,119)</f>
        <v>0.62</v>
      </c>
      <c r="D182" s="143">
        <f>VLOOKUP($A182,'Data shares'!$C:$FA,121)*100</f>
        <v>-4.84</v>
      </c>
      <c r="E182" s="143">
        <f>VLOOKUP($A182,'Data shares'!$C:$FA,124)</f>
        <v>0.89</v>
      </c>
      <c r="F182" s="143">
        <f>VLOOKUP($A182,'Data shares'!$C:$FA,125)</f>
        <v>0.96</v>
      </c>
      <c r="G182" s="143">
        <f>VLOOKUP($A182,'Data shares'!$C:$FA,127)*100</f>
        <v>-7.2900000000000009</v>
      </c>
      <c r="H182" s="103">
        <f>VLOOKUP($A182,'OI(Volume)'!$A$7:$O$427,8)</f>
        <v>66336100</v>
      </c>
      <c r="I182" s="103">
        <f>VLOOKUP($A182,'OI(Volume)'!$A$7:$O$427,9)</f>
        <v>-9563200</v>
      </c>
      <c r="J182" s="103">
        <f>VLOOKUP($A182,'OI(Volume)'!$A$7:$O$427,11)</f>
        <v>38837600</v>
      </c>
      <c r="K182" s="103">
        <f>VLOOKUP($A182,'OI(Volume)'!$A$7:$O$427,12)</f>
        <v>-8152800</v>
      </c>
      <c r="L182" s="103">
        <f>VLOOKUP($A182,'OI(Value)'!$A$7:$O$306,8,0)</f>
        <v>1045</v>
      </c>
      <c r="M182" s="103">
        <f>VLOOKUP($A182,'OI(Value)'!$A$7:$O$306,9,0)</f>
        <v>-151</v>
      </c>
      <c r="N182" s="103">
        <f>VLOOKUP($A182,'OI(Value)'!$A$7:$O$306,11,0)</f>
        <v>612</v>
      </c>
      <c r="O182" s="103">
        <f>VLOOKUP($A182,'OI(Value)'!$A$7:$O$306,12,0)</f>
        <v>-128</v>
      </c>
    </row>
    <row r="183" spans="1:15" x14ac:dyDescent="0.25">
      <c r="A183" s="105" t="str">
        <f>'Data shares'!C178</f>
        <v>SBICARD</v>
      </c>
      <c r="B183" s="143">
        <f>VLOOKUP($A183,'Data shares'!$C:$FA,118)</f>
        <v>0.49</v>
      </c>
      <c r="C183" s="143">
        <f>VLOOKUP($A183,'Data shares'!$C:$FA,119)</f>
        <v>0.46</v>
      </c>
      <c r="D183" s="143">
        <f>VLOOKUP($A183,'Data shares'!$C:$FA,121)*100</f>
        <v>6.52</v>
      </c>
      <c r="E183" s="143">
        <f>VLOOKUP($A183,'Data shares'!$C:$FA,124)</f>
        <v>0.38</v>
      </c>
      <c r="F183" s="143">
        <f>VLOOKUP($A183,'Data shares'!$C:$FA,125)</f>
        <v>0.32</v>
      </c>
      <c r="G183" s="143">
        <f>VLOOKUP($A183,'Data shares'!$C:$FA,127)*100</f>
        <v>18.75</v>
      </c>
      <c r="H183" s="103">
        <f>VLOOKUP($A183,'OI(Volume)'!$A$7:$O$427,8)</f>
        <v>8404800</v>
      </c>
      <c r="I183" s="103">
        <f>VLOOKUP($A183,'OI(Volume)'!$A$7:$O$427,9)</f>
        <v>-1188000</v>
      </c>
      <c r="J183" s="103">
        <f>VLOOKUP($A183,'OI(Volume)'!$A$7:$O$427,11)</f>
        <v>4082400</v>
      </c>
      <c r="K183" s="103">
        <f>VLOOKUP($A183,'OI(Volume)'!$A$7:$O$427,12)</f>
        <v>-352000</v>
      </c>
      <c r="L183" s="103">
        <f>VLOOKUP($A183,'OI(Value)'!$A$7:$O$306,8,0)</f>
        <v>736</v>
      </c>
      <c r="M183" s="103">
        <f>VLOOKUP($A183,'OI(Value)'!$A$7:$O$306,9,0)</f>
        <v>-104</v>
      </c>
      <c r="N183" s="103">
        <f>VLOOKUP($A183,'OI(Value)'!$A$7:$O$306,11,0)</f>
        <v>357</v>
      </c>
      <c r="O183" s="103">
        <f>VLOOKUP($A183,'OI(Value)'!$A$7:$O$306,12,0)</f>
        <v>-31</v>
      </c>
    </row>
    <row r="184" spans="1:15" x14ac:dyDescent="0.25">
      <c r="A184" s="105" t="str">
        <f>'Data shares'!C179</f>
        <v>SBILIFE</v>
      </c>
      <c r="B184" s="143">
        <f>VLOOKUP($A184,'Data shares'!$C:$FA,118)</f>
        <v>0.65</v>
      </c>
      <c r="C184" s="143">
        <f>VLOOKUP($A184,'Data shares'!$C:$FA,119)</f>
        <v>0.64</v>
      </c>
      <c r="D184" s="143">
        <f>VLOOKUP($A184,'Data shares'!$C:$FA,121)*100</f>
        <v>1.5599999999999998</v>
      </c>
      <c r="E184" s="143">
        <f>VLOOKUP($A184,'Data shares'!$C:$FA,124)</f>
        <v>0.41</v>
      </c>
      <c r="F184" s="143">
        <f>VLOOKUP($A184,'Data shares'!$C:$FA,125)</f>
        <v>0.74</v>
      </c>
      <c r="G184" s="143">
        <f>VLOOKUP($A184,'Data shares'!$C:$FA,127)*100</f>
        <v>-44.59</v>
      </c>
      <c r="H184" s="103">
        <f>VLOOKUP($A184,'OI(Volume)'!$A$7:$O$427,8)</f>
        <v>5697750</v>
      </c>
      <c r="I184" s="103">
        <f>VLOOKUP($A184,'OI(Volume)'!$A$7:$O$427,9)</f>
        <v>449625</v>
      </c>
      <c r="J184" s="103">
        <f>VLOOKUP($A184,'OI(Volume)'!$A$7:$O$427,11)</f>
        <v>3728625</v>
      </c>
      <c r="K184" s="103">
        <f>VLOOKUP($A184,'OI(Volume)'!$A$7:$O$427,12)</f>
        <v>378000</v>
      </c>
      <c r="L184" s="103">
        <f>VLOOKUP($A184,'OI(Value)'!$A$7:$O$306,8,0)</f>
        <v>1152</v>
      </c>
      <c r="M184" s="103">
        <f>VLOOKUP($A184,'OI(Value)'!$A$7:$O$306,9,0)</f>
        <v>91</v>
      </c>
      <c r="N184" s="103">
        <f>VLOOKUP($A184,'OI(Value)'!$A$7:$O$306,11,0)</f>
        <v>754</v>
      </c>
      <c r="O184" s="103">
        <f>VLOOKUP($A184,'OI(Value)'!$A$7:$O$306,12,0)</f>
        <v>76</v>
      </c>
    </row>
    <row r="185" spans="1:15" x14ac:dyDescent="0.25">
      <c r="A185" s="105" t="str">
        <f>'Data shares'!C180</f>
        <v>SBIN</v>
      </c>
      <c r="B185" s="143">
        <f>VLOOKUP($A185,'Data shares'!$C:$FA,118)</f>
        <v>0.91</v>
      </c>
      <c r="C185" s="143">
        <f>VLOOKUP($A185,'Data shares'!$C:$FA,119)</f>
        <v>0.99</v>
      </c>
      <c r="D185" s="143">
        <f>VLOOKUP($A185,'Data shares'!$C:$FA,121)*100</f>
        <v>-8.08</v>
      </c>
      <c r="E185" s="143">
        <f>VLOOKUP($A185,'Data shares'!$C:$FA,124)</f>
        <v>0.69</v>
      </c>
      <c r="F185" s="143">
        <f>VLOOKUP($A185,'Data shares'!$C:$FA,125)</f>
        <v>0.71</v>
      </c>
      <c r="G185" s="143">
        <f>VLOOKUP($A185,'Data shares'!$C:$FA,127)*100</f>
        <v>-2.82</v>
      </c>
      <c r="H185" s="103">
        <f>VLOOKUP($A185,'OI(Volume)'!$A$7:$O$427,8)</f>
        <v>48297000</v>
      </c>
      <c r="I185" s="103">
        <f>VLOOKUP($A185,'OI(Volume)'!$A$7:$O$427,9)</f>
        <v>670500</v>
      </c>
      <c r="J185" s="103">
        <f>VLOOKUP($A185,'OI(Volume)'!$A$7:$O$427,11)</f>
        <v>44024250</v>
      </c>
      <c r="K185" s="103">
        <f>VLOOKUP($A185,'OI(Volume)'!$A$7:$O$427,12)</f>
        <v>-3009750</v>
      </c>
      <c r="L185" s="103">
        <f>VLOOKUP($A185,'OI(Value)'!$A$7:$O$306,8,0)</f>
        <v>4736</v>
      </c>
      <c r="M185" s="103">
        <f>VLOOKUP($A185,'OI(Value)'!$A$7:$O$306,9,0)</f>
        <v>66</v>
      </c>
      <c r="N185" s="103">
        <f>VLOOKUP($A185,'OI(Value)'!$A$7:$O$306,11,0)</f>
        <v>4317</v>
      </c>
      <c r="O185" s="103">
        <f>VLOOKUP($A185,'OI(Value)'!$A$7:$O$306,12,0)</f>
        <v>-295</v>
      </c>
    </row>
    <row r="186" spans="1:15" x14ac:dyDescent="0.25">
      <c r="A186" s="105" t="str">
        <f>'Data shares'!C181</f>
        <v>SHREECEM</v>
      </c>
      <c r="B186" s="143">
        <f>VLOOKUP($A186,'Data shares'!$C:$FA,118)</f>
        <v>0.35</v>
      </c>
      <c r="C186" s="143">
        <f>VLOOKUP($A186,'Data shares'!$C:$FA,119)</f>
        <v>0.31</v>
      </c>
      <c r="D186" s="143">
        <f>VLOOKUP($A186,'Data shares'!$C:$FA,121)*100</f>
        <v>12.9</v>
      </c>
      <c r="E186" s="143">
        <f>VLOOKUP($A186,'Data shares'!$C:$FA,124)</f>
        <v>0.11</v>
      </c>
      <c r="F186" s="143">
        <f>VLOOKUP($A186,'Data shares'!$C:$FA,125)</f>
        <v>0.13</v>
      </c>
      <c r="G186" s="143">
        <f>VLOOKUP($A186,'Data shares'!$C:$FA,127)*100</f>
        <v>-15.379999999999999</v>
      </c>
      <c r="H186" s="103">
        <f>VLOOKUP($A186,'OI(Volume)'!$A$7:$O$427,8)</f>
        <v>165475</v>
      </c>
      <c r="I186" s="103">
        <f>VLOOKUP($A186,'OI(Volume)'!$A$7:$O$427,9)</f>
        <v>-20525</v>
      </c>
      <c r="J186" s="103">
        <f>VLOOKUP($A186,'OI(Volume)'!$A$7:$O$427,11)</f>
        <v>57300</v>
      </c>
      <c r="K186" s="103">
        <f>VLOOKUP($A186,'OI(Volume)'!$A$7:$O$427,12)</f>
        <v>-850</v>
      </c>
      <c r="L186" s="103">
        <f>VLOOKUP($A186,'OI(Value)'!$A$7:$O$306,8,0)</f>
        <v>440</v>
      </c>
      <c r="M186" s="103">
        <f>VLOOKUP($A186,'OI(Value)'!$A$7:$O$306,9,0)</f>
        <v>-55</v>
      </c>
      <c r="N186" s="103">
        <f>VLOOKUP($A186,'OI(Value)'!$A$7:$O$306,11,0)</f>
        <v>152</v>
      </c>
      <c r="O186" s="103">
        <f>VLOOKUP($A186,'OI(Value)'!$A$7:$O$306,12,0)</f>
        <v>-2</v>
      </c>
    </row>
    <row r="187" spans="1:15" x14ac:dyDescent="0.25">
      <c r="A187" s="105" t="str">
        <f>'Data shares'!C182</f>
        <v>SHRIRAMFIN</v>
      </c>
      <c r="B187" s="143">
        <f>VLOOKUP($A187,'Data shares'!$C:$FA,118)</f>
        <v>0.91</v>
      </c>
      <c r="C187" s="143">
        <f>VLOOKUP($A187,'Data shares'!$C:$FA,119)</f>
        <v>0.88</v>
      </c>
      <c r="D187" s="143">
        <f>VLOOKUP($A187,'Data shares'!$C:$FA,121)*100</f>
        <v>3.4099999999999997</v>
      </c>
      <c r="E187" s="143">
        <f>VLOOKUP($A187,'Data shares'!$C:$FA,124)</f>
        <v>0.56999999999999995</v>
      </c>
      <c r="F187" s="143">
        <f>VLOOKUP($A187,'Data shares'!$C:$FA,125)</f>
        <v>0.66</v>
      </c>
      <c r="G187" s="143">
        <f>VLOOKUP($A187,'Data shares'!$C:$FA,127)*100</f>
        <v>-13.639999999999999</v>
      </c>
      <c r="H187" s="103">
        <f>VLOOKUP($A187,'OI(Volume)'!$A$7:$O$427,8)</f>
        <v>16382850</v>
      </c>
      <c r="I187" s="103">
        <f>VLOOKUP($A187,'OI(Volume)'!$A$7:$O$427,9)</f>
        <v>-1393425</v>
      </c>
      <c r="J187" s="103">
        <f>VLOOKUP($A187,'OI(Volume)'!$A$7:$O$427,11)</f>
        <v>14878050</v>
      </c>
      <c r="K187" s="103">
        <f>VLOOKUP($A187,'OI(Volume)'!$A$7:$O$427,12)</f>
        <v>-701250</v>
      </c>
      <c r="L187" s="103">
        <f>VLOOKUP($A187,'OI(Value)'!$A$7:$O$306,8,0)</f>
        <v>1354</v>
      </c>
      <c r="M187" s="103">
        <f>VLOOKUP($A187,'OI(Value)'!$A$7:$O$306,9,0)</f>
        <v>-115</v>
      </c>
      <c r="N187" s="103">
        <f>VLOOKUP($A187,'OI(Value)'!$A$7:$O$306,11,0)</f>
        <v>1230</v>
      </c>
      <c r="O187" s="103">
        <f>VLOOKUP($A187,'OI(Value)'!$A$7:$O$306,12,0)</f>
        <v>-58</v>
      </c>
    </row>
    <row r="188" spans="1:15" x14ac:dyDescent="0.25">
      <c r="A188" s="105" t="str">
        <f>'Data shares'!C183</f>
        <v>SIEMENS</v>
      </c>
      <c r="B188" s="143">
        <f>VLOOKUP($A188,'Data shares'!$C:$FA,118)</f>
        <v>0.7</v>
      </c>
      <c r="C188" s="143">
        <f>VLOOKUP($A188,'Data shares'!$C:$FA,119)</f>
        <v>0.69</v>
      </c>
      <c r="D188" s="143">
        <f>VLOOKUP($A188,'Data shares'!$C:$FA,121)*100</f>
        <v>1.4500000000000002</v>
      </c>
      <c r="E188" s="143">
        <f>VLOOKUP($A188,'Data shares'!$C:$FA,124)</f>
        <v>0.44</v>
      </c>
      <c r="F188" s="143">
        <f>VLOOKUP($A188,'Data shares'!$C:$FA,125)</f>
        <v>0.71</v>
      </c>
      <c r="G188" s="143">
        <f>VLOOKUP($A188,'Data shares'!$C:$FA,127)*100</f>
        <v>-38.03</v>
      </c>
      <c r="H188" s="103">
        <f>VLOOKUP($A188,'OI(Volume)'!$A$7:$O$427,8)</f>
        <v>1264275</v>
      </c>
      <c r="I188" s="103">
        <f>VLOOKUP($A188,'OI(Volume)'!$A$7:$O$427,9)</f>
        <v>-194500</v>
      </c>
      <c r="J188" s="103">
        <f>VLOOKUP($A188,'OI(Volume)'!$A$7:$O$427,11)</f>
        <v>888725</v>
      </c>
      <c r="K188" s="103">
        <f>VLOOKUP($A188,'OI(Volume)'!$A$7:$O$427,12)</f>
        <v>-121500</v>
      </c>
      <c r="L188" s="103">
        <f>VLOOKUP($A188,'OI(Value)'!$A$7:$O$306,8,0)</f>
        <v>407</v>
      </c>
      <c r="M188" s="103">
        <f>VLOOKUP($A188,'OI(Value)'!$A$7:$O$306,9,0)</f>
        <v>-63</v>
      </c>
      <c r="N188" s="103">
        <f>VLOOKUP($A188,'OI(Value)'!$A$7:$O$306,11,0)</f>
        <v>286</v>
      </c>
      <c r="O188" s="103">
        <f>VLOOKUP($A188,'OI(Value)'!$A$7:$O$306,12,0)</f>
        <v>-39</v>
      </c>
    </row>
    <row r="189" spans="1:15" x14ac:dyDescent="0.25">
      <c r="A189" s="105" t="str">
        <f>'Data shares'!C184</f>
        <v>SOLARINDS</v>
      </c>
      <c r="B189" s="143">
        <f>VLOOKUP($A189,'Data shares'!$C:$FA,118)</f>
        <v>0.46</v>
      </c>
      <c r="C189" s="143">
        <f>VLOOKUP($A189,'Data shares'!$C:$FA,119)</f>
        <v>0.38</v>
      </c>
      <c r="D189" s="143">
        <f>VLOOKUP($A189,'Data shares'!$C:$FA,121)*100</f>
        <v>21.05</v>
      </c>
      <c r="E189" s="143">
        <f>VLOOKUP($A189,'Data shares'!$C:$FA,124)</f>
        <v>0.28999999999999998</v>
      </c>
      <c r="F189" s="143">
        <f>VLOOKUP($A189,'Data shares'!$C:$FA,125)</f>
        <v>0.16</v>
      </c>
      <c r="G189" s="143">
        <f>VLOOKUP($A189,'Data shares'!$C:$FA,127)*100</f>
        <v>81.25</v>
      </c>
      <c r="H189" s="103">
        <f>VLOOKUP($A189,'OI(Volume)'!$A$7:$O$427,8)</f>
        <v>1264275</v>
      </c>
      <c r="I189" s="103">
        <f>VLOOKUP($A189,'OI(Volume)'!$A$7:$O$427,9)</f>
        <v>-194500</v>
      </c>
      <c r="J189" s="103">
        <f>VLOOKUP($A189,'OI(Volume)'!$A$7:$O$427,11)</f>
        <v>888725</v>
      </c>
      <c r="K189" s="103">
        <f>VLOOKUP($A189,'OI(Volume)'!$A$7:$O$427,12)</f>
        <v>-121500</v>
      </c>
      <c r="L189" s="103"/>
      <c r="M189" s="103"/>
      <c r="N189" s="103"/>
      <c r="O189" s="103"/>
    </row>
    <row r="190" spans="1:15" x14ac:dyDescent="0.25">
      <c r="A190" s="105" t="str">
        <f>'Data shares'!C216</f>
        <v>ZYDUSLIFE</v>
      </c>
      <c r="B190" s="143">
        <f>VLOOKUP($A190,'Data shares'!$C:$FA,118)</f>
        <v>0.71</v>
      </c>
      <c r="C190" s="143">
        <f>VLOOKUP($A190,'Data shares'!$C:$FA,119)</f>
        <v>0.64</v>
      </c>
      <c r="D190" s="143">
        <f>VLOOKUP($A190,'Data shares'!$C:$FA,121)*100</f>
        <v>10.94</v>
      </c>
      <c r="E190" s="143">
        <f>VLOOKUP($A190,'Data shares'!$C:$FA,124)</f>
        <v>0.52</v>
      </c>
      <c r="F190" s="143">
        <f>VLOOKUP($A190,'Data shares'!$C:$FA,125)</f>
        <v>0.34</v>
      </c>
      <c r="G190" s="143">
        <f>VLOOKUP($A190,'Data shares'!$C:$FA,127)*100</f>
        <v>52.94</v>
      </c>
      <c r="H190" s="103">
        <f>VLOOKUP($A190,'OI(Volume)'!$A$7:$O$427,8)</f>
        <v>0</v>
      </c>
      <c r="I190" s="103">
        <f>VLOOKUP($A190,'OI(Volume)'!$A$7:$O$427,9)</f>
        <v>0</v>
      </c>
      <c r="J190" s="103">
        <f>VLOOKUP($A190,'OI(Volume)'!$A$7:$O$427,11)</f>
        <v>0</v>
      </c>
      <c r="K190" s="103">
        <f>VLOOKUP($A190,'OI(Volume)'!$A$7:$O$427,12)</f>
        <v>0</v>
      </c>
      <c r="L190" s="103">
        <f>VLOOKUP($A190,'OI(Value)'!$A$7:$O$306,8,0)</f>
        <v>551</v>
      </c>
      <c r="M190" s="103">
        <f>VLOOKUP($A190,'OI(Value)'!$A$7:$O$306,9,0)</f>
        <v>-16</v>
      </c>
      <c r="N190" s="103">
        <f>VLOOKUP($A190,'OI(Value)'!$A$7:$O$306,11,0)</f>
        <v>391</v>
      </c>
      <c r="O190" s="103">
        <f>VLOOKUP($A190,'OI(Value)'!$A$7:$O$306,12,0)</f>
        <v>27</v>
      </c>
    </row>
    <row r="191" spans="1:15" x14ac:dyDescent="0.25">
      <c r="A191" s="105"/>
      <c r="B191" s="143"/>
      <c r="C191" s="143"/>
      <c r="D191" s="143"/>
      <c r="E191" s="143"/>
      <c r="F191" s="143"/>
      <c r="G191" s="143"/>
      <c r="H191" s="103"/>
      <c r="I191" s="103"/>
      <c r="J191" s="103"/>
      <c r="K191" s="103"/>
      <c r="L191" s="103"/>
      <c r="M191" s="103"/>
      <c r="N191" s="103"/>
      <c r="O191" s="103"/>
    </row>
    <row r="192" spans="1:15" x14ac:dyDescent="0.25">
      <c r="A192" s="126" t="s">
        <v>391</v>
      </c>
      <c r="B192" s="136"/>
      <c r="C192" s="136"/>
      <c r="D192" s="136"/>
      <c r="E192" s="136"/>
      <c r="F192" s="136"/>
      <c r="G192" s="136"/>
      <c r="H192" s="135">
        <f t="shared" ref="H192:O192" si="0">SUM(H7:H191)</f>
        <v>6474248453</v>
      </c>
      <c r="I192" s="135">
        <f t="shared" si="0"/>
        <v>-6713026</v>
      </c>
      <c r="J192" s="135">
        <f t="shared" si="0"/>
        <v>4170604789</v>
      </c>
      <c r="K192" s="135">
        <f t="shared" si="0"/>
        <v>-113928264</v>
      </c>
      <c r="L192" s="135">
        <f t="shared" si="0"/>
        <v>860623</v>
      </c>
      <c r="M192" s="135">
        <f t="shared" si="0"/>
        <v>36580</v>
      </c>
      <c r="N192" s="135">
        <f t="shared" si="0"/>
        <v>1043422</v>
      </c>
      <c r="O192" s="135">
        <f t="shared" si="0"/>
        <v>137251</v>
      </c>
    </row>
    <row r="193" spans="1:15" x14ac:dyDescent="0.25">
      <c r="A193" s="126" t="s">
        <v>415</v>
      </c>
      <c r="B193" s="136"/>
      <c r="C193" s="136"/>
      <c r="D193" s="136"/>
      <c r="E193" s="136"/>
      <c r="F193" s="136"/>
      <c r="G193" s="136"/>
      <c r="H193" s="137">
        <f>H192/10000000</f>
        <v>647.42484530000002</v>
      </c>
      <c r="I193" s="137">
        <f>I192/10000000</f>
        <v>-0.67130259999999997</v>
      </c>
      <c r="J193" s="137">
        <f>J192/10000000</f>
        <v>417.06047890000002</v>
      </c>
      <c r="K193" s="137">
        <f>K192/10000000</f>
        <v>-11.392826400000001</v>
      </c>
      <c r="L193" s="138">
        <f>L192</f>
        <v>860623</v>
      </c>
      <c r="M193" s="138">
        <f>M192</f>
        <v>36580</v>
      </c>
      <c r="N193" s="138">
        <f>N192</f>
        <v>1043422</v>
      </c>
      <c r="O193" s="138">
        <f>O192</f>
        <v>137251</v>
      </c>
    </row>
  </sheetData>
  <autoFilter ref="A6:O6">
    <sortState ref="A7:O154">
      <sortCondition ref="A6"/>
    </sortState>
  </autoFilter>
  <mergeCells count="11">
    <mergeCell ref="J5:K5"/>
    <mergeCell ref="L5:M5"/>
    <mergeCell ref="N5:O5"/>
    <mergeCell ref="A3:O3"/>
    <mergeCell ref="A4:A5"/>
    <mergeCell ref="B4:G4"/>
    <mergeCell ref="H4:K4"/>
    <mergeCell ref="L4:O4"/>
    <mergeCell ref="B5:D5"/>
    <mergeCell ref="E5:G5"/>
    <mergeCell ref="H5:I5"/>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5</vt:i4>
      </vt:variant>
    </vt:vector>
  </HeadingPairs>
  <TitlesOfParts>
    <vt:vector size="29" baseType="lpstr">
      <vt:lpstr>Snapshot (Value)</vt:lpstr>
      <vt:lpstr>Snapshot (Volume)</vt:lpstr>
      <vt:lpstr>Sectorwise OI</vt:lpstr>
      <vt:lpstr>OI(Volume)</vt:lpstr>
      <vt:lpstr>OI(Value)</vt:lpstr>
      <vt:lpstr>Nifty Baskets</vt:lpstr>
      <vt:lpstr>Total Value</vt:lpstr>
      <vt:lpstr>Total Valume</vt:lpstr>
      <vt:lpstr>PCR</vt:lpstr>
      <vt:lpstr>Basis</vt:lpstr>
      <vt:lpstr>IV</vt:lpstr>
      <vt:lpstr>Open Interest Position</vt:lpstr>
      <vt:lpstr>Margin</vt:lpstr>
      <vt:lpstr>Rollover</vt:lpstr>
      <vt:lpstr>Disclaimar</vt:lpstr>
      <vt:lpstr>Data Vlaue (Cr)</vt:lpstr>
      <vt:lpstr>Data shares</vt:lpstr>
      <vt:lpstr>NIFTY GRP</vt:lpstr>
      <vt:lpstr>FII</vt:lpstr>
      <vt:lpstr>Sheet1</vt:lpstr>
      <vt:lpstr>Participantwise OI</vt:lpstr>
      <vt:lpstr>Compatibility Report</vt:lpstr>
      <vt:lpstr>snap</vt:lpstr>
      <vt:lpstr>Sheet2</vt:lpstr>
      <vt:lpstr>'Data shares'!Expry_Roll___19</vt:lpstr>
      <vt:lpstr>'NIFTY GRP'!Expry_Roll___20</vt:lpstr>
      <vt:lpstr>FII!fii</vt:lpstr>
      <vt:lpstr>Disclaimar!Print_Area</vt:lpstr>
      <vt:lpstr>'Data Vlaue (Cr)'!stats__2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Ambuj</dc:creator>
  <cp:lastModifiedBy>Administrator</cp:lastModifiedBy>
  <cp:lastPrinted>2023-02-10T03:48:31Z</cp:lastPrinted>
  <dcterms:created xsi:type="dcterms:W3CDTF">2020-04-05T11:10:02Z</dcterms:created>
  <dcterms:modified xsi:type="dcterms:W3CDTF">2025-11-21T03:21:26Z</dcterms:modified>
</cp:coreProperties>
</file>